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Code\work\YQN.FreightAnalysis\YQN.FreightAnalysis\YQN.FreightAnalysis.Common.Test\Data\"/>
    </mc:Choice>
  </mc:AlternateContent>
  <bookViews>
    <workbookView xWindow="-15" yWindow="4725" windowWidth="23070" windowHeight="4770" tabRatio="820" firstSheet="1" activeTab="1"/>
  </bookViews>
  <sheets>
    <sheet name="涨价通知" sheetId="7" state="hidden" r:id="rId1"/>
    <sheet name="澳新线冷代干特刊" sheetId="28" r:id="rId2"/>
    <sheet name="澳新线" sheetId="14" r:id="rId3"/>
    <sheet name="东南亚及俄罗斯远东" sheetId="15" r:id="rId4"/>
    <sheet name="中东印巴红海" sheetId="18" r:id="rId5"/>
    <sheet name="欧地北非线" sheetId="21" r:id="rId6"/>
    <sheet name="非洲线" sheetId="17" r:id="rId7"/>
    <sheet name="中南美" sheetId="16" r:id="rId8"/>
    <sheet name="日韩台湾线" sheetId="20" r:id="rId9"/>
    <sheet name="美加线" sheetId="22" r:id="rId10"/>
    <sheet name="赛嘉通讯录" sheetId="23" r:id="rId11"/>
    <sheet name="RMB收费标准" sheetId="27" r:id="rId12"/>
  </sheets>
  <definedNames>
    <definedName name="_xlnm._FilterDatabase" localSheetId="11" hidden="1">RMB收费标准!$A$2:$W$61</definedName>
    <definedName name="_xlnm._FilterDatabase" localSheetId="2" hidden="1">澳新线!$A$2:$T$532</definedName>
    <definedName name="_xlnm._FilterDatabase" localSheetId="1" hidden="1">澳新线冷代干特刊!$A$2:$M$51</definedName>
    <definedName name="_xlnm._FilterDatabase" localSheetId="3" hidden="1">东南亚及俄罗斯远东!$A$2:$T$1161</definedName>
    <definedName name="_xlnm._FilterDatabase" localSheetId="6" hidden="1">非洲线!$A$2:$T$412</definedName>
    <definedName name="_xlnm._FilterDatabase" localSheetId="9" hidden="1">美加线!$A$2:$R$125</definedName>
    <definedName name="_xlnm._FilterDatabase" localSheetId="5" hidden="1">欧地北非线!$A$2:$T$1553</definedName>
    <definedName name="_xlnm._FilterDatabase" localSheetId="8" hidden="1">日韩台湾线!$A$2:$T$421</definedName>
    <definedName name="_xlnm._FilterDatabase" localSheetId="10" hidden="1">赛嘉通讯录!$A$1:$J$35</definedName>
    <definedName name="_xlnm._FilterDatabase" localSheetId="4" hidden="1">中东印巴红海!$A$2:$T$1360</definedName>
    <definedName name="_xlnm._FilterDatabase" localSheetId="7" hidden="1">中南美!$A$2:$T$1866</definedName>
  </definedNames>
  <calcPr calcId="162913" calcOnSave="0" concurrentCalc="0"/>
  <fileRecoveryPr autoRecover="0"/>
</workbook>
</file>

<file path=xl/calcChain.xml><?xml version="1.0" encoding="utf-8"?>
<calcChain xmlns="http://schemas.openxmlformats.org/spreadsheetml/2006/main">
  <c r="D59" i="16" l="1"/>
  <c r="E59" i="16"/>
  <c r="F59" i="16"/>
  <c r="D70" i="16"/>
  <c r="E70" i="16"/>
  <c r="F70" i="16"/>
  <c r="D71" i="16"/>
  <c r="E71" i="16"/>
  <c r="F71" i="16"/>
  <c r="D72" i="16"/>
  <c r="F72" i="16"/>
  <c r="D76" i="16"/>
  <c r="E76" i="16"/>
  <c r="F76" i="16"/>
  <c r="D78" i="16"/>
  <c r="E78" i="16"/>
  <c r="F78" i="16"/>
  <c r="D79" i="16"/>
  <c r="E79" i="16"/>
  <c r="F79" i="16"/>
  <c r="D80" i="16"/>
  <c r="E80" i="16"/>
  <c r="F80" i="16"/>
  <c r="D81" i="16"/>
  <c r="E81" i="16"/>
  <c r="F81" i="16"/>
  <c r="D82" i="16"/>
  <c r="E82" i="16"/>
  <c r="F82" i="16"/>
  <c r="D83" i="16"/>
  <c r="E83" i="16"/>
  <c r="F83" i="16"/>
  <c r="D84" i="16"/>
  <c r="E84" i="16"/>
  <c r="F84" i="16"/>
  <c r="D85" i="16"/>
  <c r="E85" i="16"/>
  <c r="F85" i="16"/>
  <c r="D86" i="16"/>
  <c r="E86" i="16"/>
  <c r="F86" i="16"/>
  <c r="D87" i="16"/>
  <c r="E87" i="16"/>
  <c r="F87" i="16"/>
  <c r="D88" i="16"/>
  <c r="E88" i="16"/>
  <c r="F88" i="16"/>
  <c r="D89" i="16"/>
  <c r="E89" i="16"/>
  <c r="F89" i="16"/>
  <c r="D91" i="16"/>
  <c r="F91" i="16"/>
  <c r="D93" i="16"/>
  <c r="E93" i="16"/>
  <c r="F93" i="16"/>
  <c r="D95" i="16"/>
  <c r="E95" i="16"/>
  <c r="F95" i="16"/>
  <c r="D96" i="16"/>
  <c r="E96" i="16"/>
  <c r="F96" i="16"/>
  <c r="D97" i="16"/>
  <c r="E97" i="16"/>
  <c r="F97" i="16"/>
  <c r="D100" i="16"/>
  <c r="E100" i="16"/>
  <c r="F100" i="16"/>
  <c r="D101" i="16"/>
  <c r="E101" i="16"/>
  <c r="F101" i="16"/>
  <c r="D103" i="16"/>
  <c r="E103" i="16"/>
  <c r="F103" i="16"/>
  <c r="D104" i="16"/>
  <c r="E104" i="16"/>
  <c r="F104" i="16"/>
  <c r="D105" i="16"/>
  <c r="E105" i="16"/>
  <c r="F105" i="16"/>
  <c r="D106" i="16"/>
  <c r="E106" i="16"/>
  <c r="F106" i="16"/>
  <c r="D107" i="16"/>
  <c r="E107" i="16"/>
  <c r="F107" i="16"/>
  <c r="D108" i="16"/>
  <c r="E108" i="16"/>
  <c r="F108" i="16"/>
  <c r="D110" i="16"/>
  <c r="E110" i="16"/>
  <c r="F110" i="16"/>
  <c r="D111" i="16"/>
  <c r="F111" i="16"/>
  <c r="D113" i="16"/>
  <c r="E113" i="16"/>
  <c r="F113" i="16"/>
  <c r="D115" i="16"/>
  <c r="E115" i="16"/>
  <c r="F115" i="16"/>
  <c r="D118" i="16"/>
  <c r="E118" i="16"/>
  <c r="F118" i="16"/>
  <c r="D119" i="16"/>
  <c r="E119" i="16"/>
  <c r="F119" i="16"/>
  <c r="D120" i="16"/>
  <c r="E120" i="16"/>
  <c r="F120" i="16"/>
  <c r="D121" i="16"/>
  <c r="E121" i="16"/>
  <c r="F121" i="16"/>
  <c r="D122" i="16"/>
  <c r="E122" i="16"/>
  <c r="F122" i="16"/>
  <c r="D123" i="16"/>
  <c r="E123" i="16"/>
  <c r="F123" i="16"/>
  <c r="D124" i="16"/>
  <c r="E124" i="16"/>
  <c r="F124" i="16"/>
  <c r="D125" i="16"/>
  <c r="E125" i="16"/>
  <c r="F125" i="16"/>
  <c r="D126" i="16"/>
  <c r="E126" i="16"/>
  <c r="F126" i="16"/>
  <c r="D127" i="16"/>
  <c r="E127" i="16"/>
  <c r="F127" i="16"/>
  <c r="D128" i="16"/>
  <c r="E128" i="16"/>
  <c r="F128" i="16"/>
  <c r="D129" i="16"/>
  <c r="E129" i="16"/>
  <c r="F129" i="16"/>
  <c r="D130" i="16"/>
  <c r="E130" i="16"/>
  <c r="F130" i="16"/>
  <c r="D131" i="16"/>
  <c r="E131" i="16"/>
  <c r="F131" i="16"/>
  <c r="D132" i="16"/>
  <c r="E132" i="16"/>
  <c r="F132" i="16"/>
  <c r="D133" i="16"/>
  <c r="E133" i="16"/>
  <c r="F133" i="16"/>
  <c r="D134" i="16"/>
  <c r="E134" i="16"/>
  <c r="F134" i="16"/>
  <c r="D155" i="16"/>
  <c r="D182" i="16"/>
  <c r="F155" i="16"/>
  <c r="F182" i="16"/>
  <c r="D162" i="16"/>
  <c r="E162" i="16"/>
  <c r="F162" i="16"/>
  <c r="D163" i="16"/>
  <c r="E163" i="16"/>
  <c r="F163" i="16"/>
  <c r="D164" i="16"/>
  <c r="E164" i="16"/>
  <c r="F164" i="16"/>
  <c r="D166" i="16"/>
  <c r="E166" i="16"/>
  <c r="F166" i="16"/>
  <c r="D167" i="16"/>
  <c r="F167" i="16"/>
  <c r="D168" i="16"/>
  <c r="D183" i="16"/>
  <c r="E168" i="16"/>
  <c r="E183" i="16"/>
  <c r="F168" i="16"/>
  <c r="F183" i="16"/>
  <c r="D169" i="16"/>
  <c r="E169" i="16"/>
  <c r="F169" i="16"/>
  <c r="D170" i="16"/>
  <c r="D184" i="16"/>
  <c r="E170" i="16"/>
  <c r="F170" i="16"/>
  <c r="D171" i="16"/>
  <c r="E171" i="16"/>
  <c r="F171" i="16"/>
  <c r="D172" i="16"/>
  <c r="E172" i="16"/>
  <c r="F172" i="16"/>
  <c r="D173" i="16"/>
  <c r="E173" i="16"/>
  <c r="F173" i="16"/>
  <c r="D174" i="16"/>
  <c r="E174" i="16"/>
  <c r="F174" i="16"/>
  <c r="D175" i="16"/>
  <c r="E175" i="16"/>
  <c r="F175" i="16"/>
  <c r="D176" i="16"/>
  <c r="F176" i="16"/>
  <c r="D177" i="16"/>
  <c r="E177" i="16"/>
  <c r="F177" i="16"/>
  <c r="D178" i="16"/>
  <c r="E178" i="16"/>
  <c r="F178" i="16"/>
  <c r="D179" i="16"/>
  <c r="E179" i="16"/>
  <c r="F179" i="16"/>
  <c r="D180" i="16"/>
  <c r="E180" i="16"/>
  <c r="F180" i="16"/>
  <c r="D181" i="16"/>
  <c r="E181" i="16"/>
  <c r="F181" i="16"/>
  <c r="E182" i="16"/>
  <c r="E184" i="16"/>
  <c r="F184" i="16"/>
  <c r="D185" i="16"/>
  <c r="E185" i="16"/>
  <c r="F185" i="16"/>
  <c r="D186" i="16"/>
  <c r="E186" i="16"/>
  <c r="F186" i="16"/>
  <c r="D187" i="16"/>
  <c r="E187" i="16"/>
  <c r="F187" i="16"/>
  <c r="D189" i="16"/>
  <c r="F189" i="16"/>
  <c r="D193" i="16"/>
  <c r="E193" i="16"/>
  <c r="F193" i="16"/>
  <c r="D194" i="16"/>
  <c r="E194" i="16"/>
  <c r="F194" i="16"/>
  <c r="D195" i="16"/>
  <c r="E195" i="16"/>
  <c r="F195" i="16"/>
  <c r="D196" i="16"/>
  <c r="F196" i="16"/>
  <c r="D197" i="16"/>
  <c r="E197" i="16"/>
  <c r="F197" i="16"/>
  <c r="D198" i="16"/>
  <c r="E198" i="16"/>
  <c r="F198" i="16"/>
  <c r="D201" i="16"/>
  <c r="F201" i="16"/>
  <c r="D209" i="16"/>
  <c r="F209" i="16"/>
  <c r="E211" i="16"/>
  <c r="D211" i="16"/>
  <c r="D214" i="16"/>
  <c r="E214" i="16"/>
  <c r="F214" i="16"/>
  <c r="D215" i="16"/>
  <c r="E215" i="16"/>
  <c r="F215" i="16"/>
  <c r="E220" i="16"/>
  <c r="D220" i="16"/>
  <c r="D221" i="16"/>
  <c r="E221" i="16"/>
  <c r="F221" i="16"/>
  <c r="D222" i="16"/>
  <c r="E222" i="16"/>
  <c r="F222" i="16"/>
  <c r="D223" i="16"/>
  <c r="E223" i="16"/>
  <c r="F223" i="16"/>
  <c r="D229" i="16"/>
  <c r="F229" i="16"/>
  <c r="D239" i="16"/>
  <c r="F239" i="16"/>
  <c r="D244" i="16"/>
  <c r="E244" i="16"/>
  <c r="F244" i="16"/>
  <c r="D250" i="16"/>
  <c r="E250" i="16"/>
  <c r="F250" i="16"/>
  <c r="D251" i="16"/>
  <c r="E251" i="16"/>
  <c r="F251" i="16"/>
  <c r="D252" i="16"/>
  <c r="E252" i="16"/>
  <c r="F252" i="16"/>
  <c r="D253" i="16"/>
  <c r="E253" i="16"/>
  <c r="F253" i="16"/>
  <c r="D254" i="16"/>
  <c r="E254" i="16"/>
  <c r="F254" i="16"/>
  <c r="D255" i="16"/>
  <c r="E255" i="16"/>
  <c r="F255" i="16"/>
  <c r="D259" i="16"/>
  <c r="F259" i="16"/>
  <c r="D269" i="16"/>
  <c r="F269" i="16"/>
  <c r="D272" i="16"/>
  <c r="E272" i="16"/>
  <c r="F272" i="16"/>
  <c r="D273" i="16"/>
  <c r="E273" i="16"/>
  <c r="F273" i="16"/>
  <c r="D275" i="16"/>
  <c r="E275" i="16"/>
  <c r="F275" i="16"/>
  <c r="D277" i="16"/>
  <c r="E277" i="16"/>
  <c r="F277" i="16"/>
  <c r="D278" i="16"/>
  <c r="E278" i="16"/>
  <c r="F278" i="16"/>
  <c r="D279" i="16"/>
  <c r="E279" i="16"/>
  <c r="F279" i="16"/>
  <c r="D280" i="16"/>
  <c r="E280" i="16"/>
  <c r="F280" i="16"/>
  <c r="D281" i="16"/>
  <c r="E281" i="16"/>
  <c r="F281" i="16"/>
  <c r="E284" i="16"/>
  <c r="F284" i="16"/>
  <c r="E293" i="16"/>
  <c r="D293" i="16"/>
  <c r="F293" i="16"/>
  <c r="D300" i="16"/>
  <c r="E300" i="16"/>
  <c r="F300" i="16"/>
  <c r="E301" i="16"/>
  <c r="D301" i="16"/>
  <c r="F301" i="16"/>
  <c r="D302" i="16"/>
  <c r="E302" i="16"/>
  <c r="F302" i="16"/>
  <c r="D303" i="16"/>
  <c r="E303" i="16"/>
  <c r="F303" i="16"/>
  <c r="D304" i="16"/>
  <c r="E304" i="16"/>
  <c r="F304" i="16"/>
  <c r="E305" i="16"/>
  <c r="D305" i="16"/>
  <c r="D310" i="16"/>
  <c r="E310" i="16"/>
  <c r="F305" i="16"/>
  <c r="F310" i="16"/>
  <c r="D306" i="16"/>
  <c r="E306" i="16"/>
  <c r="F306" i="16"/>
  <c r="D307" i="16"/>
  <c r="E307" i="16"/>
  <c r="F307" i="16"/>
  <c r="D308" i="16"/>
  <c r="E308" i="16"/>
  <c r="F308" i="16"/>
  <c r="D309" i="16"/>
  <c r="E309" i="16"/>
  <c r="F309" i="16"/>
  <c r="D311" i="16"/>
  <c r="E311" i="16"/>
  <c r="F311" i="16"/>
  <c r="D312" i="16"/>
  <c r="E312" i="16"/>
  <c r="F312" i="16"/>
  <c r="E313" i="16"/>
  <c r="D314" i="16"/>
  <c r="E314" i="16"/>
  <c r="F314" i="16"/>
  <c r="D315" i="16"/>
  <c r="E315" i="16"/>
  <c r="F315" i="16"/>
  <c r="D316" i="16"/>
  <c r="E316" i="16"/>
  <c r="F316" i="16"/>
  <c r="D317" i="16"/>
  <c r="E317" i="16"/>
  <c r="F317" i="16"/>
  <c r="D319" i="16"/>
  <c r="E319" i="16"/>
  <c r="F319" i="16"/>
  <c r="D320" i="16"/>
  <c r="E320" i="16"/>
  <c r="F320" i="16"/>
  <c r="D321" i="16"/>
  <c r="E321" i="16"/>
  <c r="F321" i="16"/>
  <c r="D325" i="16"/>
  <c r="F325" i="16"/>
  <c r="D328" i="16"/>
  <c r="D335" i="16"/>
  <c r="E328" i="16"/>
  <c r="E338" i="16"/>
  <c r="F328" i="16"/>
  <c r="F338" i="16"/>
  <c r="D329" i="16"/>
  <c r="E329" i="16"/>
  <c r="F329" i="16"/>
  <c r="D331" i="16"/>
  <c r="E331" i="16"/>
  <c r="F331" i="16"/>
  <c r="D332" i="16"/>
  <c r="F332" i="16"/>
  <c r="D333" i="16"/>
  <c r="E333" i="16"/>
  <c r="F333" i="16"/>
  <c r="D334" i="16"/>
  <c r="E334" i="16"/>
  <c r="F334" i="16"/>
  <c r="E335" i="16"/>
  <c r="D337" i="16"/>
  <c r="E337" i="16"/>
  <c r="F337" i="16"/>
  <c r="D339" i="16"/>
  <c r="E339" i="16"/>
  <c r="F339" i="16"/>
  <c r="D340" i="16"/>
  <c r="D341" i="16"/>
  <c r="E341" i="16"/>
  <c r="F341" i="16"/>
  <c r="D344" i="16"/>
  <c r="F344" i="16"/>
  <c r="D347" i="16"/>
  <c r="E347" i="16"/>
  <c r="F347" i="16"/>
  <c r="D348" i="16"/>
  <c r="E348" i="16"/>
  <c r="F348" i="16"/>
  <c r="D353" i="16"/>
  <c r="E353" i="16"/>
  <c r="F353" i="16"/>
  <c r="D357" i="16"/>
  <c r="E357" i="16"/>
  <c r="F357" i="16"/>
  <c r="D362" i="16"/>
  <c r="E362" i="16"/>
  <c r="F362" i="16"/>
  <c r="D363" i="16"/>
  <c r="E363" i="16"/>
  <c r="F363" i="16"/>
  <c r="D364" i="16"/>
  <c r="F364" i="16"/>
  <c r="D370" i="16"/>
  <c r="F370" i="16"/>
  <c r="D374" i="16"/>
  <c r="E374" i="16"/>
  <c r="F374" i="16"/>
  <c r="D379" i="16"/>
  <c r="F379" i="16"/>
  <c r="D381" i="16"/>
  <c r="E381" i="16"/>
  <c r="F381" i="16"/>
  <c r="D385" i="16"/>
  <c r="E385" i="16"/>
  <c r="F385" i="16"/>
  <c r="D386" i="16"/>
  <c r="E386" i="16"/>
  <c r="F386" i="16"/>
  <c r="D387" i="16"/>
  <c r="E387" i="16"/>
  <c r="F387" i="16"/>
  <c r="D388" i="16"/>
  <c r="E388" i="16"/>
  <c r="F388" i="16"/>
  <c r="D389" i="16"/>
  <c r="E389" i="16"/>
  <c r="F389" i="16"/>
  <c r="D390" i="16"/>
  <c r="E390" i="16"/>
  <c r="F390" i="16"/>
  <c r="D391" i="16"/>
  <c r="E391" i="16"/>
  <c r="F391" i="16"/>
  <c r="D394" i="16"/>
  <c r="F394" i="16"/>
  <c r="D399" i="16"/>
  <c r="D409" i="16"/>
  <c r="E399" i="16"/>
  <c r="E409" i="16"/>
  <c r="F399" i="16"/>
  <c r="F409" i="16"/>
  <c r="D402" i="16"/>
  <c r="F402" i="16"/>
  <c r="D403" i="16"/>
  <c r="E403" i="16"/>
  <c r="F403" i="16"/>
  <c r="D404" i="16"/>
  <c r="E404" i="16"/>
  <c r="F404" i="16"/>
  <c r="D405" i="16"/>
  <c r="E405" i="16"/>
  <c r="F405" i="16"/>
  <c r="D406" i="16"/>
  <c r="E406" i="16"/>
  <c r="F406" i="16"/>
  <c r="D407" i="16"/>
  <c r="E407" i="16"/>
  <c r="F407" i="16"/>
  <c r="D408" i="16"/>
  <c r="E408" i="16"/>
  <c r="F408" i="16"/>
  <c r="D412" i="16"/>
  <c r="F412" i="16"/>
  <c r="D413" i="16"/>
  <c r="E413" i="16"/>
  <c r="F413" i="16"/>
  <c r="D414" i="16"/>
  <c r="E414" i="16"/>
  <c r="F414" i="16"/>
  <c r="D415" i="16"/>
  <c r="E415" i="16"/>
  <c r="F415" i="16"/>
  <c r="D416" i="16"/>
  <c r="E416" i="16"/>
  <c r="F416" i="16"/>
  <c r="D417" i="16"/>
  <c r="E417" i="16"/>
  <c r="F417" i="16"/>
  <c r="D420" i="16"/>
  <c r="E420" i="16"/>
  <c r="F420" i="16"/>
  <c r="D422" i="16"/>
  <c r="E422" i="16"/>
  <c r="F422" i="16"/>
  <c r="D426" i="16"/>
  <c r="F426" i="16"/>
  <c r="D427" i="16"/>
  <c r="E427" i="16"/>
  <c r="F427" i="16"/>
  <c r="D431" i="16"/>
  <c r="E431" i="16"/>
  <c r="F431" i="16"/>
  <c r="D432" i="16"/>
  <c r="E432" i="16"/>
  <c r="F432" i="16"/>
  <c r="D435" i="16"/>
  <c r="F435" i="16"/>
  <c r="D438" i="16"/>
  <c r="E438" i="16"/>
  <c r="F438" i="16"/>
  <c r="D439" i="16"/>
  <c r="E439" i="16"/>
  <c r="F439" i="16"/>
  <c r="D440" i="16"/>
  <c r="E440" i="16"/>
  <c r="F440" i="16"/>
  <c r="D442" i="16"/>
  <c r="F442" i="16"/>
  <c r="D445" i="16"/>
  <c r="E445" i="16"/>
  <c r="F445" i="16"/>
  <c r="D447" i="16"/>
  <c r="E447" i="16"/>
  <c r="F447" i="16"/>
  <c r="D448" i="16"/>
  <c r="E448" i="16"/>
  <c r="F448" i="16"/>
  <c r="D450" i="16"/>
  <c r="F450" i="16"/>
  <c r="D452" i="16"/>
  <c r="E452" i="16"/>
  <c r="F452" i="16"/>
  <c r="D453" i="16"/>
  <c r="E453" i="16"/>
  <c r="F453" i="16"/>
  <c r="D459" i="16"/>
  <c r="F459" i="16"/>
  <c r="D464" i="16"/>
  <c r="E464" i="16"/>
  <c r="F464" i="16"/>
  <c r="D465" i="16"/>
  <c r="E465" i="16"/>
  <c r="F465" i="16"/>
  <c r="D467" i="16"/>
  <c r="F467" i="16"/>
  <c r="D469" i="16"/>
  <c r="E469" i="16"/>
  <c r="F469" i="16"/>
  <c r="D472" i="16"/>
  <c r="F472" i="16"/>
  <c r="D475" i="16"/>
  <c r="E475" i="16"/>
  <c r="F475" i="16"/>
  <c r="D476" i="16"/>
  <c r="E476" i="16"/>
  <c r="F476" i="16"/>
  <c r="D478" i="16"/>
  <c r="F478" i="16"/>
  <c r="D479" i="16"/>
  <c r="E479" i="16"/>
  <c r="F479" i="16"/>
  <c r="D484" i="16"/>
  <c r="E484" i="16"/>
  <c r="F484" i="16"/>
  <c r="D486" i="16"/>
  <c r="F486" i="16"/>
  <c r="D490" i="16"/>
  <c r="F490" i="16"/>
  <c r="D491" i="16"/>
  <c r="E491" i="16"/>
  <c r="F491" i="16"/>
  <c r="D492" i="16"/>
  <c r="E492" i="16"/>
  <c r="F492" i="16"/>
  <c r="D496" i="16"/>
  <c r="F496" i="16"/>
  <c r="D500" i="16"/>
  <c r="E500" i="16"/>
  <c r="F500" i="16"/>
  <c r="D501" i="16"/>
  <c r="E501" i="16"/>
  <c r="F501" i="16"/>
  <c r="D503" i="16"/>
  <c r="F503" i="16"/>
  <c r="D504" i="16"/>
  <c r="E504" i="16"/>
  <c r="F504" i="16"/>
  <c r="D507" i="16"/>
  <c r="E507" i="16"/>
  <c r="F507" i="16"/>
  <c r="D510" i="16"/>
  <c r="E510" i="16"/>
  <c r="F510" i="16"/>
  <c r="D516" i="16"/>
  <c r="F516" i="16"/>
  <c r="D517" i="16"/>
  <c r="E517" i="16"/>
  <c r="F517" i="16"/>
  <c r="D518" i="16"/>
  <c r="E518" i="16"/>
  <c r="F518" i="16"/>
  <c r="D520" i="16"/>
  <c r="E520" i="16"/>
  <c r="F520" i="16"/>
  <c r="D527" i="16"/>
  <c r="E527" i="16"/>
  <c r="F527" i="16"/>
  <c r="D529" i="16"/>
  <c r="E529" i="16"/>
  <c r="F529" i="16"/>
  <c r="D532" i="16"/>
  <c r="F532" i="16"/>
  <c r="D533" i="16"/>
  <c r="E533" i="16"/>
  <c r="F533" i="16"/>
  <c r="D534" i="16"/>
  <c r="E534" i="16"/>
  <c r="F534" i="16"/>
  <c r="D537" i="16"/>
  <c r="F537" i="16"/>
  <c r="D539" i="16"/>
  <c r="E539" i="16"/>
  <c r="F539" i="16"/>
  <c r="D540" i="16"/>
  <c r="E540" i="16"/>
  <c r="F540" i="16"/>
  <c r="D542" i="16"/>
  <c r="E542" i="16"/>
  <c r="F542" i="16"/>
  <c r="D545" i="16"/>
  <c r="E545" i="16"/>
  <c r="F545" i="16"/>
  <c r="D548" i="16"/>
  <c r="E548" i="16"/>
  <c r="F548" i="16"/>
  <c r="D550" i="16"/>
  <c r="E550" i="16"/>
  <c r="F550" i="16"/>
  <c r="D582" i="16"/>
  <c r="E582" i="16"/>
  <c r="F582" i="16"/>
  <c r="D583" i="16"/>
  <c r="E583" i="16"/>
  <c r="F583" i="16"/>
  <c r="D584" i="16"/>
  <c r="E584" i="16"/>
  <c r="F584" i="16"/>
  <c r="D585" i="16"/>
  <c r="E585" i="16"/>
  <c r="F585" i="16"/>
  <c r="D586" i="16"/>
  <c r="E586" i="16"/>
  <c r="F586" i="16"/>
  <c r="D587" i="16"/>
  <c r="E587" i="16"/>
  <c r="F587" i="16"/>
  <c r="D592" i="16"/>
  <c r="E592" i="16"/>
  <c r="F592" i="16"/>
  <c r="D593" i="16"/>
  <c r="E593" i="16"/>
  <c r="F593" i="16"/>
  <c r="D597" i="16"/>
  <c r="E597" i="16"/>
  <c r="F597" i="16"/>
  <c r="D599" i="16"/>
  <c r="E599" i="16"/>
  <c r="F599" i="16"/>
  <c r="D600" i="16"/>
  <c r="E600" i="16"/>
  <c r="F600" i="16"/>
  <c r="D602" i="16"/>
  <c r="E602" i="16"/>
  <c r="F602" i="16"/>
  <c r="D604" i="16"/>
  <c r="E604" i="16"/>
  <c r="F604" i="16"/>
  <c r="D605" i="16"/>
  <c r="E605" i="16"/>
  <c r="F605" i="16"/>
  <c r="D610" i="16"/>
  <c r="E610" i="16"/>
  <c r="F610" i="16"/>
  <c r="D737" i="16"/>
  <c r="E737" i="16"/>
  <c r="F737" i="16"/>
  <c r="D746" i="16"/>
  <c r="E746" i="16"/>
  <c r="F746" i="16"/>
  <c r="D763" i="16"/>
  <c r="E763" i="16"/>
  <c r="F763" i="16"/>
  <c r="D770" i="16"/>
  <c r="E770" i="16"/>
  <c r="F770" i="16"/>
  <c r="D780" i="16"/>
  <c r="D790" i="16"/>
  <c r="E780" i="16"/>
  <c r="E798" i="16"/>
  <c r="F780" i="16"/>
  <c r="F798" i="16"/>
  <c r="D784" i="16"/>
  <c r="D795" i="16"/>
  <c r="E784" i="16"/>
  <c r="E811" i="16"/>
  <c r="F784" i="16"/>
  <c r="F808" i="16"/>
  <c r="D788" i="16"/>
  <c r="E788" i="16"/>
  <c r="F788" i="16"/>
  <c r="E790" i="16"/>
  <c r="F790" i="16"/>
  <c r="D791" i="16"/>
  <c r="E791" i="16"/>
  <c r="F791" i="16"/>
  <c r="D793" i="16"/>
  <c r="E793" i="16"/>
  <c r="F793" i="16"/>
  <c r="E794" i="16"/>
  <c r="F794" i="16"/>
  <c r="D797" i="16"/>
  <c r="E797" i="16"/>
  <c r="F797" i="16"/>
  <c r="D799" i="16"/>
  <c r="E799" i="16"/>
  <c r="F799" i="16"/>
  <c r="D802" i="16"/>
  <c r="E802" i="16"/>
  <c r="F802" i="16"/>
  <c r="D803" i="16"/>
  <c r="E803" i="16"/>
  <c r="F803" i="16"/>
  <c r="D807" i="16"/>
  <c r="E807" i="16"/>
  <c r="F807" i="16"/>
  <c r="D809" i="16"/>
  <c r="E809" i="16"/>
  <c r="F809" i="16"/>
  <c r="D810" i="16"/>
  <c r="E810" i="16"/>
  <c r="F810" i="16"/>
  <c r="D839" i="16"/>
  <c r="D848" i="16"/>
  <c r="E839" i="16"/>
  <c r="E848" i="16"/>
  <c r="F839" i="16"/>
  <c r="D844" i="16"/>
  <c r="E844" i="16"/>
  <c r="F844" i="16"/>
  <c r="D845" i="16"/>
  <c r="E845" i="16"/>
  <c r="F845" i="16"/>
  <c r="D846" i="16"/>
  <c r="E846" i="16"/>
  <c r="F846" i="16"/>
  <c r="D847" i="16"/>
  <c r="E847" i="16"/>
  <c r="F847" i="16"/>
  <c r="F848" i="16"/>
  <c r="D849" i="16"/>
  <c r="E849" i="16"/>
  <c r="F849" i="16"/>
  <c r="D850" i="16"/>
  <c r="E850" i="16"/>
  <c r="F850" i="16"/>
  <c r="D851" i="16"/>
  <c r="E851" i="16"/>
  <c r="F851" i="16"/>
  <c r="D852" i="16"/>
  <c r="E852" i="16"/>
  <c r="F852" i="16"/>
  <c r="D853" i="16"/>
  <c r="E853" i="16"/>
  <c r="F853" i="16"/>
  <c r="D854" i="16"/>
  <c r="E854" i="16"/>
  <c r="F854" i="16"/>
  <c r="D856" i="16"/>
  <c r="D864" i="16"/>
  <c r="E856" i="16"/>
  <c r="E864" i="16"/>
  <c r="F856" i="16"/>
  <c r="D862" i="16"/>
  <c r="E862" i="16"/>
  <c r="F862" i="16"/>
  <c r="F864" i="16"/>
  <c r="D865" i="16"/>
  <c r="E865" i="16"/>
  <c r="F865" i="16"/>
  <c r="D866" i="16"/>
  <c r="E866" i="16"/>
  <c r="F866" i="16"/>
  <c r="D867" i="16"/>
  <c r="E867" i="16"/>
  <c r="F867" i="16"/>
  <c r="D868" i="16"/>
  <c r="E868" i="16"/>
  <c r="F868" i="16"/>
  <c r="D869" i="16"/>
  <c r="E869" i="16"/>
  <c r="F869" i="16"/>
  <c r="D870" i="16"/>
  <c r="E870" i="16"/>
  <c r="F870" i="16"/>
  <c r="D871" i="16"/>
  <c r="E871" i="16"/>
  <c r="F871" i="16"/>
  <c r="D872" i="16"/>
  <c r="E872" i="16"/>
  <c r="F872" i="16"/>
  <c r="D873" i="16"/>
  <c r="E873" i="16"/>
  <c r="F873" i="16"/>
  <c r="D874" i="16"/>
  <c r="E874" i="16"/>
  <c r="F874" i="16"/>
  <c r="D875" i="16"/>
  <c r="E875" i="16"/>
  <c r="F875" i="16"/>
  <c r="D876" i="16"/>
  <c r="E876" i="16"/>
  <c r="F876" i="16"/>
  <c r="D877" i="16"/>
  <c r="E877" i="16"/>
  <c r="F877" i="16"/>
  <c r="D878" i="16"/>
  <c r="E878" i="16"/>
  <c r="F878" i="16"/>
  <c r="D879" i="16"/>
  <c r="E879" i="16"/>
  <c r="F879" i="16"/>
  <c r="D881" i="16"/>
  <c r="D887" i="16"/>
  <c r="E881" i="16"/>
  <c r="E887" i="16"/>
  <c r="F881" i="16"/>
  <c r="F887" i="16"/>
  <c r="D888" i="16"/>
  <c r="E888" i="16"/>
  <c r="F888" i="16"/>
  <c r="D889" i="16"/>
  <c r="E889" i="16"/>
  <c r="F889" i="16"/>
  <c r="D890" i="16"/>
  <c r="E890" i="16"/>
  <c r="F890" i="16"/>
  <c r="D891" i="16"/>
  <c r="E891" i="16"/>
  <c r="F891" i="16"/>
  <c r="D892" i="16"/>
  <c r="E892" i="16"/>
  <c r="F892" i="16"/>
  <c r="D893" i="16"/>
  <c r="E893" i="16"/>
  <c r="F893" i="16"/>
  <c r="D894" i="16"/>
  <c r="E894" i="16"/>
  <c r="F894" i="16"/>
  <c r="D895" i="16"/>
  <c r="E895" i="16"/>
  <c r="F895" i="16"/>
  <c r="D896" i="16"/>
  <c r="E896" i="16"/>
  <c r="F896" i="16"/>
  <c r="D897" i="16"/>
  <c r="E897" i="16"/>
  <c r="F897" i="16"/>
  <c r="D898" i="16"/>
  <c r="E898" i="16"/>
  <c r="F898" i="16"/>
  <c r="D899" i="16"/>
  <c r="E899" i="16"/>
  <c r="F899" i="16"/>
  <c r="D900" i="16"/>
  <c r="E900" i="16"/>
  <c r="F900" i="16"/>
  <c r="D901" i="16"/>
  <c r="E901" i="16"/>
  <c r="F901" i="16"/>
  <c r="D903" i="16"/>
  <c r="D909" i="16"/>
  <c r="E903" i="16"/>
  <c r="E909" i="16"/>
  <c r="F903" i="16"/>
  <c r="F909" i="16"/>
  <c r="D910" i="16"/>
  <c r="E910" i="16"/>
  <c r="F910" i="16"/>
  <c r="D911" i="16"/>
  <c r="E911" i="16"/>
  <c r="F911" i="16"/>
  <c r="D912" i="16"/>
  <c r="E912" i="16"/>
  <c r="F912" i="16"/>
  <c r="D913" i="16"/>
  <c r="E913" i="16"/>
  <c r="F913" i="16"/>
  <c r="D914" i="16"/>
  <c r="E914" i="16"/>
  <c r="F914" i="16"/>
  <c r="D915" i="16"/>
  <c r="E915" i="16"/>
  <c r="F915" i="16"/>
  <c r="D916" i="16"/>
  <c r="E916" i="16"/>
  <c r="F916" i="16"/>
  <c r="D917" i="16"/>
  <c r="E917" i="16"/>
  <c r="F917" i="16"/>
  <c r="D918" i="16"/>
  <c r="E918" i="16"/>
  <c r="F918" i="16"/>
  <c r="D919" i="16"/>
  <c r="E919" i="16"/>
  <c r="F919" i="16"/>
  <c r="D920" i="16"/>
  <c r="E920" i="16"/>
  <c r="F920" i="16"/>
  <c r="D921" i="16"/>
  <c r="D926" i="16"/>
  <c r="E921" i="16"/>
  <c r="E926" i="16"/>
  <c r="F921" i="16"/>
  <c r="F926" i="16"/>
  <c r="D927" i="16"/>
  <c r="E927" i="16"/>
  <c r="F927" i="16"/>
  <c r="D928" i="16"/>
  <c r="E928" i="16"/>
  <c r="F928" i="16"/>
  <c r="D929" i="16"/>
  <c r="E929" i="16"/>
  <c r="F929" i="16"/>
  <c r="D932" i="16"/>
  <c r="E932" i="16"/>
  <c r="F932" i="16"/>
  <c r="D933" i="16"/>
  <c r="E933" i="16"/>
  <c r="F933" i="16"/>
  <c r="D934" i="16"/>
  <c r="E934" i="16"/>
  <c r="F934" i="16"/>
  <c r="D935" i="16"/>
  <c r="E935" i="16"/>
  <c r="F935" i="16"/>
  <c r="D962" i="16"/>
  <c r="E962" i="16"/>
  <c r="F962" i="16"/>
  <c r="D963" i="16"/>
  <c r="E963" i="16"/>
  <c r="F963" i="16"/>
  <c r="D964" i="16"/>
  <c r="E964" i="16"/>
  <c r="F964" i="16"/>
  <c r="D965" i="16"/>
  <c r="E965" i="16"/>
  <c r="F965" i="16"/>
  <c r="D966" i="16"/>
  <c r="E966" i="16"/>
  <c r="F966" i="16"/>
  <c r="D982" i="16"/>
  <c r="E982" i="16"/>
  <c r="F982" i="16"/>
  <c r="D983" i="16"/>
  <c r="E983" i="16"/>
  <c r="F983" i="16"/>
  <c r="D984" i="16"/>
  <c r="E984" i="16"/>
  <c r="F984" i="16"/>
  <c r="D985" i="16"/>
  <c r="E985" i="16"/>
  <c r="F985" i="16"/>
  <c r="D986" i="16"/>
  <c r="E986" i="16"/>
  <c r="F986" i="16"/>
  <c r="D987" i="16"/>
  <c r="E987" i="16"/>
  <c r="D988" i="16"/>
  <c r="E988" i="16"/>
  <c r="F988" i="16"/>
  <c r="D989" i="16"/>
  <c r="E989" i="16"/>
  <c r="F989" i="16"/>
  <c r="D990" i="16"/>
  <c r="E990" i="16"/>
  <c r="F990" i="16"/>
  <c r="D991" i="16"/>
  <c r="E991" i="16"/>
  <c r="D992" i="16"/>
  <c r="E992" i="16"/>
  <c r="F992" i="16"/>
  <c r="D1018" i="16"/>
  <c r="E1018" i="16"/>
  <c r="F1018" i="16"/>
  <c r="D1019" i="16"/>
  <c r="E1019" i="16"/>
  <c r="F1019" i="16"/>
  <c r="D1020" i="16"/>
  <c r="E1020" i="16"/>
  <c r="F1020" i="16"/>
  <c r="D1021" i="16"/>
  <c r="E1021" i="16"/>
  <c r="F1021" i="16"/>
  <c r="D1022" i="16"/>
  <c r="E1022" i="16"/>
  <c r="F1022" i="16"/>
  <c r="D1023" i="16"/>
  <c r="E1023" i="16"/>
  <c r="F1023" i="16"/>
  <c r="D1024" i="16"/>
  <c r="E1024" i="16"/>
  <c r="F1024" i="16"/>
  <c r="D1025" i="16"/>
  <c r="E1025" i="16"/>
  <c r="F1025" i="16"/>
  <c r="D1026" i="16"/>
  <c r="E1026" i="16"/>
  <c r="F1026" i="16"/>
  <c r="D1027" i="16"/>
  <c r="E1027" i="16"/>
  <c r="F1027" i="16"/>
  <c r="D1028" i="16"/>
  <c r="E1028" i="16"/>
  <c r="F1028" i="16"/>
  <c r="D1029" i="16"/>
  <c r="E1029" i="16"/>
  <c r="F1029" i="16"/>
  <c r="D1030" i="16"/>
  <c r="E1030" i="16"/>
  <c r="F1030" i="16"/>
  <c r="D1031" i="16"/>
  <c r="E1031" i="16"/>
  <c r="F1031" i="16"/>
  <c r="D1032" i="16"/>
  <c r="E1032" i="16"/>
  <c r="F1032" i="16"/>
  <c r="D1033" i="16"/>
  <c r="E1033" i="16"/>
  <c r="F1033" i="16"/>
  <c r="D1034" i="16"/>
  <c r="E1034" i="16"/>
  <c r="F1034" i="16"/>
  <c r="D1035" i="16"/>
  <c r="E1035" i="16"/>
  <c r="F1035" i="16"/>
  <c r="D1036" i="16"/>
  <c r="E1036" i="16"/>
  <c r="F1036" i="16"/>
  <c r="D1037" i="16"/>
  <c r="E1037" i="16"/>
  <c r="F1037" i="16"/>
  <c r="D1038" i="16"/>
  <c r="E1038" i="16"/>
  <c r="F1038" i="16"/>
  <c r="D1039" i="16"/>
  <c r="E1039" i="16"/>
  <c r="F1039" i="16"/>
  <c r="D1040" i="16"/>
  <c r="E1040" i="16"/>
  <c r="F1040" i="16"/>
  <c r="D1041" i="16"/>
  <c r="E1041" i="16"/>
  <c r="F1041" i="16"/>
  <c r="D1042" i="16"/>
  <c r="E1042" i="16"/>
  <c r="F1042" i="16"/>
  <c r="D1043" i="16"/>
  <c r="E1043" i="16"/>
  <c r="F1043" i="16"/>
  <c r="D1044" i="16"/>
  <c r="E1044" i="16"/>
  <c r="F1044" i="16"/>
  <c r="D1045" i="16"/>
  <c r="E1045" i="16"/>
  <c r="F1045" i="16"/>
  <c r="D1046" i="16"/>
  <c r="E1046" i="16"/>
  <c r="F1046" i="16"/>
  <c r="D1047" i="16"/>
  <c r="E1047" i="16"/>
  <c r="F1047" i="16"/>
  <c r="D1048" i="16"/>
  <c r="E1048" i="16"/>
  <c r="F1048" i="16"/>
  <c r="D1057" i="16"/>
  <c r="E1057" i="16"/>
  <c r="F1057" i="16"/>
  <c r="D1058" i="16"/>
  <c r="E1058" i="16"/>
  <c r="F1058" i="16"/>
  <c r="D1059" i="16"/>
  <c r="E1059" i="16"/>
  <c r="F1059" i="16"/>
  <c r="D1060" i="16"/>
  <c r="E1060" i="16"/>
  <c r="F1060" i="16"/>
  <c r="D1061" i="16"/>
  <c r="E1061" i="16"/>
  <c r="F1061" i="16"/>
  <c r="D1062" i="16"/>
  <c r="E1062" i="16"/>
  <c r="F1062" i="16"/>
  <c r="D1063" i="16"/>
  <c r="E1063" i="16"/>
  <c r="F1063" i="16"/>
  <c r="D1064" i="16"/>
  <c r="E1064" i="16"/>
  <c r="F1064" i="16"/>
  <c r="D1065" i="16"/>
  <c r="E1065" i="16"/>
  <c r="F1065" i="16"/>
  <c r="D1066" i="16"/>
  <c r="E1066" i="16"/>
  <c r="F1066" i="16"/>
  <c r="D1070" i="16"/>
  <c r="D1149" i="16"/>
  <c r="E1070" i="16"/>
  <c r="E1130" i="16"/>
  <c r="F1070" i="16"/>
  <c r="F1152" i="16"/>
  <c r="D1072" i="16"/>
  <c r="E1072" i="16"/>
  <c r="F1072" i="16"/>
  <c r="D1073" i="16"/>
  <c r="E1073" i="16"/>
  <c r="F1073" i="16"/>
  <c r="D1074" i="16"/>
  <c r="E1074" i="16"/>
  <c r="F1074" i="16"/>
  <c r="D1087" i="16"/>
  <c r="E1087" i="16"/>
  <c r="F1087" i="16"/>
  <c r="D1105" i="16"/>
  <c r="E1105" i="16"/>
  <c r="F1105" i="16"/>
  <c r="D1111" i="16"/>
  <c r="E1111" i="16"/>
  <c r="F1111" i="16"/>
  <c r="D1113" i="16"/>
  <c r="E1113" i="16"/>
  <c r="F1113" i="16"/>
  <c r="D1115" i="16"/>
  <c r="E1115" i="16"/>
  <c r="F1115" i="16"/>
  <c r="D1128" i="16"/>
  <c r="E1128" i="16"/>
  <c r="F1128" i="16"/>
  <c r="D1129" i="16"/>
  <c r="E1129" i="16"/>
  <c r="F1129" i="16"/>
  <c r="D1131" i="16"/>
  <c r="E1131" i="16"/>
  <c r="F1131" i="16"/>
  <c r="D1132" i="16"/>
  <c r="E1132" i="16"/>
  <c r="F1132" i="16"/>
  <c r="D1133" i="16"/>
  <c r="E1133" i="16"/>
  <c r="F1133" i="16"/>
  <c r="D1134" i="16"/>
  <c r="E1134" i="16"/>
  <c r="F1134" i="16"/>
  <c r="D1135" i="16"/>
  <c r="E1135" i="16"/>
  <c r="F1135" i="16"/>
  <c r="D1136" i="16"/>
  <c r="E1136" i="16"/>
  <c r="F1136" i="16"/>
  <c r="D1137" i="16"/>
  <c r="E1137" i="16"/>
  <c r="F1137" i="16"/>
  <c r="D1138" i="16"/>
  <c r="E1138" i="16"/>
  <c r="F1138" i="16"/>
  <c r="D1139" i="16"/>
  <c r="E1139" i="16"/>
  <c r="F1139" i="16"/>
  <c r="D1140" i="16"/>
  <c r="E1140" i="16"/>
  <c r="F1140" i="16"/>
  <c r="D1141" i="16"/>
  <c r="E1141" i="16"/>
  <c r="F1141" i="16"/>
  <c r="D1142" i="16"/>
  <c r="E1142" i="16"/>
  <c r="F1142" i="16"/>
  <c r="D1143" i="16"/>
  <c r="E1143" i="16"/>
  <c r="F1143" i="16"/>
  <c r="D1144" i="16"/>
  <c r="E1144" i="16"/>
  <c r="F1144" i="16"/>
  <c r="D1145" i="16"/>
  <c r="E1145" i="16"/>
  <c r="F1145" i="16"/>
  <c r="D1148" i="16"/>
  <c r="E1148" i="16"/>
  <c r="F1148" i="16"/>
  <c r="D1150" i="16"/>
  <c r="E1150" i="16"/>
  <c r="F1150" i="16"/>
  <c r="D1151" i="16"/>
  <c r="E1151" i="16"/>
  <c r="F1151" i="16"/>
  <c r="D1153" i="16"/>
  <c r="E1153" i="16"/>
  <c r="F1153" i="16"/>
  <c r="D1154" i="16"/>
  <c r="E1154" i="16"/>
  <c r="F1154" i="16"/>
  <c r="D1155" i="16"/>
  <c r="E1155" i="16"/>
  <c r="F1155" i="16"/>
  <c r="D1156" i="16"/>
  <c r="E1156" i="16"/>
  <c r="F1156" i="16"/>
  <c r="D1158" i="16"/>
  <c r="E1158" i="16"/>
  <c r="F1158" i="16"/>
  <c r="D1159" i="16"/>
  <c r="E1159" i="16"/>
  <c r="F1159" i="16"/>
  <c r="D1160" i="16"/>
  <c r="E1160" i="16"/>
  <c r="F1160" i="16"/>
  <c r="D1161" i="16"/>
  <c r="E1161" i="16"/>
  <c r="F1161" i="16"/>
  <c r="D1162" i="16"/>
  <c r="E1162" i="16"/>
  <c r="F1162" i="16"/>
  <c r="D1163" i="16"/>
  <c r="E1163" i="16"/>
  <c r="F1163" i="16"/>
  <c r="D1164" i="16"/>
  <c r="E1164" i="16"/>
  <c r="F1164" i="16"/>
  <c r="D1165" i="16"/>
  <c r="E1165" i="16"/>
  <c r="F1165" i="16"/>
  <c r="D1166" i="16"/>
  <c r="E1166" i="16"/>
  <c r="F1166" i="16"/>
  <c r="D1167" i="16"/>
  <c r="E1167" i="16"/>
  <c r="F1167" i="16"/>
  <c r="D1168" i="16"/>
  <c r="E1168" i="16"/>
  <c r="F1168" i="16"/>
  <c r="D1169" i="16"/>
  <c r="E1169" i="16"/>
  <c r="F1169" i="16"/>
  <c r="D1170" i="16"/>
  <c r="E1170" i="16"/>
  <c r="F1170" i="16"/>
  <c r="D1171" i="16"/>
  <c r="E1171" i="16"/>
  <c r="F1171" i="16"/>
  <c r="D1172" i="16"/>
  <c r="E1172" i="16"/>
  <c r="F1172" i="16"/>
  <c r="D1173" i="16"/>
  <c r="E1173" i="16"/>
  <c r="F1173" i="16"/>
  <c r="D1174" i="16"/>
  <c r="E1174" i="16"/>
  <c r="F1174" i="16"/>
  <c r="D1175" i="16"/>
  <c r="E1175" i="16"/>
  <c r="F1175" i="16"/>
  <c r="D1176" i="16"/>
  <c r="E1176" i="16"/>
  <c r="F1176" i="16"/>
  <c r="D1177" i="16"/>
  <c r="E1177" i="16"/>
  <c r="F1177" i="16"/>
  <c r="D1178" i="16"/>
  <c r="E1178" i="16"/>
  <c r="F1178" i="16"/>
  <c r="D1179" i="16"/>
  <c r="E1179" i="16"/>
  <c r="F1179" i="16"/>
  <c r="D1180" i="16"/>
  <c r="E1180" i="16"/>
  <c r="F1180" i="16"/>
  <c r="D1181" i="16"/>
  <c r="E1181" i="16"/>
  <c r="F1181" i="16"/>
  <c r="D1182" i="16"/>
  <c r="D1420" i="16"/>
  <c r="E1182" i="16"/>
  <c r="F1182" i="16"/>
  <c r="D1183" i="16"/>
  <c r="E1183" i="16"/>
  <c r="E1421" i="16"/>
  <c r="F1183" i="16"/>
  <c r="D1184" i="16"/>
  <c r="E1184" i="16"/>
  <c r="F1184" i="16"/>
  <c r="D1185" i="16"/>
  <c r="E1185" i="16"/>
  <c r="F1185" i="16"/>
  <c r="D1186" i="16"/>
  <c r="E1186" i="16"/>
  <c r="F1186" i="16"/>
  <c r="D1187" i="16"/>
  <c r="E1187" i="16"/>
  <c r="F1187" i="16"/>
  <c r="D1188" i="16"/>
  <c r="E1188" i="16"/>
  <c r="F1188" i="16"/>
  <c r="D1189" i="16"/>
  <c r="E1189" i="16"/>
  <c r="F1189" i="16"/>
  <c r="D1190" i="16"/>
  <c r="E1190" i="16"/>
  <c r="F1190" i="16"/>
  <c r="D1191" i="16"/>
  <c r="E1191" i="16"/>
  <c r="F1191" i="16"/>
  <c r="D1192" i="16"/>
  <c r="E1192" i="16"/>
  <c r="F1192" i="16"/>
  <c r="D1193" i="16"/>
  <c r="E1193" i="16"/>
  <c r="F1193" i="16"/>
  <c r="D1194" i="16"/>
  <c r="E1194" i="16"/>
  <c r="F1194" i="16"/>
  <c r="D1195" i="16"/>
  <c r="E1195" i="16"/>
  <c r="F1195" i="16"/>
  <c r="D1196" i="16"/>
  <c r="E1196" i="16"/>
  <c r="F1196" i="16"/>
  <c r="D1197" i="16"/>
  <c r="E1197" i="16"/>
  <c r="F1197" i="16"/>
  <c r="D1198" i="16"/>
  <c r="E1198" i="16"/>
  <c r="F1198" i="16"/>
  <c r="D1199" i="16"/>
  <c r="E1199" i="16"/>
  <c r="F1199" i="16"/>
  <c r="D1200" i="16"/>
  <c r="E1200" i="16"/>
  <c r="F1200" i="16"/>
  <c r="F1422" i="16"/>
  <c r="D1201" i="16"/>
  <c r="E1201" i="16"/>
  <c r="F1201" i="16"/>
  <c r="D1202" i="16"/>
  <c r="E1202" i="16"/>
  <c r="F1202" i="16"/>
  <c r="D1203" i="16"/>
  <c r="E1203" i="16"/>
  <c r="F1203" i="16"/>
  <c r="D1204" i="16"/>
  <c r="E1204" i="16"/>
  <c r="F1204" i="16"/>
  <c r="D1205" i="16"/>
  <c r="E1205" i="16"/>
  <c r="F1205" i="16"/>
  <c r="D1206" i="16"/>
  <c r="E1206" i="16"/>
  <c r="F1206" i="16"/>
  <c r="D1207" i="16"/>
  <c r="E1207" i="16"/>
  <c r="F1207" i="16"/>
  <c r="D1208" i="16"/>
  <c r="E1208" i="16"/>
  <c r="F1208" i="16"/>
  <c r="D1209" i="16"/>
  <c r="E1209" i="16"/>
  <c r="F1209" i="16"/>
  <c r="D1210" i="16"/>
  <c r="E1210" i="16"/>
  <c r="F1210" i="16"/>
  <c r="D1211" i="16"/>
  <c r="E1211" i="16"/>
  <c r="F1211" i="16"/>
  <c r="D1212" i="16"/>
  <c r="E1212" i="16"/>
  <c r="F1212" i="16"/>
  <c r="D1213" i="16"/>
  <c r="E1213" i="16"/>
  <c r="F1213" i="16"/>
  <c r="D1214" i="16"/>
  <c r="E1214" i="16"/>
  <c r="F1214" i="16"/>
  <c r="D1215" i="16"/>
  <c r="E1215" i="16"/>
  <c r="F1215" i="16"/>
  <c r="D1216" i="16"/>
  <c r="E1216" i="16"/>
  <c r="F1216" i="16"/>
  <c r="D1217" i="16"/>
  <c r="E1217" i="16"/>
  <c r="F1217" i="16"/>
  <c r="D1218" i="16"/>
  <c r="E1218" i="16"/>
  <c r="F1218" i="16"/>
  <c r="D1219" i="16"/>
  <c r="E1219" i="16"/>
  <c r="F1219" i="16"/>
  <c r="D1220" i="16"/>
  <c r="E1220" i="16"/>
  <c r="F1220" i="16"/>
  <c r="D1221" i="16"/>
  <c r="E1221" i="16"/>
  <c r="F1221" i="16"/>
  <c r="D1222" i="16"/>
  <c r="E1222" i="16"/>
  <c r="F1222" i="16"/>
  <c r="D1223" i="16"/>
  <c r="E1223" i="16"/>
  <c r="F1223" i="16"/>
  <c r="D1224" i="16"/>
  <c r="E1224" i="16"/>
  <c r="F1224" i="16"/>
  <c r="D1225" i="16"/>
  <c r="E1225" i="16"/>
  <c r="F1225" i="16"/>
  <c r="D1226" i="16"/>
  <c r="E1226" i="16"/>
  <c r="F1226" i="16"/>
  <c r="D1227" i="16"/>
  <c r="E1227" i="16"/>
  <c r="F1227" i="16"/>
  <c r="D1228" i="16"/>
  <c r="E1228" i="16"/>
  <c r="F1228" i="16"/>
  <c r="D1229" i="16"/>
  <c r="E1229" i="16"/>
  <c r="F1229" i="16"/>
  <c r="D1230" i="16"/>
  <c r="E1230" i="16"/>
  <c r="F1230" i="16"/>
  <c r="D1231" i="16"/>
  <c r="E1231" i="16"/>
  <c r="F1231" i="16"/>
  <c r="D1232" i="16"/>
  <c r="E1232" i="16"/>
  <c r="F1232" i="16"/>
  <c r="D1233" i="16"/>
  <c r="E1233" i="16"/>
  <c r="F1233" i="16"/>
  <c r="D1234" i="16"/>
  <c r="E1234" i="16"/>
  <c r="F1234" i="16"/>
  <c r="D1235" i="16"/>
  <c r="E1235" i="16"/>
  <c r="F1235" i="16"/>
  <c r="D1236" i="16"/>
  <c r="E1236" i="16"/>
  <c r="F1236" i="16"/>
  <c r="D1237" i="16"/>
  <c r="E1237" i="16"/>
  <c r="F1237" i="16"/>
  <c r="D1238" i="16"/>
  <c r="E1238" i="16"/>
  <c r="F1238" i="16"/>
  <c r="D1239" i="16"/>
  <c r="E1239" i="16"/>
  <c r="F1239" i="16"/>
  <c r="D1240" i="16"/>
  <c r="E1240" i="16"/>
  <c r="F1240" i="16"/>
  <c r="D1241" i="16"/>
  <c r="E1241" i="16"/>
  <c r="F1241" i="16"/>
  <c r="D1242" i="16"/>
  <c r="E1242" i="16"/>
  <c r="F1242" i="16"/>
  <c r="D1243" i="16"/>
  <c r="E1243" i="16"/>
  <c r="F1243" i="16"/>
  <c r="D1244" i="16"/>
  <c r="E1244" i="16"/>
  <c r="F1244" i="16"/>
  <c r="D1245" i="16"/>
  <c r="E1245" i="16"/>
  <c r="F1245" i="16"/>
  <c r="D1246" i="16"/>
  <c r="E1246" i="16"/>
  <c r="F1246" i="16"/>
  <c r="D1247" i="16"/>
  <c r="E1247" i="16"/>
  <c r="F1247" i="16"/>
  <c r="D1248" i="16"/>
  <c r="E1248" i="16"/>
  <c r="F1248" i="16"/>
  <c r="D1249" i="16"/>
  <c r="E1249" i="16"/>
  <c r="F1249" i="16"/>
  <c r="D1250" i="16"/>
  <c r="E1250" i="16"/>
  <c r="F1250" i="16"/>
  <c r="D1251" i="16"/>
  <c r="E1251" i="16"/>
  <c r="F1251" i="16"/>
  <c r="D1252" i="16"/>
  <c r="E1252" i="16"/>
  <c r="F1252" i="16"/>
  <c r="D1253" i="16"/>
  <c r="E1253" i="16"/>
  <c r="F1253" i="16"/>
  <c r="D1254" i="16"/>
  <c r="E1254" i="16"/>
  <c r="F1254" i="16"/>
  <c r="D1255" i="16"/>
  <c r="E1255" i="16"/>
  <c r="F1255" i="16"/>
  <c r="D1256" i="16"/>
  <c r="E1256" i="16"/>
  <c r="F1256" i="16"/>
  <c r="D1257" i="16"/>
  <c r="E1257" i="16"/>
  <c r="F1257" i="16"/>
  <c r="D1258" i="16"/>
  <c r="E1258" i="16"/>
  <c r="F1258" i="16"/>
  <c r="D1259" i="16"/>
  <c r="E1259" i="16"/>
  <c r="F1259" i="16"/>
  <c r="D1260" i="16"/>
  <c r="E1260" i="16"/>
  <c r="F1260" i="16"/>
  <c r="D1261" i="16"/>
  <c r="E1261" i="16"/>
  <c r="F1261" i="16"/>
  <c r="D1262" i="16"/>
  <c r="E1262" i="16"/>
  <c r="F1262" i="16"/>
  <c r="D1263" i="16"/>
  <c r="E1263" i="16"/>
  <c r="F1263" i="16"/>
  <c r="D1264" i="16"/>
  <c r="E1264" i="16"/>
  <c r="F1264" i="16"/>
  <c r="D1265" i="16"/>
  <c r="E1265" i="16"/>
  <c r="F1265" i="16"/>
  <c r="D1266" i="16"/>
  <c r="E1266" i="16"/>
  <c r="F1266" i="16"/>
  <c r="D1267" i="16"/>
  <c r="E1267" i="16"/>
  <c r="F1267" i="16"/>
  <c r="D1268" i="16"/>
  <c r="E1268" i="16"/>
  <c r="F1268" i="16"/>
  <c r="D1269" i="16"/>
  <c r="E1269" i="16"/>
  <c r="F1269" i="16"/>
  <c r="D1270" i="16"/>
  <c r="E1270" i="16"/>
  <c r="F1270" i="16"/>
  <c r="D1271" i="16"/>
  <c r="E1271" i="16"/>
  <c r="F1271" i="16"/>
  <c r="D1272" i="16"/>
  <c r="E1272" i="16"/>
  <c r="F1272" i="16"/>
  <c r="D1273" i="16"/>
  <c r="E1273" i="16"/>
  <c r="F1273" i="16"/>
  <c r="D1274" i="16"/>
  <c r="E1274" i="16"/>
  <c r="F1274" i="16"/>
  <c r="D1275" i="16"/>
  <c r="E1275" i="16"/>
  <c r="F1275" i="16"/>
  <c r="D1276" i="16"/>
  <c r="E1276" i="16"/>
  <c r="F1276" i="16"/>
  <c r="D1277" i="16"/>
  <c r="E1277" i="16"/>
  <c r="F1277" i="16"/>
  <c r="D1278" i="16"/>
  <c r="E1278" i="16"/>
  <c r="F1278" i="16"/>
  <c r="D1279" i="16"/>
  <c r="E1279" i="16"/>
  <c r="F1279" i="16"/>
  <c r="D1280" i="16"/>
  <c r="E1280" i="16"/>
  <c r="F1280" i="16"/>
  <c r="D1281" i="16"/>
  <c r="E1281" i="16"/>
  <c r="F1281" i="16"/>
  <c r="D1282" i="16"/>
  <c r="E1282" i="16"/>
  <c r="F1282" i="16"/>
  <c r="D1283" i="16"/>
  <c r="E1283" i="16"/>
  <c r="F1283" i="16"/>
  <c r="D1284" i="16"/>
  <c r="E1284" i="16"/>
  <c r="F1284" i="16"/>
  <c r="D1285" i="16"/>
  <c r="E1285" i="16"/>
  <c r="F1285" i="16"/>
  <c r="D1286" i="16"/>
  <c r="E1286" i="16"/>
  <c r="F1286" i="16"/>
  <c r="D1287" i="16"/>
  <c r="E1287" i="16"/>
  <c r="F1287" i="16"/>
  <c r="D1288" i="16"/>
  <c r="E1288" i="16"/>
  <c r="F1288" i="16"/>
  <c r="D1289" i="16"/>
  <c r="E1289" i="16"/>
  <c r="F1289" i="16"/>
  <c r="D1290" i="16"/>
  <c r="E1290" i="16"/>
  <c r="F1290" i="16"/>
  <c r="D1291" i="16"/>
  <c r="E1291" i="16"/>
  <c r="F1291" i="16"/>
  <c r="D1292" i="16"/>
  <c r="E1292" i="16"/>
  <c r="F1292" i="16"/>
  <c r="D1293" i="16"/>
  <c r="E1293" i="16"/>
  <c r="F1293" i="16"/>
  <c r="D1294" i="16"/>
  <c r="E1294" i="16"/>
  <c r="F1294" i="16"/>
  <c r="D1295" i="16"/>
  <c r="E1295" i="16"/>
  <c r="F1295" i="16"/>
  <c r="D1296" i="16"/>
  <c r="E1296" i="16"/>
  <c r="F1296" i="16"/>
  <c r="D1297" i="16"/>
  <c r="E1297" i="16"/>
  <c r="F1297" i="16"/>
  <c r="D1299" i="16"/>
  <c r="E1299" i="16"/>
  <c r="F1299" i="16"/>
  <c r="D1300" i="16"/>
  <c r="E1300" i="16"/>
  <c r="F1300" i="16"/>
  <c r="D1301" i="16"/>
  <c r="E1301" i="16"/>
  <c r="F1301" i="16"/>
  <c r="D1302" i="16"/>
  <c r="E1302" i="16"/>
  <c r="F1302" i="16"/>
  <c r="D1303" i="16"/>
  <c r="E1303" i="16"/>
  <c r="F1303" i="16"/>
  <c r="D1304" i="16"/>
  <c r="E1304" i="16"/>
  <c r="F1304" i="16"/>
  <c r="D1305" i="16"/>
  <c r="E1305" i="16"/>
  <c r="F1305" i="16"/>
  <c r="D1306" i="16"/>
  <c r="E1306" i="16"/>
  <c r="F1306" i="16"/>
  <c r="D1307" i="16"/>
  <c r="E1307" i="16"/>
  <c r="F1307" i="16"/>
  <c r="D1308" i="16"/>
  <c r="E1308" i="16"/>
  <c r="F1308" i="16"/>
  <c r="D1309" i="16"/>
  <c r="E1309" i="16"/>
  <c r="F1309" i="16"/>
  <c r="D1310" i="16"/>
  <c r="E1310" i="16"/>
  <c r="F1310" i="16"/>
  <c r="D1311" i="16"/>
  <c r="E1311" i="16"/>
  <c r="F1311" i="16"/>
  <c r="D1312" i="16"/>
  <c r="E1312" i="16"/>
  <c r="F1312" i="16"/>
  <c r="D1313" i="16"/>
  <c r="E1313" i="16"/>
  <c r="F1313" i="16"/>
  <c r="D1314" i="16"/>
  <c r="E1314" i="16"/>
  <c r="F1314" i="16"/>
  <c r="D1315" i="16"/>
  <c r="E1315" i="16"/>
  <c r="F1315" i="16"/>
  <c r="D1316" i="16"/>
  <c r="E1316" i="16"/>
  <c r="F1316" i="16"/>
  <c r="D1317" i="16"/>
  <c r="E1317" i="16"/>
  <c r="F1317" i="16"/>
  <c r="D1318" i="16"/>
  <c r="E1318" i="16"/>
  <c r="F1318" i="16"/>
  <c r="D1319" i="16"/>
  <c r="E1319" i="16"/>
  <c r="F1319" i="16"/>
  <c r="D1320" i="16"/>
  <c r="E1320" i="16"/>
  <c r="F1320" i="16"/>
  <c r="D1321" i="16"/>
  <c r="E1321" i="16"/>
  <c r="F1321" i="16"/>
  <c r="D1322" i="16"/>
  <c r="E1322" i="16"/>
  <c r="F1322" i="16"/>
  <c r="D1323" i="16"/>
  <c r="E1323" i="16"/>
  <c r="F1323" i="16"/>
  <c r="D1324" i="16"/>
  <c r="E1324" i="16"/>
  <c r="F1324" i="16"/>
  <c r="D1325" i="16"/>
  <c r="E1325" i="16"/>
  <c r="F1325" i="16"/>
  <c r="D1326" i="16"/>
  <c r="E1326" i="16"/>
  <c r="F1326" i="16"/>
  <c r="D1327" i="16"/>
  <c r="E1327" i="16"/>
  <c r="F1327" i="16"/>
  <c r="D1328" i="16"/>
  <c r="E1328" i="16"/>
  <c r="F1328" i="16"/>
  <c r="D1329" i="16"/>
  <c r="E1329" i="16"/>
  <c r="F1329" i="16"/>
  <c r="D1330" i="16"/>
  <c r="E1330" i="16"/>
  <c r="F1330" i="16"/>
  <c r="D1331" i="16"/>
  <c r="E1331" i="16"/>
  <c r="F1331" i="16"/>
  <c r="D1332" i="16"/>
  <c r="E1332" i="16"/>
  <c r="F1332" i="16"/>
  <c r="D1333" i="16"/>
  <c r="E1333" i="16"/>
  <c r="F1333" i="16"/>
  <c r="D1334" i="16"/>
  <c r="E1334" i="16"/>
  <c r="F1334" i="16"/>
  <c r="D1335" i="16"/>
  <c r="E1335" i="16"/>
  <c r="F1335" i="16"/>
  <c r="D1336" i="16"/>
  <c r="E1336" i="16"/>
  <c r="F1336" i="16"/>
  <c r="D1337" i="16"/>
  <c r="E1337" i="16"/>
  <c r="F1337" i="16"/>
  <c r="D1338" i="16"/>
  <c r="E1338" i="16"/>
  <c r="F1338" i="16"/>
  <c r="D1339" i="16"/>
  <c r="E1339" i="16"/>
  <c r="F1339" i="16"/>
  <c r="D1340" i="16"/>
  <c r="E1340" i="16"/>
  <c r="F1340" i="16"/>
  <c r="D1341" i="16"/>
  <c r="E1341" i="16"/>
  <c r="F1341" i="16"/>
  <c r="D1342" i="16"/>
  <c r="E1342" i="16"/>
  <c r="F1342" i="16"/>
  <c r="D1343" i="16"/>
  <c r="E1343" i="16"/>
  <c r="F1343" i="16"/>
  <c r="D1344" i="16"/>
  <c r="E1344" i="16"/>
  <c r="F1344" i="16"/>
  <c r="D1345" i="16"/>
  <c r="E1345" i="16"/>
  <c r="F1345" i="16"/>
  <c r="D1346" i="16"/>
  <c r="E1346" i="16"/>
  <c r="F1346" i="16"/>
  <c r="D1347" i="16"/>
  <c r="E1347" i="16"/>
  <c r="F1347" i="16"/>
  <c r="D1349" i="16"/>
  <c r="E1349" i="16"/>
  <c r="F1349" i="16"/>
  <c r="D1350" i="16"/>
  <c r="E1350" i="16"/>
  <c r="F1350" i="16"/>
  <c r="D1351" i="16"/>
  <c r="E1351" i="16"/>
  <c r="F1351" i="16"/>
  <c r="D1352" i="16"/>
  <c r="E1352" i="16"/>
  <c r="F1352" i="16"/>
  <c r="D1353" i="16"/>
  <c r="E1353" i="16"/>
  <c r="F1353" i="16"/>
  <c r="D1354" i="16"/>
  <c r="E1354" i="16"/>
  <c r="F1354" i="16"/>
  <c r="D1355" i="16"/>
  <c r="E1355" i="16"/>
  <c r="F1355" i="16"/>
  <c r="D1356" i="16"/>
  <c r="E1356" i="16"/>
  <c r="F1356" i="16"/>
  <c r="D1357" i="16"/>
  <c r="E1357" i="16"/>
  <c r="F1357" i="16"/>
  <c r="D1358" i="16"/>
  <c r="E1358" i="16"/>
  <c r="F1358" i="16"/>
  <c r="D1359" i="16"/>
  <c r="E1359" i="16"/>
  <c r="F1359" i="16"/>
  <c r="D1360" i="16"/>
  <c r="E1360" i="16"/>
  <c r="F1360" i="16"/>
  <c r="D1361" i="16"/>
  <c r="E1361" i="16"/>
  <c r="F1361" i="16"/>
  <c r="D1362" i="16"/>
  <c r="E1362" i="16"/>
  <c r="F1362" i="16"/>
  <c r="D1363" i="16"/>
  <c r="E1363" i="16"/>
  <c r="F1363" i="16"/>
  <c r="D1364" i="16"/>
  <c r="E1364" i="16"/>
  <c r="F1364" i="16"/>
  <c r="D1365" i="16"/>
  <c r="E1365" i="16"/>
  <c r="F1365" i="16"/>
  <c r="D1366" i="16"/>
  <c r="E1366" i="16"/>
  <c r="F1366" i="16"/>
  <c r="D1367" i="16"/>
  <c r="E1367" i="16"/>
  <c r="F1367" i="16"/>
  <c r="D1368" i="16"/>
  <c r="E1368" i="16"/>
  <c r="F1368" i="16"/>
  <c r="D1369" i="16"/>
  <c r="E1369" i="16"/>
  <c r="F1369" i="16"/>
  <c r="D1370" i="16"/>
  <c r="E1370" i="16"/>
  <c r="F1370" i="16"/>
  <c r="D1371" i="16"/>
  <c r="E1371" i="16"/>
  <c r="F1371" i="16"/>
  <c r="D1372" i="16"/>
  <c r="E1372" i="16"/>
  <c r="F1372" i="16"/>
  <c r="D1374" i="16"/>
  <c r="E1374" i="16"/>
  <c r="F1374" i="16"/>
  <c r="D1375" i="16"/>
  <c r="E1375" i="16"/>
  <c r="F1375" i="16"/>
  <c r="D1376" i="16"/>
  <c r="E1376" i="16"/>
  <c r="F1376" i="16"/>
  <c r="D1377" i="16"/>
  <c r="E1377" i="16"/>
  <c r="F1377" i="16"/>
  <c r="D1378" i="16"/>
  <c r="E1378" i="16"/>
  <c r="F1378" i="16"/>
  <c r="D1379" i="16"/>
  <c r="E1379" i="16"/>
  <c r="F1379" i="16"/>
  <c r="D1380" i="16"/>
  <c r="E1380" i="16"/>
  <c r="F1380" i="16"/>
  <c r="D1381" i="16"/>
  <c r="E1381" i="16"/>
  <c r="F1381" i="16"/>
  <c r="D1382" i="16"/>
  <c r="E1382" i="16"/>
  <c r="F1382" i="16"/>
  <c r="D1383" i="16"/>
  <c r="E1383" i="16"/>
  <c r="F1383" i="16"/>
  <c r="D1384" i="16"/>
  <c r="E1384" i="16"/>
  <c r="F1384" i="16"/>
  <c r="D1385" i="16"/>
  <c r="E1385" i="16"/>
  <c r="F1385" i="16"/>
  <c r="D1386" i="16"/>
  <c r="E1386" i="16"/>
  <c r="F1386" i="16"/>
  <c r="D1387" i="16"/>
  <c r="E1387" i="16"/>
  <c r="F1387" i="16"/>
  <c r="D1388" i="16"/>
  <c r="E1388" i="16"/>
  <c r="F1388" i="16"/>
  <c r="D1389" i="16"/>
  <c r="E1389" i="16"/>
  <c r="F1389" i="16"/>
  <c r="D1390" i="16"/>
  <c r="E1390" i="16"/>
  <c r="F1390" i="16"/>
  <c r="D1391" i="16"/>
  <c r="E1391" i="16"/>
  <c r="F1391" i="16"/>
  <c r="D1392" i="16"/>
  <c r="E1392" i="16"/>
  <c r="F1392" i="16"/>
  <c r="D1393" i="16"/>
  <c r="E1393" i="16"/>
  <c r="F1393" i="16"/>
  <c r="D1394" i="16"/>
  <c r="E1394" i="16"/>
  <c r="F1394" i="16"/>
  <c r="D1395" i="16"/>
  <c r="E1395" i="16"/>
  <c r="F1395" i="16"/>
  <c r="D1396" i="16"/>
  <c r="E1396" i="16"/>
  <c r="F1396" i="16"/>
  <c r="D1397" i="16"/>
  <c r="E1397" i="16"/>
  <c r="F1397" i="16"/>
  <c r="D1398" i="16"/>
  <c r="E1398" i="16"/>
  <c r="F1398" i="16"/>
  <c r="D1399" i="16"/>
  <c r="E1399" i="16"/>
  <c r="F1399" i="16"/>
  <c r="D1400" i="16"/>
  <c r="E1400" i="16"/>
  <c r="F1400" i="16"/>
  <c r="D1401" i="16"/>
  <c r="E1401" i="16"/>
  <c r="F1401" i="16"/>
  <c r="D1402" i="16"/>
  <c r="E1402" i="16"/>
  <c r="F1402" i="16"/>
  <c r="D1403" i="16"/>
  <c r="E1403" i="16"/>
  <c r="F1403" i="16"/>
  <c r="D1404" i="16"/>
  <c r="E1404" i="16"/>
  <c r="F1404" i="16"/>
  <c r="D1405" i="16"/>
  <c r="E1405" i="16"/>
  <c r="F1405" i="16"/>
  <c r="D1406" i="16"/>
  <c r="E1406" i="16"/>
  <c r="F1406" i="16"/>
  <c r="D1407" i="16"/>
  <c r="E1407" i="16"/>
  <c r="F1407" i="16"/>
  <c r="D1408" i="16"/>
  <c r="E1408" i="16"/>
  <c r="F1408" i="16"/>
  <c r="D1409" i="16"/>
  <c r="E1409" i="16"/>
  <c r="F1409" i="16"/>
  <c r="D1410" i="16"/>
  <c r="E1410" i="16"/>
  <c r="F1410" i="16"/>
  <c r="D1411" i="16"/>
  <c r="E1411" i="16"/>
  <c r="F1411" i="16"/>
  <c r="D1412" i="16"/>
  <c r="E1412" i="16"/>
  <c r="F1412" i="16"/>
  <c r="D1413" i="16"/>
  <c r="E1413" i="16"/>
  <c r="F1413" i="16"/>
  <c r="D1414" i="16"/>
  <c r="E1414" i="16"/>
  <c r="F1414" i="16"/>
  <c r="D1415" i="16"/>
  <c r="E1415" i="16"/>
  <c r="F1415" i="16"/>
  <c r="D1416" i="16"/>
  <c r="E1416" i="16"/>
  <c r="F1416" i="16"/>
  <c r="D1417" i="16"/>
  <c r="E1417" i="16"/>
  <c r="F1417" i="16"/>
  <c r="D1418" i="16"/>
  <c r="E1418" i="16"/>
  <c r="F1418" i="16"/>
  <c r="D1419" i="16"/>
  <c r="E1419" i="16"/>
  <c r="F1419" i="16"/>
  <c r="E1420" i="16"/>
  <c r="F1420" i="16"/>
  <c r="D1421" i="16"/>
  <c r="F1421" i="16"/>
  <c r="D1422" i="16"/>
  <c r="E1422" i="16"/>
  <c r="D1423" i="16"/>
  <c r="E1423" i="16"/>
  <c r="F1423" i="16"/>
  <c r="D1424" i="16"/>
  <c r="E1424" i="16"/>
  <c r="F1424" i="16"/>
  <c r="D1425" i="16"/>
  <c r="E1425" i="16"/>
  <c r="F1425" i="16"/>
  <c r="D1426" i="16"/>
  <c r="E1426" i="16"/>
  <c r="F1426" i="16"/>
  <c r="D1427" i="16"/>
  <c r="E1427" i="16"/>
  <c r="F1427" i="16"/>
  <c r="D1428" i="16"/>
  <c r="E1428" i="16"/>
  <c r="F1428" i="16"/>
  <c r="D1429" i="16"/>
  <c r="E1429" i="16"/>
  <c r="F1429" i="16"/>
  <c r="D1430" i="16"/>
  <c r="E1430" i="16"/>
  <c r="F1430" i="16"/>
  <c r="D1431" i="16"/>
  <c r="E1431" i="16"/>
  <c r="F1431" i="16"/>
  <c r="D1432" i="16"/>
  <c r="E1432" i="16"/>
  <c r="F1432" i="16"/>
  <c r="D1433" i="16"/>
  <c r="E1433" i="16"/>
  <c r="F1433" i="16"/>
  <c r="D1434" i="16"/>
  <c r="E1434" i="16"/>
  <c r="F1434" i="16"/>
  <c r="D1435" i="16"/>
  <c r="E1435" i="16"/>
  <c r="F1435" i="16"/>
  <c r="D1436" i="16"/>
  <c r="E1436" i="16"/>
  <c r="F1436" i="16"/>
  <c r="D1437" i="16"/>
  <c r="E1437" i="16"/>
  <c r="F1437" i="16"/>
  <c r="D1438" i="16"/>
  <c r="E1438" i="16"/>
  <c r="F1438" i="16"/>
  <c r="D1439" i="16"/>
  <c r="E1439" i="16"/>
  <c r="F1439" i="16"/>
  <c r="D1440" i="16"/>
  <c r="E1440" i="16"/>
  <c r="F1440" i="16"/>
  <c r="D1441" i="16"/>
  <c r="E1441" i="16"/>
  <c r="F1441" i="16"/>
  <c r="D1442" i="16"/>
  <c r="E1442" i="16"/>
  <c r="F1442" i="16"/>
  <c r="D1443" i="16"/>
  <c r="E1443" i="16"/>
  <c r="F1443" i="16"/>
  <c r="D1444" i="16"/>
  <c r="E1444" i="16"/>
  <c r="F1444" i="16"/>
  <c r="D1445" i="16"/>
  <c r="E1445" i="16"/>
  <c r="F1445" i="16"/>
  <c r="D1446" i="16"/>
  <c r="E1446" i="16"/>
  <c r="F1446" i="16"/>
  <c r="D1447" i="16"/>
  <c r="E1447" i="16"/>
  <c r="F1447" i="16"/>
  <c r="D1448" i="16"/>
  <c r="E1448" i="16"/>
  <c r="F1448" i="16"/>
  <c r="D1449" i="16"/>
  <c r="E1449" i="16"/>
  <c r="F1449" i="16"/>
  <c r="D1450" i="16"/>
  <c r="E1450" i="16"/>
  <c r="F1450" i="16"/>
  <c r="D1451" i="16"/>
  <c r="E1451" i="16"/>
  <c r="F1451" i="16"/>
  <c r="D1452" i="16"/>
  <c r="E1452" i="16"/>
  <c r="F1452" i="16"/>
  <c r="D1453" i="16"/>
  <c r="E1453" i="16"/>
  <c r="F1453" i="16"/>
  <c r="D1454" i="16"/>
  <c r="E1454" i="16"/>
  <c r="F1454" i="16"/>
  <c r="D1455" i="16"/>
  <c r="E1455" i="16"/>
  <c r="F1455" i="16"/>
  <c r="D1456" i="16"/>
  <c r="E1456" i="16"/>
  <c r="F1456" i="16"/>
  <c r="D1457" i="16"/>
  <c r="E1457" i="16"/>
  <c r="F1457" i="16"/>
  <c r="D1458" i="16"/>
  <c r="E1458" i="16"/>
  <c r="F1458" i="16"/>
  <c r="D1459" i="16"/>
  <c r="E1459" i="16"/>
  <c r="F1459" i="16"/>
  <c r="D1460" i="16"/>
  <c r="E1460" i="16"/>
  <c r="F1460" i="16"/>
  <c r="D1461" i="16"/>
  <c r="E1461" i="16"/>
  <c r="F1461" i="16"/>
  <c r="D1462" i="16"/>
  <c r="E1462" i="16"/>
  <c r="F1462" i="16"/>
  <c r="D1463" i="16"/>
  <c r="E1463" i="16"/>
  <c r="F1463" i="16"/>
  <c r="D1464" i="16"/>
  <c r="E1464" i="16"/>
  <c r="F1464" i="16"/>
  <c r="D1465" i="16"/>
  <c r="E1465" i="16"/>
  <c r="F1465" i="16"/>
  <c r="D1466" i="16"/>
  <c r="E1466" i="16"/>
  <c r="F1466" i="16"/>
  <c r="D1467" i="16"/>
  <c r="E1467" i="16"/>
  <c r="F1467" i="16"/>
  <c r="D1468" i="16"/>
  <c r="E1468" i="16"/>
  <c r="F1468" i="16"/>
  <c r="D1469" i="16"/>
  <c r="E1469" i="16"/>
  <c r="F1469" i="16"/>
  <c r="D1470" i="16"/>
  <c r="E1470" i="16"/>
  <c r="F1470" i="16"/>
  <c r="D1471" i="16"/>
  <c r="E1471" i="16"/>
  <c r="F1471" i="16"/>
  <c r="D1472" i="16"/>
  <c r="E1472" i="16"/>
  <c r="F1472" i="16"/>
  <c r="D1473" i="16"/>
  <c r="E1473" i="16"/>
  <c r="F1473" i="16"/>
  <c r="D1474" i="16"/>
  <c r="E1474" i="16"/>
  <c r="F1474" i="16"/>
  <c r="D1475" i="16"/>
  <c r="E1475" i="16"/>
  <c r="F1475" i="16"/>
  <c r="E1476" i="16"/>
  <c r="F1476" i="16"/>
  <c r="D1477" i="16"/>
  <c r="F1477" i="16"/>
  <c r="D1478" i="16"/>
  <c r="E1478" i="16"/>
  <c r="D1479" i="16"/>
  <c r="E1479" i="16"/>
  <c r="F1479" i="16"/>
  <c r="D1480" i="16"/>
  <c r="E1480" i="16"/>
  <c r="F1480" i="16"/>
  <c r="D1481" i="16"/>
  <c r="E1481" i="16"/>
  <c r="F1481" i="16"/>
  <c r="D1482" i="16"/>
  <c r="E1482" i="16"/>
  <c r="F1482" i="16"/>
  <c r="D1483" i="16"/>
  <c r="E1483" i="16"/>
  <c r="F1483" i="16"/>
  <c r="D1484" i="16"/>
  <c r="E1484" i="16"/>
  <c r="F1484" i="16"/>
  <c r="D1485" i="16"/>
  <c r="E1485" i="16"/>
  <c r="F1485" i="16"/>
  <c r="D1486" i="16"/>
  <c r="E1486" i="16"/>
  <c r="F1486" i="16"/>
  <c r="D1487" i="16"/>
  <c r="E1487" i="16"/>
  <c r="F1487" i="16"/>
  <c r="D1488" i="16"/>
  <c r="E1488" i="16"/>
  <c r="F1488" i="16"/>
  <c r="D1489" i="16"/>
  <c r="E1489" i="16"/>
  <c r="F1489" i="16"/>
  <c r="D1490" i="16"/>
  <c r="E1490" i="16"/>
  <c r="F1490" i="16"/>
  <c r="D1491" i="16"/>
  <c r="E1491" i="16"/>
  <c r="F1491" i="16"/>
  <c r="D1492" i="16"/>
  <c r="E1492" i="16"/>
  <c r="F1492" i="16"/>
  <c r="D1494" i="16"/>
  <c r="E1494" i="16"/>
  <c r="F1494" i="16"/>
  <c r="D1495" i="16"/>
  <c r="E1495" i="16"/>
  <c r="F1495" i="16"/>
  <c r="D1497" i="16"/>
  <c r="E1497" i="16"/>
  <c r="F1497" i="16"/>
  <c r="D1498" i="16"/>
  <c r="E1498" i="16"/>
  <c r="F1498" i="16"/>
  <c r="D1499" i="16"/>
  <c r="E1499" i="16"/>
  <c r="F1499" i="16"/>
  <c r="D1500" i="16"/>
  <c r="E1500" i="16"/>
  <c r="F1500" i="16"/>
  <c r="D1501" i="16"/>
  <c r="E1501" i="16"/>
  <c r="F1501" i="16"/>
  <c r="D1502" i="16"/>
  <c r="E1502" i="16"/>
  <c r="F1502" i="16"/>
  <c r="D1503" i="16"/>
  <c r="E1503" i="16"/>
  <c r="F1503" i="16"/>
  <c r="D1504" i="16"/>
  <c r="E1504" i="16"/>
  <c r="F1504" i="16"/>
  <c r="D1505" i="16"/>
  <c r="E1505" i="16"/>
  <c r="F1505" i="16"/>
  <c r="D1506" i="16"/>
  <c r="E1506" i="16"/>
  <c r="F1506" i="16"/>
  <c r="D1507" i="16"/>
  <c r="E1507" i="16"/>
  <c r="F1507" i="16"/>
  <c r="D1508" i="16"/>
  <c r="E1508" i="16"/>
  <c r="F1508" i="16"/>
  <c r="D1509" i="16"/>
  <c r="E1509" i="16"/>
  <c r="F1509" i="16"/>
  <c r="D1510" i="16"/>
  <c r="E1510" i="16"/>
  <c r="F1510" i="16"/>
  <c r="D1511" i="16"/>
  <c r="E1511" i="16"/>
  <c r="F1511" i="16"/>
  <c r="D1512" i="16"/>
  <c r="E1512" i="16"/>
  <c r="F1512" i="16"/>
  <c r="D1513" i="16"/>
  <c r="E1513" i="16"/>
  <c r="F1513" i="16"/>
  <c r="D1514" i="16"/>
  <c r="E1514" i="16"/>
  <c r="F1514" i="16"/>
  <c r="E1515" i="16"/>
  <c r="F1515" i="16"/>
  <c r="D1516" i="16"/>
  <c r="F1516" i="16"/>
  <c r="D1517" i="16"/>
  <c r="E1517" i="16"/>
  <c r="D1518" i="16"/>
  <c r="E1518" i="16"/>
  <c r="F1518" i="16"/>
  <c r="D1519" i="16"/>
  <c r="E1519" i="16"/>
  <c r="F1519" i="16"/>
  <c r="D1520" i="16"/>
  <c r="E1520" i="16"/>
  <c r="F1520" i="16"/>
  <c r="D1521" i="16"/>
  <c r="E1521" i="16"/>
  <c r="F1521" i="16"/>
  <c r="D1522" i="16"/>
  <c r="E1522" i="16"/>
  <c r="F1522" i="16"/>
  <c r="D1523" i="16"/>
  <c r="E1523" i="16"/>
  <c r="F1523" i="16"/>
  <c r="D1524" i="16"/>
  <c r="E1524" i="16"/>
  <c r="F1524" i="16"/>
  <c r="D1525" i="16"/>
  <c r="E1525" i="16"/>
  <c r="F1525" i="16"/>
  <c r="D1526" i="16"/>
  <c r="E1526" i="16"/>
  <c r="F1526" i="16"/>
  <c r="D1527" i="16"/>
  <c r="E1527" i="16"/>
  <c r="F1527" i="16"/>
  <c r="D1528" i="16"/>
  <c r="E1528" i="16"/>
  <c r="F1528" i="16"/>
  <c r="D1529" i="16"/>
  <c r="E1529" i="16"/>
  <c r="F1529" i="16"/>
  <c r="D1530" i="16"/>
  <c r="E1530" i="16"/>
  <c r="F1530" i="16"/>
  <c r="D1531" i="16"/>
  <c r="E1531" i="16"/>
  <c r="F1531" i="16"/>
  <c r="D1532" i="16"/>
  <c r="E1532" i="16"/>
  <c r="F1532" i="16"/>
  <c r="D1533" i="16"/>
  <c r="E1533" i="16"/>
  <c r="F1533" i="16"/>
  <c r="D1534" i="16"/>
  <c r="E1534" i="16"/>
  <c r="F1534" i="16"/>
  <c r="D1535" i="16"/>
  <c r="E1535" i="16"/>
  <c r="F1535" i="16"/>
  <c r="D1536" i="16"/>
  <c r="E1536" i="16"/>
  <c r="F1536" i="16"/>
  <c r="D1537" i="16"/>
  <c r="E1537" i="16"/>
  <c r="F1537" i="16"/>
  <c r="D1538" i="16"/>
  <c r="E1538" i="16"/>
  <c r="F1538" i="16"/>
  <c r="D1539" i="16"/>
  <c r="E1539" i="16"/>
  <c r="F1539" i="16"/>
  <c r="D1540" i="16"/>
  <c r="E1540" i="16"/>
  <c r="F1540" i="16"/>
  <c r="D1541" i="16"/>
  <c r="E1541" i="16"/>
  <c r="F1541" i="16"/>
  <c r="D1542" i="16"/>
  <c r="E1542" i="16"/>
  <c r="F1542" i="16"/>
  <c r="D1543" i="16"/>
  <c r="E1543" i="16"/>
  <c r="F1543" i="16"/>
  <c r="D1544" i="16"/>
  <c r="E1544" i="16"/>
  <c r="F1544" i="16"/>
  <c r="D1545" i="16"/>
  <c r="E1545" i="16"/>
  <c r="F1545" i="16"/>
  <c r="D1546" i="16"/>
  <c r="E1546" i="16"/>
  <c r="F1546" i="16"/>
  <c r="D1547" i="16"/>
  <c r="E1547" i="16"/>
  <c r="F1547" i="16"/>
  <c r="E1548" i="16"/>
  <c r="F1548" i="16"/>
  <c r="D1549" i="16"/>
  <c r="F1549" i="16"/>
  <c r="D1550" i="16"/>
  <c r="E1550" i="16"/>
  <c r="D1551" i="16"/>
  <c r="E1551" i="16"/>
  <c r="F1551" i="16"/>
  <c r="D1552" i="16"/>
  <c r="E1552" i="16"/>
  <c r="F1552" i="16"/>
  <c r="D1553" i="16"/>
  <c r="E1553" i="16"/>
  <c r="F1553" i="16"/>
  <c r="D1554" i="16"/>
  <c r="E1554" i="16"/>
  <c r="F1554" i="16"/>
  <c r="D1555" i="16"/>
  <c r="E1555" i="16"/>
  <c r="F1555" i="16"/>
  <c r="D1556" i="16"/>
  <c r="E1556" i="16"/>
  <c r="F1556" i="16"/>
  <c r="D1557" i="16"/>
  <c r="E1557" i="16"/>
  <c r="F1557" i="16"/>
  <c r="D1558" i="16"/>
  <c r="E1558" i="16"/>
  <c r="F1558" i="16"/>
  <c r="D1559" i="16"/>
  <c r="E1559" i="16"/>
  <c r="F1559" i="16"/>
  <c r="D1560" i="16"/>
  <c r="E1560" i="16"/>
  <c r="F1560" i="16"/>
  <c r="D1561" i="16"/>
  <c r="E1561" i="16"/>
  <c r="F1561" i="16"/>
  <c r="D1562" i="16"/>
  <c r="E1562" i="16"/>
  <c r="F1562" i="16"/>
  <c r="D1563" i="16"/>
  <c r="E1563" i="16"/>
  <c r="F1563" i="16"/>
  <c r="D1564" i="16"/>
  <c r="E1564" i="16"/>
  <c r="F1564" i="16"/>
  <c r="D1565" i="16"/>
  <c r="E1565" i="16"/>
  <c r="F1565" i="16"/>
  <c r="D1566" i="16"/>
  <c r="E1566" i="16"/>
  <c r="F1566" i="16"/>
  <c r="D1567" i="16"/>
  <c r="E1567" i="16"/>
  <c r="F1567" i="16"/>
  <c r="D1568" i="16"/>
  <c r="E1568" i="16"/>
  <c r="F1568" i="16"/>
  <c r="D1569" i="16"/>
  <c r="E1569" i="16"/>
  <c r="F1569" i="16"/>
  <c r="D1570" i="16"/>
  <c r="E1570" i="16"/>
  <c r="F1570" i="16"/>
  <c r="D1571" i="16"/>
  <c r="E1571" i="16"/>
  <c r="F1571" i="16"/>
  <c r="D1572" i="16"/>
  <c r="E1572" i="16"/>
  <c r="F1572" i="16"/>
  <c r="D1573" i="16"/>
  <c r="E1573" i="16"/>
  <c r="F1573" i="16"/>
  <c r="D1574" i="16"/>
  <c r="E1574" i="16"/>
  <c r="F1574" i="16"/>
  <c r="D1575" i="16"/>
  <c r="E1575" i="16"/>
  <c r="F1575" i="16"/>
  <c r="D1576" i="16"/>
  <c r="E1576" i="16"/>
  <c r="F1576" i="16"/>
  <c r="D1577" i="16"/>
  <c r="E1577" i="16"/>
  <c r="F1577" i="16"/>
  <c r="D1578" i="16"/>
  <c r="E1578" i="16"/>
  <c r="F1578" i="16"/>
  <c r="D1579" i="16"/>
  <c r="E1579" i="16"/>
  <c r="F1579" i="16"/>
  <c r="D1580" i="16"/>
  <c r="E1580" i="16"/>
  <c r="F1580" i="16"/>
  <c r="D1581" i="16"/>
  <c r="E1581" i="16"/>
  <c r="F1581" i="16"/>
  <c r="D1582" i="16"/>
  <c r="E1582" i="16"/>
  <c r="F1582" i="16"/>
  <c r="D1583" i="16"/>
  <c r="E1583" i="16"/>
  <c r="F1583" i="16"/>
  <c r="D1584" i="16"/>
  <c r="E1584" i="16"/>
  <c r="F1584" i="16"/>
  <c r="D1585" i="16"/>
  <c r="E1585" i="16"/>
  <c r="F1585" i="16"/>
  <c r="D1586" i="16"/>
  <c r="E1586" i="16"/>
  <c r="F1586" i="16"/>
  <c r="D1587" i="16"/>
  <c r="E1587" i="16"/>
  <c r="F1587" i="16"/>
  <c r="D1588" i="16"/>
  <c r="E1588" i="16"/>
  <c r="F1588" i="16"/>
  <c r="D1589" i="16"/>
  <c r="E1589" i="16"/>
  <c r="F1589" i="16"/>
  <c r="D1590" i="16"/>
  <c r="E1590" i="16"/>
  <c r="F1590" i="16"/>
  <c r="D1591" i="16"/>
  <c r="E1591" i="16"/>
  <c r="F1591" i="16"/>
  <c r="D1592" i="16"/>
  <c r="E1592" i="16"/>
  <c r="F1592" i="16"/>
  <c r="D1593" i="16"/>
  <c r="E1593" i="16"/>
  <c r="F1593" i="16"/>
  <c r="D1594" i="16"/>
  <c r="E1594" i="16"/>
  <c r="F1594" i="16"/>
  <c r="D1595" i="16"/>
  <c r="E1595" i="16"/>
  <c r="F1595" i="16"/>
  <c r="D1596" i="16"/>
  <c r="E1596" i="16"/>
  <c r="F1596" i="16"/>
  <c r="D1597" i="16"/>
  <c r="E1597" i="16"/>
  <c r="F1597" i="16"/>
  <c r="D1598" i="16"/>
  <c r="E1598" i="16"/>
  <c r="F1598" i="16"/>
  <c r="D1599" i="16"/>
  <c r="E1599" i="16"/>
  <c r="F1599" i="16"/>
  <c r="D1600" i="16"/>
  <c r="E1600" i="16"/>
  <c r="F1600" i="16"/>
  <c r="D1601" i="16"/>
  <c r="E1601" i="16"/>
  <c r="F1601" i="16"/>
  <c r="D1602" i="16"/>
  <c r="E1602" i="16"/>
  <c r="F1602" i="16"/>
  <c r="D1603" i="16"/>
  <c r="E1603" i="16"/>
  <c r="F1603" i="16"/>
  <c r="D1604" i="16"/>
  <c r="E1604" i="16"/>
  <c r="F1604" i="16"/>
  <c r="D1605" i="16"/>
  <c r="E1605" i="16"/>
  <c r="F1605" i="16"/>
  <c r="D1606" i="16"/>
  <c r="E1606" i="16"/>
  <c r="F1606" i="16"/>
  <c r="D1607" i="16"/>
  <c r="E1607" i="16"/>
  <c r="F1607" i="16"/>
  <c r="D1608" i="16"/>
  <c r="E1608" i="16"/>
  <c r="F1608" i="16"/>
  <c r="D1609" i="16"/>
  <c r="E1609" i="16"/>
  <c r="F1609" i="16"/>
  <c r="D1610" i="16"/>
  <c r="E1610" i="16"/>
  <c r="F1610" i="16"/>
  <c r="D1611" i="16"/>
  <c r="E1611" i="16"/>
  <c r="F1611" i="16"/>
  <c r="D1612" i="16"/>
  <c r="E1612" i="16"/>
  <c r="F1612" i="16"/>
  <c r="D1613" i="16"/>
  <c r="E1613" i="16"/>
  <c r="F1613" i="16"/>
  <c r="D1614" i="16"/>
  <c r="E1614" i="16"/>
  <c r="F1614" i="16"/>
  <c r="D1615" i="16"/>
  <c r="E1615" i="16"/>
  <c r="F1615" i="16"/>
  <c r="D1616" i="16"/>
  <c r="E1616" i="16"/>
  <c r="F1616" i="16"/>
  <c r="D1617" i="16"/>
  <c r="E1617" i="16"/>
  <c r="F1617" i="16"/>
  <c r="D1618" i="16"/>
  <c r="E1618" i="16"/>
  <c r="F1618" i="16"/>
  <c r="D1619" i="16"/>
  <c r="E1619" i="16"/>
  <c r="F1619" i="16"/>
  <c r="D1620" i="16"/>
  <c r="E1620" i="16"/>
  <c r="F1620" i="16"/>
  <c r="D1621" i="16"/>
  <c r="E1621" i="16"/>
  <c r="F1621" i="16"/>
  <c r="D1622" i="16"/>
  <c r="E1622" i="16"/>
  <c r="F1622" i="16"/>
  <c r="D1623" i="16"/>
  <c r="E1623" i="16"/>
  <c r="F1623" i="16"/>
  <c r="D1624" i="16"/>
  <c r="E1624" i="16"/>
  <c r="F1624" i="16"/>
  <c r="D1625" i="16"/>
  <c r="E1625" i="16"/>
  <c r="F1625" i="16"/>
  <c r="D1626" i="16"/>
  <c r="E1626" i="16"/>
  <c r="F1626" i="16"/>
  <c r="D1627" i="16"/>
  <c r="E1627" i="16"/>
  <c r="F1627" i="16"/>
  <c r="D1628" i="16"/>
  <c r="E1628" i="16"/>
  <c r="F1628" i="16"/>
  <c r="D1629" i="16"/>
  <c r="E1629" i="16"/>
  <c r="F1629" i="16"/>
  <c r="D1630" i="16"/>
  <c r="E1630" i="16"/>
  <c r="F1630" i="16"/>
  <c r="D1631" i="16"/>
  <c r="E1631" i="16"/>
  <c r="F1631" i="16"/>
  <c r="D1632" i="16"/>
  <c r="E1632" i="16"/>
  <c r="F1632" i="16"/>
  <c r="D1633" i="16"/>
  <c r="E1633" i="16"/>
  <c r="F1633" i="16"/>
  <c r="D1634" i="16"/>
  <c r="E1634" i="16"/>
  <c r="F1634" i="16"/>
  <c r="D1635" i="16"/>
  <c r="E1635" i="16"/>
  <c r="F1635" i="16"/>
  <c r="D1636" i="16"/>
  <c r="E1636" i="16"/>
  <c r="F1636" i="16"/>
  <c r="D1637" i="16"/>
  <c r="E1637" i="16"/>
  <c r="F1637" i="16"/>
  <c r="D1638" i="16"/>
  <c r="E1638" i="16"/>
  <c r="F1638" i="16"/>
  <c r="D1639" i="16"/>
  <c r="E1639" i="16"/>
  <c r="F1639" i="16"/>
  <c r="D1640" i="16"/>
  <c r="E1640" i="16"/>
  <c r="F1640" i="16"/>
  <c r="D1641" i="16"/>
  <c r="E1641" i="16"/>
  <c r="F1641" i="16"/>
  <c r="D1642" i="16"/>
  <c r="E1642" i="16"/>
  <c r="F1642" i="16"/>
  <c r="D1643" i="16"/>
  <c r="E1643" i="16"/>
  <c r="F1643" i="16"/>
  <c r="D1644" i="16"/>
  <c r="E1644" i="16"/>
  <c r="F1644" i="16"/>
  <c r="D1645" i="16"/>
  <c r="E1645" i="16"/>
  <c r="F1645" i="16"/>
  <c r="D1646" i="16"/>
  <c r="E1646" i="16"/>
  <c r="F1646" i="16"/>
  <c r="D1647" i="16"/>
  <c r="E1647" i="16"/>
  <c r="F1647" i="16"/>
  <c r="D1648" i="16"/>
  <c r="E1648" i="16"/>
  <c r="F1648" i="16"/>
  <c r="D1649" i="16"/>
  <c r="E1649" i="16"/>
  <c r="F1649" i="16"/>
  <c r="D1650" i="16"/>
  <c r="E1650" i="16"/>
  <c r="F1650" i="16"/>
  <c r="D1651" i="16"/>
  <c r="E1651" i="16"/>
  <c r="F1651" i="16"/>
  <c r="D1652" i="16"/>
  <c r="E1652" i="16"/>
  <c r="F1652" i="16"/>
  <c r="D1653" i="16"/>
  <c r="E1653" i="16"/>
  <c r="F1653" i="16"/>
  <c r="D1654" i="16"/>
  <c r="E1654" i="16"/>
  <c r="F1654" i="16"/>
  <c r="D1655" i="16"/>
  <c r="E1655" i="16"/>
  <c r="F1655" i="16"/>
  <c r="D1656" i="16"/>
  <c r="E1656" i="16"/>
  <c r="F1656" i="16"/>
  <c r="D1657" i="16"/>
  <c r="E1657" i="16"/>
  <c r="F1657" i="16"/>
  <c r="D1658" i="16"/>
  <c r="E1658" i="16"/>
  <c r="F1658" i="16"/>
  <c r="D1659" i="16"/>
  <c r="E1659" i="16"/>
  <c r="F1659" i="16"/>
  <c r="D1660" i="16"/>
  <c r="E1660" i="16"/>
  <c r="F1660" i="16"/>
  <c r="D1661" i="16"/>
  <c r="E1661" i="16"/>
  <c r="F1661" i="16"/>
  <c r="D1662" i="16"/>
  <c r="E1662" i="16"/>
  <c r="F1662" i="16"/>
  <c r="D1663" i="16"/>
  <c r="E1663" i="16"/>
  <c r="F1663" i="16"/>
  <c r="D1664" i="16"/>
  <c r="E1664" i="16"/>
  <c r="F1664" i="16"/>
  <c r="D1665" i="16"/>
  <c r="E1665" i="16"/>
  <c r="F1665" i="16"/>
  <c r="D1666" i="16"/>
  <c r="E1666" i="16"/>
  <c r="F1666" i="16"/>
  <c r="D1667" i="16"/>
  <c r="E1667" i="16"/>
  <c r="F1667" i="16"/>
  <c r="D1668" i="16"/>
  <c r="E1668" i="16"/>
  <c r="F1668" i="16"/>
  <c r="D1669" i="16"/>
  <c r="E1669" i="16"/>
  <c r="F1669" i="16"/>
  <c r="D1670" i="16"/>
  <c r="E1670" i="16"/>
  <c r="F1670" i="16"/>
  <c r="D1671" i="16"/>
  <c r="E1671" i="16"/>
  <c r="F1671" i="16"/>
  <c r="D1672" i="16"/>
  <c r="E1672" i="16"/>
  <c r="F1672" i="16"/>
  <c r="D1673" i="16"/>
  <c r="E1673" i="16"/>
  <c r="F1673" i="16"/>
  <c r="D1674" i="16"/>
  <c r="E1674" i="16"/>
  <c r="F1674" i="16"/>
  <c r="D1675" i="16"/>
  <c r="E1675" i="16"/>
  <c r="F1675" i="16"/>
  <c r="D1676" i="16"/>
  <c r="E1676" i="16"/>
  <c r="F1676" i="16"/>
  <c r="D1677" i="16"/>
  <c r="E1677" i="16"/>
  <c r="F1677" i="16"/>
  <c r="D1678" i="16"/>
  <c r="E1678" i="16"/>
  <c r="F1678" i="16"/>
  <c r="D1679" i="16"/>
  <c r="E1679" i="16"/>
  <c r="F1679" i="16"/>
  <c r="D1680" i="16"/>
  <c r="E1680" i="16"/>
  <c r="F1680" i="16"/>
  <c r="D1681" i="16"/>
  <c r="E1681" i="16"/>
  <c r="F1681" i="16"/>
  <c r="D1682" i="16"/>
  <c r="E1682" i="16"/>
  <c r="F1682" i="16"/>
  <c r="D1683" i="16"/>
  <c r="E1683" i="16"/>
  <c r="F1683" i="16"/>
  <c r="D1684" i="16"/>
  <c r="E1684" i="16"/>
  <c r="F1684" i="16"/>
  <c r="D1685" i="16"/>
  <c r="E1685" i="16"/>
  <c r="F1685" i="16"/>
  <c r="D1686" i="16"/>
  <c r="E1686" i="16"/>
  <c r="F1686" i="16"/>
  <c r="D1687" i="16"/>
  <c r="E1687" i="16"/>
  <c r="F1687" i="16"/>
  <c r="D1688" i="16"/>
  <c r="E1688" i="16"/>
  <c r="F1688" i="16"/>
  <c r="D1689" i="16"/>
  <c r="E1689" i="16"/>
  <c r="F1689" i="16"/>
  <c r="D1690" i="16"/>
  <c r="E1690" i="16"/>
  <c r="F1690" i="16"/>
  <c r="D1691" i="16"/>
  <c r="E1691" i="16"/>
  <c r="F1691" i="16"/>
  <c r="D1692" i="16"/>
  <c r="E1692" i="16"/>
  <c r="F1692" i="16"/>
  <c r="D1693" i="16"/>
  <c r="E1693" i="16"/>
  <c r="F1693" i="16"/>
  <c r="D1694" i="16"/>
  <c r="E1694" i="16"/>
  <c r="F1694" i="16"/>
  <c r="D1695" i="16"/>
  <c r="E1695" i="16"/>
  <c r="F1695" i="16"/>
  <c r="D1696" i="16"/>
  <c r="E1696" i="16"/>
  <c r="F1696" i="16"/>
  <c r="D1697" i="16"/>
  <c r="E1697" i="16"/>
  <c r="F1697" i="16"/>
  <c r="D1698" i="16"/>
  <c r="E1698" i="16"/>
  <c r="F1698" i="16"/>
  <c r="D1699" i="16"/>
  <c r="E1699" i="16"/>
  <c r="F1699" i="16"/>
  <c r="D1700" i="16"/>
  <c r="E1700" i="16"/>
  <c r="F1700" i="16"/>
  <c r="D1702" i="16"/>
  <c r="E1702" i="16"/>
  <c r="F1702" i="16"/>
  <c r="D1703" i="16"/>
  <c r="E1703" i="16"/>
  <c r="F1703" i="16"/>
  <c r="D1704" i="16"/>
  <c r="E1704" i="16"/>
  <c r="F1704" i="16"/>
  <c r="D1706" i="16"/>
  <c r="E1706" i="16"/>
  <c r="F1706" i="16"/>
  <c r="D1707" i="16"/>
  <c r="E1707" i="16"/>
  <c r="F1707" i="16"/>
  <c r="D1708" i="16"/>
  <c r="E1708" i="16"/>
  <c r="F1708" i="16"/>
  <c r="D1709" i="16"/>
  <c r="E1709" i="16"/>
  <c r="F1709" i="16"/>
  <c r="D1710" i="16"/>
  <c r="E1710" i="16"/>
  <c r="F1710" i="16"/>
  <c r="D1711" i="16"/>
  <c r="E1711" i="16"/>
  <c r="F1711" i="16"/>
  <c r="D1712" i="16"/>
  <c r="E1712" i="16"/>
  <c r="F1712" i="16"/>
  <c r="D1713" i="16"/>
  <c r="E1713" i="16"/>
  <c r="F1713" i="16"/>
  <c r="D1714" i="16"/>
  <c r="E1714" i="16"/>
  <c r="F1714" i="16"/>
  <c r="D1715" i="16"/>
  <c r="E1715" i="16"/>
  <c r="F1715" i="16"/>
  <c r="D1716" i="16"/>
  <c r="E1716" i="16"/>
  <c r="F1716" i="16"/>
  <c r="D1717" i="16"/>
  <c r="E1717" i="16"/>
  <c r="F1717" i="16"/>
  <c r="D1718" i="16"/>
  <c r="E1718" i="16"/>
  <c r="F1718" i="16"/>
  <c r="D1719" i="16"/>
  <c r="E1719" i="16"/>
  <c r="F1719" i="16"/>
  <c r="D1720" i="16"/>
  <c r="E1720" i="16"/>
  <c r="F1720" i="16"/>
  <c r="D1721" i="16"/>
  <c r="E1721" i="16"/>
  <c r="F1721" i="16"/>
  <c r="D1722" i="16"/>
  <c r="E1722" i="16"/>
  <c r="F1722" i="16"/>
  <c r="D1723" i="16"/>
  <c r="E1723" i="16"/>
  <c r="F1723" i="16"/>
  <c r="D1724" i="16"/>
  <c r="E1724" i="16"/>
  <c r="F1724" i="16"/>
  <c r="D1725" i="16"/>
  <c r="E1725" i="16"/>
  <c r="F1725" i="16"/>
  <c r="D1726" i="16"/>
  <c r="E1726" i="16"/>
  <c r="F1726" i="16"/>
  <c r="D1727" i="16"/>
  <c r="E1727" i="16"/>
  <c r="F1727" i="16"/>
  <c r="D1728" i="16"/>
  <c r="E1728" i="16"/>
  <c r="F1728" i="16"/>
  <c r="D1729" i="16"/>
  <c r="E1729" i="16"/>
  <c r="F1729" i="16"/>
  <c r="D1730" i="16"/>
  <c r="E1730" i="16"/>
  <c r="F1730" i="16"/>
  <c r="D1731" i="16"/>
  <c r="E1731" i="16"/>
  <c r="F1731" i="16"/>
  <c r="D1732" i="16"/>
  <c r="E1732" i="16"/>
  <c r="F1732" i="16"/>
  <c r="D1733" i="16"/>
  <c r="E1733" i="16"/>
  <c r="F1733" i="16"/>
  <c r="D1734" i="16"/>
  <c r="E1734" i="16"/>
  <c r="F1734" i="16"/>
  <c r="D1735" i="16"/>
  <c r="E1735" i="16"/>
  <c r="F1735" i="16"/>
  <c r="D1736" i="16"/>
  <c r="E1736" i="16"/>
  <c r="F1736" i="16"/>
  <c r="D1737" i="16"/>
  <c r="E1737" i="16"/>
  <c r="F1737" i="16"/>
  <c r="D1738" i="16"/>
  <c r="E1738" i="16"/>
  <c r="F1738" i="16"/>
  <c r="D1739" i="16"/>
  <c r="E1739" i="16"/>
  <c r="F1739" i="16"/>
  <c r="D1740" i="16"/>
  <c r="E1740" i="16"/>
  <c r="F1740" i="16"/>
  <c r="E1741" i="16"/>
  <c r="F1741" i="16"/>
  <c r="D1742" i="16"/>
  <c r="F1742" i="16"/>
  <c r="D1743" i="16"/>
  <c r="E1743" i="16"/>
  <c r="D1744" i="16"/>
  <c r="E1744" i="16"/>
  <c r="F1744" i="16"/>
  <c r="D1745" i="16"/>
  <c r="E1745" i="16"/>
  <c r="F1745" i="16"/>
  <c r="D1746" i="16"/>
  <c r="E1746" i="16"/>
  <c r="F1746" i="16"/>
  <c r="D1747" i="16"/>
  <c r="E1747" i="16"/>
  <c r="F1747" i="16"/>
  <c r="D1748" i="16"/>
  <c r="E1748" i="16"/>
  <c r="F1748" i="16"/>
  <c r="D1749" i="16"/>
  <c r="E1749" i="16"/>
  <c r="F1749" i="16"/>
  <c r="D1750" i="16"/>
  <c r="E1750" i="16"/>
  <c r="F1750" i="16"/>
  <c r="D1751" i="16"/>
  <c r="E1751" i="16"/>
  <c r="F1751" i="16"/>
  <c r="D1752" i="16"/>
  <c r="E1752" i="16"/>
  <c r="F1752" i="16"/>
  <c r="D1753" i="16"/>
  <c r="E1753" i="16"/>
  <c r="F1753" i="16"/>
  <c r="D1754" i="16"/>
  <c r="E1754" i="16"/>
  <c r="F1754" i="16"/>
  <c r="D1755" i="16"/>
  <c r="E1755" i="16"/>
  <c r="F1755" i="16"/>
  <c r="D1756" i="16"/>
  <c r="E1756" i="16"/>
  <c r="F1756" i="16"/>
  <c r="D1757" i="16"/>
  <c r="E1757" i="16"/>
  <c r="F1757" i="16"/>
  <c r="D1758" i="16"/>
  <c r="E1758" i="16"/>
  <c r="F1758" i="16"/>
  <c r="D1759" i="16"/>
  <c r="E1759" i="16"/>
  <c r="F1759" i="16"/>
  <c r="D1760" i="16"/>
  <c r="E1760" i="16"/>
  <c r="F1760" i="16"/>
  <c r="D1761" i="16"/>
  <c r="E1761" i="16"/>
  <c r="F1761" i="16"/>
  <c r="D1762" i="16"/>
  <c r="E1762" i="16"/>
  <c r="F1762" i="16"/>
  <c r="E1763" i="16"/>
  <c r="F1763" i="16"/>
  <c r="D1764" i="16"/>
  <c r="F1764" i="16"/>
  <c r="D1765" i="16"/>
  <c r="E1765" i="16"/>
  <c r="D1766" i="16"/>
  <c r="E1766" i="16"/>
  <c r="F1766" i="16"/>
  <c r="D1767" i="16"/>
  <c r="E1767" i="16"/>
  <c r="F1767" i="16"/>
  <c r="D1768" i="16"/>
  <c r="E1768" i="16"/>
  <c r="F1768" i="16"/>
  <c r="D1769" i="16"/>
  <c r="E1769" i="16"/>
  <c r="F1769" i="16"/>
  <c r="E1770" i="16"/>
  <c r="F1770" i="16"/>
  <c r="D1771" i="16"/>
  <c r="F1771" i="16"/>
  <c r="D1772" i="16"/>
  <c r="E1772" i="16"/>
  <c r="D1773" i="16"/>
  <c r="E1773" i="16"/>
  <c r="F1773" i="16"/>
  <c r="D1774" i="16"/>
  <c r="E1774" i="16"/>
  <c r="F1774" i="16"/>
  <c r="D1775" i="16"/>
  <c r="E1775" i="16"/>
  <c r="F1775" i="16"/>
  <c r="D1776" i="16"/>
  <c r="E1776" i="16"/>
  <c r="F1776" i="16"/>
  <c r="D1777" i="16"/>
  <c r="E1777" i="16"/>
  <c r="F1777" i="16"/>
  <c r="D1778" i="16"/>
  <c r="E1778" i="16"/>
  <c r="F1778" i="16"/>
  <c r="D1779" i="16"/>
  <c r="E1779" i="16"/>
  <c r="F1779" i="16"/>
  <c r="D1780" i="16"/>
  <c r="E1780" i="16"/>
  <c r="F1780" i="16"/>
  <c r="D1781" i="16"/>
  <c r="E1781" i="16"/>
  <c r="F1781" i="16"/>
  <c r="D1782" i="16"/>
  <c r="E1782" i="16"/>
  <c r="F1782" i="16"/>
  <c r="D1783" i="16"/>
  <c r="E1783" i="16"/>
  <c r="F1783" i="16"/>
  <c r="D1784" i="16"/>
  <c r="E1784" i="16"/>
  <c r="F1784" i="16"/>
  <c r="D1785" i="16"/>
  <c r="E1785" i="16"/>
  <c r="F1785" i="16"/>
  <c r="D1786" i="16"/>
  <c r="E1786" i="16"/>
  <c r="F1786" i="16"/>
  <c r="D1787" i="16"/>
  <c r="E1787" i="16"/>
  <c r="F1787" i="16"/>
  <c r="D1788" i="16"/>
  <c r="E1788" i="16"/>
  <c r="F1788" i="16"/>
  <c r="D1789" i="16"/>
  <c r="E1789" i="16"/>
  <c r="F1789" i="16"/>
  <c r="D1790" i="16"/>
  <c r="E1790" i="16"/>
  <c r="F1790" i="16"/>
  <c r="D1791" i="16"/>
  <c r="E1791" i="16"/>
  <c r="F1791" i="16"/>
  <c r="D1792" i="16"/>
  <c r="E1792" i="16"/>
  <c r="F1792" i="16"/>
  <c r="D1793" i="16"/>
  <c r="E1793" i="16"/>
  <c r="F1793" i="16"/>
  <c r="D1794" i="16"/>
  <c r="E1794" i="16"/>
  <c r="F1794" i="16"/>
  <c r="D1795" i="16"/>
  <c r="E1795" i="16"/>
  <c r="F1795" i="16"/>
  <c r="D1796" i="16"/>
  <c r="E1796" i="16"/>
  <c r="F1796" i="16"/>
  <c r="D1797" i="16"/>
  <c r="E1797" i="16"/>
  <c r="F1797" i="16"/>
  <c r="D1798" i="16"/>
  <c r="E1798" i="16"/>
  <c r="F1798" i="16"/>
  <c r="D1799" i="16"/>
  <c r="E1799" i="16"/>
  <c r="F1799" i="16"/>
  <c r="D1800" i="16"/>
  <c r="E1800" i="16"/>
  <c r="F1800" i="16"/>
  <c r="D1801" i="16"/>
  <c r="E1801" i="16"/>
  <c r="F1801" i="16"/>
  <c r="D1802" i="16"/>
  <c r="E1802" i="16"/>
  <c r="F1802" i="16"/>
  <c r="D1803" i="16"/>
  <c r="E1803" i="16"/>
  <c r="F1803" i="16"/>
  <c r="D1804" i="16"/>
  <c r="E1804" i="16"/>
  <c r="F1804" i="16"/>
  <c r="D1805" i="16"/>
  <c r="E1805" i="16"/>
  <c r="F1805" i="16"/>
  <c r="D1806" i="16"/>
  <c r="E1806" i="16"/>
  <c r="F1806" i="16"/>
  <c r="D1807" i="16"/>
  <c r="E1807" i="16"/>
  <c r="F1807" i="16"/>
  <c r="D1808" i="16"/>
  <c r="E1808" i="16"/>
  <c r="F1808" i="16"/>
  <c r="D1809" i="16"/>
  <c r="E1809" i="16"/>
  <c r="F1809" i="16"/>
  <c r="D1810" i="16"/>
  <c r="E1810" i="16"/>
  <c r="F1810" i="16"/>
  <c r="D1811" i="16"/>
  <c r="E1811" i="16"/>
  <c r="F1811" i="16"/>
  <c r="D1812" i="16"/>
  <c r="E1812" i="16"/>
  <c r="F1812" i="16"/>
  <c r="D1813" i="16"/>
  <c r="E1813" i="16"/>
  <c r="F1813" i="16"/>
  <c r="D1814" i="16"/>
  <c r="E1814" i="16"/>
  <c r="F1814" i="16"/>
  <c r="D1815" i="16"/>
  <c r="E1815" i="16"/>
  <c r="F1815" i="16"/>
  <c r="D1816" i="16"/>
  <c r="E1816" i="16"/>
  <c r="F1816" i="16"/>
  <c r="D1817" i="16"/>
  <c r="E1817" i="16"/>
  <c r="F1817" i="16"/>
  <c r="D1818" i="16"/>
  <c r="E1818" i="16"/>
  <c r="F1818" i="16"/>
  <c r="D1819" i="16"/>
  <c r="E1819" i="16"/>
  <c r="F1819" i="16"/>
  <c r="D1820" i="16"/>
  <c r="E1820" i="16"/>
  <c r="F1820" i="16"/>
  <c r="D1821" i="16"/>
  <c r="E1821" i="16"/>
  <c r="F1821" i="16"/>
  <c r="D1822" i="16"/>
  <c r="E1822" i="16"/>
  <c r="F1822" i="16"/>
  <c r="D1823" i="16"/>
  <c r="E1823" i="16"/>
  <c r="F1823" i="16"/>
  <c r="D1824" i="16"/>
  <c r="E1824" i="16"/>
  <c r="F1824" i="16"/>
  <c r="D1825" i="16"/>
  <c r="E1825" i="16"/>
  <c r="F1825" i="16"/>
  <c r="D1826" i="16"/>
  <c r="E1826" i="16"/>
  <c r="F1826" i="16"/>
  <c r="D1827" i="16"/>
  <c r="E1827" i="16"/>
  <c r="F1827" i="16"/>
  <c r="E1828" i="16"/>
  <c r="F1828" i="16"/>
  <c r="D1829" i="16"/>
  <c r="F1829" i="16"/>
  <c r="D1830" i="16"/>
  <c r="E1830" i="16"/>
  <c r="D1831" i="16"/>
  <c r="E1831" i="16"/>
  <c r="F1831" i="16"/>
  <c r="D1832" i="16"/>
  <c r="E1832" i="16"/>
  <c r="F1832" i="16"/>
  <c r="D1833" i="16"/>
  <c r="E1833" i="16"/>
  <c r="F1833" i="16"/>
  <c r="E1834" i="16"/>
  <c r="F1834" i="16"/>
  <c r="D1835" i="16"/>
  <c r="F1835" i="16"/>
  <c r="D1836" i="16"/>
  <c r="E1836" i="16"/>
  <c r="D1837" i="16"/>
  <c r="E1837" i="16"/>
  <c r="F1837" i="16"/>
  <c r="D1838" i="16"/>
  <c r="E1838" i="16"/>
  <c r="F1838" i="16"/>
  <c r="D1839" i="16"/>
  <c r="E1839" i="16"/>
  <c r="F1839" i="16"/>
  <c r="D1840" i="16"/>
  <c r="E1840" i="16"/>
  <c r="F1840" i="16"/>
  <c r="D1841" i="16"/>
  <c r="E1841" i="16"/>
  <c r="F1841" i="16"/>
  <c r="D1842" i="16"/>
  <c r="E1842" i="16"/>
  <c r="F1842" i="16"/>
  <c r="D1843" i="16"/>
  <c r="E1843" i="16"/>
  <c r="F1843" i="16"/>
  <c r="D1844" i="16"/>
  <c r="E1844" i="16"/>
  <c r="F1844" i="16"/>
  <c r="D1845" i="16"/>
  <c r="E1845" i="16"/>
  <c r="F1845" i="16"/>
  <c r="D1846" i="16"/>
  <c r="E1846" i="16"/>
  <c r="F1846" i="16"/>
  <c r="D1847" i="16"/>
  <c r="E1847" i="16"/>
  <c r="F1847" i="16"/>
  <c r="D1848" i="16"/>
  <c r="E1848" i="16"/>
  <c r="F1848" i="16"/>
  <c r="D1849" i="16"/>
  <c r="E1849" i="16"/>
  <c r="F1849" i="16"/>
  <c r="D1850" i="16"/>
  <c r="E1850" i="16"/>
  <c r="F1850" i="16"/>
  <c r="D1851" i="16"/>
  <c r="E1851" i="16"/>
  <c r="F1851" i="16"/>
  <c r="D1852" i="16"/>
  <c r="E1852" i="16"/>
  <c r="F1852" i="16"/>
  <c r="D1853" i="16"/>
  <c r="E1853" i="16"/>
  <c r="F1853" i="16"/>
  <c r="D1854" i="16"/>
  <c r="E1854" i="16"/>
  <c r="F1854" i="16"/>
  <c r="D1855" i="16"/>
  <c r="E1855" i="16"/>
  <c r="F1855" i="16"/>
  <c r="D1856" i="16"/>
  <c r="E1856" i="16"/>
  <c r="F1856" i="16"/>
  <c r="D1857" i="16"/>
  <c r="E1857" i="16"/>
  <c r="F1857" i="16"/>
  <c r="D1858" i="16"/>
  <c r="E1858" i="16"/>
  <c r="F1858" i="16"/>
  <c r="D1859" i="16"/>
  <c r="E1859" i="16"/>
  <c r="F1859" i="16"/>
  <c r="D1860" i="16"/>
  <c r="E1860" i="16"/>
  <c r="F1860" i="16"/>
  <c r="D1861" i="16"/>
  <c r="E1861" i="16"/>
  <c r="F1861" i="16"/>
  <c r="D1862" i="16"/>
  <c r="E1862" i="16"/>
  <c r="F1862" i="16"/>
  <c r="D1863" i="16"/>
  <c r="E1863" i="16"/>
  <c r="F1863" i="16"/>
  <c r="D1864" i="16"/>
  <c r="E1864" i="16"/>
  <c r="F1864" i="16"/>
  <c r="D1865" i="16"/>
  <c r="E1865" i="16"/>
  <c r="F1865" i="16"/>
  <c r="D1866" i="16"/>
  <c r="E1866" i="16"/>
  <c r="F1866" i="16"/>
  <c r="F1743" i="16"/>
  <c r="E1742" i="16"/>
  <c r="D1741" i="16"/>
  <c r="E318" i="16"/>
  <c r="F220" i="16"/>
  <c r="F1517" i="16"/>
  <c r="E1516" i="16"/>
  <c r="D1515" i="16"/>
  <c r="F811" i="16"/>
  <c r="E806" i="16"/>
  <c r="F800" i="16"/>
  <c r="F795" i="16"/>
  <c r="F805" i="16"/>
  <c r="E808" i="16"/>
  <c r="E931" i="16"/>
  <c r="D338" i="16"/>
  <c r="D336" i="16"/>
  <c r="D313" i="16"/>
  <c r="F1146" i="16"/>
  <c r="F1157" i="16"/>
  <c r="F1149" i="16"/>
  <c r="F1147" i="16"/>
  <c r="F1130" i="16"/>
  <c r="F340" i="16"/>
  <c r="E1147" i="16"/>
  <c r="E336" i="16"/>
  <c r="D1146" i="16"/>
  <c r="F336" i="16"/>
  <c r="D1147" i="16"/>
  <c r="D811" i="16"/>
  <c r="E340" i="16"/>
  <c r="D1130" i="16"/>
  <c r="D808" i="16"/>
  <c r="F806" i="16"/>
  <c r="F335" i="16"/>
  <c r="F313" i="16"/>
  <c r="E1152" i="16"/>
  <c r="D931" i="16"/>
  <c r="E805" i="16"/>
  <c r="D798" i="16"/>
  <c r="D318" i="16"/>
  <c r="D284" i="16"/>
  <c r="F211" i="16"/>
  <c r="E1835" i="16"/>
  <c r="F1772" i="16"/>
  <c r="D1770" i="16"/>
  <c r="F1550" i="16"/>
  <c r="D1548" i="16"/>
  <c r="F1765" i="16"/>
  <c r="E1764" i="16"/>
  <c r="D1763" i="16"/>
  <c r="E1157" i="16"/>
  <c r="D1152" i="16"/>
  <c r="E1149" i="16"/>
  <c r="D805" i="16"/>
  <c r="E800" i="16"/>
  <c r="E795" i="16"/>
  <c r="D794" i="16"/>
  <c r="F1836" i="16"/>
  <c r="D1834" i="16"/>
  <c r="E1771" i="16"/>
  <c r="E1549" i="16"/>
  <c r="F1830" i="16"/>
  <c r="E1829" i="16"/>
  <c r="D1828" i="16"/>
  <c r="F1478" i="16"/>
  <c r="E1477" i="16"/>
  <c r="D1476" i="16"/>
  <c r="D1157" i="16"/>
  <c r="E1146" i="16"/>
  <c r="F931" i="16"/>
  <c r="D806" i="16"/>
  <c r="D800" i="16"/>
  <c r="F318" i="16"/>
  <c r="F13" i="17"/>
  <c r="F18" i="17"/>
  <c r="F26" i="17"/>
  <c r="F35" i="17"/>
  <c r="F45" i="17"/>
  <c r="F50" i="17"/>
  <c r="F59" i="17"/>
  <c r="F61" i="17"/>
  <c r="F71" i="17"/>
  <c r="F108" i="17"/>
  <c r="F114" i="17"/>
  <c r="F117" i="17"/>
  <c r="F119" i="17"/>
  <c r="F126" i="17"/>
  <c r="F130" i="17"/>
  <c r="F140" i="17"/>
  <c r="F143" i="17"/>
  <c r="F147" i="17"/>
  <c r="D161" i="17"/>
  <c r="E161" i="17"/>
  <c r="F161" i="17"/>
  <c r="D165" i="17"/>
  <c r="E165" i="17"/>
  <c r="F165" i="17"/>
  <c r="D206" i="17"/>
  <c r="E206" i="17"/>
  <c r="F206" i="17"/>
  <c r="D208" i="17"/>
  <c r="E208" i="17"/>
  <c r="F208" i="17"/>
  <c r="D209" i="17"/>
  <c r="E209" i="17"/>
  <c r="F209" i="17"/>
  <c r="D210" i="17"/>
  <c r="E210" i="17"/>
  <c r="F210" i="17"/>
  <c r="D211" i="17"/>
  <c r="D237" i="17"/>
  <c r="E211" i="17"/>
  <c r="E238" i="17"/>
  <c r="F211" i="17"/>
  <c r="D212" i="17"/>
  <c r="E212" i="17"/>
  <c r="F212" i="17"/>
  <c r="D213" i="17"/>
  <c r="E213" i="17"/>
  <c r="F213" i="17"/>
  <c r="D214" i="17"/>
  <c r="E214" i="17"/>
  <c r="F214" i="17"/>
  <c r="D218" i="17"/>
  <c r="E218" i="17"/>
  <c r="F218" i="17"/>
  <c r="D219" i="17"/>
  <c r="E219" i="17"/>
  <c r="F219" i="17"/>
  <c r="D220" i="17"/>
  <c r="E220" i="17"/>
  <c r="F220" i="17"/>
  <c r="D221" i="17"/>
  <c r="E221" i="17"/>
  <c r="F221" i="17"/>
  <c r="D222" i="17"/>
  <c r="E222" i="17"/>
  <c r="F222" i="17"/>
  <c r="D223" i="17"/>
  <c r="E223" i="17"/>
  <c r="F223" i="17"/>
  <c r="D224" i="17"/>
  <c r="E224" i="17"/>
  <c r="F224" i="17"/>
  <c r="D225" i="17"/>
  <c r="E225" i="17"/>
  <c r="F225" i="17"/>
  <c r="D226" i="17"/>
  <c r="E226" i="17"/>
  <c r="F226" i="17"/>
  <c r="D227" i="17"/>
  <c r="E227" i="17"/>
  <c r="F227" i="17"/>
  <c r="D228" i="17"/>
  <c r="E228" i="17"/>
  <c r="F228" i="17"/>
  <c r="D229" i="17"/>
  <c r="E229" i="17"/>
  <c r="F229" i="17"/>
  <c r="D230" i="17"/>
  <c r="E230" i="17"/>
  <c r="F230" i="17"/>
  <c r="D231" i="17"/>
  <c r="E231" i="17"/>
  <c r="F231" i="17"/>
  <c r="D232" i="17"/>
  <c r="E232" i="17"/>
  <c r="F232" i="17"/>
  <c r="D233" i="17"/>
  <c r="E233" i="17"/>
  <c r="F233" i="17"/>
  <c r="D234" i="17"/>
  <c r="E234" i="17"/>
  <c r="F234" i="17"/>
  <c r="F235" i="17"/>
  <c r="E236" i="17"/>
  <c r="F236" i="17"/>
  <c r="F237" i="17"/>
  <c r="D238" i="17"/>
  <c r="F238" i="17"/>
  <c r="F241" i="17"/>
  <c r="F249" i="17"/>
  <c r="E254" i="17"/>
  <c r="F254" i="17"/>
  <c r="E258" i="17"/>
  <c r="F258" i="17"/>
  <c r="E267" i="17"/>
  <c r="F267" i="17"/>
  <c r="D346" i="17"/>
  <c r="E346" i="17"/>
  <c r="F346" i="17"/>
  <c r="E347" i="17"/>
  <c r="F347" i="17"/>
  <c r="E348" i="17"/>
  <c r="F348" i="17"/>
  <c r="D349" i="17"/>
  <c r="E349" i="17"/>
  <c r="F349" i="17"/>
  <c r="D350" i="17"/>
  <c r="E350" i="17"/>
  <c r="F350" i="17"/>
  <c r="E351" i="17"/>
  <c r="F351" i="17"/>
  <c r="D352" i="17"/>
  <c r="E352" i="17"/>
  <c r="F352" i="17"/>
  <c r="E353" i="17"/>
  <c r="F353" i="17"/>
  <c r="D354" i="17"/>
  <c r="E354" i="17"/>
  <c r="F354" i="17"/>
  <c r="D355" i="17"/>
  <c r="E355" i="17"/>
  <c r="F355" i="17"/>
  <c r="D356" i="17"/>
  <c r="E356" i="17"/>
  <c r="F356" i="17"/>
  <c r="D357" i="17"/>
  <c r="E357" i="17"/>
  <c r="F357" i="17"/>
  <c r="D358" i="17"/>
  <c r="E358" i="17"/>
  <c r="F358" i="17"/>
  <c r="D359" i="17"/>
  <c r="E359" i="17"/>
  <c r="F359" i="17"/>
  <c r="D360" i="17"/>
  <c r="E360" i="17"/>
  <c r="F360" i="17"/>
  <c r="E361" i="17"/>
  <c r="F361" i="17"/>
  <c r="D362" i="17"/>
  <c r="E362" i="17"/>
  <c r="F362" i="17"/>
  <c r="E363" i="17"/>
  <c r="F363" i="17"/>
  <c r="D364" i="17"/>
  <c r="E364" i="17"/>
  <c r="F364" i="17"/>
  <c r="D365" i="17"/>
  <c r="E365" i="17"/>
  <c r="F365" i="17"/>
  <c r="E366" i="17"/>
  <c r="F366" i="17"/>
  <c r="D367" i="17"/>
  <c r="E367" i="17"/>
  <c r="F367" i="17"/>
  <c r="D368" i="17"/>
  <c r="E368" i="17"/>
  <c r="F368" i="17"/>
  <c r="D369" i="17"/>
  <c r="E369" i="17"/>
  <c r="F369" i="17"/>
  <c r="D370" i="17"/>
  <c r="E370" i="17"/>
  <c r="F370" i="17"/>
  <c r="D371" i="17"/>
  <c r="E371" i="17"/>
  <c r="F371" i="17"/>
  <c r="E372" i="17"/>
  <c r="F372" i="17"/>
  <c r="E373" i="17"/>
  <c r="F373" i="17"/>
  <c r="D374" i="17"/>
  <c r="E374" i="17"/>
  <c r="F374" i="17"/>
  <c r="E375" i="17"/>
  <c r="F375" i="17"/>
  <c r="D376" i="17"/>
  <c r="E376" i="17"/>
  <c r="F376" i="17"/>
  <c r="E377" i="17"/>
  <c r="F377" i="17"/>
  <c r="D378" i="17"/>
  <c r="E378" i="17"/>
  <c r="F378" i="17"/>
  <c r="D379" i="17"/>
  <c r="E379" i="17"/>
  <c r="F379" i="17"/>
  <c r="E380" i="17"/>
  <c r="F380" i="17"/>
  <c r="D381" i="17"/>
  <c r="E381" i="17"/>
  <c r="F381" i="17"/>
  <c r="D382" i="17"/>
  <c r="E382" i="17"/>
  <c r="F382" i="17"/>
  <c r="D383" i="17"/>
  <c r="E383" i="17"/>
  <c r="F383" i="17"/>
  <c r="E384" i="17"/>
  <c r="F384" i="17"/>
  <c r="D385" i="17"/>
  <c r="E385" i="17"/>
  <c r="F385" i="17"/>
  <c r="D386" i="17"/>
  <c r="E386" i="17"/>
  <c r="F386" i="17"/>
  <c r="D387" i="17"/>
  <c r="E387" i="17"/>
  <c r="F387" i="17"/>
  <c r="D388" i="17"/>
  <c r="E388" i="17"/>
  <c r="F388" i="17"/>
  <c r="D389" i="17"/>
  <c r="E389" i="17"/>
  <c r="F389" i="17"/>
  <c r="D390" i="17"/>
  <c r="E390" i="17"/>
  <c r="F390" i="17"/>
  <c r="D391" i="17"/>
  <c r="E391" i="17"/>
  <c r="F391" i="17"/>
  <c r="E392" i="17"/>
  <c r="F392" i="17"/>
  <c r="E393" i="17"/>
  <c r="F393" i="17"/>
  <c r="E394" i="17"/>
  <c r="F394" i="17"/>
  <c r="E395" i="17"/>
  <c r="F395" i="17"/>
  <c r="D396" i="17"/>
  <c r="E396" i="17"/>
  <c r="F396" i="17"/>
  <c r="E397" i="17"/>
  <c r="F397" i="17"/>
  <c r="D398" i="17"/>
  <c r="E398" i="17"/>
  <c r="F398" i="17"/>
  <c r="D399" i="17"/>
  <c r="E399" i="17"/>
  <c r="F399" i="17"/>
  <c r="D400" i="17"/>
  <c r="E400" i="17"/>
  <c r="F400" i="17"/>
  <c r="D401" i="17"/>
  <c r="E401" i="17"/>
  <c r="F401" i="17"/>
  <c r="D402" i="17"/>
  <c r="E402" i="17"/>
  <c r="F402" i="17"/>
  <c r="E403" i="17"/>
  <c r="F403" i="17"/>
  <c r="D404" i="17"/>
  <c r="E404" i="17"/>
  <c r="F404" i="17"/>
  <c r="D405" i="17"/>
  <c r="E405" i="17"/>
  <c r="F405" i="17"/>
  <c r="E406" i="17"/>
  <c r="F406" i="17"/>
  <c r="D408" i="17"/>
  <c r="E408" i="17"/>
  <c r="F408" i="17"/>
  <c r="D409" i="17"/>
  <c r="E409" i="17"/>
  <c r="F409" i="17"/>
  <c r="D410" i="17"/>
  <c r="E410" i="17"/>
  <c r="F410" i="17"/>
  <c r="E411" i="17"/>
  <c r="F411" i="17"/>
  <c r="E5" i="21"/>
  <c r="F5" i="21"/>
  <c r="E17" i="21"/>
  <c r="F17" i="21"/>
  <c r="E21" i="21"/>
  <c r="F21" i="21"/>
  <c r="E26" i="21"/>
  <c r="F26" i="21"/>
  <c r="E36" i="21"/>
  <c r="E1010" i="21"/>
  <c r="F36" i="21"/>
  <c r="E49" i="21"/>
  <c r="F49" i="21"/>
  <c r="E59" i="21"/>
  <c r="F59" i="21"/>
  <c r="E67" i="21"/>
  <c r="F67" i="21"/>
  <c r="E74" i="21"/>
  <c r="F74" i="21"/>
  <c r="E78" i="21"/>
  <c r="F78" i="21"/>
  <c r="E86" i="21"/>
  <c r="F86" i="21"/>
  <c r="E97" i="21"/>
  <c r="E864" i="21"/>
  <c r="F97" i="21"/>
  <c r="F870" i="21"/>
  <c r="E102" i="21"/>
  <c r="F102" i="21"/>
  <c r="E109" i="21"/>
  <c r="F109" i="21"/>
  <c r="E116" i="21"/>
  <c r="F116" i="21"/>
  <c r="E127" i="21"/>
  <c r="E1458" i="21"/>
  <c r="F127" i="21"/>
  <c r="E140" i="21"/>
  <c r="E1467" i="21"/>
  <c r="F140" i="21"/>
  <c r="E145" i="21"/>
  <c r="F145" i="21"/>
  <c r="E152" i="21"/>
  <c r="F152" i="21"/>
  <c r="E162" i="21"/>
  <c r="E1089" i="21"/>
  <c r="F162" i="21"/>
  <c r="F1088" i="21"/>
  <c r="E166" i="21"/>
  <c r="F166" i="21"/>
  <c r="E170" i="21"/>
  <c r="F170" i="21"/>
  <c r="E184" i="21"/>
  <c r="F184" i="21"/>
  <c r="E192" i="21"/>
  <c r="F192" i="21"/>
  <c r="D203" i="21"/>
  <c r="E203" i="21"/>
  <c r="F203" i="21"/>
  <c r="E204" i="21"/>
  <c r="F204" i="21"/>
  <c r="D206" i="21"/>
  <c r="E206" i="21"/>
  <c r="F206" i="21"/>
  <c r="E215" i="21"/>
  <c r="F215" i="21"/>
  <c r="E223" i="21"/>
  <c r="F223" i="21"/>
  <c r="E240" i="21"/>
  <c r="E1364" i="21"/>
  <c r="F240" i="21"/>
  <c r="D260" i="21"/>
  <c r="E260" i="21"/>
  <c r="F260" i="21"/>
  <c r="E266" i="21"/>
  <c r="F266" i="21"/>
  <c r="F765" i="21"/>
  <c r="D269" i="21"/>
  <c r="E269" i="21"/>
  <c r="F269" i="21"/>
  <c r="D270" i="21"/>
  <c r="E270" i="21"/>
  <c r="F270" i="21"/>
  <c r="E273" i="21"/>
  <c r="F273" i="21"/>
  <c r="E285" i="21"/>
  <c r="F285" i="21"/>
  <c r="F1420" i="21"/>
  <c r="E295" i="21"/>
  <c r="F295" i="21"/>
  <c r="F1426" i="21"/>
  <c r="E312" i="21"/>
  <c r="F312" i="21"/>
  <c r="D314" i="21"/>
  <c r="E314" i="21"/>
  <c r="F314" i="21"/>
  <c r="D318" i="21"/>
  <c r="E318" i="21"/>
  <c r="F318" i="21"/>
  <c r="E321" i="21"/>
  <c r="F321" i="21"/>
  <c r="D322" i="21"/>
  <c r="E322" i="21"/>
  <c r="F322" i="21"/>
  <c r="D329" i="21"/>
  <c r="E329" i="21"/>
  <c r="F329" i="21"/>
  <c r="D332" i="21"/>
  <c r="E332" i="21"/>
  <c r="F332" i="21"/>
  <c r="D333" i="21"/>
  <c r="E333" i="21"/>
  <c r="F333" i="21"/>
  <c r="D334" i="21"/>
  <c r="E334" i="21"/>
  <c r="F334" i="21"/>
  <c r="D335" i="21"/>
  <c r="E335" i="21"/>
  <c r="F335" i="21"/>
  <c r="D338" i="21"/>
  <c r="E338" i="21"/>
  <c r="F338" i="21"/>
  <c r="D345" i="21"/>
  <c r="E345" i="21"/>
  <c r="F345" i="21"/>
  <c r="E346" i="21"/>
  <c r="F346" i="21"/>
  <c r="D347" i="21"/>
  <c r="E347" i="21"/>
  <c r="F347" i="21"/>
  <c r="D350" i="21"/>
  <c r="E350" i="21"/>
  <c r="F350" i="21"/>
  <c r="E353" i="21"/>
  <c r="F353" i="21"/>
  <c r="E362" i="21"/>
  <c r="F362" i="21"/>
  <c r="F1440" i="21"/>
  <c r="E374" i="21"/>
  <c r="F374" i="21"/>
  <c r="D378" i="21"/>
  <c r="E378" i="21"/>
  <c r="F378" i="21"/>
  <c r="E382" i="21"/>
  <c r="F382" i="21"/>
  <c r="E387" i="21"/>
  <c r="F387" i="21"/>
  <c r="D390" i="21"/>
  <c r="E390" i="21"/>
  <c r="F390" i="21"/>
  <c r="E392" i="21"/>
  <c r="F392" i="21"/>
  <c r="D396" i="21"/>
  <c r="E396" i="21"/>
  <c r="F396" i="21"/>
  <c r="E398" i="21"/>
  <c r="F398" i="21"/>
  <c r="D404" i="21"/>
  <c r="E404" i="21"/>
  <c r="F404" i="21"/>
  <c r="D405" i="21"/>
  <c r="E405" i="21"/>
  <c r="F405" i="21"/>
  <c r="E410" i="21"/>
  <c r="E1507" i="21"/>
  <c r="F410" i="21"/>
  <c r="E419" i="21"/>
  <c r="F419" i="21"/>
  <c r="D423" i="21"/>
  <c r="E423" i="21"/>
  <c r="F423" i="21"/>
  <c r="D424" i="21"/>
  <c r="E424" i="21"/>
  <c r="F424" i="21"/>
  <c r="D427" i="21"/>
  <c r="E427" i="21"/>
  <c r="F427" i="21"/>
  <c r="D429" i="21"/>
  <c r="E429" i="21"/>
  <c r="F429" i="21"/>
  <c r="D433" i="21"/>
  <c r="E433" i="21"/>
  <c r="F433" i="21"/>
  <c r="D439" i="21"/>
  <c r="E439" i="21"/>
  <c r="F439" i="21"/>
  <c r="E444" i="21"/>
  <c r="F444" i="21"/>
  <c r="E454" i="21"/>
  <c r="F454" i="21"/>
  <c r="E458" i="21"/>
  <c r="E1417" i="21"/>
  <c r="F458" i="21"/>
  <c r="E463" i="21"/>
  <c r="F463" i="21"/>
  <c r="E479" i="21"/>
  <c r="F479" i="21"/>
  <c r="E483" i="21"/>
  <c r="F483" i="21"/>
  <c r="E492" i="21"/>
  <c r="F492" i="21"/>
  <c r="D498" i="21"/>
  <c r="E498" i="21"/>
  <c r="F498" i="21"/>
  <c r="E501" i="21"/>
  <c r="F501" i="21"/>
  <c r="D504" i="21"/>
  <c r="E504" i="21"/>
  <c r="F504" i="21"/>
  <c r="E506" i="21"/>
  <c r="F506" i="21"/>
  <c r="E511" i="21"/>
  <c r="F511" i="21"/>
  <c r="D512" i="21"/>
  <c r="E512" i="21"/>
  <c r="F512" i="21"/>
  <c r="E518" i="21"/>
  <c r="F518" i="21"/>
  <c r="F1526" i="21"/>
  <c r="E526" i="21"/>
  <c r="F526" i="21"/>
  <c r="E531" i="21"/>
  <c r="F531" i="21"/>
  <c r="E537" i="21"/>
  <c r="F537" i="21"/>
  <c r="F1542" i="21"/>
  <c r="E543" i="21"/>
  <c r="F543" i="21"/>
  <c r="E548" i="21"/>
  <c r="F548" i="21"/>
  <c r="D551" i="21"/>
  <c r="E551" i="21"/>
  <c r="F551" i="21"/>
  <c r="E555" i="21"/>
  <c r="F555" i="21"/>
  <c r="D564" i="21"/>
  <c r="E564" i="21"/>
  <c r="F564" i="21"/>
  <c r="D565" i="21"/>
  <c r="E565" i="21"/>
  <c r="F565" i="21"/>
  <c r="E566" i="21"/>
  <c r="F566" i="21"/>
  <c r="D567" i="21"/>
  <c r="E567" i="21"/>
  <c r="F567" i="21"/>
  <c r="D568" i="21"/>
  <c r="E568" i="21"/>
  <c r="F568" i="21"/>
  <c r="E573" i="21"/>
  <c r="F573" i="21"/>
  <c r="E587" i="21"/>
  <c r="F587" i="21"/>
  <c r="D594" i="21"/>
  <c r="E594" i="21"/>
  <c r="F594" i="21"/>
  <c r="E595" i="21"/>
  <c r="F595" i="21"/>
  <c r="D598" i="21"/>
  <c r="E598" i="21"/>
  <c r="F598" i="21"/>
  <c r="E605" i="21"/>
  <c r="F605" i="21"/>
  <c r="E610" i="21"/>
  <c r="F610" i="21"/>
  <c r="D613" i="21"/>
  <c r="E613" i="21"/>
  <c r="F613" i="21"/>
  <c r="D616" i="21"/>
  <c r="E616" i="21"/>
  <c r="F616" i="21"/>
  <c r="E622" i="21"/>
  <c r="F622" i="21"/>
  <c r="E633" i="21"/>
  <c r="F633" i="21"/>
  <c r="D637" i="21"/>
  <c r="E637" i="21"/>
  <c r="F637" i="21"/>
  <c r="E644" i="21"/>
  <c r="F644" i="21"/>
  <c r="D646" i="21"/>
  <c r="E646" i="21"/>
  <c r="F646" i="21"/>
  <c r="E648" i="21"/>
  <c r="F648" i="21"/>
  <c r="D651" i="21"/>
  <c r="E651" i="21"/>
  <c r="F651" i="21"/>
  <c r="E655" i="21"/>
  <c r="F655" i="21"/>
  <c r="D663" i="21"/>
  <c r="E663" i="21"/>
  <c r="F663" i="21"/>
  <c r="D664" i="21"/>
  <c r="E664" i="21"/>
  <c r="F664" i="21"/>
  <c r="D665" i="21"/>
  <c r="E665" i="21"/>
  <c r="F665" i="21"/>
  <c r="D667" i="21"/>
  <c r="E667" i="21"/>
  <c r="F667" i="21"/>
  <c r="D670" i="21"/>
  <c r="E670" i="21"/>
  <c r="F670" i="21"/>
  <c r="D672" i="21"/>
  <c r="E672" i="21"/>
  <c r="F672" i="21"/>
  <c r="D677" i="21"/>
  <c r="E677" i="21"/>
  <c r="F677" i="21"/>
  <c r="E681" i="21"/>
  <c r="F681" i="21"/>
  <c r="E693" i="21"/>
  <c r="F693" i="21"/>
  <c r="D698" i="21"/>
  <c r="E698" i="21"/>
  <c r="F698" i="21"/>
  <c r="D704" i="21"/>
  <c r="E704" i="21"/>
  <c r="F704" i="21"/>
  <c r="E708" i="21"/>
  <c r="F708" i="21"/>
  <c r="E724" i="21"/>
  <c r="F724" i="21"/>
  <c r="E733" i="21"/>
  <c r="E742" i="21"/>
  <c r="F733" i="21"/>
  <c r="F741" i="21"/>
  <c r="D741" i="21"/>
  <c r="D742" i="21"/>
  <c r="F742" i="21"/>
  <c r="D743" i="21"/>
  <c r="E743" i="21"/>
  <c r="F743" i="21"/>
  <c r="E744" i="21"/>
  <c r="F744" i="21"/>
  <c r="E746" i="21"/>
  <c r="E792" i="21"/>
  <c r="F746" i="21"/>
  <c r="F778" i="21"/>
  <c r="D751" i="21"/>
  <c r="E751" i="21"/>
  <c r="F751" i="21"/>
  <c r="D755" i="21"/>
  <c r="E755" i="21"/>
  <c r="F755" i="21"/>
  <c r="E756" i="21"/>
  <c r="F756" i="21"/>
  <c r="D759" i="21"/>
  <c r="E759" i="21"/>
  <c r="F759" i="21"/>
  <c r="D765" i="21"/>
  <c r="E765" i="21"/>
  <c r="D766" i="21"/>
  <c r="E766" i="21"/>
  <c r="F766" i="21"/>
  <c r="D769" i="21"/>
  <c r="E769" i="21"/>
  <c r="F769" i="21"/>
  <c r="D777" i="21"/>
  <c r="E777" i="21"/>
  <c r="F777" i="21"/>
  <c r="D778" i="21"/>
  <c r="D781" i="21"/>
  <c r="E781" i="21"/>
  <c r="F781" i="21"/>
  <c r="D782" i="21"/>
  <c r="E782" i="21"/>
  <c r="F782" i="21"/>
  <c r="D783" i="21"/>
  <c r="D787" i="21"/>
  <c r="E787" i="21"/>
  <c r="F787" i="21"/>
  <c r="D788" i="21"/>
  <c r="E788" i="21"/>
  <c r="F788" i="21"/>
  <c r="D791" i="21"/>
  <c r="E791" i="21"/>
  <c r="F791" i="21"/>
  <c r="D792" i="21"/>
  <c r="F792" i="21"/>
  <c r="D796" i="21"/>
  <c r="E796" i="21"/>
  <c r="F796" i="21"/>
  <c r="D797" i="21"/>
  <c r="E797" i="21"/>
  <c r="F797" i="21"/>
  <c r="D798" i="21"/>
  <c r="E798" i="21"/>
  <c r="F798" i="21"/>
  <c r="D808" i="21"/>
  <c r="E808" i="21"/>
  <c r="F808" i="21"/>
  <c r="D810" i="21"/>
  <c r="E810" i="21"/>
  <c r="F810" i="21"/>
  <c r="D812" i="21"/>
  <c r="E812" i="21"/>
  <c r="F812" i="21"/>
  <c r="E815" i="21"/>
  <c r="F815" i="21"/>
  <c r="D818" i="21"/>
  <c r="E818" i="21"/>
  <c r="F818" i="21"/>
  <c r="E819" i="21"/>
  <c r="F819" i="21"/>
  <c r="E824" i="21"/>
  <c r="F824" i="21"/>
  <c r="D830" i="21"/>
  <c r="E830" i="21"/>
  <c r="F830" i="21"/>
  <c r="D834" i="21"/>
  <c r="E834" i="21"/>
  <c r="F834" i="21"/>
  <c r="D835" i="21"/>
  <c r="F835" i="21"/>
  <c r="D836" i="21"/>
  <c r="E836" i="21"/>
  <c r="F836" i="21"/>
  <c r="D837" i="21"/>
  <c r="E837" i="21"/>
  <c r="F837" i="21"/>
  <c r="D838" i="21"/>
  <c r="E838" i="21"/>
  <c r="F838" i="21"/>
  <c r="D839" i="21"/>
  <c r="E839" i="21"/>
  <c r="F839" i="21"/>
  <c r="D840" i="21"/>
  <c r="E840" i="21"/>
  <c r="F840" i="21"/>
  <c r="D841" i="21"/>
  <c r="E841" i="21"/>
  <c r="F841" i="21"/>
  <c r="D842" i="21"/>
  <c r="E842" i="21"/>
  <c r="F842" i="21"/>
  <c r="D843" i="21"/>
  <c r="E843" i="21"/>
  <c r="F843" i="21"/>
  <c r="D844" i="21"/>
  <c r="E844" i="21"/>
  <c r="F844" i="21"/>
  <c r="D845" i="21"/>
  <c r="E845" i="21"/>
  <c r="F845" i="21"/>
  <c r="D846" i="21"/>
  <c r="F846" i="21"/>
  <c r="D847" i="21"/>
  <c r="E847" i="21"/>
  <c r="F847" i="21"/>
  <c r="D848" i="21"/>
  <c r="E848" i="21"/>
  <c r="F848" i="21"/>
  <c r="D849" i="21"/>
  <c r="E849" i="21"/>
  <c r="F849" i="21"/>
  <c r="D850" i="21"/>
  <c r="E850" i="21"/>
  <c r="F850" i="21"/>
  <c r="D851" i="21"/>
  <c r="E851" i="21"/>
  <c r="F851" i="21"/>
  <c r="D852" i="21"/>
  <c r="E852" i="21"/>
  <c r="F852" i="21"/>
  <c r="D853" i="21"/>
  <c r="E853" i="21"/>
  <c r="F853" i="21"/>
  <c r="D854" i="21"/>
  <c r="E854" i="21"/>
  <c r="F854" i="21"/>
  <c r="D855" i="21"/>
  <c r="F855" i="21"/>
  <c r="D856" i="21"/>
  <c r="E856" i="21"/>
  <c r="F856" i="21"/>
  <c r="D857" i="21"/>
  <c r="E857" i="21"/>
  <c r="F857" i="21"/>
  <c r="D858" i="21"/>
  <c r="E858" i="21"/>
  <c r="F858" i="21"/>
  <c r="D859" i="21"/>
  <c r="E859" i="21"/>
  <c r="F859" i="21"/>
  <c r="D860" i="21"/>
  <c r="E860" i="21"/>
  <c r="F860" i="21"/>
  <c r="D861" i="21"/>
  <c r="E861" i="21"/>
  <c r="F861" i="21"/>
  <c r="D862" i="21"/>
  <c r="E862" i="21"/>
  <c r="F862" i="21"/>
  <c r="D863" i="21"/>
  <c r="F863" i="21"/>
  <c r="D864" i="21"/>
  <c r="F864" i="21"/>
  <c r="D865" i="21"/>
  <c r="E865" i="21"/>
  <c r="F865" i="21"/>
  <c r="D866" i="21"/>
  <c r="E866" i="21"/>
  <c r="F866" i="21"/>
  <c r="D867" i="21"/>
  <c r="E867" i="21"/>
  <c r="F867" i="21"/>
  <c r="D868" i="21"/>
  <c r="E868" i="21"/>
  <c r="F868" i="21"/>
  <c r="D869" i="21"/>
  <c r="E869" i="21"/>
  <c r="F869" i="21"/>
  <c r="D870" i="21"/>
  <c r="D871" i="21"/>
  <c r="E871" i="21"/>
  <c r="F871" i="21"/>
  <c r="D872" i="21"/>
  <c r="E872" i="21"/>
  <c r="F872" i="21"/>
  <c r="D873" i="21"/>
  <c r="E873" i="21"/>
  <c r="F873" i="21"/>
  <c r="D874" i="21"/>
  <c r="E874" i="21"/>
  <c r="F874" i="21"/>
  <c r="D875" i="21"/>
  <c r="E875" i="21"/>
  <c r="F875" i="21"/>
  <c r="D876" i="21"/>
  <c r="E876" i="21"/>
  <c r="F876" i="21"/>
  <c r="D878" i="21"/>
  <c r="D888" i="21"/>
  <c r="E878" i="21"/>
  <c r="E888" i="21"/>
  <c r="F878" i="21"/>
  <c r="F888" i="21"/>
  <c r="D879" i="21"/>
  <c r="E879" i="21"/>
  <c r="D880" i="21"/>
  <c r="E880" i="21"/>
  <c r="F880" i="21"/>
  <c r="D881" i="21"/>
  <c r="E881" i="21"/>
  <c r="F881" i="21"/>
  <c r="D882" i="21"/>
  <c r="E882" i="21"/>
  <c r="F882" i="21"/>
  <c r="D883" i="21"/>
  <c r="E883" i="21"/>
  <c r="F883" i="21"/>
  <c r="D885" i="21"/>
  <c r="F885" i="21"/>
  <c r="D886" i="21"/>
  <c r="E886" i="21"/>
  <c r="F886" i="21"/>
  <c r="D887" i="21"/>
  <c r="E887" i="21"/>
  <c r="D889" i="21"/>
  <c r="E889" i="21"/>
  <c r="F889" i="21"/>
  <c r="D890" i="21"/>
  <c r="E890" i="21"/>
  <c r="F890" i="21"/>
  <c r="D891" i="21"/>
  <c r="E891" i="21"/>
  <c r="F891" i="21"/>
  <c r="D892" i="21"/>
  <c r="E892" i="21"/>
  <c r="F892" i="21"/>
  <c r="D893" i="21"/>
  <c r="E893" i="21"/>
  <c r="F893" i="21"/>
  <c r="D894" i="21"/>
  <c r="E894" i="21"/>
  <c r="F894" i="21"/>
  <c r="D895" i="21"/>
  <c r="E895" i="21"/>
  <c r="F895" i="21"/>
  <c r="D896" i="21"/>
  <c r="D897" i="21"/>
  <c r="D898" i="21"/>
  <c r="E898" i="21"/>
  <c r="F898" i="21"/>
  <c r="D899" i="21"/>
  <c r="E899" i="21"/>
  <c r="F899" i="21"/>
  <c r="D900" i="21"/>
  <c r="D901" i="21"/>
  <c r="E901" i="21"/>
  <c r="F901" i="21"/>
  <c r="D902" i="21"/>
  <c r="E902" i="21"/>
  <c r="F902" i="21"/>
  <c r="D903" i="21"/>
  <c r="F903" i="21"/>
  <c r="D904" i="21"/>
  <c r="E904" i="21"/>
  <c r="F904" i="21"/>
  <c r="D905" i="21"/>
  <c r="E905" i="21"/>
  <c r="F905" i="21"/>
  <c r="D906" i="21"/>
  <c r="E906" i="21"/>
  <c r="F906" i="21"/>
  <c r="D907" i="21"/>
  <c r="E907" i="21"/>
  <c r="F907" i="21"/>
  <c r="D908" i="21"/>
  <c r="E908" i="21"/>
  <c r="F908" i="21"/>
  <c r="D909" i="21"/>
  <c r="E909" i="21"/>
  <c r="F909" i="21"/>
  <c r="D910" i="21"/>
  <c r="E910" i="21"/>
  <c r="F910" i="21"/>
  <c r="D911" i="21"/>
  <c r="E911" i="21"/>
  <c r="F911" i="21"/>
  <c r="E912" i="21"/>
  <c r="D913" i="21"/>
  <c r="D914" i="21"/>
  <c r="E914" i="21"/>
  <c r="F914" i="21"/>
  <c r="D915" i="21"/>
  <c r="E915" i="21"/>
  <c r="F915" i="21"/>
  <c r="D916" i="21"/>
  <c r="E916" i="21"/>
  <c r="F916" i="21"/>
  <c r="D917" i="21"/>
  <c r="E917" i="21"/>
  <c r="F917" i="21"/>
  <c r="D918" i="21"/>
  <c r="E918" i="21"/>
  <c r="F918" i="21"/>
  <c r="D919" i="21"/>
  <c r="E919" i="21"/>
  <c r="F919" i="21"/>
  <c r="D920" i="21"/>
  <c r="D921" i="21"/>
  <c r="E921" i="21"/>
  <c r="F921" i="21"/>
  <c r="D922" i="21"/>
  <c r="E922" i="21"/>
  <c r="F922" i="21"/>
  <c r="D923" i="21"/>
  <c r="F923" i="21"/>
  <c r="D924" i="21"/>
  <c r="E924" i="21"/>
  <c r="F924" i="21"/>
  <c r="D925" i="21"/>
  <c r="E925" i="21"/>
  <c r="F925" i="21"/>
  <c r="D926" i="21"/>
  <c r="E926" i="21"/>
  <c r="F926" i="21"/>
  <c r="D927" i="21"/>
  <c r="E927" i="21"/>
  <c r="F927" i="21"/>
  <c r="D928" i="21"/>
  <c r="E928" i="21"/>
  <c r="F928" i="21"/>
  <c r="D929" i="21"/>
  <c r="E929" i="21"/>
  <c r="F929" i="21"/>
  <c r="D931" i="21"/>
  <c r="E931" i="21"/>
  <c r="F931" i="21"/>
  <c r="D932" i="21"/>
  <c r="F932" i="21"/>
  <c r="D933" i="21"/>
  <c r="E933" i="21"/>
  <c r="F933" i="21"/>
  <c r="D934" i="21"/>
  <c r="E934" i="21"/>
  <c r="F934" i="21"/>
  <c r="D935" i="21"/>
  <c r="E935" i="21"/>
  <c r="F935" i="21"/>
  <c r="D936" i="21"/>
  <c r="F936" i="21"/>
  <c r="D937" i="21"/>
  <c r="E937" i="21"/>
  <c r="F937" i="21"/>
  <c r="D938" i="21"/>
  <c r="E938" i="21"/>
  <c r="F938" i="21"/>
  <c r="D939" i="21"/>
  <c r="E939" i="21"/>
  <c r="F939" i="21"/>
  <c r="D940" i="21"/>
  <c r="E940" i="21"/>
  <c r="F940" i="21"/>
  <c r="D941" i="21"/>
  <c r="E941" i="21"/>
  <c r="F941" i="21"/>
  <c r="D942" i="21"/>
  <c r="E942" i="21"/>
  <c r="F942" i="21"/>
  <c r="D943" i="21"/>
  <c r="E943" i="21"/>
  <c r="F943" i="21"/>
  <c r="D944" i="21"/>
  <c r="E944" i="21"/>
  <c r="F944" i="21"/>
  <c r="D945" i="21"/>
  <c r="E945" i="21"/>
  <c r="F945" i="21"/>
  <c r="D946" i="21"/>
  <c r="E946" i="21"/>
  <c r="F946" i="21"/>
  <c r="D947" i="21"/>
  <c r="E947" i="21"/>
  <c r="F947" i="21"/>
  <c r="D948" i="21"/>
  <c r="E948" i="21"/>
  <c r="F948" i="21"/>
  <c r="D949" i="21"/>
  <c r="E949" i="21"/>
  <c r="F949" i="21"/>
  <c r="D950" i="21"/>
  <c r="E950" i="21"/>
  <c r="F950" i="21"/>
  <c r="D951" i="21"/>
  <c r="E951" i="21"/>
  <c r="F951" i="21"/>
  <c r="D952" i="21"/>
  <c r="E952" i="21"/>
  <c r="F952" i="21"/>
  <c r="D953" i="21"/>
  <c r="E953" i="21"/>
  <c r="F953" i="21"/>
  <c r="D954" i="21"/>
  <c r="E954" i="21"/>
  <c r="F954" i="21"/>
  <c r="D955" i="21"/>
  <c r="F955" i="21"/>
  <c r="D956" i="21"/>
  <c r="E956" i="21"/>
  <c r="F956" i="21"/>
  <c r="D957" i="21"/>
  <c r="E957" i="21"/>
  <c r="F957" i="21"/>
  <c r="D958" i="21"/>
  <c r="E958" i="21"/>
  <c r="F958" i="21"/>
  <c r="D959" i="21"/>
  <c r="F959" i="21"/>
  <c r="D960" i="21"/>
  <c r="E960" i="21"/>
  <c r="F960" i="21"/>
  <c r="D961" i="21"/>
  <c r="E961" i="21"/>
  <c r="F961" i="21"/>
  <c r="D962" i="21"/>
  <c r="E962" i="21"/>
  <c r="F962" i="21"/>
  <c r="D963" i="21"/>
  <c r="E963" i="21"/>
  <c r="F963" i="21"/>
  <c r="D964" i="21"/>
  <c r="E964" i="21"/>
  <c r="F964" i="21"/>
  <c r="D965" i="21"/>
  <c r="E965" i="21"/>
  <c r="F965" i="21"/>
  <c r="D966" i="21"/>
  <c r="E966" i="21"/>
  <c r="F966" i="21"/>
  <c r="D967" i="21"/>
  <c r="E967" i="21"/>
  <c r="F967" i="21"/>
  <c r="D968" i="21"/>
  <c r="D1022" i="21"/>
  <c r="E968" i="21"/>
  <c r="F968" i="21"/>
  <c r="F1022" i="21"/>
  <c r="D969" i="21"/>
  <c r="E969" i="21"/>
  <c r="F969" i="21"/>
  <c r="D970" i="21"/>
  <c r="E970" i="21"/>
  <c r="F970" i="21"/>
  <c r="D971" i="21"/>
  <c r="E971" i="21"/>
  <c r="F971" i="21"/>
  <c r="D972" i="21"/>
  <c r="E972" i="21"/>
  <c r="F972" i="21"/>
  <c r="D973" i="21"/>
  <c r="E973" i="21"/>
  <c r="F973" i="21"/>
  <c r="D974" i="21"/>
  <c r="E974" i="21"/>
  <c r="F974" i="21"/>
  <c r="D975" i="21"/>
  <c r="E975" i="21"/>
  <c r="F975" i="21"/>
  <c r="D976" i="21"/>
  <c r="E976" i="21"/>
  <c r="F976" i="21"/>
  <c r="D977" i="21"/>
  <c r="E977" i="21"/>
  <c r="F977" i="21"/>
  <c r="D978" i="21"/>
  <c r="F978" i="21"/>
  <c r="D979" i="21"/>
  <c r="E979" i="21"/>
  <c r="F979" i="21"/>
  <c r="D980" i="21"/>
  <c r="E980" i="21"/>
  <c r="F980" i="21"/>
  <c r="D981" i="21"/>
  <c r="E981" i="21"/>
  <c r="F981" i="21"/>
  <c r="D982" i="21"/>
  <c r="E982" i="21"/>
  <c r="F982" i="21"/>
  <c r="D983" i="21"/>
  <c r="E983" i="21"/>
  <c r="F983" i="21"/>
  <c r="D984" i="21"/>
  <c r="E984" i="21"/>
  <c r="F984" i="21"/>
  <c r="D985" i="21"/>
  <c r="E985" i="21"/>
  <c r="F985" i="21"/>
  <c r="D986" i="21"/>
  <c r="E986" i="21"/>
  <c r="F986" i="21"/>
  <c r="D988" i="21"/>
  <c r="F988" i="21"/>
  <c r="D989" i="21"/>
  <c r="E989" i="21"/>
  <c r="F989" i="21"/>
  <c r="D990" i="21"/>
  <c r="E990" i="21"/>
  <c r="F990" i="21"/>
  <c r="D991" i="21"/>
  <c r="E991" i="21"/>
  <c r="F991" i="21"/>
  <c r="D992" i="21"/>
  <c r="E992" i="21"/>
  <c r="F992" i="21"/>
  <c r="D993" i="21"/>
  <c r="E993" i="21"/>
  <c r="F993" i="21"/>
  <c r="D994" i="21"/>
  <c r="E994" i="21"/>
  <c r="F994" i="21"/>
  <c r="D995" i="21"/>
  <c r="F995" i="21"/>
  <c r="D996" i="21"/>
  <c r="E996" i="21"/>
  <c r="F996" i="21"/>
  <c r="D997" i="21"/>
  <c r="E997" i="21"/>
  <c r="F997" i="21"/>
  <c r="D998" i="21"/>
  <c r="E998" i="21"/>
  <c r="F998" i="21"/>
  <c r="D999" i="21"/>
  <c r="E999" i="21"/>
  <c r="F999" i="21"/>
  <c r="D1000" i="21"/>
  <c r="E1000" i="21"/>
  <c r="F1000" i="21"/>
  <c r="D1001" i="21"/>
  <c r="E1001" i="21"/>
  <c r="F1001" i="21"/>
  <c r="D1002" i="21"/>
  <c r="E1002" i="21"/>
  <c r="F1002" i="21"/>
  <c r="D1003" i="21"/>
  <c r="E1003" i="21"/>
  <c r="F1003" i="21"/>
  <c r="D1004" i="21"/>
  <c r="E1004" i="21"/>
  <c r="F1004" i="21"/>
  <c r="D1005" i="21"/>
  <c r="F1005" i="21"/>
  <c r="D1006" i="21"/>
  <c r="E1006" i="21"/>
  <c r="F1006" i="21"/>
  <c r="D1007" i="21"/>
  <c r="E1007" i="21"/>
  <c r="F1007" i="21"/>
  <c r="D1008" i="21"/>
  <c r="E1008" i="21"/>
  <c r="F1008" i="21"/>
  <c r="D1009" i="21"/>
  <c r="E1009" i="21"/>
  <c r="F1009" i="21"/>
  <c r="D1010" i="21"/>
  <c r="F1010" i="21"/>
  <c r="D1011" i="21"/>
  <c r="E1011" i="21"/>
  <c r="F1011" i="21"/>
  <c r="D1012" i="21"/>
  <c r="E1012" i="21"/>
  <c r="F1012" i="21"/>
  <c r="D1013" i="21"/>
  <c r="E1013" i="21"/>
  <c r="F1013" i="21"/>
  <c r="D1014" i="21"/>
  <c r="E1014" i="21"/>
  <c r="F1014" i="21"/>
  <c r="D1015" i="21"/>
  <c r="E1015" i="21"/>
  <c r="F1015" i="21"/>
  <c r="D1016" i="21"/>
  <c r="E1016" i="21"/>
  <c r="F1016" i="21"/>
  <c r="D1017" i="21"/>
  <c r="E1017" i="21"/>
  <c r="F1017" i="21"/>
  <c r="D1018" i="21"/>
  <c r="E1018" i="21"/>
  <c r="F1018" i="21"/>
  <c r="D1019" i="21"/>
  <c r="E1019" i="21"/>
  <c r="F1019" i="21"/>
  <c r="D1020" i="21"/>
  <c r="E1020" i="21"/>
  <c r="F1020" i="21"/>
  <c r="D1021" i="21"/>
  <c r="E1021" i="21"/>
  <c r="F1021" i="21"/>
  <c r="E1022" i="21"/>
  <c r="D1024" i="21"/>
  <c r="E1024" i="21"/>
  <c r="F1024" i="21"/>
  <c r="D1025" i="21"/>
  <c r="D1026" i="21"/>
  <c r="E1026" i="21"/>
  <c r="F1026" i="21"/>
  <c r="D1027" i="21"/>
  <c r="E1027" i="21"/>
  <c r="F1027" i="21"/>
  <c r="D1028" i="21"/>
  <c r="E1028" i="21"/>
  <c r="F1028" i="21"/>
  <c r="D1029" i="21"/>
  <c r="E1029" i="21"/>
  <c r="F1029" i="21"/>
  <c r="D1030" i="21"/>
  <c r="E1030" i="21"/>
  <c r="F1030" i="21"/>
  <c r="D1031" i="21"/>
  <c r="E1031" i="21"/>
  <c r="F1031" i="21"/>
  <c r="D1032" i="21"/>
  <c r="E1032" i="21"/>
  <c r="F1032" i="21"/>
  <c r="D1033" i="21"/>
  <c r="E1033" i="21"/>
  <c r="F1033" i="21"/>
  <c r="D1034" i="21"/>
  <c r="F1034" i="21"/>
  <c r="D1035" i="21"/>
  <c r="E1035" i="21"/>
  <c r="F1035" i="21"/>
  <c r="D1036" i="21"/>
  <c r="E1036" i="21"/>
  <c r="F1036" i="21"/>
  <c r="D1037" i="21"/>
  <c r="E1037" i="21"/>
  <c r="F1037" i="21"/>
  <c r="D1038" i="21"/>
  <c r="E1038" i="21"/>
  <c r="F1038" i="21"/>
  <c r="D1039" i="21"/>
  <c r="E1039" i="21"/>
  <c r="F1039" i="21"/>
  <c r="D1040" i="21"/>
  <c r="E1040" i="21"/>
  <c r="F1040" i="21"/>
  <c r="D1041" i="21"/>
  <c r="D1042" i="21"/>
  <c r="E1042" i="21"/>
  <c r="F1042" i="21"/>
  <c r="D1043" i="21"/>
  <c r="E1043" i="21"/>
  <c r="F1043" i="21"/>
  <c r="D1044" i="21"/>
  <c r="E1044" i="21"/>
  <c r="F1044" i="21"/>
  <c r="D1045" i="21"/>
  <c r="E1045" i="21"/>
  <c r="F1045" i="21"/>
  <c r="D1046" i="21"/>
  <c r="E1046" i="21"/>
  <c r="F1046" i="21"/>
  <c r="D1047" i="21"/>
  <c r="E1047" i="21"/>
  <c r="F1047" i="21"/>
  <c r="D1048" i="21"/>
  <c r="E1048" i="21"/>
  <c r="F1048" i="21"/>
  <c r="D1049" i="21"/>
  <c r="E1049" i="21"/>
  <c r="F1049" i="21"/>
  <c r="D1050" i="21"/>
  <c r="E1050" i="21"/>
  <c r="F1050" i="21"/>
  <c r="D1051" i="21"/>
  <c r="F1051" i="21"/>
  <c r="D1052" i="21"/>
  <c r="E1052" i="21"/>
  <c r="F1052" i="21"/>
  <c r="D1053" i="21"/>
  <c r="E1053" i="21"/>
  <c r="F1053" i="21"/>
  <c r="D1054" i="21"/>
  <c r="E1054" i="21"/>
  <c r="F1054" i="21"/>
  <c r="D1055" i="21"/>
  <c r="E1055" i="21"/>
  <c r="F1055" i="21"/>
  <c r="D1056" i="21"/>
  <c r="E1056" i="21"/>
  <c r="F1056" i="21"/>
  <c r="D1057" i="21"/>
  <c r="F1057" i="21"/>
  <c r="D1058" i="21"/>
  <c r="E1058" i="21"/>
  <c r="F1058" i="21"/>
  <c r="D1059" i="21"/>
  <c r="E1059" i="21"/>
  <c r="F1059" i="21"/>
  <c r="D1060" i="21"/>
  <c r="E1060" i="21"/>
  <c r="F1060" i="21"/>
  <c r="D1061" i="21"/>
  <c r="E1061" i="21"/>
  <c r="F1061" i="21"/>
  <c r="D1062" i="21"/>
  <c r="E1062" i="21"/>
  <c r="F1062" i="21"/>
  <c r="D1063" i="21"/>
  <c r="E1063" i="21"/>
  <c r="F1063" i="21"/>
  <c r="D1064" i="21"/>
  <c r="F1064" i="21"/>
  <c r="D1065" i="21"/>
  <c r="E1065" i="21"/>
  <c r="F1065" i="21"/>
  <c r="D1066" i="21"/>
  <c r="E1066" i="21"/>
  <c r="F1066" i="21"/>
  <c r="D1067" i="21"/>
  <c r="E1067" i="21"/>
  <c r="F1067" i="21"/>
  <c r="D1068" i="21"/>
  <c r="E1068" i="21"/>
  <c r="F1068" i="21"/>
  <c r="D1069" i="21"/>
  <c r="E1069" i="21"/>
  <c r="F1069" i="21"/>
  <c r="D1070" i="21"/>
  <c r="E1070" i="21"/>
  <c r="F1070" i="21"/>
  <c r="D1071" i="21"/>
  <c r="D1074" i="21"/>
  <c r="E1071" i="21"/>
  <c r="E1074" i="21"/>
  <c r="F1071" i="21"/>
  <c r="F1074" i="21"/>
  <c r="D1072" i="21"/>
  <c r="E1072" i="21"/>
  <c r="F1072" i="21"/>
  <c r="D1073" i="21"/>
  <c r="E1073" i="21"/>
  <c r="F1073" i="21"/>
  <c r="D1075" i="21"/>
  <c r="E1075" i="21"/>
  <c r="F1075" i="21"/>
  <c r="D1076" i="21"/>
  <c r="E1076" i="21"/>
  <c r="F1076" i="21"/>
  <c r="D1077" i="21"/>
  <c r="E1077" i="21"/>
  <c r="F1077" i="21"/>
  <c r="D1078" i="21"/>
  <c r="E1078" i="21"/>
  <c r="F1078" i="21"/>
  <c r="D1079" i="21"/>
  <c r="E1079" i="21"/>
  <c r="F1079" i="21"/>
  <c r="D1080" i="21"/>
  <c r="E1080" i="21"/>
  <c r="F1080" i="21"/>
  <c r="D1081" i="21"/>
  <c r="E1081" i="21"/>
  <c r="F1081" i="21"/>
  <c r="D1082" i="21"/>
  <c r="E1082" i="21"/>
  <c r="F1082" i="21"/>
  <c r="D1083" i="21"/>
  <c r="E1083" i="21"/>
  <c r="F1083" i="21"/>
  <c r="D1084" i="21"/>
  <c r="E1084" i="21"/>
  <c r="F1084" i="21"/>
  <c r="D1085" i="21"/>
  <c r="E1085" i="21"/>
  <c r="F1085" i="21"/>
  <c r="D1086" i="21"/>
  <c r="E1086" i="21"/>
  <c r="F1086" i="21"/>
  <c r="D1087" i="21"/>
  <c r="E1087" i="21"/>
  <c r="F1087" i="21"/>
  <c r="D1088" i="21"/>
  <c r="D1089" i="21"/>
  <c r="F1089" i="21"/>
  <c r="D1090" i="21"/>
  <c r="E1090" i="21"/>
  <c r="F1090" i="21"/>
  <c r="D1091" i="21"/>
  <c r="D1092" i="21"/>
  <c r="D1093" i="21"/>
  <c r="E1093" i="21"/>
  <c r="F1093" i="21"/>
  <c r="D1094" i="21"/>
  <c r="E1094" i="21"/>
  <c r="F1094" i="21"/>
  <c r="D1096" i="21"/>
  <c r="E1096" i="21"/>
  <c r="F1096" i="21"/>
  <c r="D1097" i="21"/>
  <c r="E1097" i="21"/>
  <c r="F1097" i="21"/>
  <c r="D1098" i="21"/>
  <c r="D1095" i="21"/>
  <c r="F1098" i="21"/>
  <c r="F1095" i="21"/>
  <c r="D1099" i="21"/>
  <c r="E1099" i="21"/>
  <c r="F1099" i="21"/>
  <c r="D1100" i="21"/>
  <c r="E1100" i="21"/>
  <c r="F1100" i="21"/>
  <c r="D1101" i="21"/>
  <c r="E1101" i="21"/>
  <c r="F1101" i="21"/>
  <c r="D1102" i="21"/>
  <c r="E1102" i="21"/>
  <c r="F1102" i="21"/>
  <c r="D1103" i="21"/>
  <c r="E1103" i="21"/>
  <c r="F1103" i="21"/>
  <c r="D1104" i="21"/>
  <c r="E1104" i="21"/>
  <c r="F1104" i="21"/>
  <c r="D1105" i="21"/>
  <c r="E1105" i="21"/>
  <c r="F1105" i="21"/>
  <c r="D1106" i="21"/>
  <c r="E1106" i="21"/>
  <c r="F1106" i="21"/>
  <c r="D1107" i="21"/>
  <c r="E1107" i="21"/>
  <c r="F1107" i="21"/>
  <c r="D1108" i="21"/>
  <c r="E1108" i="21"/>
  <c r="F1108" i="21"/>
  <c r="D1109" i="21"/>
  <c r="E1109" i="21"/>
  <c r="F1109" i="21"/>
  <c r="D1110" i="21"/>
  <c r="E1110" i="21"/>
  <c r="F1110" i="21"/>
  <c r="D1111" i="21"/>
  <c r="E1111" i="21"/>
  <c r="F1111" i="21"/>
  <c r="D1112" i="21"/>
  <c r="E1112" i="21"/>
  <c r="F1112" i="21"/>
  <c r="D1113" i="21"/>
  <c r="D1114" i="21"/>
  <c r="E1114" i="21"/>
  <c r="F1114" i="21"/>
  <c r="D1115" i="21"/>
  <c r="E1115" i="21"/>
  <c r="F1115" i="21"/>
  <c r="D1116" i="21"/>
  <c r="E1116" i="21"/>
  <c r="F1116" i="21"/>
  <c r="D1117" i="21"/>
  <c r="E1117" i="21"/>
  <c r="F1117" i="21"/>
  <c r="D1118" i="21"/>
  <c r="E1118" i="21"/>
  <c r="F1118" i="21"/>
  <c r="D1119" i="21"/>
  <c r="E1119" i="21"/>
  <c r="F1119" i="21"/>
  <c r="D1120" i="21"/>
  <c r="E1120" i="21"/>
  <c r="F1120" i="21"/>
  <c r="D1121" i="21"/>
  <c r="D1122" i="21"/>
  <c r="E1122" i="21"/>
  <c r="F1122" i="21"/>
  <c r="D1123" i="21"/>
  <c r="E1123" i="21"/>
  <c r="F1123" i="21"/>
  <c r="D1124" i="21"/>
  <c r="E1124" i="21"/>
  <c r="F1124" i="21"/>
  <c r="D1125" i="21"/>
  <c r="E1125" i="21"/>
  <c r="D1126" i="21"/>
  <c r="E1126" i="21"/>
  <c r="F1126" i="21"/>
  <c r="D1127" i="21"/>
  <c r="E1127" i="21"/>
  <c r="F1127" i="21"/>
  <c r="D1128" i="21"/>
  <c r="E1128" i="21"/>
  <c r="F1128" i="21"/>
  <c r="D1129" i="21"/>
  <c r="D1130" i="21"/>
  <c r="E1130" i="21"/>
  <c r="F1130" i="21"/>
  <c r="D1131" i="21"/>
  <c r="E1131" i="21"/>
  <c r="F1131" i="21"/>
  <c r="D1132" i="21"/>
  <c r="D1133" i="21"/>
  <c r="D1134" i="21"/>
  <c r="E1134" i="21"/>
  <c r="F1134" i="21"/>
  <c r="D1135" i="21"/>
  <c r="E1135" i="21"/>
  <c r="F1135" i="21"/>
  <c r="D1136" i="21"/>
  <c r="E1136" i="21"/>
  <c r="F1136" i="21"/>
  <c r="D1137" i="21"/>
  <c r="E1137" i="21"/>
  <c r="F1137" i="21"/>
  <c r="D1138" i="21"/>
  <c r="E1138" i="21"/>
  <c r="F1138" i="21"/>
  <c r="D1139" i="21"/>
  <c r="E1139" i="21"/>
  <c r="F1139" i="21"/>
  <c r="D1140" i="21"/>
  <c r="E1140" i="21"/>
  <c r="F1140" i="21"/>
  <c r="D1141" i="21"/>
  <c r="E1141" i="21"/>
  <c r="F1141" i="21"/>
  <c r="D1142" i="21"/>
  <c r="F1142" i="21"/>
  <c r="D1143" i="21"/>
  <c r="E1143" i="21"/>
  <c r="F1143" i="21"/>
  <c r="D1144" i="21"/>
  <c r="E1144" i="21"/>
  <c r="F1144" i="21"/>
  <c r="D1145" i="21"/>
  <c r="D1146" i="21"/>
  <c r="E1146" i="21"/>
  <c r="F1146" i="21"/>
  <c r="D1147" i="21"/>
  <c r="E1147" i="21"/>
  <c r="F1147" i="21"/>
  <c r="D1148" i="21"/>
  <c r="E1148" i="21"/>
  <c r="F1148" i="21"/>
  <c r="D1149" i="21"/>
  <c r="E1149" i="21"/>
  <c r="F1149" i="21"/>
  <c r="D1150" i="21"/>
  <c r="E1150" i="21"/>
  <c r="F1150" i="21"/>
  <c r="D1151" i="21"/>
  <c r="E1151" i="21"/>
  <c r="F1151" i="21"/>
  <c r="D1152" i="21"/>
  <c r="E1152" i="21"/>
  <c r="F1152" i="21"/>
  <c r="D1153" i="21"/>
  <c r="E1153" i="21"/>
  <c r="F1153" i="21"/>
  <c r="D1154" i="21"/>
  <c r="E1154" i="21"/>
  <c r="F1154" i="21"/>
  <c r="D1155" i="21"/>
  <c r="F1155" i="21"/>
  <c r="D1156" i="21"/>
  <c r="E1156" i="21"/>
  <c r="F1156" i="21"/>
  <c r="D1157" i="21"/>
  <c r="E1157" i="21"/>
  <c r="F1157" i="21"/>
  <c r="D1158" i="21"/>
  <c r="E1158" i="21"/>
  <c r="F1158" i="21"/>
  <c r="D1159" i="21"/>
  <c r="E1159" i="21"/>
  <c r="F1159" i="21"/>
  <c r="D1160" i="21"/>
  <c r="E1160" i="21"/>
  <c r="F1160" i="21"/>
  <c r="D1161" i="21"/>
  <c r="E1161" i="21"/>
  <c r="F1161" i="21"/>
  <c r="D1162" i="21"/>
  <c r="E1162" i="21"/>
  <c r="F1162" i="21"/>
  <c r="D1163" i="21"/>
  <c r="E1163" i="21"/>
  <c r="F1163" i="21"/>
  <c r="D1164" i="21"/>
  <c r="E1164" i="21"/>
  <c r="F1164" i="21"/>
  <c r="D1165" i="21"/>
  <c r="E1165" i="21"/>
  <c r="F1165" i="21"/>
  <c r="D1166" i="21"/>
  <c r="E1166" i="21"/>
  <c r="D1167" i="21"/>
  <c r="F1167" i="21"/>
  <c r="D1168" i="21"/>
  <c r="E1168" i="21"/>
  <c r="F1168" i="21"/>
  <c r="D1169" i="21"/>
  <c r="E1169" i="21"/>
  <c r="F1169" i="21"/>
  <c r="D1170" i="21"/>
  <c r="E1170" i="21"/>
  <c r="F1170" i="21"/>
  <c r="D1171" i="21"/>
  <c r="E1171" i="21"/>
  <c r="F1171" i="21"/>
  <c r="D1174" i="21"/>
  <c r="E1174" i="21"/>
  <c r="F1174" i="21"/>
  <c r="D1175" i="21"/>
  <c r="E1175" i="21"/>
  <c r="F1175" i="21"/>
  <c r="D1176" i="21"/>
  <c r="E1176" i="21"/>
  <c r="F1176" i="21"/>
  <c r="D1177" i="21"/>
  <c r="E1177" i="21"/>
  <c r="F1177" i="21"/>
  <c r="D1178" i="21"/>
  <c r="E1178" i="21"/>
  <c r="D1179" i="21"/>
  <c r="D1180" i="21"/>
  <c r="E1180" i="21"/>
  <c r="F1180" i="21"/>
  <c r="D1181" i="21"/>
  <c r="E1181" i="21"/>
  <c r="F1181" i="21"/>
  <c r="D1182" i="21"/>
  <c r="E1182" i="21"/>
  <c r="F1182" i="21"/>
  <c r="D1183" i="21"/>
  <c r="E1183" i="21"/>
  <c r="F1183" i="21"/>
  <c r="D1185" i="21"/>
  <c r="E1185" i="21"/>
  <c r="F1185" i="21"/>
  <c r="D1186" i="21"/>
  <c r="E1186" i="21"/>
  <c r="F1186" i="21"/>
  <c r="D1190" i="21"/>
  <c r="E1190" i="21"/>
  <c r="F1190" i="21"/>
  <c r="D1191" i="21"/>
  <c r="E1191" i="21"/>
  <c r="F1191" i="21"/>
  <c r="D1193" i="21"/>
  <c r="E1193" i="21"/>
  <c r="F1193" i="21"/>
  <c r="D1199" i="21"/>
  <c r="E1199" i="21"/>
  <c r="F1199" i="21"/>
  <c r="D1200" i="21"/>
  <c r="F1200" i="21"/>
  <c r="D1203" i="21"/>
  <c r="E1203" i="21"/>
  <c r="F1203" i="21"/>
  <c r="D1204" i="21"/>
  <c r="F1204" i="21"/>
  <c r="D1205" i="21"/>
  <c r="E1205" i="21"/>
  <c r="F1205" i="21"/>
  <c r="D1206" i="21"/>
  <c r="E1206" i="21"/>
  <c r="F1206" i="21"/>
  <c r="D1218" i="21"/>
  <c r="E1218" i="21"/>
  <c r="F1218" i="21"/>
  <c r="D1219" i="21"/>
  <c r="D1207" i="21"/>
  <c r="F1219" i="21"/>
  <c r="F1201" i="21"/>
  <c r="D1220" i="21"/>
  <c r="E1220" i="21"/>
  <c r="F1220" i="21"/>
  <c r="D1221" i="21"/>
  <c r="E1221" i="21"/>
  <c r="F1221" i="21"/>
  <c r="D1222" i="21"/>
  <c r="E1222" i="21"/>
  <c r="F1222" i="21"/>
  <c r="D1223" i="21"/>
  <c r="E1223" i="21"/>
  <c r="F1223" i="21"/>
  <c r="D1224" i="21"/>
  <c r="E1224" i="21"/>
  <c r="F1224" i="21"/>
  <c r="D1225" i="21"/>
  <c r="E1225" i="21"/>
  <c r="F1225" i="21"/>
  <c r="D1227" i="21"/>
  <c r="E1227" i="21"/>
  <c r="F1227" i="21"/>
  <c r="D1228" i="21"/>
  <c r="E1228" i="21"/>
  <c r="F1228" i="21"/>
  <c r="D1229" i="21"/>
  <c r="E1229" i="21"/>
  <c r="F1229" i="21"/>
  <c r="D1231" i="21"/>
  <c r="E1231" i="21"/>
  <c r="F1231" i="21"/>
  <c r="D1232" i="21"/>
  <c r="E1232" i="21"/>
  <c r="F1232" i="21"/>
  <c r="D1233" i="21"/>
  <c r="E1233" i="21"/>
  <c r="F1233" i="21"/>
  <c r="D1234" i="21"/>
  <c r="E1234" i="21"/>
  <c r="F1234" i="21"/>
  <c r="D1235" i="21"/>
  <c r="E1235" i="21"/>
  <c r="F1235" i="21"/>
  <c r="D1236" i="21"/>
  <c r="E1236" i="21"/>
  <c r="D1237" i="21"/>
  <c r="E1237" i="21"/>
  <c r="F1237" i="21"/>
  <c r="D1238" i="21"/>
  <c r="E1238" i="21"/>
  <c r="F1238" i="21"/>
  <c r="D1239" i="21"/>
  <c r="E1239" i="21"/>
  <c r="F1239" i="21"/>
  <c r="D1240" i="21"/>
  <c r="E1240" i="21"/>
  <c r="F1240" i="21"/>
  <c r="D1241" i="21"/>
  <c r="E1241" i="21"/>
  <c r="F1241" i="21"/>
  <c r="D1242" i="21"/>
  <c r="E1242" i="21"/>
  <c r="F1242" i="21"/>
  <c r="D1243" i="21"/>
  <c r="E1243" i="21"/>
  <c r="F1243" i="21"/>
  <c r="D1244" i="21"/>
  <c r="E1244" i="21"/>
  <c r="F1244" i="21"/>
  <c r="D1245" i="21"/>
  <c r="E1245" i="21"/>
  <c r="F1245" i="21"/>
  <c r="D1246" i="21"/>
  <c r="E1246" i="21"/>
  <c r="F1246" i="21"/>
  <c r="D1247" i="21"/>
  <c r="E1247" i="21"/>
  <c r="F1247" i="21"/>
  <c r="D1248" i="21"/>
  <c r="E1248" i="21"/>
  <c r="F1248" i="21"/>
  <c r="D1249" i="21"/>
  <c r="E1249" i="21"/>
  <c r="F1249" i="21"/>
  <c r="D1250" i="21"/>
  <c r="E1250" i="21"/>
  <c r="F1250" i="21"/>
  <c r="D1251" i="21"/>
  <c r="E1251" i="21"/>
  <c r="F1251" i="21"/>
  <c r="D1252" i="21"/>
  <c r="E1252" i="21"/>
  <c r="F1252" i="21"/>
  <c r="D1253" i="21"/>
  <c r="E1253" i="21"/>
  <c r="F1253" i="21"/>
  <c r="D1254" i="21"/>
  <c r="F1254" i="21"/>
  <c r="D1255" i="21"/>
  <c r="E1255" i="21"/>
  <c r="F1255" i="21"/>
  <c r="D1256" i="21"/>
  <c r="E1256" i="21"/>
  <c r="F1256" i="21"/>
  <c r="D1257" i="21"/>
  <c r="E1257" i="21"/>
  <c r="F1257" i="21"/>
  <c r="D1258" i="21"/>
  <c r="E1258" i="21"/>
  <c r="F1258" i="21"/>
  <c r="D1259" i="21"/>
  <c r="E1259" i="21"/>
  <c r="F1259" i="21"/>
  <c r="D1260" i="21"/>
  <c r="E1260" i="21"/>
  <c r="F1260" i="21"/>
  <c r="D1261" i="21"/>
  <c r="E1261" i="21"/>
  <c r="F1261" i="21"/>
  <c r="D1263" i="21"/>
  <c r="E1263" i="21"/>
  <c r="F1263" i="21"/>
  <c r="D1264" i="21"/>
  <c r="E1264" i="21"/>
  <c r="F1264" i="21"/>
  <c r="D1265" i="21"/>
  <c r="E1265" i="21"/>
  <c r="F1265" i="21"/>
  <c r="D1266" i="21"/>
  <c r="E1266" i="21"/>
  <c r="F1266" i="21"/>
  <c r="D1267" i="21"/>
  <c r="E1267" i="21"/>
  <c r="F1267" i="21"/>
  <c r="D1268" i="21"/>
  <c r="E1268" i="21"/>
  <c r="F1268" i="21"/>
  <c r="D1269" i="21"/>
  <c r="E1269" i="21"/>
  <c r="F1269" i="21"/>
  <c r="D1270" i="21"/>
  <c r="E1270" i="21"/>
  <c r="F1270" i="21"/>
  <c r="D1271" i="21"/>
  <c r="E1271" i="21"/>
  <c r="F1271" i="21"/>
  <c r="D1272" i="21"/>
  <c r="E1272" i="21"/>
  <c r="F1272" i="21"/>
  <c r="D1273" i="21"/>
  <c r="E1273" i="21"/>
  <c r="F1273" i="21"/>
  <c r="D1274" i="21"/>
  <c r="E1274" i="21"/>
  <c r="F1274" i="21"/>
  <c r="D1275" i="21"/>
  <c r="F1275" i="21"/>
  <c r="D1276" i="21"/>
  <c r="E1276" i="21"/>
  <c r="F1276" i="21"/>
  <c r="D1277" i="21"/>
  <c r="E1277" i="21"/>
  <c r="F1277" i="21"/>
  <c r="D1278" i="21"/>
  <c r="E1278" i="21"/>
  <c r="F1278" i="21"/>
  <c r="D1279" i="21"/>
  <c r="E1279" i="21"/>
  <c r="F1279" i="21"/>
  <c r="D1280" i="21"/>
  <c r="E1280" i="21"/>
  <c r="F1280" i="21"/>
  <c r="D1281" i="21"/>
  <c r="E1281" i="21"/>
  <c r="F1281" i="21"/>
  <c r="D1282" i="21"/>
  <c r="E1282" i="21"/>
  <c r="F1282" i="21"/>
  <c r="D1283" i="21"/>
  <c r="E1283" i="21"/>
  <c r="F1283" i="21"/>
  <c r="D1284" i="21"/>
  <c r="E1284" i="21"/>
  <c r="F1284" i="21"/>
  <c r="D1286" i="21"/>
  <c r="E1286" i="21"/>
  <c r="F1286" i="21"/>
  <c r="D1287" i="21"/>
  <c r="E1287" i="21"/>
  <c r="F1287" i="21"/>
  <c r="D1288" i="21"/>
  <c r="E1288" i="21"/>
  <c r="F1288" i="21"/>
  <c r="D1289" i="21"/>
  <c r="E1289" i="21"/>
  <c r="F1289" i="21"/>
  <c r="D1290" i="21"/>
  <c r="F1290" i="21"/>
  <c r="D1291" i="21"/>
  <c r="E1291" i="21"/>
  <c r="F1291" i="21"/>
  <c r="D1292" i="21"/>
  <c r="E1292" i="21"/>
  <c r="F1292" i="21"/>
  <c r="D1293" i="21"/>
  <c r="E1293" i="21"/>
  <c r="F1293" i="21"/>
  <c r="D1294" i="21"/>
  <c r="E1294" i="21"/>
  <c r="F1294" i="21"/>
  <c r="D1295" i="21"/>
  <c r="E1295" i="21"/>
  <c r="F1295" i="21"/>
  <c r="D1296" i="21"/>
  <c r="E1296" i="21"/>
  <c r="F1296" i="21"/>
  <c r="D1297" i="21"/>
  <c r="E1297" i="21"/>
  <c r="F1297" i="21"/>
  <c r="D1299" i="21"/>
  <c r="E1299" i="21"/>
  <c r="F1299" i="21"/>
  <c r="D1300" i="21"/>
  <c r="E1300" i="21"/>
  <c r="F1300" i="21"/>
  <c r="D1301" i="21"/>
  <c r="E1301" i="21"/>
  <c r="F1301" i="21"/>
  <c r="D1302" i="21"/>
  <c r="E1302" i="21"/>
  <c r="F1302" i="21"/>
  <c r="D1303" i="21"/>
  <c r="E1303" i="21"/>
  <c r="F1303" i="21"/>
  <c r="D1304" i="21"/>
  <c r="E1304" i="21"/>
  <c r="F1304" i="21"/>
  <c r="D1305" i="21"/>
  <c r="E1305" i="21"/>
  <c r="F1305" i="21"/>
  <c r="D1306" i="21"/>
  <c r="E1306" i="21"/>
  <c r="F1306" i="21"/>
  <c r="D1308" i="21"/>
  <c r="E1308" i="21"/>
  <c r="F1308" i="21"/>
  <c r="D1309" i="21"/>
  <c r="E1309" i="21"/>
  <c r="F1309" i="21"/>
  <c r="D1310" i="21"/>
  <c r="E1310" i="21"/>
  <c r="F1310" i="21"/>
  <c r="D1313" i="21"/>
  <c r="E1313" i="21"/>
  <c r="F1313" i="21"/>
  <c r="D1314" i="21"/>
  <c r="E1314" i="21"/>
  <c r="F1314" i="21"/>
  <c r="D1315" i="21"/>
  <c r="E1315" i="21"/>
  <c r="F1315" i="21"/>
  <c r="D1316" i="21"/>
  <c r="E1316" i="21"/>
  <c r="F1316" i="21"/>
  <c r="D1318" i="21"/>
  <c r="E1318" i="21"/>
  <c r="F1318" i="21"/>
  <c r="D1320" i="21"/>
  <c r="E1320" i="21"/>
  <c r="F1320" i="21"/>
  <c r="D1321" i="21"/>
  <c r="E1321" i="21"/>
  <c r="F1321" i="21"/>
  <c r="D1322" i="21"/>
  <c r="E1322" i="21"/>
  <c r="F1322" i="21"/>
  <c r="D1323" i="21"/>
  <c r="E1323" i="21"/>
  <c r="F1323" i="21"/>
  <c r="D1324" i="21"/>
  <c r="E1324" i="21"/>
  <c r="F1324" i="21"/>
  <c r="D1325" i="21"/>
  <c r="E1325" i="21"/>
  <c r="F1325" i="21"/>
  <c r="D1326" i="21"/>
  <c r="E1326" i="21"/>
  <c r="F1326" i="21"/>
  <c r="D1327" i="21"/>
  <c r="E1327" i="21"/>
  <c r="F1327" i="21"/>
  <c r="D1328" i="21"/>
  <c r="E1328" i="21"/>
  <c r="F1328" i="21"/>
  <c r="D1329" i="21"/>
  <c r="E1329" i="21"/>
  <c r="F1329" i="21"/>
  <c r="D1330" i="21"/>
  <c r="E1330" i="21"/>
  <c r="F1330" i="21"/>
  <c r="D1331" i="21"/>
  <c r="E1331" i="21"/>
  <c r="F1331" i="21"/>
  <c r="D1332" i="21"/>
  <c r="E1332" i="21"/>
  <c r="F1332" i="21"/>
  <c r="D1333" i="21"/>
  <c r="E1333" i="21"/>
  <c r="F1333" i="21"/>
  <c r="D1335" i="21"/>
  <c r="E1335" i="21"/>
  <c r="F1335" i="21"/>
  <c r="D1336" i="21"/>
  <c r="E1336" i="21"/>
  <c r="F1336" i="21"/>
  <c r="D1339" i="21"/>
  <c r="E1339" i="21"/>
  <c r="F1339" i="21"/>
  <c r="D1340" i="21"/>
  <c r="E1340" i="21"/>
  <c r="F1340" i="21"/>
  <c r="D1341" i="21"/>
  <c r="E1341" i="21"/>
  <c r="F1341" i="21"/>
  <c r="D1342" i="21"/>
  <c r="E1342" i="21"/>
  <c r="F1342" i="21"/>
  <c r="D1343" i="21"/>
  <c r="E1343" i="21"/>
  <c r="F1343" i="21"/>
  <c r="D1345" i="21"/>
  <c r="E1345" i="21"/>
  <c r="F1345" i="21"/>
  <c r="D1346" i="21"/>
  <c r="E1346" i="21"/>
  <c r="D1348" i="21"/>
  <c r="E1348" i="21"/>
  <c r="F1348" i="21"/>
  <c r="D1349" i="21"/>
  <c r="E1349" i="21"/>
  <c r="F1349" i="21"/>
  <c r="D1350" i="21"/>
  <c r="E1350" i="21"/>
  <c r="F1350" i="21"/>
  <c r="D1351" i="21"/>
  <c r="E1351" i="21"/>
  <c r="F1351" i="21"/>
  <c r="D1352" i="21"/>
  <c r="E1352" i="21"/>
  <c r="F1352" i="21"/>
  <c r="D1353" i="21"/>
  <c r="E1353" i="21"/>
  <c r="F1353" i="21"/>
  <c r="D1354" i="21"/>
  <c r="E1354" i="21"/>
  <c r="F1354" i="21"/>
  <c r="D1355" i="21"/>
  <c r="E1355" i="21"/>
  <c r="F1355" i="21"/>
  <c r="D1356" i="21"/>
  <c r="E1356" i="21"/>
  <c r="F1356" i="21"/>
  <c r="D1357" i="21"/>
  <c r="E1357" i="21"/>
  <c r="F1357" i="21"/>
  <c r="D1359" i="21"/>
  <c r="E1359" i="21"/>
  <c r="F1359" i="21"/>
  <c r="D1360" i="21"/>
  <c r="E1360" i="21"/>
  <c r="F1360" i="21"/>
  <c r="D1361" i="21"/>
  <c r="E1361" i="21"/>
  <c r="F1361" i="21"/>
  <c r="D1362" i="21"/>
  <c r="E1362" i="21"/>
  <c r="F1362" i="21"/>
  <c r="D1363" i="21"/>
  <c r="E1363" i="21"/>
  <c r="F1363" i="21"/>
  <c r="D1364" i="21"/>
  <c r="F1364" i="21"/>
  <c r="D1365" i="21"/>
  <c r="E1365" i="21"/>
  <c r="F1365" i="21"/>
  <c r="D1367" i="21"/>
  <c r="E1367" i="21"/>
  <c r="F1367" i="21"/>
  <c r="D1369" i="21"/>
  <c r="F1369" i="21"/>
  <c r="D1370" i="21"/>
  <c r="E1370" i="21"/>
  <c r="F1370" i="21"/>
  <c r="D1371" i="21"/>
  <c r="E1371" i="21"/>
  <c r="F1371" i="21"/>
  <c r="D1372" i="21"/>
  <c r="E1372" i="21"/>
  <c r="F1372" i="21"/>
  <c r="D1373" i="21"/>
  <c r="E1373" i="21"/>
  <c r="F1373" i="21"/>
  <c r="D1374" i="21"/>
  <c r="E1374" i="21"/>
  <c r="F1374" i="21"/>
  <c r="D1375" i="21"/>
  <c r="E1375" i="21"/>
  <c r="F1375" i="21"/>
  <c r="D1377" i="21"/>
  <c r="E1377" i="21"/>
  <c r="F1377" i="21"/>
  <c r="D1378" i="21"/>
  <c r="E1378" i="21"/>
  <c r="F1378" i="21"/>
  <c r="D1379" i="21"/>
  <c r="E1379" i="21"/>
  <c r="F1379" i="21"/>
  <c r="D1380" i="21"/>
  <c r="E1380" i="21"/>
  <c r="F1380" i="21"/>
  <c r="D1382" i="21"/>
  <c r="E1382" i="21"/>
  <c r="F1382" i="21"/>
  <c r="D1384" i="21"/>
  <c r="E1384" i="21"/>
  <c r="F1384" i="21"/>
  <c r="D1385" i="21"/>
  <c r="E1385" i="21"/>
  <c r="F1385" i="21"/>
  <c r="D1386" i="21"/>
  <c r="E1386" i="21"/>
  <c r="F1386" i="21"/>
  <c r="D1387" i="21"/>
  <c r="E1387" i="21"/>
  <c r="F1387" i="21"/>
  <c r="D1388" i="21"/>
  <c r="E1388" i="21"/>
  <c r="F1388" i="21"/>
  <c r="D1389" i="21"/>
  <c r="D1390" i="21"/>
  <c r="E1389" i="21"/>
  <c r="E1390" i="21"/>
  <c r="F1389" i="21"/>
  <c r="F1390" i="21"/>
  <c r="D1391" i="21"/>
  <c r="E1391" i="21"/>
  <c r="F1391" i="21"/>
  <c r="D1393" i="21"/>
  <c r="F1393" i="21"/>
  <c r="D1394" i="21"/>
  <c r="E1394" i="21"/>
  <c r="F1394" i="21"/>
  <c r="D1397" i="21"/>
  <c r="E1397" i="21"/>
  <c r="F1397" i="21"/>
  <c r="D1398" i="21"/>
  <c r="E1398" i="21"/>
  <c r="D1399" i="21"/>
  <c r="E1399" i="21"/>
  <c r="F1399" i="21"/>
  <c r="D1400" i="21"/>
  <c r="E1400" i="21"/>
  <c r="F1400" i="21"/>
  <c r="D1402" i="21"/>
  <c r="E1402" i="21"/>
  <c r="F1402" i="21"/>
  <c r="D1403" i="21"/>
  <c r="E1403" i="21"/>
  <c r="F1403" i="21"/>
  <c r="D1404" i="21"/>
  <c r="E1404" i="21"/>
  <c r="F1404" i="21"/>
  <c r="D1405" i="21"/>
  <c r="E1405" i="21"/>
  <c r="D1406" i="21"/>
  <c r="F1406" i="21"/>
  <c r="D1407" i="21"/>
  <c r="E1407" i="21"/>
  <c r="F1407" i="21"/>
  <c r="D1408" i="21"/>
  <c r="E1408" i="21"/>
  <c r="F1408" i="21"/>
  <c r="D1409" i="21"/>
  <c r="E1409" i="21"/>
  <c r="F1409" i="21"/>
  <c r="D1410" i="21"/>
  <c r="E1410" i="21"/>
  <c r="F1410" i="21"/>
  <c r="D1411" i="21"/>
  <c r="E1411" i="21"/>
  <c r="F1411" i="21"/>
  <c r="D1412" i="21"/>
  <c r="E1412" i="21"/>
  <c r="F1412" i="21"/>
  <c r="D1413" i="21"/>
  <c r="D1414" i="21"/>
  <c r="F1413" i="21"/>
  <c r="F1414" i="21"/>
  <c r="D1415" i="21"/>
  <c r="F1415" i="21"/>
  <c r="D1416" i="21"/>
  <c r="E1416" i="21"/>
  <c r="F1416" i="21"/>
  <c r="D1417" i="21"/>
  <c r="F1417" i="21"/>
  <c r="D1418" i="21"/>
  <c r="E1418" i="21"/>
  <c r="F1418" i="21"/>
  <c r="D1419" i="21"/>
  <c r="E1419" i="21"/>
  <c r="F1419" i="21"/>
  <c r="D1420" i="21"/>
  <c r="E1420" i="21"/>
  <c r="D1421" i="21"/>
  <c r="E1421" i="21"/>
  <c r="F1421" i="21"/>
  <c r="D1422" i="21"/>
  <c r="E1422" i="21"/>
  <c r="F1422" i="21"/>
  <c r="D1423" i="21"/>
  <c r="E1423" i="21"/>
  <c r="F1423" i="21"/>
  <c r="D1424" i="21"/>
  <c r="E1424" i="21"/>
  <c r="F1424" i="21"/>
  <c r="D1425" i="21"/>
  <c r="E1425" i="21"/>
  <c r="F1425" i="21"/>
  <c r="D1426" i="21"/>
  <c r="E1426" i="21"/>
  <c r="D1427" i="21"/>
  <c r="E1427" i="21"/>
  <c r="F1427" i="21"/>
  <c r="D1428" i="21"/>
  <c r="E1428" i="21"/>
  <c r="D1429" i="21"/>
  <c r="E1429" i="21"/>
  <c r="F1429" i="21"/>
  <c r="D1430" i="21"/>
  <c r="E1430" i="21"/>
  <c r="F1430" i="21"/>
  <c r="D1431" i="21"/>
  <c r="E1431" i="21"/>
  <c r="F1431" i="21"/>
  <c r="D1432" i="21"/>
  <c r="E1432" i="21"/>
  <c r="F1432" i="21"/>
  <c r="D1433" i="21"/>
  <c r="E1433" i="21"/>
  <c r="F1433" i="21"/>
  <c r="D1435" i="21"/>
  <c r="E1435" i="21"/>
  <c r="F1435" i="21"/>
  <c r="D1436" i="21"/>
  <c r="E1436" i="21"/>
  <c r="F1436" i="21"/>
  <c r="D1437" i="21"/>
  <c r="E1437" i="21"/>
  <c r="F1437" i="21"/>
  <c r="D1438" i="21"/>
  <c r="E1438" i="21"/>
  <c r="F1438" i="21"/>
  <c r="D1439" i="21"/>
  <c r="E1439" i="21"/>
  <c r="F1439" i="21"/>
  <c r="D1440" i="21"/>
  <c r="E1440" i="21"/>
  <c r="D1441" i="21"/>
  <c r="E1441" i="21"/>
  <c r="F1441" i="21"/>
  <c r="D1442" i="21"/>
  <c r="E1442" i="21"/>
  <c r="F1442" i="21"/>
  <c r="D1443" i="21"/>
  <c r="E1443" i="21"/>
  <c r="F1443" i="21"/>
  <c r="D1444" i="21"/>
  <c r="E1444" i="21"/>
  <c r="F1444" i="21"/>
  <c r="D1445" i="21"/>
  <c r="E1445" i="21"/>
  <c r="F1445" i="21"/>
  <c r="D1446" i="21"/>
  <c r="E1446" i="21"/>
  <c r="F1446" i="21"/>
  <c r="D1447" i="21"/>
  <c r="E1447" i="21"/>
  <c r="F1447" i="21"/>
  <c r="D1448" i="21"/>
  <c r="E1448" i="21"/>
  <c r="F1448" i="21"/>
  <c r="D1449" i="21"/>
  <c r="E1449" i="21"/>
  <c r="F1449" i="21"/>
  <c r="D1450" i="21"/>
  <c r="E1450" i="21"/>
  <c r="F1450" i="21"/>
  <c r="D1451" i="21"/>
  <c r="E1451" i="21"/>
  <c r="D1452" i="21"/>
  <c r="E1452" i="21"/>
  <c r="F1452" i="21"/>
  <c r="D1453" i="21"/>
  <c r="E1453" i="21"/>
  <c r="F1453" i="21"/>
  <c r="D1454" i="21"/>
  <c r="E1454" i="21"/>
  <c r="F1454" i="21"/>
  <c r="D1455" i="21"/>
  <c r="E1455" i="21"/>
  <c r="D1456" i="21"/>
  <c r="E1456" i="21"/>
  <c r="F1456" i="21"/>
  <c r="D1457" i="21"/>
  <c r="E1457" i="21"/>
  <c r="F1457" i="21"/>
  <c r="D1458" i="21"/>
  <c r="F1458" i="21"/>
  <c r="D1459" i="21"/>
  <c r="E1459" i="21"/>
  <c r="F1459" i="21"/>
  <c r="D1460" i="21"/>
  <c r="E1460" i="21"/>
  <c r="F1460" i="21"/>
  <c r="D1461" i="21"/>
  <c r="E1461" i="21"/>
  <c r="F1461" i="21"/>
  <c r="D1462" i="21"/>
  <c r="E1462" i="21"/>
  <c r="F1462" i="21"/>
  <c r="D1463" i="21"/>
  <c r="E1463" i="21"/>
  <c r="F1463" i="21"/>
  <c r="D1464" i="21"/>
  <c r="E1464" i="21"/>
  <c r="F1464" i="21"/>
  <c r="D1466" i="21"/>
  <c r="E1466" i="21"/>
  <c r="F1466" i="21"/>
  <c r="D1467" i="21"/>
  <c r="F1467" i="21"/>
  <c r="D1468" i="21"/>
  <c r="E1468" i="21"/>
  <c r="F1468" i="21"/>
  <c r="D1469" i="21"/>
  <c r="E1469" i="21"/>
  <c r="F1469" i="21"/>
  <c r="D1470" i="21"/>
  <c r="E1470" i="21"/>
  <c r="F1470" i="21"/>
  <c r="D1471" i="21"/>
  <c r="E1471" i="21"/>
  <c r="F1471" i="21"/>
  <c r="D1473" i="21"/>
  <c r="E1473" i="21"/>
  <c r="F1473" i="21"/>
  <c r="D1477" i="21"/>
  <c r="E1477" i="21"/>
  <c r="F1477" i="21"/>
  <c r="D1478" i="21"/>
  <c r="E1478" i="21"/>
  <c r="F1478" i="21"/>
  <c r="D1479" i="21"/>
  <c r="E1479" i="21"/>
  <c r="F1479" i="21"/>
  <c r="D1481" i="21"/>
  <c r="F1481" i="21"/>
  <c r="D1482" i="21"/>
  <c r="E1482" i="21"/>
  <c r="F1482" i="21"/>
  <c r="D1483" i="21"/>
  <c r="E1483" i="21"/>
  <c r="F1483" i="21"/>
  <c r="D1484" i="21"/>
  <c r="E1484" i="21"/>
  <c r="F1484" i="21"/>
  <c r="D1485" i="21"/>
  <c r="E1485" i="21"/>
  <c r="F1485" i="21"/>
  <c r="D1486" i="21"/>
  <c r="E1486" i="21"/>
  <c r="F1486" i="21"/>
  <c r="D1487" i="21"/>
  <c r="E1487" i="21"/>
  <c r="F1487" i="21"/>
  <c r="D1488" i="21"/>
  <c r="E1488" i="21"/>
  <c r="F1488" i="21"/>
  <c r="D1489" i="21"/>
  <c r="F1489" i="21"/>
  <c r="D1490" i="21"/>
  <c r="E1490" i="21"/>
  <c r="F1490" i="21"/>
  <c r="D1491" i="21"/>
  <c r="F1491" i="21"/>
  <c r="D1492" i="21"/>
  <c r="E1492" i="21"/>
  <c r="F1492" i="21"/>
  <c r="D1493" i="21"/>
  <c r="F1493" i="21"/>
  <c r="D1494" i="21"/>
  <c r="E1494" i="21"/>
  <c r="F1494" i="21"/>
  <c r="D1495" i="21"/>
  <c r="E1495" i="21"/>
  <c r="F1495" i="21"/>
  <c r="D1497" i="21"/>
  <c r="E1497" i="21"/>
  <c r="D1498" i="21"/>
  <c r="E1498" i="21"/>
  <c r="F1498" i="21"/>
  <c r="D1499" i="21"/>
  <c r="E1499" i="21"/>
  <c r="F1499" i="21"/>
  <c r="D1500" i="21"/>
  <c r="E1500" i="21"/>
  <c r="F1500" i="21"/>
  <c r="D1501" i="21"/>
  <c r="E1501" i="21"/>
  <c r="F1501" i="21"/>
  <c r="D1503" i="21"/>
  <c r="E1503" i="21"/>
  <c r="F1503" i="21"/>
  <c r="D1504" i="21"/>
  <c r="F1504" i="21"/>
  <c r="D1505" i="21"/>
  <c r="F1505" i="21"/>
  <c r="D1506" i="21"/>
  <c r="E1506" i="21"/>
  <c r="F1506" i="21"/>
  <c r="D1507" i="21"/>
  <c r="F1507" i="21"/>
  <c r="D1509" i="21"/>
  <c r="E1509" i="21"/>
  <c r="F1509" i="21"/>
  <c r="D1510" i="21"/>
  <c r="E1510" i="21"/>
  <c r="F1510" i="21"/>
  <c r="D1511" i="21"/>
  <c r="E1511" i="21"/>
  <c r="F1511" i="21"/>
  <c r="D1512" i="21"/>
  <c r="E1512" i="21"/>
  <c r="F1512" i="21"/>
  <c r="D1513" i="21"/>
  <c r="E1513" i="21"/>
  <c r="F1513" i="21"/>
  <c r="D1514" i="21"/>
  <c r="E1514" i="21"/>
  <c r="F1514" i="21"/>
  <c r="D1515" i="21"/>
  <c r="F1515" i="21"/>
  <c r="D1516" i="21"/>
  <c r="E1516" i="21"/>
  <c r="F1516" i="21"/>
  <c r="D1517" i="21"/>
  <c r="E1517" i="21"/>
  <c r="F1517" i="21"/>
  <c r="D1518" i="21"/>
  <c r="E1518" i="21"/>
  <c r="F1518" i="21"/>
  <c r="D1519" i="21"/>
  <c r="E1519" i="21"/>
  <c r="F1519" i="21"/>
  <c r="D1520" i="21"/>
  <c r="E1520" i="21"/>
  <c r="F1520" i="21"/>
  <c r="D1521" i="21"/>
  <c r="E1521" i="21"/>
  <c r="F1521" i="21"/>
  <c r="D1522" i="21"/>
  <c r="E1522" i="21"/>
  <c r="F1522" i="21"/>
  <c r="D1523" i="21"/>
  <c r="E1523" i="21"/>
  <c r="F1523" i="21"/>
  <c r="D1524" i="21"/>
  <c r="E1524" i="21"/>
  <c r="D1525" i="21"/>
  <c r="E1525" i="21"/>
  <c r="F1525" i="21"/>
  <c r="D1526" i="21"/>
  <c r="E1526" i="21"/>
  <c r="D1527" i="21"/>
  <c r="E1527" i="21"/>
  <c r="F1527" i="21"/>
  <c r="D1528" i="21"/>
  <c r="E1528" i="21"/>
  <c r="F1528" i="21"/>
  <c r="D1529" i="21"/>
  <c r="E1529" i="21"/>
  <c r="F1529" i="21"/>
  <c r="D1530" i="21"/>
  <c r="E1530" i="21"/>
  <c r="F1530" i="21"/>
  <c r="D1531" i="21"/>
  <c r="E1531" i="21"/>
  <c r="F1531" i="21"/>
  <c r="D1533" i="21"/>
  <c r="E1533" i="21"/>
  <c r="F1533" i="21"/>
  <c r="D1534" i="21"/>
  <c r="E1534" i="21"/>
  <c r="F1534" i="21"/>
  <c r="D1535" i="21"/>
  <c r="E1535" i="21"/>
  <c r="F1535" i="21"/>
  <c r="D1536" i="21"/>
  <c r="E1536" i="21"/>
  <c r="F1536" i="21"/>
  <c r="D1537" i="21"/>
  <c r="E1537" i="21"/>
  <c r="F1537" i="21"/>
  <c r="D1538" i="21"/>
  <c r="E1538" i="21"/>
  <c r="F1538" i="21"/>
  <c r="D1539" i="21"/>
  <c r="E1539" i="21"/>
  <c r="F1539" i="21"/>
  <c r="D1540" i="21"/>
  <c r="E1540" i="21"/>
  <c r="F1540" i="21"/>
  <c r="D1541" i="21"/>
  <c r="E1541" i="21"/>
  <c r="F1541" i="21"/>
  <c r="D1542" i="21"/>
  <c r="E1542" i="21"/>
  <c r="D1543" i="21"/>
  <c r="E1543" i="21"/>
  <c r="F1543" i="21"/>
  <c r="D1544" i="21"/>
  <c r="E1544" i="21"/>
  <c r="D1545" i="21"/>
  <c r="E1545" i="21"/>
  <c r="F1545" i="21"/>
  <c r="D1546" i="21"/>
  <c r="E1546" i="21"/>
  <c r="F1546" i="21"/>
  <c r="D1547" i="21"/>
  <c r="E1547" i="21"/>
  <c r="F1547" i="21"/>
  <c r="D1548" i="21"/>
  <c r="E1548" i="21"/>
  <c r="F1548" i="21"/>
  <c r="D1550" i="21"/>
  <c r="E1550" i="21"/>
  <c r="F1550" i="21"/>
  <c r="D1552" i="21"/>
  <c r="E1552" i="21"/>
  <c r="D1553" i="21"/>
  <c r="E1553" i="21"/>
  <c r="F1553" i="21"/>
  <c r="E1145" i="21"/>
  <c r="E1113" i="21"/>
  <c r="E885" i="21"/>
  <c r="E783" i="21"/>
  <c r="E778" i="21"/>
  <c r="E237" i="17"/>
  <c r="E235" i="17"/>
  <c r="F1524" i="21"/>
  <c r="E1504" i="21"/>
  <c r="E1491" i="21"/>
  <c r="F1405" i="21"/>
  <c r="E1200" i="21"/>
  <c r="E1179" i="21"/>
  <c r="F1166" i="21"/>
  <c r="E1142" i="21"/>
  <c r="E1121" i="21"/>
  <c r="E1098" i="21"/>
  <c r="E1095" i="21"/>
  <c r="E1091" i="21"/>
  <c r="E1088" i="21"/>
  <c r="E1025" i="21"/>
  <c r="F912" i="21"/>
  <c r="E903" i="21"/>
  <c r="E900" i="21"/>
  <c r="E897" i="21"/>
  <c r="E870" i="21"/>
  <c r="E1493" i="21"/>
  <c r="E1489" i="21"/>
  <c r="E1481" i="21"/>
  <c r="E1406" i="21"/>
  <c r="F1398" i="21"/>
  <c r="F1346" i="21"/>
  <c r="E1219" i="21"/>
  <c r="E1208" i="21"/>
  <c r="E1204" i="21"/>
  <c r="F1178" i="21"/>
  <c r="E1167" i="21"/>
  <c r="E1155" i="21"/>
  <c r="E1132" i="21"/>
  <c r="E1133" i="21"/>
  <c r="E1129" i="21"/>
  <c r="E1092" i="21"/>
  <c r="E1041" i="21"/>
  <c r="E978" i="21"/>
  <c r="E936" i="21"/>
  <c r="E932" i="21"/>
  <c r="E923" i="21"/>
  <c r="E920" i="21"/>
  <c r="E913" i="21"/>
  <c r="D912" i="21"/>
  <c r="E896" i="21"/>
  <c r="E1290" i="21"/>
  <c r="F1497" i="21"/>
  <c r="F1544" i="21"/>
  <c r="E1515" i="21"/>
  <c r="F1455" i="21"/>
  <c r="F1451" i="21"/>
  <c r="E1393" i="21"/>
  <c r="F1236" i="21"/>
  <c r="F1179" i="21"/>
  <c r="F1145" i="21"/>
  <c r="F1132" i="21"/>
  <c r="F1133" i="21"/>
  <c r="F1091" i="21"/>
  <c r="E1051" i="21"/>
  <c r="F1025" i="21"/>
  <c r="F920" i="21"/>
  <c r="F900" i="21"/>
  <c r="F896" i="21"/>
  <c r="F887" i="21"/>
  <c r="E846" i="21"/>
  <c r="E1505" i="21"/>
  <c r="E1413" i="21"/>
  <c r="E1414" i="21"/>
  <c r="E1369" i="21"/>
  <c r="F1129" i="21"/>
  <c r="F1125" i="21"/>
  <c r="F1121" i="21"/>
  <c r="F1113" i="21"/>
  <c r="F1092" i="21"/>
  <c r="F1041" i="21"/>
  <c r="E995" i="21"/>
  <c r="F913" i="21"/>
  <c r="F897" i="21"/>
  <c r="F879" i="21"/>
  <c r="F1552" i="21"/>
  <c r="E1415" i="21"/>
  <c r="E1275" i="21"/>
  <c r="E1254" i="21"/>
  <c r="E1064" i="21"/>
  <c r="E988" i="21"/>
  <c r="E959" i="21"/>
  <c r="E955" i="21"/>
  <c r="E863" i="21"/>
  <c r="E855" i="21"/>
  <c r="E835" i="21"/>
  <c r="E1057" i="21"/>
  <c r="E1005" i="21"/>
  <c r="E1034" i="21"/>
  <c r="F783" i="21"/>
  <c r="D1214" i="21"/>
  <c r="E741" i="21"/>
  <c r="D1210" i="21"/>
  <c r="D1208" i="21"/>
  <c r="D235" i="17"/>
  <c r="D236" i="17"/>
  <c r="D1217" i="21"/>
  <c r="F1212" i="21"/>
  <c r="D1201" i="21"/>
  <c r="F1216" i="21"/>
  <c r="D1213" i="21"/>
  <c r="F1207" i="21"/>
  <c r="F1215" i="21"/>
  <c r="E1214" i="21"/>
  <c r="F1211" i="21"/>
  <c r="E1210" i="21"/>
  <c r="F1202" i="21"/>
  <c r="E1201" i="21"/>
  <c r="E1215" i="21"/>
  <c r="E1211" i="21"/>
  <c r="E1202" i="21"/>
  <c r="F1217" i="21"/>
  <c r="E1216" i="21"/>
  <c r="D1215" i="21"/>
  <c r="F1213" i="21"/>
  <c r="E1212" i="21"/>
  <c r="D1211" i="21"/>
  <c r="F1208" i="21"/>
  <c r="E1207" i="21"/>
  <c r="D1202" i="21"/>
  <c r="E1217" i="21"/>
  <c r="D1216" i="21"/>
  <c r="F1214" i="21"/>
  <c r="E1213" i="21"/>
  <c r="D1212" i="21"/>
  <c r="F1210" i="21"/>
  <c r="F318" i="18"/>
  <c r="E318" i="18"/>
  <c r="D318" i="18"/>
  <c r="F120" i="18"/>
  <c r="E120" i="18"/>
  <c r="D120" i="18"/>
  <c r="F110" i="18"/>
  <c r="E110" i="18"/>
  <c r="D110" i="18"/>
  <c r="F342" i="18"/>
  <c r="E342" i="18"/>
  <c r="D342" i="18"/>
  <c r="F333" i="18"/>
  <c r="E333" i="18"/>
  <c r="D333" i="18"/>
  <c r="F399" i="18"/>
  <c r="F397" i="18"/>
  <c r="E399" i="18"/>
  <c r="D399" i="18"/>
  <c r="E397" i="18"/>
  <c r="D397" i="18"/>
  <c r="F82" i="18"/>
  <c r="F92" i="18"/>
  <c r="E92" i="18"/>
  <c r="D92" i="18"/>
  <c r="E82" i="18"/>
  <c r="D82" i="18"/>
  <c r="F170" i="18"/>
  <c r="E170" i="18"/>
  <c r="D65" i="18"/>
  <c r="F65" i="18"/>
  <c r="E65" i="18"/>
  <c r="F1241" i="18"/>
  <c r="E1241" i="18"/>
  <c r="D1241" i="18"/>
  <c r="F317" i="18"/>
  <c r="E317" i="18"/>
  <c r="D317" i="18"/>
  <c r="F184" i="18"/>
  <c r="E184" i="18"/>
  <c r="D184" i="18"/>
  <c r="F1314" i="18"/>
  <c r="E1314" i="18"/>
  <c r="D1314" i="18"/>
  <c r="F199" i="18"/>
  <c r="F197" i="18"/>
  <c r="F192" i="18"/>
  <c r="E192" i="18"/>
  <c r="E197" i="18"/>
  <c r="E199" i="18"/>
  <c r="F263" i="18"/>
  <c r="F271" i="18"/>
  <c r="F282" i="18"/>
  <c r="E263" i="18"/>
  <c r="E271" i="18"/>
  <c r="E282" i="18"/>
  <c r="F94" i="18"/>
  <c r="F83" i="18"/>
  <c r="F76" i="18"/>
  <c r="E83" i="18"/>
  <c r="E76" i="18"/>
  <c r="E94" i="18"/>
  <c r="D94" i="18"/>
  <c r="D282" i="18"/>
  <c r="D271" i="18"/>
  <c r="D263" i="18"/>
  <c r="D199" i="18"/>
  <c r="D197" i="18"/>
  <c r="D192" i="18"/>
  <c r="D83" i="18"/>
  <c r="D76" i="18"/>
  <c r="D103" i="18"/>
  <c r="F563" i="18"/>
  <c r="E563" i="18"/>
  <c r="D563" i="18"/>
  <c r="F139" i="18"/>
  <c r="F160" i="18"/>
  <c r="E139" i="18"/>
  <c r="E160" i="18"/>
  <c r="D139" i="18"/>
  <c r="E1287" i="18"/>
  <c r="F1287" i="18"/>
  <c r="E1268" i="18"/>
  <c r="F1268" i="18"/>
  <c r="D1268" i="18"/>
  <c r="F319" i="18"/>
  <c r="E319" i="18"/>
  <c r="D319" i="18"/>
  <c r="F630" i="18"/>
  <c r="E630" i="18"/>
  <c r="D630" i="18"/>
  <c r="F626" i="18"/>
  <c r="E626" i="18"/>
  <c r="D626" i="18"/>
  <c r="F616" i="18"/>
  <c r="E616" i="18"/>
  <c r="D616" i="18"/>
  <c r="F605" i="18"/>
  <c r="E605" i="18"/>
  <c r="D605" i="18"/>
  <c r="F561" i="18"/>
  <c r="E561" i="18"/>
  <c r="D561" i="18"/>
  <c r="F550" i="18"/>
  <c r="E550" i="18"/>
  <c r="D550" i="18"/>
  <c r="D308" i="18"/>
  <c r="E308" i="18"/>
  <c r="F308" i="18"/>
  <c r="D298" i="18"/>
  <c r="E298" i="18"/>
  <c r="F298" i="18"/>
  <c r="D290" i="18"/>
  <c r="E290" i="18"/>
  <c r="F290" i="18"/>
  <c r="F132" i="18"/>
  <c r="F130" i="18"/>
  <c r="E130" i="18"/>
  <c r="E132" i="18"/>
  <c r="D132" i="18"/>
  <c r="D130" i="18"/>
  <c r="F128" i="18"/>
  <c r="E128" i="18"/>
  <c r="D128" i="18"/>
  <c r="F312" i="18"/>
  <c r="E312" i="18"/>
  <c r="D312" i="18"/>
  <c r="F315" i="18"/>
  <c r="E315" i="18"/>
  <c r="D315" i="18"/>
  <c r="F313" i="18"/>
  <c r="E313" i="18"/>
  <c r="D313" i="18"/>
  <c r="F1277" i="18"/>
  <c r="E1277" i="18"/>
  <c r="D1277" i="18"/>
  <c r="F222" i="14"/>
  <c r="E222" i="14"/>
  <c r="D222" i="14"/>
  <c r="F217" i="14"/>
  <c r="E217" i="14"/>
  <c r="D217" i="14"/>
  <c r="F213" i="14"/>
  <c r="E213" i="14"/>
  <c r="D213" i="14"/>
  <c r="E212" i="14"/>
  <c r="F212" i="14"/>
  <c r="D212" i="14"/>
  <c r="F211" i="14"/>
  <c r="E211" i="14"/>
  <c r="D211" i="14"/>
  <c r="D207" i="14"/>
  <c r="F205" i="14"/>
  <c r="E205" i="14"/>
  <c r="D205" i="14"/>
  <c r="F204" i="14"/>
  <c r="E204" i="14"/>
  <c r="D204" i="14"/>
  <c r="F201" i="14"/>
  <c r="E201" i="14"/>
  <c r="D201" i="14"/>
  <c r="F200" i="14"/>
  <c r="E200" i="14"/>
  <c r="D200" i="14"/>
  <c r="F195" i="14"/>
  <c r="E195" i="14"/>
  <c r="D195" i="14"/>
  <c r="F193" i="14"/>
  <c r="E193" i="14"/>
  <c r="D193" i="14"/>
  <c r="F188" i="14"/>
  <c r="E188" i="14"/>
  <c r="D188" i="14"/>
  <c r="F187" i="14"/>
  <c r="E187" i="14"/>
  <c r="D187" i="14"/>
  <c r="E184" i="14"/>
  <c r="F184" i="14"/>
  <c r="D184" i="14"/>
  <c r="F224" i="14"/>
  <c r="E224" i="14"/>
  <c r="D224" i="14"/>
  <c r="F223" i="14"/>
  <c r="E223" i="14"/>
  <c r="D223" i="14"/>
  <c r="E221" i="14"/>
  <c r="F221" i="14"/>
  <c r="D221" i="14"/>
  <c r="F216" i="14"/>
  <c r="E216" i="14"/>
  <c r="D216" i="14"/>
  <c r="F215" i="14"/>
  <c r="E215" i="14"/>
  <c r="D215" i="14"/>
  <c r="F209" i="14"/>
  <c r="E209" i="14"/>
  <c r="D209" i="14"/>
  <c r="F197" i="14"/>
  <c r="E197" i="14"/>
  <c r="D197" i="14"/>
  <c r="F191" i="14"/>
  <c r="E191" i="14"/>
  <c r="F189" i="14"/>
  <c r="E189" i="14"/>
  <c r="D189" i="14"/>
  <c r="F181" i="14"/>
  <c r="E181" i="14"/>
  <c r="D181" i="14"/>
  <c r="F126" i="14"/>
  <c r="E126" i="14"/>
  <c r="D126" i="14"/>
  <c r="D219" i="14"/>
  <c r="F210" i="14"/>
  <c r="E210" i="14"/>
  <c r="D210" i="14"/>
  <c r="F206" i="14"/>
  <c r="E206" i="14"/>
  <c r="F202" i="14"/>
  <c r="E202" i="14"/>
  <c r="D202" i="14"/>
  <c r="F199" i="14"/>
  <c r="E199" i="14"/>
  <c r="D199" i="14"/>
  <c r="F192" i="14"/>
  <c r="E192" i="14"/>
  <c r="D192" i="14"/>
  <c r="F190" i="14"/>
  <c r="E190" i="14"/>
  <c r="D190" i="14"/>
  <c r="F186" i="14"/>
  <c r="E186" i="14"/>
  <c r="D186" i="14"/>
  <c r="F172" i="14"/>
  <c r="E172" i="14"/>
  <c r="D172" i="14"/>
  <c r="F169" i="14"/>
  <c r="E169" i="14"/>
  <c r="D169" i="14"/>
  <c r="F167" i="14"/>
  <c r="E167" i="14"/>
  <c r="D167" i="14"/>
  <c r="F163" i="14"/>
  <c r="E163" i="14"/>
  <c r="D163" i="14"/>
  <c r="F153" i="14"/>
  <c r="E153" i="14"/>
  <c r="D153" i="14"/>
  <c r="F395" i="18"/>
  <c r="E395" i="18"/>
  <c r="D395" i="18"/>
  <c r="D160" i="18"/>
  <c r="F311" i="18"/>
  <c r="E311" i="18"/>
  <c r="F389" i="18"/>
  <c r="E389" i="18"/>
  <c r="F100" i="18"/>
  <c r="E100" i="18"/>
  <c r="F206" i="18"/>
  <c r="E206" i="18"/>
  <c r="F324" i="18"/>
  <c r="E324" i="18"/>
  <c r="F74" i="18"/>
  <c r="E74" i="18"/>
  <c r="F1321" i="18"/>
  <c r="F1328" i="18"/>
  <c r="E1328" i="18"/>
  <c r="E1321" i="18"/>
  <c r="D1328" i="18"/>
  <c r="D1321" i="18"/>
  <c r="U43" i="27"/>
  <c r="V43" i="27"/>
  <c r="W43" i="27"/>
  <c r="U20" i="27"/>
  <c r="V20" i="27"/>
  <c r="W20" i="27"/>
  <c r="D1287" i="18"/>
  <c r="F89" i="14"/>
  <c r="F82" i="14"/>
  <c r="E89" i="14"/>
  <c r="E82" i="14"/>
  <c r="D89" i="14"/>
  <c r="D82" i="14"/>
  <c r="D389" i="18"/>
  <c r="D100" i="18"/>
  <c r="D324" i="18"/>
  <c r="D74" i="18"/>
  <c r="F148" i="18"/>
  <c r="E148" i="18"/>
  <c r="D148" i="18"/>
  <c r="F142" i="18"/>
  <c r="E142" i="18"/>
  <c r="D142" i="18"/>
  <c r="D166" i="20"/>
  <c r="E166" i="20"/>
  <c r="F166" i="20"/>
  <c r="D167" i="20"/>
  <c r="E167" i="20"/>
  <c r="F167" i="20"/>
  <c r="D168" i="20"/>
  <c r="E168" i="20"/>
  <c r="F168" i="20"/>
  <c r="D169" i="20"/>
  <c r="E169" i="20"/>
  <c r="F169" i="20"/>
  <c r="D170" i="20"/>
  <c r="E170" i="20"/>
  <c r="F170" i="20"/>
  <c r="D171" i="20"/>
  <c r="E171" i="20"/>
  <c r="F171" i="20"/>
  <c r="D172" i="20"/>
  <c r="E172" i="20"/>
  <c r="F172" i="20"/>
  <c r="D173" i="20"/>
  <c r="E173" i="20"/>
  <c r="F173" i="20"/>
  <c r="F383" i="18"/>
  <c r="F382" i="18"/>
  <c r="F381" i="18"/>
  <c r="E383" i="18"/>
  <c r="D383" i="18"/>
  <c r="E382" i="18"/>
  <c r="D382" i="18"/>
  <c r="E381" i="18"/>
  <c r="D381" i="18"/>
  <c r="F380" i="18"/>
  <c r="E380" i="18"/>
  <c r="D380" i="18"/>
  <c r="F1040" i="18"/>
  <c r="E1040" i="18"/>
  <c r="D1040" i="18"/>
  <c r="F953" i="18"/>
  <c r="E953" i="18"/>
  <c r="D953" i="18"/>
  <c r="F843" i="18"/>
  <c r="E843" i="18"/>
  <c r="D843" i="18"/>
  <c r="F863" i="18"/>
  <c r="E863" i="18"/>
  <c r="D863" i="18"/>
  <c r="F1151" i="18"/>
  <c r="E1151" i="18"/>
  <c r="D1151" i="18"/>
  <c r="F1111" i="18"/>
  <c r="E1111" i="18"/>
  <c r="D1111" i="18"/>
  <c r="F832" i="18"/>
  <c r="E832" i="18"/>
  <c r="D832" i="18"/>
  <c r="F1133" i="18"/>
  <c r="E1133" i="18"/>
  <c r="D1133" i="18"/>
  <c r="D311" i="18"/>
  <c r="D556" i="18"/>
  <c r="F556" i="18"/>
  <c r="E556" i="18"/>
  <c r="E163" i="18"/>
  <c r="F163" i="18"/>
  <c r="F406" i="18"/>
  <c r="F405" i="18"/>
  <c r="F404" i="18"/>
  <c r="E406" i="18"/>
  <c r="E405" i="18"/>
  <c r="E404" i="18"/>
  <c r="D406" i="18"/>
  <c r="D405" i="18"/>
  <c r="D404" i="18"/>
  <c r="D170" i="18"/>
  <c r="F1032" i="18"/>
  <c r="E1032" i="18"/>
  <c r="D1032" i="18"/>
  <c r="F748" i="18"/>
  <c r="E748" i="18"/>
  <c r="D748" i="18"/>
  <c r="F959" i="18"/>
  <c r="E959" i="18"/>
  <c r="D959" i="18"/>
  <c r="E242" i="18"/>
  <c r="E250" i="18"/>
  <c r="E234" i="18"/>
  <c r="E254" i="18"/>
  <c r="E230" i="18"/>
  <c r="E239" i="18"/>
  <c r="E223" i="18"/>
  <c r="E213" i="18"/>
  <c r="E202" i="18"/>
  <c r="E241" i="18"/>
  <c r="E245" i="18"/>
  <c r="E219" i="18"/>
  <c r="D241" i="18"/>
  <c r="D245" i="18"/>
  <c r="D219" i="18"/>
  <c r="D242" i="18"/>
  <c r="D250" i="18"/>
  <c r="D213" i="18"/>
  <c r="D254" i="18"/>
  <c r="D239" i="18"/>
  <c r="D202" i="18"/>
  <c r="F254" i="18"/>
  <c r="F213" i="18"/>
  <c r="F239" i="18"/>
  <c r="F234" i="18"/>
  <c r="F202" i="18"/>
  <c r="F241" i="18"/>
  <c r="F245" i="18"/>
  <c r="F230" i="18"/>
  <c r="F242" i="18"/>
  <c r="F250" i="18"/>
  <c r="F223" i="18"/>
  <c r="F219" i="18"/>
  <c r="F1342" i="18"/>
  <c r="E1342" i="18"/>
  <c r="D1342" i="18"/>
  <c r="F1346" i="18"/>
  <c r="E1346" i="18"/>
  <c r="D1346" i="18"/>
  <c r="D206" i="18"/>
  <c r="F178" i="18"/>
  <c r="E178" i="18"/>
  <c r="D178" i="18"/>
  <c r="D1286" i="18"/>
  <c r="D1276" i="18"/>
  <c r="D1267" i="18"/>
  <c r="D175" i="18"/>
  <c r="F316" i="18"/>
  <c r="F314" i="18"/>
  <c r="E316" i="18"/>
  <c r="D316" i="18"/>
  <c r="E314" i="18"/>
  <c r="D314" i="18"/>
  <c r="F1338" i="18"/>
  <c r="E1338" i="18"/>
  <c r="D1338" i="18"/>
  <c r="F1347" i="18"/>
  <c r="F1337" i="18"/>
  <c r="E1347" i="18"/>
  <c r="E1337" i="18"/>
  <c r="D1347" i="18"/>
  <c r="D1337" i="18"/>
  <c r="F335" i="18"/>
  <c r="E335" i="18"/>
  <c r="D335" i="18"/>
  <c r="F117" i="14"/>
  <c r="E117" i="14"/>
  <c r="D117" i="14"/>
  <c r="F1309" i="18"/>
  <c r="E1309" i="18"/>
  <c r="D1309" i="18"/>
  <c r="F414" i="18"/>
  <c r="F411" i="18"/>
  <c r="F410" i="18"/>
  <c r="F402" i="18"/>
  <c r="F398" i="18"/>
  <c r="F390" i="18"/>
  <c r="F374" i="18"/>
  <c r="F361" i="18"/>
  <c r="F344" i="18"/>
  <c r="F334" i="18"/>
  <c r="F326" i="18"/>
  <c r="F172" i="18"/>
  <c r="F159" i="18"/>
  <c r="F155" i="18"/>
  <c r="F151" i="18"/>
  <c r="F138" i="18"/>
  <c r="F134" i="18"/>
  <c r="F122" i="18"/>
  <c r="F111" i="18"/>
  <c r="F103" i="18"/>
  <c r="F68" i="18"/>
  <c r="F59" i="18"/>
  <c r="F51" i="18"/>
  <c r="F928" i="18"/>
  <c r="E928" i="18"/>
  <c r="D928" i="18"/>
  <c r="F1229" i="18"/>
  <c r="E1229" i="18"/>
  <c r="D1229" i="18"/>
  <c r="F910" i="18"/>
  <c r="E910" i="18"/>
  <c r="D910" i="18"/>
  <c r="F1099" i="18"/>
  <c r="E1099" i="18"/>
  <c r="D1099" i="18"/>
  <c r="F1117" i="18"/>
  <c r="E1117" i="18"/>
  <c r="D1117" i="18"/>
  <c r="F883" i="18"/>
  <c r="E883" i="18"/>
  <c r="D883" i="18"/>
  <c r="F1078" i="18"/>
  <c r="E1078" i="18"/>
  <c r="D1078" i="18"/>
  <c r="F842" i="18"/>
  <c r="E842" i="18"/>
  <c r="D842" i="18"/>
  <c r="F1013" i="18"/>
  <c r="E1013" i="18"/>
  <c r="D1013" i="18"/>
  <c r="F862" i="18"/>
  <c r="E862" i="18"/>
  <c r="D862" i="18"/>
  <c r="F791" i="18"/>
  <c r="E791" i="18"/>
  <c r="D791" i="18"/>
  <c r="F1051" i="18"/>
  <c r="E1051" i="18"/>
  <c r="D1051" i="18"/>
  <c r="F1150" i="18"/>
  <c r="E1150" i="18"/>
  <c r="D1150" i="18"/>
  <c r="F1149" i="18"/>
  <c r="E1149" i="18"/>
  <c r="D1149" i="18"/>
  <c r="F769" i="18"/>
  <c r="E769" i="18"/>
  <c r="D769" i="18"/>
  <c r="F816" i="18"/>
  <c r="E816" i="18"/>
  <c r="D816" i="18"/>
  <c r="F1244" i="18"/>
  <c r="E1244" i="18"/>
  <c r="D1244" i="18"/>
  <c r="F1212" i="18"/>
  <c r="E1212" i="18"/>
  <c r="D1212" i="18"/>
  <c r="F1225" i="18"/>
  <c r="E1225" i="18"/>
  <c r="D1225" i="18"/>
  <c r="F1191" i="18"/>
  <c r="E1191" i="18"/>
  <c r="D1191" i="18"/>
  <c r="F1236" i="18"/>
  <c r="E1236" i="18"/>
  <c r="D1236" i="18"/>
  <c r="F972" i="18"/>
  <c r="E972" i="18"/>
  <c r="D972" i="18"/>
  <c r="F939" i="18"/>
  <c r="E939" i="18"/>
  <c r="D939" i="18"/>
  <c r="F992" i="18"/>
  <c r="E992" i="18"/>
  <c r="D992" i="18"/>
  <c r="F897" i="18"/>
  <c r="E897" i="18"/>
  <c r="D897" i="18"/>
  <c r="F1031" i="18"/>
  <c r="E1031" i="18"/>
  <c r="D1031" i="18"/>
  <c r="F1090" i="18"/>
  <c r="E1090" i="18"/>
  <c r="D1090" i="18"/>
  <c r="F878" i="18"/>
  <c r="E878" i="18"/>
  <c r="D878" i="18"/>
  <c r="F933" i="18"/>
  <c r="E933" i="18"/>
  <c r="D933" i="18"/>
  <c r="F1200" i="18"/>
  <c r="E1200" i="18"/>
  <c r="D1200" i="18"/>
  <c r="F987" i="18"/>
  <c r="E987" i="18"/>
  <c r="D987" i="18"/>
  <c r="F1056" i="18"/>
  <c r="E1056" i="18"/>
  <c r="D1056" i="18"/>
  <c r="F1168" i="18"/>
  <c r="E1168" i="18"/>
  <c r="D1168" i="18"/>
  <c r="F1110" i="18"/>
  <c r="E1110" i="18"/>
  <c r="D1110" i="18"/>
  <c r="F1175" i="18"/>
  <c r="E1175" i="18"/>
  <c r="D1175" i="18"/>
  <c r="F1068" i="18"/>
  <c r="E1068" i="18"/>
  <c r="D1068" i="18"/>
  <c r="F831" i="18"/>
  <c r="E831" i="18"/>
  <c r="D831" i="18"/>
  <c r="F1002" i="18"/>
  <c r="E1002" i="18"/>
  <c r="D1002" i="18"/>
  <c r="F854" i="18"/>
  <c r="E854" i="18"/>
  <c r="D854" i="18"/>
  <c r="F785" i="18"/>
  <c r="E785" i="18"/>
  <c r="D785" i="18"/>
  <c r="F1048" i="18"/>
  <c r="E1048" i="18"/>
  <c r="D1048" i="18"/>
  <c r="F1132" i="18"/>
  <c r="E1132" i="18"/>
  <c r="D1132" i="18"/>
  <c r="F1134" i="18"/>
  <c r="E1134" i="18"/>
  <c r="D1134" i="18"/>
  <c r="F755" i="18"/>
  <c r="E755" i="18"/>
  <c r="D755" i="18"/>
  <c r="F803" i="18"/>
  <c r="E803" i="18"/>
  <c r="D803" i="18"/>
  <c r="F336" i="18"/>
  <c r="E336" i="18"/>
  <c r="F293" i="18"/>
  <c r="E293" i="18"/>
  <c r="D293" i="18"/>
  <c r="E169" i="18"/>
  <c r="F169" i="18"/>
  <c r="D169" i="18"/>
  <c r="D163" i="18"/>
  <c r="E63" i="18"/>
  <c r="F63" i="18"/>
  <c r="D63" i="18"/>
  <c r="E56" i="18"/>
  <c r="F56" i="18"/>
  <c r="D56" i="18"/>
  <c r="F1022" i="18"/>
  <c r="E1022" i="18"/>
  <c r="D1022" i="18"/>
  <c r="F920" i="18"/>
  <c r="E920" i="18"/>
  <c r="D920" i="18"/>
  <c r="F889" i="18"/>
  <c r="E889" i="18"/>
  <c r="D889" i="18"/>
  <c r="F1162" i="18"/>
  <c r="E1162" i="18"/>
  <c r="D1162" i="18"/>
  <c r="F872" i="18"/>
  <c r="E872" i="18"/>
  <c r="D872" i="18"/>
  <c r="F825" i="18"/>
  <c r="E825" i="18"/>
  <c r="D825" i="18"/>
  <c r="F779" i="18"/>
  <c r="E779" i="18"/>
  <c r="D779" i="18"/>
  <c r="F955" i="18"/>
  <c r="E955" i="18"/>
  <c r="D955" i="18"/>
  <c r="F973" i="18"/>
  <c r="E973" i="18"/>
  <c r="D973" i="18"/>
  <c r="F1034" i="18"/>
  <c r="E1034" i="18"/>
  <c r="D1034" i="18"/>
  <c r="F807" i="18"/>
  <c r="E807" i="18"/>
  <c r="D807" i="18"/>
  <c r="F758" i="18"/>
  <c r="E758" i="18"/>
  <c r="D758" i="18"/>
  <c r="F1015" i="18"/>
  <c r="E1015" i="18"/>
  <c r="D1015" i="18"/>
  <c r="F912" i="18"/>
  <c r="E912" i="18"/>
  <c r="D912" i="18"/>
  <c r="F884" i="18"/>
  <c r="E884" i="18"/>
  <c r="D884" i="18"/>
  <c r="F1153" i="18"/>
  <c r="E1153" i="18"/>
  <c r="D1153" i="18"/>
  <c r="F865" i="18"/>
  <c r="E865" i="18"/>
  <c r="D865" i="18"/>
  <c r="F818" i="18"/>
  <c r="E818" i="18"/>
  <c r="D818" i="18"/>
  <c r="F770" i="18"/>
  <c r="E770" i="18"/>
  <c r="D770" i="18"/>
  <c r="F210" i="18"/>
  <c r="E210" i="18"/>
  <c r="D210" i="18"/>
  <c r="F228" i="18"/>
  <c r="E228" i="18"/>
  <c r="D228" i="18"/>
  <c r="F328" i="18"/>
  <c r="E328" i="18"/>
  <c r="D328" i="18"/>
  <c r="D176" i="18"/>
  <c r="F299" i="18"/>
  <c r="E299" i="18"/>
  <c r="D299" i="18"/>
  <c r="F1286" i="18"/>
  <c r="E1286" i="18"/>
  <c r="F1276" i="18"/>
  <c r="E1276" i="18"/>
  <c r="F1267" i="18"/>
  <c r="E1267" i="18"/>
  <c r="F180" i="18"/>
  <c r="E180" i="18"/>
  <c r="D180" i="18"/>
  <c r="F306" i="18"/>
  <c r="F297" i="18"/>
  <c r="E306" i="18"/>
  <c r="E297" i="18"/>
  <c r="F288" i="18"/>
  <c r="E288" i="18"/>
  <c r="F280" i="18"/>
  <c r="F270" i="18"/>
  <c r="E280" i="18"/>
  <c r="E270" i="18"/>
  <c r="F261" i="18"/>
  <c r="E261" i="18"/>
  <c r="F185" i="14"/>
  <c r="E185" i="14"/>
  <c r="F183" i="14"/>
  <c r="E183" i="14"/>
  <c r="D185" i="14"/>
  <c r="D183" i="14"/>
  <c r="F179" i="14"/>
  <c r="E179" i="14"/>
  <c r="F176" i="14"/>
  <c r="E176" i="14"/>
  <c r="D179" i="14"/>
  <c r="D176" i="14"/>
  <c r="F171" i="14"/>
  <c r="E171" i="14"/>
  <c r="D171" i="14"/>
  <c r="F170" i="14"/>
  <c r="E170" i="14"/>
  <c r="D170" i="14"/>
  <c r="F166" i="14"/>
  <c r="E166" i="14"/>
  <c r="D166" i="14"/>
  <c r="F164" i="14"/>
  <c r="E164" i="14"/>
  <c r="D164" i="14"/>
  <c r="F157" i="14"/>
  <c r="F161" i="14"/>
  <c r="E161" i="14"/>
  <c r="E157" i="14"/>
  <c r="D161" i="14"/>
  <c r="D157" i="14"/>
  <c r="F142" i="14"/>
  <c r="E142" i="14"/>
  <c r="D142" i="14"/>
  <c r="F137" i="14"/>
  <c r="E137" i="14"/>
  <c r="D137" i="14"/>
  <c r="F131" i="14"/>
  <c r="F135" i="14"/>
  <c r="E135" i="14"/>
  <c r="E131" i="14"/>
  <c r="D135" i="14"/>
  <c r="D131" i="14"/>
  <c r="F129" i="14"/>
  <c r="E129" i="14"/>
  <c r="D129" i="14"/>
  <c r="F125" i="14"/>
  <c r="E125" i="14"/>
  <c r="D125" i="14"/>
  <c r="F90" i="14"/>
  <c r="F83" i="14"/>
  <c r="E90" i="14"/>
  <c r="E83" i="14"/>
  <c r="D90" i="14"/>
  <c r="D83" i="14"/>
  <c r="F299" i="14"/>
  <c r="E299" i="14"/>
  <c r="F292" i="14"/>
  <c r="E292" i="14"/>
  <c r="F295" i="14"/>
  <c r="E295" i="14"/>
  <c r="D299" i="14"/>
  <c r="D295" i="14"/>
  <c r="D292" i="14"/>
  <c r="F714" i="18"/>
  <c r="E714" i="18"/>
  <c r="D714" i="18"/>
  <c r="F766" i="18"/>
  <c r="E766" i="18"/>
  <c r="D766" i="18"/>
  <c r="F882" i="18"/>
  <c r="E882" i="18"/>
  <c r="D882" i="18"/>
  <c r="F1181" i="18"/>
  <c r="E1181" i="18"/>
  <c r="D1181" i="18"/>
  <c r="F860" i="18"/>
  <c r="E860" i="18"/>
  <c r="D860" i="18"/>
  <c r="F1010" i="18"/>
  <c r="E1010" i="18"/>
  <c r="D1010" i="18"/>
  <c r="F841" i="18"/>
  <c r="E841" i="18"/>
  <c r="D841" i="18"/>
  <c r="F1228" i="18"/>
  <c r="E1228" i="18"/>
  <c r="D1228" i="18"/>
  <c r="F813" i="18"/>
  <c r="E813" i="18"/>
  <c r="D813" i="18"/>
  <c r="F1146" i="18"/>
  <c r="E1146" i="18"/>
  <c r="D1146" i="18"/>
  <c r="F1145" i="18"/>
  <c r="E1145" i="18"/>
  <c r="D1145" i="18"/>
  <c r="F1097" i="18"/>
  <c r="E1097" i="18"/>
  <c r="D1097" i="18"/>
  <c r="F1075" i="18"/>
  <c r="E1075" i="18"/>
  <c r="D1075" i="18"/>
  <c r="F926" i="18"/>
  <c r="E926" i="18"/>
  <c r="D926" i="18"/>
  <c r="F907" i="18"/>
  <c r="E907" i="18"/>
  <c r="D907" i="18"/>
  <c r="F756" i="18"/>
  <c r="E756" i="18"/>
  <c r="D756" i="18"/>
  <c r="F1176" i="18"/>
  <c r="E1176" i="18"/>
  <c r="D1176" i="18"/>
  <c r="F1169" i="18"/>
  <c r="E1169" i="18"/>
  <c r="D1169" i="18"/>
  <c r="F1003" i="18"/>
  <c r="E1003" i="18"/>
  <c r="D1003" i="18"/>
  <c r="F834" i="18"/>
  <c r="E834" i="18"/>
  <c r="D834" i="18"/>
  <c r="F833" i="18"/>
  <c r="E833" i="18"/>
  <c r="D833" i="18"/>
  <c r="F804" i="18"/>
  <c r="E804" i="18"/>
  <c r="D804" i="18"/>
  <c r="F1135" i="18"/>
  <c r="E1135" i="18"/>
  <c r="D1135" i="18"/>
  <c r="F1112" i="18"/>
  <c r="E1112" i="18"/>
  <c r="D1112" i="18"/>
  <c r="F1091" i="18"/>
  <c r="E1091" i="18"/>
  <c r="D1091" i="18"/>
  <c r="F1069" i="18"/>
  <c r="E1069" i="18"/>
  <c r="D1069" i="18"/>
  <c r="F1237" i="18"/>
  <c r="E1237" i="18"/>
  <c r="D1237" i="18"/>
  <c r="F1201" i="18"/>
  <c r="E1201" i="18"/>
  <c r="D1201" i="18"/>
  <c r="F1192" i="18"/>
  <c r="E1192" i="18"/>
  <c r="D1192" i="18"/>
  <c r="F988" i="18"/>
  <c r="E988" i="18"/>
  <c r="D988" i="18"/>
  <c r="F1057" i="18"/>
  <c r="E1057" i="18"/>
  <c r="D1057" i="18"/>
  <c r="F981" i="18"/>
  <c r="E981" i="18"/>
  <c r="D981" i="18"/>
  <c r="F940" i="18"/>
  <c r="E940" i="18"/>
  <c r="D940" i="18"/>
  <c r="F898" i="18"/>
  <c r="E898" i="18"/>
  <c r="D898" i="18"/>
  <c r="F781" i="18"/>
  <c r="E781" i="18"/>
  <c r="D781" i="18"/>
  <c r="F890" i="18"/>
  <c r="E890" i="18"/>
  <c r="D890" i="18"/>
  <c r="F874" i="18"/>
  <c r="E874" i="18"/>
  <c r="D874" i="18"/>
  <c r="F1125" i="18"/>
  <c r="E1125" i="18"/>
  <c r="D1125" i="18"/>
  <c r="F1024" i="18"/>
  <c r="E1024" i="18"/>
  <c r="D1024" i="18"/>
  <c r="F849" i="18"/>
  <c r="E849" i="18"/>
  <c r="D849" i="18"/>
  <c r="F1232" i="18"/>
  <c r="E1232" i="18"/>
  <c r="D1232" i="18"/>
  <c r="F827" i="18"/>
  <c r="E827" i="18"/>
  <c r="D827" i="18"/>
  <c r="F1166" i="18"/>
  <c r="E1166" i="18"/>
  <c r="D1166" i="18"/>
  <c r="F1165" i="18"/>
  <c r="E1165" i="18"/>
  <c r="D1165" i="18"/>
  <c r="F1164" i="18"/>
  <c r="E1164" i="18"/>
  <c r="D1164" i="18"/>
  <c r="F1103" i="18"/>
  <c r="E1103" i="18"/>
  <c r="D1103" i="18"/>
  <c r="F1087" i="18"/>
  <c r="E1087" i="18"/>
  <c r="D1087" i="18"/>
  <c r="F932" i="18"/>
  <c r="E932" i="18"/>
  <c r="D932" i="18"/>
  <c r="F922" i="18"/>
  <c r="E922" i="18"/>
  <c r="D922" i="18"/>
  <c r="F994" i="18"/>
  <c r="E994" i="18"/>
  <c r="D994" i="18"/>
  <c r="F963" i="18"/>
  <c r="E963" i="18"/>
  <c r="D963" i="18"/>
  <c r="F1045" i="18"/>
  <c r="E1045" i="18"/>
  <c r="D1045" i="18"/>
  <c r="F965" i="18"/>
  <c r="E965" i="18"/>
  <c r="D965" i="18"/>
  <c r="F300" i="14"/>
  <c r="E300" i="14"/>
  <c r="D300" i="14"/>
  <c r="F273" i="18"/>
  <c r="F266" i="18"/>
  <c r="E273" i="18"/>
  <c r="D273" i="18"/>
  <c r="E266" i="18"/>
  <c r="D266" i="18"/>
  <c r="F909" i="18"/>
  <c r="E909" i="18"/>
  <c r="D909" i="18"/>
  <c r="F900" i="18"/>
  <c r="E900" i="18"/>
  <c r="D900" i="18"/>
  <c r="F1077" i="18"/>
  <c r="E1077" i="18"/>
  <c r="D1077" i="18"/>
  <c r="F1070" i="18"/>
  <c r="E1070" i="18"/>
  <c r="D1070" i="18"/>
  <c r="F1148" i="18"/>
  <c r="E1148" i="18"/>
  <c r="D1148" i="18"/>
  <c r="F1137" i="18"/>
  <c r="E1137" i="18"/>
  <c r="D1137" i="18"/>
  <c r="F1012" i="18"/>
  <c r="E1012" i="18"/>
  <c r="D1012" i="18"/>
  <c r="F1005" i="18"/>
  <c r="E1005" i="18"/>
  <c r="D1005" i="18"/>
  <c r="F815" i="18"/>
  <c r="E815" i="18"/>
  <c r="D815" i="18"/>
  <c r="F805" i="18"/>
  <c r="E805" i="18"/>
  <c r="D805" i="18"/>
  <c r="F768" i="18"/>
  <c r="E768" i="18"/>
  <c r="D768" i="18"/>
  <c r="F757" i="18"/>
  <c r="E757" i="18"/>
  <c r="D757" i="18"/>
  <c r="F107" i="14"/>
  <c r="F97" i="14"/>
  <c r="E107" i="14"/>
  <c r="E97" i="14"/>
  <c r="D107" i="14"/>
  <c r="D115" i="14"/>
  <c r="D97" i="14"/>
  <c r="E203" i="14"/>
  <c r="E115" i="14"/>
  <c r="F115" i="14"/>
  <c r="F203" i="14"/>
  <c r="E194" i="14"/>
  <c r="E148" i="14"/>
  <c r="D148" i="14"/>
  <c r="D194" i="14"/>
  <c r="F194" i="14"/>
  <c r="F148" i="14"/>
  <c r="F369" i="18"/>
  <c r="F365" i="18"/>
  <c r="F357" i="18"/>
  <c r="F354" i="18"/>
  <c r="F346" i="18"/>
  <c r="E369" i="18"/>
  <c r="E365" i="18"/>
  <c r="E357" i="18"/>
  <c r="E354" i="18"/>
  <c r="E346" i="18"/>
  <c r="D369" i="18"/>
  <c r="D365" i="18"/>
  <c r="D357" i="18"/>
  <c r="D354" i="18"/>
  <c r="D346" i="18"/>
  <c r="F168" i="18"/>
  <c r="F162" i="18"/>
  <c r="E168" i="18"/>
  <c r="E162" i="18"/>
  <c r="D168" i="18"/>
  <c r="D162" i="18"/>
  <c r="F112" i="18"/>
  <c r="E112" i="18"/>
  <c r="D112" i="18"/>
  <c r="F1306" i="18"/>
  <c r="E1306" i="18"/>
  <c r="D1306" i="18"/>
  <c r="F1274" i="18"/>
  <c r="E1274" i="18"/>
  <c r="D1274" i="18"/>
  <c r="F303" i="14"/>
  <c r="E303" i="14"/>
  <c r="D303" i="14"/>
  <c r="D312" i="14"/>
  <c r="F1174" i="18"/>
  <c r="E1174" i="18"/>
  <c r="D1174" i="18"/>
  <c r="F1019" i="18"/>
  <c r="E1019" i="18"/>
  <c r="F1011" i="18"/>
  <c r="E1011" i="18"/>
  <c r="F1001" i="18"/>
  <c r="E1001" i="18"/>
  <c r="D1019" i="18"/>
  <c r="D1011" i="18"/>
  <c r="D1001" i="18"/>
  <c r="F1100" i="18"/>
  <c r="E1100" i="18"/>
  <c r="D1100" i="18"/>
  <c r="F1098" i="18"/>
  <c r="E1098" i="18"/>
  <c r="D1098" i="18"/>
  <c r="F1082" i="18"/>
  <c r="E1082" i="18"/>
  <c r="D1082" i="18"/>
  <c r="F1076" i="18"/>
  <c r="E1076" i="18"/>
  <c r="D1076" i="18"/>
  <c r="F1066" i="18"/>
  <c r="E1066" i="18"/>
  <c r="D1066" i="18"/>
  <c r="F1157" i="18"/>
  <c r="E1157" i="18"/>
  <c r="D1157" i="18"/>
  <c r="F1147" i="18"/>
  <c r="E1147" i="18"/>
  <c r="D1147" i="18"/>
  <c r="F1130" i="18"/>
  <c r="E1130" i="18"/>
  <c r="D1130" i="18"/>
  <c r="F869" i="18"/>
  <c r="E869" i="18"/>
  <c r="D869" i="18"/>
  <c r="F861" i="18"/>
  <c r="E861" i="18"/>
  <c r="D861" i="18"/>
  <c r="F853" i="18"/>
  <c r="E853" i="18"/>
  <c r="D853" i="18"/>
  <c r="F822" i="18"/>
  <c r="E822" i="18"/>
  <c r="D822" i="18"/>
  <c r="F814" i="18"/>
  <c r="E814" i="18"/>
  <c r="D814" i="18"/>
  <c r="F802" i="18"/>
  <c r="E802" i="18"/>
  <c r="D802" i="18"/>
  <c r="F775" i="18"/>
  <c r="E775" i="18"/>
  <c r="D775" i="18"/>
  <c r="F767" i="18"/>
  <c r="E767" i="18"/>
  <c r="D767" i="18"/>
  <c r="F753" i="18"/>
  <c r="E753" i="18"/>
  <c r="D753" i="18"/>
  <c r="F916" i="18"/>
  <c r="E916" i="18"/>
  <c r="D916" i="18"/>
  <c r="F908" i="18"/>
  <c r="E908" i="18"/>
  <c r="D908" i="18"/>
  <c r="F1189" i="18"/>
  <c r="E1189" i="18"/>
  <c r="D1189" i="18"/>
  <c r="F970" i="18"/>
  <c r="E970" i="18"/>
  <c r="D970" i="18"/>
  <c r="F895" i="18"/>
  <c r="E895" i="18"/>
  <c r="D895" i="18"/>
  <c r="F964" i="18"/>
  <c r="E964" i="18"/>
  <c r="D964" i="18"/>
  <c r="F1242" i="18"/>
  <c r="E1242" i="18"/>
  <c r="D1242" i="18"/>
  <c r="F1120" i="18"/>
  <c r="E1120" i="18"/>
  <c r="D1120" i="18"/>
  <c r="F1104" i="18"/>
  <c r="E1104" i="18"/>
  <c r="D1104" i="18"/>
  <c r="F983" i="18"/>
  <c r="E983" i="18"/>
  <c r="D983" i="18"/>
  <c r="F1208" i="18"/>
  <c r="E1208" i="18"/>
  <c r="D1208" i="18"/>
  <c r="F1227" i="18"/>
  <c r="E1227" i="18"/>
  <c r="D1227" i="18"/>
  <c r="F1060" i="18"/>
  <c r="E1060" i="18"/>
  <c r="D1060" i="18"/>
  <c r="F975" i="18"/>
  <c r="E975" i="18"/>
  <c r="D975" i="18"/>
  <c r="F1036" i="18"/>
  <c r="E1036" i="18"/>
  <c r="D1036" i="18"/>
  <c r="F1194" i="18"/>
  <c r="E1194" i="18"/>
  <c r="D1194" i="18"/>
  <c r="F1204" i="18"/>
  <c r="E1204" i="18"/>
  <c r="D1204" i="18"/>
  <c r="F1115" i="18"/>
  <c r="E1115" i="18"/>
  <c r="D1115" i="18"/>
  <c r="F1025" i="18"/>
  <c r="E1025" i="18"/>
  <c r="D1025" i="18"/>
  <c r="F1139" i="18"/>
  <c r="E1139" i="18"/>
  <c r="D1139" i="18"/>
  <c r="F1050" i="18"/>
  <c r="E1050" i="18"/>
  <c r="D1050" i="18"/>
  <c r="F1006" i="18"/>
  <c r="E1006" i="18"/>
  <c r="D1006" i="18"/>
  <c r="F1094" i="18"/>
  <c r="E1094" i="18"/>
  <c r="D1094" i="18"/>
  <c r="F1072" i="18"/>
  <c r="E1072" i="18"/>
  <c r="D1072" i="18"/>
  <c r="F1138" i="18"/>
  <c r="E1138" i="18"/>
  <c r="D1138" i="18"/>
  <c r="F1179" i="18"/>
  <c r="E1179" i="18"/>
  <c r="D1179" i="18"/>
  <c r="F837" i="18"/>
  <c r="E837" i="18"/>
  <c r="D837" i="18"/>
  <c r="F787" i="18"/>
  <c r="E787" i="18"/>
  <c r="D787" i="18"/>
  <c r="F808" i="18"/>
  <c r="E808" i="18"/>
  <c r="D808" i="18"/>
  <c r="F760" i="18"/>
  <c r="E760" i="18"/>
  <c r="D760" i="18"/>
  <c r="F942" i="18"/>
  <c r="E942" i="18"/>
  <c r="D942" i="18"/>
  <c r="F901" i="18"/>
  <c r="E901" i="18"/>
  <c r="D901" i="18"/>
  <c r="F1121" i="18"/>
  <c r="E1121" i="18"/>
  <c r="D1121" i="18"/>
  <c r="F1105" i="18"/>
  <c r="E1105" i="18"/>
  <c r="D1105" i="18"/>
  <c r="F984" i="18"/>
  <c r="E984" i="18"/>
  <c r="D984" i="18"/>
  <c r="F1209" i="18"/>
  <c r="E1209" i="18"/>
  <c r="D1209" i="18"/>
  <c r="F1231" i="18"/>
  <c r="E1231" i="18"/>
  <c r="D1231" i="18"/>
  <c r="F887" i="18"/>
  <c r="E887" i="18"/>
  <c r="D887" i="18"/>
  <c r="F1159" i="18"/>
  <c r="E1159" i="18"/>
  <c r="D1159" i="18"/>
  <c r="F1052" i="18"/>
  <c r="E1052" i="18"/>
  <c r="D1052" i="18"/>
  <c r="F1020" i="18"/>
  <c r="E1020" i="18"/>
  <c r="D1020" i="18"/>
  <c r="F1101" i="18"/>
  <c r="E1101" i="18"/>
  <c r="D1101" i="18"/>
  <c r="F1083" i="18"/>
  <c r="E1083" i="18"/>
  <c r="D1083" i="18"/>
  <c r="F1158" i="18"/>
  <c r="E1158" i="18"/>
  <c r="D1158" i="18"/>
  <c r="F1184" i="18"/>
  <c r="E1184" i="18"/>
  <c r="D1184" i="18"/>
  <c r="F870" i="18"/>
  <c r="E870" i="18"/>
  <c r="D870" i="18"/>
  <c r="F847" i="18"/>
  <c r="E847" i="18"/>
  <c r="D847" i="18"/>
  <c r="F795" i="18"/>
  <c r="E795" i="18"/>
  <c r="D795" i="18"/>
  <c r="F823" i="18"/>
  <c r="E823" i="18"/>
  <c r="D823" i="18"/>
  <c r="F776" i="18"/>
  <c r="E776" i="18"/>
  <c r="D776" i="18"/>
  <c r="F944" i="18"/>
  <c r="E944" i="18"/>
  <c r="D944" i="18"/>
  <c r="F917" i="18"/>
  <c r="E917" i="18"/>
  <c r="D917" i="18"/>
  <c r="D308" i="14"/>
  <c r="D305" i="14"/>
  <c r="D302" i="14"/>
  <c r="E374" i="18"/>
  <c r="D374" i="18"/>
  <c r="E68" i="18"/>
  <c r="D68" i="18"/>
  <c r="F1315" i="18"/>
  <c r="E1315" i="18"/>
  <c r="D1315" i="18"/>
  <c r="F1284" i="18"/>
  <c r="E1284" i="18"/>
  <c r="D1284" i="18"/>
  <c r="E1293" i="18"/>
  <c r="F1293" i="18"/>
  <c r="D1293" i="18"/>
  <c r="E1283" i="18"/>
  <c r="F1283" i="18"/>
  <c r="D1283" i="18"/>
  <c r="F932" i="15"/>
  <c r="E932" i="15"/>
  <c r="D932" i="15"/>
  <c r="F146" i="14"/>
  <c r="F128" i="14"/>
  <c r="F398" i="14"/>
  <c r="U4" i="27"/>
  <c r="V4" i="27"/>
  <c r="W4" i="27"/>
  <c r="U5" i="27"/>
  <c r="V5" i="27"/>
  <c r="W5" i="27"/>
  <c r="U6" i="27"/>
  <c r="V6" i="27"/>
  <c r="W6" i="27"/>
  <c r="U7" i="27"/>
  <c r="V7" i="27"/>
  <c r="W7" i="27"/>
  <c r="U9" i="27"/>
  <c r="V9" i="27"/>
  <c r="W9" i="27"/>
  <c r="U10" i="27"/>
  <c r="V10" i="27"/>
  <c r="W10" i="27"/>
  <c r="U11" i="27"/>
  <c r="V11" i="27"/>
  <c r="W11" i="27"/>
  <c r="U12" i="27"/>
  <c r="V12" i="27"/>
  <c r="W12" i="27"/>
  <c r="U13" i="27"/>
  <c r="V13" i="27"/>
  <c r="W13" i="27"/>
  <c r="U14" i="27"/>
  <c r="V14" i="27"/>
  <c r="W14" i="27"/>
  <c r="U15" i="27"/>
  <c r="V15" i="27"/>
  <c r="W15" i="27"/>
  <c r="U16" i="27"/>
  <c r="V16" i="27"/>
  <c r="W16" i="27"/>
  <c r="U17" i="27"/>
  <c r="V17" i="27"/>
  <c r="W17" i="27"/>
  <c r="U18" i="27"/>
  <c r="V18" i="27"/>
  <c r="W18" i="27"/>
  <c r="U19" i="27"/>
  <c r="V19" i="27"/>
  <c r="W19" i="27"/>
  <c r="U21" i="27"/>
  <c r="V21" i="27"/>
  <c r="W21" i="27"/>
  <c r="U22" i="27"/>
  <c r="V22" i="27"/>
  <c r="W22" i="27"/>
  <c r="U23" i="27"/>
  <c r="V23" i="27"/>
  <c r="W23" i="27"/>
  <c r="U24" i="27"/>
  <c r="V24" i="27"/>
  <c r="W24" i="27"/>
  <c r="U25" i="27"/>
  <c r="V25" i="27"/>
  <c r="W25" i="27"/>
  <c r="U26" i="27"/>
  <c r="V26" i="27"/>
  <c r="W26" i="27"/>
  <c r="U27" i="27"/>
  <c r="V27" i="27"/>
  <c r="W27" i="27"/>
  <c r="U28" i="27"/>
  <c r="V28" i="27"/>
  <c r="W28" i="27"/>
  <c r="U29" i="27"/>
  <c r="V29" i="27"/>
  <c r="W29" i="27"/>
  <c r="U30" i="27"/>
  <c r="V30" i="27"/>
  <c r="W30" i="27"/>
  <c r="U31" i="27"/>
  <c r="V31" i="27"/>
  <c r="W31" i="27"/>
  <c r="U32" i="27"/>
  <c r="V32" i="27"/>
  <c r="W32" i="27"/>
  <c r="U33" i="27"/>
  <c r="V33" i="27"/>
  <c r="W33" i="27"/>
  <c r="U34" i="27"/>
  <c r="V34" i="27"/>
  <c r="W34" i="27"/>
  <c r="U35" i="27"/>
  <c r="V35" i="27"/>
  <c r="W35" i="27"/>
  <c r="U36" i="27"/>
  <c r="V36" i="27"/>
  <c r="W36" i="27"/>
  <c r="U37" i="27"/>
  <c r="V37" i="27"/>
  <c r="W37" i="27"/>
  <c r="U38" i="27"/>
  <c r="V38" i="27"/>
  <c r="W38" i="27"/>
  <c r="U39" i="27"/>
  <c r="V39" i="27"/>
  <c r="W39" i="27"/>
  <c r="U40" i="27"/>
  <c r="V40" i="27"/>
  <c r="W40" i="27"/>
  <c r="U41" i="27"/>
  <c r="V41" i="27"/>
  <c r="W41" i="27"/>
  <c r="U42" i="27"/>
  <c r="V42" i="27"/>
  <c r="W42" i="27"/>
  <c r="U44" i="27"/>
  <c r="V44" i="27"/>
  <c r="W44" i="27"/>
  <c r="U45" i="27"/>
  <c r="V45" i="27"/>
  <c r="W45" i="27"/>
  <c r="U46" i="27"/>
  <c r="V46" i="27"/>
  <c r="W46" i="27"/>
  <c r="U47" i="27"/>
  <c r="V47" i="27"/>
  <c r="W47" i="27"/>
  <c r="U48" i="27"/>
  <c r="V48" i="27"/>
  <c r="W48" i="27"/>
  <c r="U49" i="27"/>
  <c r="V49" i="27"/>
  <c r="W49" i="27"/>
  <c r="U50" i="27"/>
  <c r="V50" i="27"/>
  <c r="W50" i="27"/>
  <c r="U51" i="27"/>
  <c r="V51" i="27"/>
  <c r="W51" i="27"/>
  <c r="U52" i="27"/>
  <c r="V52" i="27"/>
  <c r="W52" i="27"/>
  <c r="U53" i="27"/>
  <c r="V53" i="27"/>
  <c r="W53" i="27"/>
  <c r="U54" i="27"/>
  <c r="V54" i="27"/>
  <c r="W54" i="27"/>
  <c r="U55" i="27"/>
  <c r="V55" i="27"/>
  <c r="W55" i="27"/>
  <c r="U56" i="27"/>
  <c r="V56" i="27"/>
  <c r="W56" i="27"/>
  <c r="U57" i="27"/>
  <c r="V57" i="27"/>
  <c r="W57" i="27"/>
  <c r="U58" i="27"/>
  <c r="V58" i="27"/>
  <c r="W58" i="27"/>
  <c r="U59" i="27"/>
  <c r="V59" i="27"/>
  <c r="W59" i="27"/>
  <c r="U60" i="27"/>
  <c r="V60" i="27"/>
  <c r="W60" i="27"/>
  <c r="U61" i="27"/>
  <c r="V61" i="27"/>
  <c r="W61" i="27"/>
  <c r="D146" i="14"/>
  <c r="F140" i="14"/>
  <c r="D140" i="14"/>
  <c r="D128" i="14"/>
  <c r="F308" i="14"/>
  <c r="F305" i="14"/>
  <c r="F302" i="14"/>
  <c r="E308" i="14"/>
  <c r="E305" i="14"/>
  <c r="E302" i="14"/>
  <c r="D107" i="15"/>
  <c r="D187" i="15"/>
  <c r="E107" i="15"/>
  <c r="E187" i="15"/>
  <c r="F107" i="15"/>
  <c r="F187" i="15"/>
  <c r="D112" i="15"/>
  <c r="E112" i="15"/>
  <c r="F112" i="15"/>
  <c r="D116" i="15"/>
  <c r="E116" i="15"/>
  <c r="F116" i="15"/>
  <c r="D117" i="15"/>
  <c r="E117" i="15"/>
  <c r="F117" i="15"/>
  <c r="D118" i="15"/>
  <c r="E118" i="15"/>
  <c r="F118" i="15"/>
  <c r="D119" i="15"/>
  <c r="E119" i="15"/>
  <c r="F119" i="15"/>
  <c r="D120" i="15"/>
  <c r="E120" i="15"/>
  <c r="F120" i="15"/>
  <c r="D123" i="15"/>
  <c r="E123" i="15"/>
  <c r="F123" i="15"/>
  <c r="D124" i="15"/>
  <c r="E124" i="15"/>
  <c r="F124" i="15"/>
  <c r="D125" i="15"/>
  <c r="E125" i="15"/>
  <c r="F125" i="15"/>
  <c r="D180" i="15"/>
  <c r="E180" i="15"/>
  <c r="F180" i="15"/>
  <c r="D186" i="15"/>
  <c r="E186" i="15"/>
  <c r="F186" i="15"/>
  <c r="D189" i="15"/>
  <c r="E189" i="15"/>
  <c r="F189" i="15"/>
  <c r="D190" i="15"/>
  <c r="E190" i="15"/>
  <c r="F190" i="15"/>
  <c r="D191" i="15"/>
  <c r="E191" i="15"/>
  <c r="F191" i="15"/>
  <c r="D192" i="15"/>
  <c r="E192" i="15"/>
  <c r="F192" i="15"/>
  <c r="D194" i="15"/>
  <c r="E194" i="15"/>
  <c r="F194" i="15"/>
  <c r="D195" i="15"/>
  <c r="E195" i="15"/>
  <c r="F195" i="15"/>
  <c r="D196" i="15"/>
  <c r="E196" i="15"/>
  <c r="F196" i="15"/>
  <c r="D197" i="15"/>
  <c r="E197" i="15"/>
  <c r="F197" i="15"/>
  <c r="D199" i="15"/>
  <c r="E199" i="15"/>
  <c r="F199" i="15"/>
  <c r="D200" i="15"/>
  <c r="E200" i="15"/>
  <c r="F200" i="15"/>
  <c r="D202" i="15"/>
  <c r="E202" i="15"/>
  <c r="F202" i="15"/>
  <c r="D203" i="15"/>
  <c r="E203" i="15"/>
  <c r="F203" i="15"/>
  <c r="D204" i="15"/>
  <c r="E204" i="15"/>
  <c r="F204" i="15"/>
  <c r="D205" i="15"/>
  <c r="E205" i="15"/>
  <c r="F205" i="15"/>
  <c r="D206" i="15"/>
  <c r="E206" i="15"/>
  <c r="F206" i="15"/>
  <c r="D207" i="15"/>
  <c r="E207" i="15"/>
  <c r="F207" i="15"/>
  <c r="D208" i="15"/>
  <c r="E208" i="15"/>
  <c r="F208" i="15"/>
  <c r="D209" i="15"/>
  <c r="E209" i="15"/>
  <c r="F209" i="15"/>
  <c r="D210" i="15"/>
  <c r="E210" i="15"/>
  <c r="F210" i="15"/>
  <c r="D211" i="15"/>
  <c r="E211" i="15"/>
  <c r="F211" i="15"/>
  <c r="D213" i="15"/>
  <c r="E213" i="15"/>
  <c r="F213" i="15"/>
  <c r="D214" i="15"/>
  <c r="E214" i="15"/>
  <c r="F214" i="15"/>
  <c r="D215" i="15"/>
  <c r="E215" i="15"/>
  <c r="F215" i="15"/>
  <c r="D216" i="15"/>
  <c r="E216" i="15"/>
  <c r="F216" i="15"/>
  <c r="D217" i="15"/>
  <c r="E217" i="15"/>
  <c r="F217" i="15"/>
  <c r="D218" i="15"/>
  <c r="E218" i="15"/>
  <c r="F218" i="15"/>
  <c r="D219" i="15"/>
  <c r="E219" i="15"/>
  <c r="F219" i="15"/>
  <c r="D220" i="15"/>
  <c r="E220" i="15"/>
  <c r="F220" i="15"/>
  <c r="D221" i="15"/>
  <c r="E221" i="15"/>
  <c r="F221" i="15"/>
  <c r="D222" i="15"/>
  <c r="E222" i="15"/>
  <c r="F222" i="15"/>
  <c r="D225" i="15"/>
  <c r="E225" i="15"/>
  <c r="F225" i="15"/>
  <c r="D227" i="15"/>
  <c r="E227" i="15"/>
  <c r="F227" i="15"/>
  <c r="D228" i="15"/>
  <c r="E228" i="15"/>
  <c r="F228" i="15"/>
  <c r="D229" i="15"/>
  <c r="E229" i="15"/>
  <c r="F229" i="15"/>
  <c r="D230" i="15"/>
  <c r="E230" i="15"/>
  <c r="F230" i="15"/>
  <c r="D231" i="15"/>
  <c r="E231" i="15"/>
  <c r="F231" i="15"/>
  <c r="D232" i="15"/>
  <c r="E232" i="15"/>
  <c r="F232" i="15"/>
  <c r="D233" i="15"/>
  <c r="E233" i="15"/>
  <c r="F233" i="15"/>
  <c r="D234" i="15"/>
  <c r="E234" i="15"/>
  <c r="F234" i="15"/>
  <c r="D235" i="15"/>
  <c r="E235" i="15"/>
  <c r="F235" i="15"/>
  <c r="D236" i="15"/>
  <c r="E236" i="15"/>
  <c r="F236" i="15"/>
  <c r="D237" i="15"/>
  <c r="E237" i="15"/>
  <c r="F237" i="15"/>
  <c r="D238" i="15"/>
  <c r="E238" i="15"/>
  <c r="F238" i="15"/>
  <c r="D239" i="15"/>
  <c r="E239" i="15"/>
  <c r="F239" i="15"/>
  <c r="D240" i="15"/>
  <c r="E240" i="15"/>
  <c r="F240" i="15"/>
  <c r="D241" i="15"/>
  <c r="E241" i="15"/>
  <c r="F241" i="15"/>
  <c r="D242" i="15"/>
  <c r="E242" i="15"/>
  <c r="F242" i="15"/>
  <c r="D243" i="15"/>
  <c r="E243" i="15"/>
  <c r="F243" i="15"/>
  <c r="D244" i="15"/>
  <c r="E244" i="15"/>
  <c r="F244" i="15"/>
  <c r="D245" i="15"/>
  <c r="E245" i="15"/>
  <c r="F245" i="15"/>
  <c r="D246" i="15"/>
  <c r="E246" i="15"/>
  <c r="F246" i="15"/>
  <c r="D247" i="15"/>
  <c r="E247" i="15"/>
  <c r="F247" i="15"/>
  <c r="D248" i="15"/>
  <c r="E248" i="15"/>
  <c r="F248" i="15"/>
  <c r="D249" i="15"/>
  <c r="E249" i="15"/>
  <c r="F249" i="15"/>
  <c r="D250" i="15"/>
  <c r="E250" i="15"/>
  <c r="F250" i="15"/>
  <c r="D251" i="15"/>
  <c r="E251" i="15"/>
  <c r="F251" i="15"/>
  <c r="D252" i="15"/>
  <c r="E252" i="15"/>
  <c r="F252" i="15"/>
  <c r="D253" i="15"/>
  <c r="E253" i="15"/>
  <c r="F253" i="15"/>
  <c r="D254" i="15"/>
  <c r="E254" i="15"/>
  <c r="F254" i="15"/>
  <c r="D255" i="15"/>
  <c r="E255" i="15"/>
  <c r="F255" i="15"/>
  <c r="D256" i="15"/>
  <c r="E256" i="15"/>
  <c r="F256" i="15"/>
  <c r="D257" i="15"/>
  <c r="E257" i="15"/>
  <c r="F257" i="15"/>
  <c r="D258" i="15"/>
  <c r="E258" i="15"/>
  <c r="F258" i="15"/>
  <c r="D259" i="15"/>
  <c r="E259" i="15"/>
  <c r="F259" i="15"/>
  <c r="D260" i="15"/>
  <c r="E260" i="15"/>
  <c r="F260" i="15"/>
  <c r="D261" i="15"/>
  <c r="E261" i="15"/>
  <c r="F261" i="15"/>
  <c r="D262" i="15"/>
  <c r="E262" i="15"/>
  <c r="F262" i="15"/>
  <c r="D263" i="15"/>
  <c r="E263" i="15"/>
  <c r="F263" i="15"/>
  <c r="D314" i="15"/>
  <c r="E314" i="15"/>
  <c r="F314" i="15"/>
  <c r="D326" i="15"/>
  <c r="E326" i="15"/>
  <c r="F326" i="15"/>
  <c r="D330" i="15"/>
  <c r="E330" i="15"/>
  <c r="F330" i="15"/>
  <c r="D331" i="15"/>
  <c r="E331" i="15"/>
  <c r="F331" i="15"/>
  <c r="D334" i="15"/>
  <c r="E334" i="15"/>
  <c r="F334" i="15"/>
  <c r="D336" i="15"/>
  <c r="E336" i="15"/>
  <c r="F336" i="15"/>
  <c r="D337" i="15"/>
  <c r="E337" i="15"/>
  <c r="F337" i="15"/>
  <c r="D338" i="15"/>
  <c r="E338" i="15"/>
  <c r="F338" i="15"/>
  <c r="D350" i="15"/>
  <c r="E350" i="15"/>
  <c r="F350" i="15"/>
  <c r="D351" i="15"/>
  <c r="E351" i="15"/>
  <c r="F351" i="15"/>
  <c r="D352" i="15"/>
  <c r="E352" i="15"/>
  <c r="F352" i="15"/>
  <c r="D355" i="15"/>
  <c r="E355" i="15"/>
  <c r="F355" i="15"/>
  <c r="D357" i="15"/>
  <c r="E357" i="15"/>
  <c r="F357" i="15"/>
  <c r="D361" i="15"/>
  <c r="E361" i="15"/>
  <c r="F361" i="15"/>
  <c r="D362" i="15"/>
  <c r="E362" i="15"/>
  <c r="F362" i="15"/>
  <c r="D363" i="15"/>
  <c r="E363" i="15"/>
  <c r="F363" i="15"/>
  <c r="D364" i="15"/>
  <c r="E364" i="15"/>
  <c r="F364" i="15"/>
  <c r="D429" i="15"/>
  <c r="E429" i="15"/>
  <c r="F429" i="15"/>
  <c r="D499" i="15"/>
  <c r="E499" i="15"/>
  <c r="F499" i="15"/>
  <c r="D527" i="15"/>
  <c r="E527" i="15"/>
  <c r="F527" i="15"/>
  <c r="D709" i="15"/>
  <c r="E709" i="15"/>
  <c r="F709" i="15"/>
  <c r="D716" i="15"/>
  <c r="E716" i="15"/>
  <c r="F716" i="15"/>
  <c r="D731" i="15"/>
  <c r="E731" i="15"/>
  <c r="F731" i="15"/>
  <c r="D733" i="15"/>
  <c r="E733" i="15"/>
  <c r="F733" i="15"/>
  <c r="D744" i="15"/>
  <c r="E744" i="15"/>
  <c r="F744" i="15"/>
  <c r="D754" i="15"/>
  <c r="E754" i="15"/>
  <c r="F754" i="15"/>
  <c r="D796" i="15"/>
  <c r="E796" i="15"/>
  <c r="F796" i="15"/>
  <c r="D903" i="15"/>
  <c r="E903" i="15"/>
  <c r="F903" i="15"/>
  <c r="D915" i="15"/>
  <c r="E915" i="15"/>
  <c r="F915" i="15"/>
  <c r="D938" i="15"/>
  <c r="E938" i="15"/>
  <c r="F938" i="15"/>
  <c r="D939" i="15"/>
  <c r="E939" i="15"/>
  <c r="F939" i="15"/>
  <c r="D954" i="15"/>
  <c r="E954" i="15"/>
  <c r="F954" i="15"/>
  <c r="D968" i="15"/>
  <c r="E968" i="15"/>
  <c r="F968" i="15"/>
  <c r="D973" i="15"/>
  <c r="E973" i="15"/>
  <c r="F973" i="15"/>
  <c r="D977" i="15"/>
  <c r="E977" i="15"/>
  <c r="F977" i="15"/>
  <c r="D993" i="15"/>
  <c r="E993" i="15"/>
  <c r="F993" i="15"/>
  <c r="D1104" i="15"/>
  <c r="E1104" i="15"/>
  <c r="F1104" i="15"/>
  <c r="D1117" i="15"/>
  <c r="E1117" i="15"/>
  <c r="F1117" i="15"/>
  <c r="F181" i="18"/>
  <c r="E181" i="18"/>
  <c r="D181" i="18"/>
  <c r="F400" i="18"/>
  <c r="E400" i="18"/>
  <c r="D400" i="18"/>
  <c r="F276" i="18"/>
  <c r="E276" i="18"/>
  <c r="D276" i="18"/>
  <c r="F233" i="18"/>
  <c r="E233" i="18"/>
  <c r="D233" i="18"/>
  <c r="F217" i="18"/>
  <c r="E217" i="18"/>
  <c r="D217" i="18"/>
  <c r="F253" i="18"/>
  <c r="E253" i="18"/>
  <c r="D253" i="18"/>
  <c r="F378" i="18"/>
  <c r="E378" i="18"/>
  <c r="D378" i="18"/>
  <c r="F367" i="18"/>
  <c r="E367" i="18"/>
  <c r="D367" i="18"/>
  <c r="F116" i="18"/>
  <c r="E116" i="18"/>
  <c r="D116" i="18"/>
  <c r="F49" i="18"/>
  <c r="E49" i="18"/>
  <c r="F87" i="18"/>
  <c r="E87" i="18"/>
  <c r="D87" i="18"/>
  <c r="E187" i="18"/>
  <c r="F187" i="18"/>
  <c r="D187" i="18"/>
  <c r="F45" i="18"/>
  <c r="E45" i="18"/>
  <c r="D45" i="18"/>
  <c r="D297" i="18"/>
  <c r="D270" i="18"/>
  <c r="F58" i="18"/>
  <c r="E58" i="18"/>
  <c r="D58" i="18"/>
  <c r="F1123" i="18"/>
  <c r="E1123" i="18"/>
  <c r="D1123" i="18"/>
  <c r="F176" i="18"/>
  <c r="E176" i="18"/>
  <c r="F339" i="18"/>
  <c r="E339" i="18"/>
  <c r="D339" i="18"/>
  <c r="F396" i="18"/>
  <c r="E396" i="18"/>
  <c r="D396" i="18"/>
  <c r="F64" i="18"/>
  <c r="E64" i="18"/>
  <c r="D64" i="18"/>
  <c r="F57" i="18"/>
  <c r="E57" i="18"/>
  <c r="D57" i="18"/>
  <c r="E361" i="18"/>
  <c r="D361" i="18"/>
  <c r="E150" i="18"/>
  <c r="F150" i="18"/>
  <c r="E143" i="18"/>
  <c r="F143" i="18"/>
  <c r="D150" i="18"/>
  <c r="D143" i="18"/>
  <c r="F62" i="18"/>
  <c r="F55" i="18"/>
  <c r="E62" i="18"/>
  <c r="E55" i="18"/>
  <c r="D62" i="18"/>
  <c r="D55" i="18"/>
  <c r="F1086" i="18"/>
  <c r="E1086" i="18"/>
  <c r="D1086" i="18"/>
  <c r="F797" i="18"/>
  <c r="E797" i="18"/>
  <c r="D797" i="18"/>
  <c r="F1023" i="18"/>
  <c r="E1023" i="18"/>
  <c r="D1023" i="18"/>
  <c r="F1163" i="18"/>
  <c r="E1163" i="18"/>
  <c r="D1163" i="18"/>
  <c r="F873" i="18"/>
  <c r="E873" i="18"/>
  <c r="D873" i="18"/>
  <c r="F921" i="18"/>
  <c r="E921" i="18"/>
  <c r="D921" i="18"/>
  <c r="F826" i="18"/>
  <c r="E826" i="18"/>
  <c r="D826" i="18"/>
  <c r="F780" i="18"/>
  <c r="E780" i="18"/>
  <c r="D780" i="18"/>
  <c r="E54" i="18"/>
  <c r="F54" i="18"/>
  <c r="D54" i="18"/>
  <c r="E61" i="18"/>
  <c r="F61" i="18"/>
  <c r="D61" i="18"/>
  <c r="E140" i="18"/>
  <c r="E161" i="18"/>
  <c r="F140" i="18"/>
  <c r="F161" i="18"/>
  <c r="D140" i="18"/>
  <c r="E146" i="18"/>
  <c r="E167" i="18"/>
  <c r="F146" i="18"/>
  <c r="F167" i="18"/>
  <c r="D146" i="18"/>
  <c r="D280" i="18"/>
  <c r="D306" i="18"/>
  <c r="E149" i="18"/>
  <c r="F149" i="18"/>
  <c r="D149" i="18"/>
  <c r="F67" i="18"/>
  <c r="E67" i="18"/>
  <c r="D67" i="18"/>
  <c r="E144" i="18"/>
  <c r="F144" i="18"/>
  <c r="D144" i="18"/>
  <c r="F165" i="18"/>
  <c r="E165" i="18"/>
  <c r="D165" i="18"/>
  <c r="D49" i="18"/>
  <c r="F302" i="18"/>
  <c r="E302" i="18"/>
  <c r="D302" i="18"/>
  <c r="F1280" i="18"/>
  <c r="E1280" i="18"/>
  <c r="D1280" i="18"/>
  <c r="F89" i="18"/>
  <c r="E89" i="18"/>
  <c r="D89" i="18"/>
  <c r="F1154" i="18"/>
  <c r="E1154" i="18"/>
  <c r="D1154" i="18"/>
  <c r="F1079" i="18"/>
  <c r="E1079" i="18"/>
  <c r="D1079" i="18"/>
  <c r="F913" i="18"/>
  <c r="E913" i="18"/>
  <c r="D913" i="18"/>
  <c r="F1230" i="18"/>
  <c r="E1230" i="18"/>
  <c r="D1230" i="18"/>
  <c r="F866" i="18"/>
  <c r="E866" i="18"/>
  <c r="D866" i="18"/>
  <c r="F1016" i="18"/>
  <c r="E1016" i="18"/>
  <c r="D1016" i="18"/>
  <c r="F819" i="18"/>
  <c r="E819" i="18"/>
  <c r="D819" i="18"/>
  <c r="F846" i="18"/>
  <c r="E846" i="18"/>
  <c r="D846" i="18"/>
  <c r="F772" i="18"/>
  <c r="E772" i="18"/>
  <c r="D772" i="18"/>
  <c r="F1027" i="18"/>
  <c r="E1027" i="18"/>
  <c r="D1027" i="18"/>
  <c r="F1186" i="18"/>
  <c r="E1186" i="18"/>
  <c r="D1186" i="18"/>
  <c r="F751" i="18"/>
  <c r="E751" i="18"/>
  <c r="D751" i="18"/>
  <c r="F175" i="18"/>
  <c r="E175" i="18"/>
  <c r="F389" i="14"/>
  <c r="F383" i="14"/>
  <c r="F91" i="18"/>
  <c r="E91" i="18"/>
  <c r="D91" i="18"/>
  <c r="F126" i="18"/>
  <c r="E126" i="18"/>
  <c r="D126" i="18"/>
  <c r="F131" i="18"/>
  <c r="E131" i="18"/>
  <c r="D131" i="18"/>
  <c r="F413" i="18"/>
  <c r="F409" i="18"/>
  <c r="E413" i="18"/>
  <c r="E409" i="18"/>
  <c r="D413" i="18"/>
  <c r="D409" i="18"/>
  <c r="F119" i="18"/>
  <c r="F98" i="18"/>
  <c r="E119" i="18"/>
  <c r="E98" i="18"/>
  <c r="D119" i="18"/>
  <c r="D98" i="18"/>
  <c r="F108" i="18"/>
  <c r="E108" i="18"/>
  <c r="F305" i="18"/>
  <c r="F285" i="18"/>
  <c r="E305" i="18"/>
  <c r="E285" i="18"/>
  <c r="D305" i="18"/>
  <c r="D285" i="18"/>
  <c r="F279" i="18"/>
  <c r="F257" i="18"/>
  <c r="E279" i="18"/>
  <c r="E257" i="18"/>
  <c r="D279" i="18"/>
  <c r="D257" i="18"/>
  <c r="F379" i="18"/>
  <c r="E379" i="18"/>
  <c r="D379" i="18"/>
  <c r="F343" i="18"/>
  <c r="F338" i="18"/>
  <c r="F332" i="18"/>
  <c r="F323" i="18"/>
  <c r="E343" i="18"/>
  <c r="D343" i="18"/>
  <c r="E338" i="18"/>
  <c r="D338" i="18"/>
  <c r="E332" i="18"/>
  <c r="D332" i="18"/>
  <c r="E323" i="18"/>
  <c r="D323" i="18"/>
  <c r="E411" i="18"/>
  <c r="D411" i="18"/>
  <c r="E398" i="18"/>
  <c r="D398" i="18"/>
  <c r="E334" i="18"/>
  <c r="D334" i="18"/>
  <c r="E159" i="18"/>
  <c r="D159" i="18"/>
  <c r="E138" i="18"/>
  <c r="D138" i="18"/>
  <c r="E111" i="18"/>
  <c r="D111" i="18"/>
  <c r="E59" i="18"/>
  <c r="D59" i="18"/>
  <c r="D281" i="18"/>
  <c r="D275" i="18"/>
  <c r="D269" i="18"/>
  <c r="D258" i="18"/>
  <c r="D307" i="18"/>
  <c r="D301" i="18"/>
  <c r="D296" i="18"/>
  <c r="D286" i="18"/>
  <c r="D121" i="18"/>
  <c r="D115" i="18"/>
  <c r="D109" i="18"/>
  <c r="D99" i="18"/>
  <c r="F1290" i="18"/>
  <c r="F1271" i="18"/>
  <c r="E1290" i="18"/>
  <c r="E1271" i="18"/>
  <c r="D1290" i="18"/>
  <c r="D1271" i="18"/>
  <c r="F408" i="18"/>
  <c r="E408" i="18"/>
  <c r="D408" i="18"/>
  <c r="F296" i="18"/>
  <c r="E296" i="18"/>
  <c r="F269" i="18"/>
  <c r="E269" i="18"/>
  <c r="F109" i="18"/>
  <c r="E109" i="18"/>
  <c r="F81" i="18"/>
  <c r="E81" i="18"/>
  <c r="D81" i="18"/>
  <c r="F171" i="18"/>
  <c r="E171" i="18"/>
  <c r="D171" i="18"/>
  <c r="F286" i="18"/>
  <c r="E286" i="18"/>
  <c r="F258" i="18"/>
  <c r="E258" i="18"/>
  <c r="F99" i="18"/>
  <c r="E99" i="18"/>
  <c r="F73" i="18"/>
  <c r="E73" i="18"/>
  <c r="D73" i="18"/>
  <c r="D234" i="18"/>
  <c r="D223" i="18"/>
  <c r="D167" i="18"/>
  <c r="F387" i="18"/>
  <c r="E387" i="18"/>
  <c r="D387" i="18"/>
  <c r="F386" i="18"/>
  <c r="E386" i="18"/>
  <c r="F385" i="18"/>
  <c r="E385" i="18"/>
  <c r="D386" i="18"/>
  <c r="D385" i="18"/>
  <c r="F384" i="18"/>
  <c r="E384" i="18"/>
  <c r="D384" i="18"/>
  <c r="F394" i="18"/>
  <c r="E394" i="18"/>
  <c r="D394" i="18"/>
  <c r="F337" i="18"/>
  <c r="F330" i="18"/>
  <c r="E337" i="18"/>
  <c r="E330" i="18"/>
  <c r="F325" i="18"/>
  <c r="E325" i="18"/>
  <c r="D337" i="18"/>
  <c r="D330" i="18"/>
  <c r="D325" i="18"/>
  <c r="F322" i="18"/>
  <c r="E322" i="18"/>
  <c r="D322" i="18"/>
  <c r="F300" i="18"/>
  <c r="E300" i="18"/>
  <c r="F294" i="18"/>
  <c r="E294" i="18"/>
  <c r="F289" i="18"/>
  <c r="E289" i="18"/>
  <c r="D300" i="18"/>
  <c r="D294" i="18"/>
  <c r="D289" i="18"/>
  <c r="F284" i="18"/>
  <c r="E284" i="18"/>
  <c r="D284" i="18"/>
  <c r="F262" i="18"/>
  <c r="F267" i="18"/>
  <c r="F274" i="18"/>
  <c r="E274" i="18"/>
  <c r="E267" i="18"/>
  <c r="E262" i="18"/>
  <c r="D274" i="18"/>
  <c r="D267" i="18"/>
  <c r="D262" i="18"/>
  <c r="F256" i="18"/>
  <c r="E256" i="18"/>
  <c r="D256" i="18"/>
  <c r="F218" i="18"/>
  <c r="E218" i="18"/>
  <c r="F215" i="18"/>
  <c r="E215" i="18"/>
  <c r="F212" i="18"/>
  <c r="E212" i="18"/>
  <c r="F209" i="18"/>
  <c r="E209" i="18"/>
  <c r="D218" i="18"/>
  <c r="D215" i="18"/>
  <c r="D212" i="18"/>
  <c r="D107" i="18"/>
  <c r="D209" i="18"/>
  <c r="D102" i="18"/>
  <c r="F200" i="18"/>
  <c r="E200" i="18"/>
  <c r="D200" i="18"/>
  <c r="F114" i="18"/>
  <c r="E114" i="18"/>
  <c r="D114" i="18"/>
  <c r="F107" i="18"/>
  <c r="E107" i="18"/>
  <c r="F102" i="18"/>
  <c r="E102" i="18"/>
  <c r="F97" i="18"/>
  <c r="E97" i="18"/>
  <c r="D97" i="18"/>
  <c r="F85" i="18"/>
  <c r="F79" i="18"/>
  <c r="E85" i="18"/>
  <c r="E79" i="18"/>
  <c r="D85" i="18"/>
  <c r="D79" i="18"/>
  <c r="F75" i="18"/>
  <c r="E75" i="18"/>
  <c r="D75" i="18"/>
  <c r="F71" i="18"/>
  <c r="E71" i="18"/>
  <c r="D71" i="18"/>
  <c r="F177" i="18"/>
  <c r="E177" i="18"/>
  <c r="D177" i="18"/>
  <c r="F1041" i="18"/>
  <c r="E1041" i="18"/>
  <c r="D1041" i="18"/>
  <c r="F956" i="18"/>
  <c r="E956" i="18"/>
  <c r="D956" i="18"/>
  <c r="F979" i="18"/>
  <c r="E979" i="18"/>
  <c r="D979" i="18"/>
  <c r="F1074" i="18"/>
  <c r="E1074" i="18"/>
  <c r="D1074" i="18"/>
  <c r="F765" i="18"/>
  <c r="E765" i="18"/>
  <c r="D765" i="18"/>
  <c r="F1144" i="18"/>
  <c r="E1144" i="18"/>
  <c r="D1144" i="18"/>
  <c r="F906" i="18"/>
  <c r="E906" i="18"/>
  <c r="D906" i="18"/>
  <c r="F938" i="18"/>
  <c r="E938" i="18"/>
  <c r="D938" i="18"/>
  <c r="F1030" i="18"/>
  <c r="E1030" i="18"/>
  <c r="D1030" i="18"/>
  <c r="F971" i="18"/>
  <c r="E971" i="18"/>
  <c r="D971" i="18"/>
  <c r="F1190" i="18"/>
  <c r="E1190" i="18"/>
  <c r="D1190" i="18"/>
  <c r="F1067" i="18"/>
  <c r="E1067" i="18"/>
  <c r="D1067" i="18"/>
  <c r="F754" i="18"/>
  <c r="E754" i="18"/>
  <c r="D754" i="18"/>
  <c r="F1131" i="18"/>
  <c r="E1131" i="18"/>
  <c r="D1131" i="18"/>
  <c r="F896" i="18"/>
  <c r="E896" i="18"/>
  <c r="D896" i="18"/>
  <c r="F1084" i="18"/>
  <c r="E1084" i="18"/>
  <c r="D1084" i="18"/>
  <c r="F777" i="18"/>
  <c r="E777" i="18"/>
  <c r="D777" i="18"/>
  <c r="F1160" i="18"/>
  <c r="E1160" i="18"/>
  <c r="D1160" i="18"/>
  <c r="F918" i="18"/>
  <c r="E918" i="18"/>
  <c r="D918" i="18"/>
  <c r="F168" i="14"/>
  <c r="D168" i="14"/>
  <c r="F792" i="18"/>
  <c r="F786" i="18"/>
  <c r="E792" i="18"/>
  <c r="E786" i="18"/>
  <c r="F388" i="18"/>
  <c r="E388" i="18"/>
  <c r="D388" i="18"/>
  <c r="F314" i="14"/>
  <c r="E314" i="14"/>
  <c r="D314" i="14"/>
  <c r="D261" i="18"/>
  <c r="F50" i="18"/>
  <c r="E50" i="18"/>
  <c r="D50" i="18"/>
  <c r="F298" i="14"/>
  <c r="E298" i="14"/>
  <c r="D298" i="14"/>
  <c r="F220" i="14"/>
  <c r="E220" i="14"/>
  <c r="D220" i="14"/>
  <c r="F218" i="14"/>
  <c r="E218" i="14"/>
  <c r="D218" i="14"/>
  <c r="D206" i="14"/>
  <c r="D203" i="14"/>
  <c r="F198" i="14"/>
  <c r="E198" i="14"/>
  <c r="D198" i="14"/>
  <c r="F323" i="14"/>
  <c r="E323" i="14"/>
  <c r="D323" i="14"/>
  <c r="F287" i="14"/>
  <c r="E287" i="14"/>
  <c r="D287" i="14"/>
  <c r="F338" i="14"/>
  <c r="E338" i="14"/>
  <c r="D338" i="14"/>
  <c r="F318" i="14"/>
  <c r="E318" i="14"/>
  <c r="D318" i="14"/>
  <c r="F293" i="14"/>
  <c r="E293" i="14"/>
  <c r="D293" i="14"/>
  <c r="F311" i="14"/>
  <c r="E311" i="14"/>
  <c r="D311" i="14"/>
  <c r="E1226" i="18"/>
  <c r="F1226" i="18"/>
  <c r="E1207" i="18"/>
  <c r="F1207" i="18"/>
  <c r="E1177" i="18"/>
  <c r="F1177" i="18"/>
  <c r="D1226" i="18"/>
  <c r="D1207" i="18"/>
  <c r="D1177" i="18"/>
  <c r="E1118" i="18"/>
  <c r="F1118" i="18"/>
  <c r="D1118" i="18"/>
  <c r="E1092" i="18"/>
  <c r="F1092" i="18"/>
  <c r="D1092" i="18"/>
  <c r="E1071" i="18"/>
  <c r="F1071" i="18"/>
  <c r="D1071" i="18"/>
  <c r="E1058" i="18"/>
  <c r="F1058" i="18"/>
  <c r="D1058" i="18"/>
  <c r="E1049" i="18"/>
  <c r="F1049" i="18"/>
  <c r="D1049" i="18"/>
  <c r="E982" i="18"/>
  <c r="F982" i="18"/>
  <c r="D982" i="18"/>
  <c r="F91" i="14"/>
  <c r="D91" i="14"/>
  <c r="E91" i="14"/>
  <c r="F84" i="14"/>
  <c r="E84" i="14"/>
  <c r="D84" i="14"/>
  <c r="F1224" i="18"/>
  <c r="E1224" i="18"/>
  <c r="D1224" i="18"/>
  <c r="F935" i="18"/>
  <c r="E935" i="18"/>
  <c r="D935" i="18"/>
  <c r="F1214" i="18"/>
  <c r="E1214" i="18"/>
  <c r="D1214" i="18"/>
  <c r="F1063" i="18"/>
  <c r="E1063" i="18"/>
  <c r="D1063" i="18"/>
  <c r="F1128" i="18"/>
  <c r="E1128" i="18"/>
  <c r="D1128" i="18"/>
  <c r="F892" i="18"/>
  <c r="E892" i="18"/>
  <c r="D892" i="18"/>
  <c r="F1197" i="18"/>
  <c r="E1197" i="18"/>
  <c r="D1197" i="18"/>
  <c r="F1054" i="18"/>
  <c r="E1054" i="18"/>
  <c r="D1054" i="18"/>
  <c r="F968" i="18"/>
  <c r="E968" i="18"/>
  <c r="D968" i="18"/>
  <c r="F856" i="18"/>
  <c r="E856" i="18"/>
  <c r="D856" i="18"/>
  <c r="F998" i="18"/>
  <c r="E998" i="18"/>
  <c r="D998" i="18"/>
  <c r="F829" i="18"/>
  <c r="E829" i="18"/>
  <c r="D829" i="18"/>
  <c r="F800" i="18"/>
  <c r="E800" i="18"/>
  <c r="D800" i="18"/>
  <c r="F986" i="18"/>
  <c r="E986" i="18"/>
  <c r="D986" i="18"/>
  <c r="F858" i="18"/>
  <c r="E858" i="18"/>
  <c r="D858" i="18"/>
  <c r="F811" i="18"/>
  <c r="E811" i="18"/>
  <c r="D811" i="18"/>
  <c r="F763" i="18"/>
  <c r="E763" i="18"/>
  <c r="D763" i="18"/>
  <c r="F954" i="18"/>
  <c r="E954" i="18"/>
  <c r="D954" i="18"/>
  <c r="F945" i="18"/>
  <c r="E945" i="18"/>
  <c r="D945" i="18"/>
  <c r="F852" i="18"/>
  <c r="E852" i="18"/>
  <c r="D852" i="18"/>
  <c r="F1109" i="18"/>
  <c r="E1109" i="18"/>
  <c r="D1109" i="18"/>
  <c r="F1064" i="18"/>
  <c r="E1064" i="18"/>
  <c r="D1064" i="18"/>
  <c r="F801" i="18"/>
  <c r="E801" i="18"/>
  <c r="D801" i="18"/>
  <c r="F752" i="18"/>
  <c r="E752" i="18"/>
  <c r="D752" i="18"/>
  <c r="D336" i="18"/>
  <c r="F113" i="18"/>
  <c r="E113" i="18"/>
  <c r="D113" i="18"/>
  <c r="F84" i="18"/>
  <c r="E84" i="18"/>
  <c r="D84" i="18"/>
  <c r="F375" i="18"/>
  <c r="E375" i="18"/>
  <c r="D375" i="18"/>
  <c r="D230" i="18"/>
  <c r="D344" i="18"/>
  <c r="D326" i="18"/>
  <c r="E172" i="18"/>
  <c r="E155" i="18"/>
  <c r="D172" i="18"/>
  <c r="D155" i="18"/>
  <c r="E151" i="18"/>
  <c r="D151" i="18"/>
  <c r="E134" i="18"/>
  <c r="D134" i="18"/>
  <c r="F1359" i="18"/>
  <c r="E1359" i="18"/>
  <c r="D1359" i="18"/>
  <c r="F1358" i="18"/>
  <c r="E1358" i="18"/>
  <c r="D1358" i="18"/>
  <c r="F1355" i="18"/>
  <c r="E1355" i="18"/>
  <c r="D1355" i="18"/>
  <c r="F1356" i="18"/>
  <c r="E1356" i="18"/>
  <c r="D1356" i="18"/>
  <c r="F1353" i="18"/>
  <c r="E1353" i="18"/>
  <c r="D1353" i="18"/>
  <c r="F1360" i="18"/>
  <c r="E1360" i="18"/>
  <c r="D1360" i="18"/>
  <c r="F1354" i="18"/>
  <c r="E1354" i="18"/>
  <c r="D1354" i="18"/>
  <c r="F1357" i="18"/>
  <c r="E1357" i="18"/>
  <c r="D1357" i="18"/>
  <c r="F1352" i="18"/>
  <c r="E1352" i="18"/>
  <c r="D1352" i="18"/>
  <c r="D316" i="14"/>
  <c r="F72" i="18"/>
  <c r="E72" i="18"/>
  <c r="D72" i="18"/>
  <c r="F124" i="18"/>
  <c r="E124" i="18"/>
  <c r="D124" i="18"/>
  <c r="F127" i="18"/>
  <c r="E127" i="18"/>
  <c r="D127" i="18"/>
  <c r="E414" i="18"/>
  <c r="D414" i="18"/>
  <c r="E402" i="18"/>
  <c r="D402" i="18"/>
  <c r="E344" i="18"/>
  <c r="E122" i="18"/>
  <c r="D122" i="18"/>
  <c r="F598" i="18"/>
  <c r="E598" i="18"/>
  <c r="D598" i="18"/>
  <c r="D288" i="18"/>
  <c r="E326" i="18"/>
  <c r="F881" i="18"/>
  <c r="E881" i="18"/>
  <c r="D881" i="18"/>
  <c r="F789" i="18"/>
  <c r="E789" i="18"/>
  <c r="D789" i="18"/>
  <c r="F1142" i="18"/>
  <c r="E1142" i="18"/>
  <c r="D1142" i="18"/>
  <c r="F1095" i="18"/>
  <c r="E1095" i="18"/>
  <c r="D1095" i="18"/>
  <c r="F1008" i="18"/>
  <c r="E1008" i="18"/>
  <c r="D1008" i="18"/>
  <c r="F839" i="18"/>
  <c r="E839" i="18"/>
  <c r="D839" i="18"/>
  <c r="F904" i="18"/>
  <c r="E904" i="18"/>
  <c r="D904" i="18"/>
  <c r="F1210" i="18"/>
  <c r="E1210" i="18"/>
  <c r="D1210" i="18"/>
  <c r="F1029" i="18"/>
  <c r="E1029" i="18"/>
  <c r="D1029" i="18"/>
  <c r="F1089" i="18"/>
  <c r="E1089" i="18"/>
  <c r="D1089" i="18"/>
  <c r="F1129" i="18"/>
  <c r="E1129" i="18"/>
  <c r="D1129" i="18"/>
  <c r="F1199" i="18"/>
  <c r="E1199" i="18"/>
  <c r="D1199" i="18"/>
  <c r="F1055" i="18"/>
  <c r="E1055" i="18"/>
  <c r="D1055" i="18"/>
  <c r="F1047" i="18"/>
  <c r="E1047" i="18"/>
  <c r="D1047" i="18"/>
  <c r="F876" i="18"/>
  <c r="E876" i="18"/>
  <c r="D876" i="18"/>
  <c r="F784" i="18"/>
  <c r="E784" i="18"/>
  <c r="D784" i="18"/>
  <c r="F1167" i="18"/>
  <c r="E1167" i="18"/>
  <c r="D1167" i="18"/>
  <c r="F1000" i="18"/>
  <c r="E1000" i="18"/>
  <c r="D1000" i="18"/>
  <c r="F830" i="18"/>
  <c r="E830" i="18"/>
  <c r="D830" i="18"/>
  <c r="F966" i="18"/>
  <c r="E966" i="18"/>
  <c r="D966" i="18"/>
  <c r="F937" i="18"/>
  <c r="E937" i="18"/>
  <c r="D937" i="18"/>
  <c r="F894" i="18"/>
  <c r="E894" i="18"/>
  <c r="D894" i="18"/>
  <c r="F272" i="18"/>
  <c r="E272" i="18"/>
  <c r="D272" i="18"/>
  <c r="F164" i="18"/>
  <c r="E164" i="18"/>
  <c r="D164" i="18"/>
  <c r="F106" i="18"/>
  <c r="E106" i="18"/>
  <c r="F393" i="18"/>
  <c r="F407" i="18"/>
  <c r="E393" i="18"/>
  <c r="E407" i="18"/>
  <c r="F686" i="18"/>
  <c r="E686" i="18"/>
  <c r="D686" i="18"/>
  <c r="D161" i="18"/>
  <c r="E511" i="14"/>
  <c r="F511" i="14"/>
  <c r="D393" i="18"/>
  <c r="D407" i="18"/>
  <c r="D80" i="18"/>
  <c r="E133" i="18"/>
  <c r="E154" i="18"/>
  <c r="F133" i="18"/>
  <c r="F154" i="18"/>
  <c r="D133" i="18"/>
  <c r="D154" i="18"/>
  <c r="D93" i="18"/>
  <c r="E93" i="18"/>
  <c r="F93" i="18"/>
  <c r="D106" i="18"/>
  <c r="F359" i="14"/>
  <c r="E359" i="14"/>
  <c r="D359" i="14"/>
  <c r="F352" i="14"/>
  <c r="E352" i="14"/>
  <c r="D352" i="14"/>
  <c r="F343" i="14"/>
  <c r="E343" i="14"/>
  <c r="D343" i="14"/>
  <c r="F341" i="14"/>
  <c r="E341" i="14"/>
  <c r="D341" i="14"/>
  <c r="F331" i="14"/>
  <c r="E331" i="14"/>
  <c r="D331" i="14"/>
  <c r="F315" i="14"/>
  <c r="E315" i="14"/>
  <c r="D315" i="14"/>
  <c r="F353" i="14"/>
  <c r="E353" i="14"/>
  <c r="D353" i="14"/>
  <c r="F356" i="14"/>
  <c r="E356" i="14"/>
  <c r="D356" i="14"/>
  <c r="F335" i="14"/>
  <c r="E335" i="14"/>
  <c r="D335" i="14"/>
  <c r="F346" i="14"/>
  <c r="E346" i="14"/>
  <c r="D346" i="14"/>
  <c r="F337" i="14"/>
  <c r="E337" i="14"/>
  <c r="D337" i="14"/>
  <c r="F322" i="14"/>
  <c r="E322" i="14"/>
  <c r="D322" i="14"/>
  <c r="F340" i="14"/>
  <c r="E340" i="14"/>
  <c r="D340" i="14"/>
  <c r="F330" i="14"/>
  <c r="E330" i="14"/>
  <c r="D330" i="14"/>
  <c r="F313" i="14"/>
  <c r="E313" i="14"/>
  <c r="D313" i="14"/>
  <c r="F351" i="14"/>
  <c r="E351" i="14"/>
  <c r="D351" i="14"/>
  <c r="F319" i="14"/>
  <c r="E319" i="14"/>
  <c r="D319" i="14"/>
  <c r="F358" i="14"/>
  <c r="E358" i="14"/>
  <c r="D358" i="14"/>
  <c r="F342" i="14"/>
  <c r="E342" i="14"/>
  <c r="D342" i="14"/>
  <c r="F960" i="18"/>
  <c r="E960" i="18"/>
  <c r="D960" i="18"/>
  <c r="F1037" i="18"/>
  <c r="E1037" i="18"/>
  <c r="D1037" i="18"/>
  <c r="F1028" i="18"/>
  <c r="E1028" i="18"/>
  <c r="D1028" i="18"/>
  <c r="F1043" i="18"/>
  <c r="E1043" i="18"/>
  <c r="D1043" i="18"/>
  <c r="F355" i="14"/>
  <c r="E355" i="14"/>
  <c r="D355" i="14"/>
  <c r="F321" i="14"/>
  <c r="E321" i="14"/>
  <c r="D321" i="14"/>
  <c r="F344" i="14"/>
  <c r="E344" i="14"/>
  <c r="D344" i="14"/>
  <c r="F334" i="14"/>
  <c r="E334" i="14"/>
  <c r="D334" i="14"/>
  <c r="F325" i="14"/>
  <c r="E325" i="14"/>
  <c r="D325" i="14"/>
  <c r="E1202" i="18"/>
  <c r="F1202" i="18"/>
  <c r="E1033" i="18"/>
  <c r="F1033" i="18"/>
  <c r="D1202" i="18"/>
  <c r="D1033" i="18"/>
  <c r="D792" i="18"/>
  <c r="D786" i="18"/>
  <c r="E1113" i="18"/>
  <c r="F1113" i="18"/>
  <c r="D1113" i="18"/>
  <c r="E911" i="18"/>
  <c r="F911" i="18"/>
  <c r="E899" i="18"/>
  <c r="F899" i="18"/>
  <c r="D911" i="18"/>
  <c r="D899" i="18"/>
  <c r="E1014" i="18"/>
  <c r="F1014" i="18"/>
  <c r="E1004" i="18"/>
  <c r="F1004" i="18"/>
  <c r="D1014" i="18"/>
  <c r="D1004" i="18"/>
  <c r="E1152" i="18"/>
  <c r="F1152" i="18"/>
  <c r="E1136" i="18"/>
  <c r="F1136" i="18"/>
  <c r="D1136" i="18"/>
  <c r="D1152" i="18"/>
  <c r="E864" i="18"/>
  <c r="F864" i="18"/>
  <c r="E855" i="18"/>
  <c r="F855" i="18"/>
  <c r="D864" i="18"/>
  <c r="D855" i="18"/>
  <c r="E844" i="18"/>
  <c r="F844" i="18"/>
  <c r="E835" i="18"/>
  <c r="F835" i="18"/>
  <c r="D844" i="18"/>
  <c r="D835" i="18"/>
  <c r="E817" i="18"/>
  <c r="F817" i="18"/>
  <c r="E806" i="18"/>
  <c r="F806" i="18"/>
  <c r="D817" i="18"/>
  <c r="D806" i="18"/>
  <c r="E941" i="18"/>
  <c r="F941" i="18"/>
  <c r="D941" i="18"/>
  <c r="F86" i="18"/>
  <c r="E86" i="18"/>
  <c r="D86" i="18"/>
  <c r="D682" i="18"/>
  <c r="F307" i="18"/>
  <c r="E307" i="18"/>
  <c r="F301" i="18"/>
  <c r="E301" i="18"/>
  <c r="F295" i="18"/>
  <c r="E295" i="18"/>
  <c r="D295" i="18"/>
  <c r="F304" i="18"/>
  <c r="E304" i="18"/>
  <c r="D304" i="18"/>
  <c r="F158" i="14"/>
  <c r="E158" i="14"/>
  <c r="D158" i="14"/>
  <c r="F567" i="18"/>
  <c r="E567" i="18"/>
  <c r="D567" i="18"/>
  <c r="F87" i="14"/>
  <c r="E87" i="14"/>
  <c r="D87" i="14"/>
  <c r="F177" i="14"/>
  <c r="E177" i="14"/>
  <c r="D177" i="14"/>
  <c r="F138" i="14"/>
  <c r="E138" i="14"/>
  <c r="D138" i="14"/>
  <c r="F132" i="14"/>
  <c r="E132" i="14"/>
  <c r="D132" i="14"/>
  <c r="F144" i="14"/>
  <c r="E144" i="14"/>
  <c r="D144" i="14"/>
  <c r="F118" i="14"/>
  <c r="D118" i="14"/>
  <c r="F281" i="18"/>
  <c r="F275" i="18"/>
  <c r="E281" i="18"/>
  <c r="E275" i="18"/>
  <c r="F121" i="18"/>
  <c r="F115" i="18"/>
  <c r="E121" i="18"/>
  <c r="E115" i="18"/>
  <c r="F90" i="18"/>
  <c r="E90" i="18"/>
  <c r="D90" i="18"/>
  <c r="F118" i="18"/>
  <c r="E118" i="18"/>
  <c r="D118" i="18"/>
  <c r="F278" i="18"/>
  <c r="E278" i="18"/>
  <c r="D278" i="18"/>
  <c r="E103" i="18"/>
  <c r="F412" i="18"/>
  <c r="E412" i="18"/>
  <c r="D412" i="18"/>
  <c r="E410" i="18"/>
  <c r="D85" i="14"/>
  <c r="D86" i="14"/>
  <c r="D88" i="14"/>
  <c r="D116" i="14"/>
  <c r="D120" i="14"/>
  <c r="D127" i="14"/>
  <c r="D133" i="14"/>
  <c r="D134" i="14"/>
  <c r="D139" i="14"/>
  <c r="D145" i="14"/>
  <c r="D150" i="14"/>
  <c r="D154" i="14"/>
  <c r="D165" i="14"/>
  <c r="D178" i="14"/>
  <c r="D286" i="14"/>
  <c r="D301" i="14"/>
  <c r="D307" i="14"/>
  <c r="D309" i="14"/>
  <c r="D332" i="14"/>
  <c r="D333" i="14"/>
  <c r="D406" i="14"/>
  <c r="D410" i="14"/>
  <c r="E688" i="18"/>
  <c r="D688" i="18"/>
  <c r="F689" i="18"/>
  <c r="E689" i="18"/>
  <c r="D689" i="18"/>
  <c r="E390" i="18"/>
  <c r="D390" i="18"/>
  <c r="E51" i="18"/>
  <c r="D51" i="18"/>
  <c r="F845" i="18"/>
  <c r="E845" i="18"/>
  <c r="D845" i="18"/>
  <c r="F1007" i="18"/>
  <c r="D1007" i="18"/>
  <c r="F810" i="18"/>
  <c r="D810" i="18"/>
  <c r="F762" i="18"/>
  <c r="D762" i="18"/>
  <c r="F1106" i="18"/>
  <c r="E1106" i="18"/>
  <c r="F951" i="18"/>
  <c r="E951" i="18"/>
  <c r="D1106" i="18"/>
  <c r="D951" i="18"/>
  <c r="F943" i="18"/>
  <c r="E943" i="18"/>
  <c r="D943" i="18"/>
  <c r="F1206" i="18"/>
  <c r="E1206" i="18"/>
  <c r="D1206" i="18"/>
  <c r="F1243" i="18"/>
  <c r="E1243" i="18"/>
  <c r="D1243" i="18"/>
  <c r="F950" i="18"/>
  <c r="E950" i="18"/>
  <c r="D950" i="18"/>
  <c r="F995" i="18"/>
  <c r="E995" i="18"/>
  <c r="D995" i="18"/>
  <c r="F1222" i="18"/>
  <c r="E1222" i="18"/>
  <c r="D1222" i="18"/>
  <c r="F1217" i="18"/>
  <c r="E1217" i="18"/>
  <c r="D1217" i="18"/>
  <c r="F1219" i="18"/>
  <c r="E1219" i="18"/>
  <c r="D1219" i="18"/>
  <c r="F1215" i="18"/>
  <c r="E1215" i="18"/>
  <c r="D1215" i="18"/>
  <c r="F1038" i="18"/>
  <c r="E1038" i="18"/>
  <c r="D1038" i="18"/>
  <c r="F1122" i="18"/>
  <c r="E1122" i="18"/>
  <c r="D1122" i="18"/>
  <c r="F1061" i="18"/>
  <c r="E1061" i="18"/>
  <c r="D1061" i="18"/>
  <c r="F1205" i="18"/>
  <c r="E1205" i="18"/>
  <c r="D1205" i="18"/>
  <c r="F977" i="18"/>
  <c r="E977" i="18"/>
  <c r="D977" i="18"/>
  <c r="F1235" i="18"/>
  <c r="E1235" i="18"/>
  <c r="D1235" i="18"/>
  <c r="F903" i="18"/>
  <c r="E903" i="18"/>
  <c r="D903" i="18"/>
  <c r="F1195" i="18"/>
  <c r="E1195" i="18"/>
  <c r="D1195" i="18"/>
  <c r="F410" i="14"/>
  <c r="F406" i="14"/>
  <c r="E410" i="14"/>
  <c r="E406" i="14"/>
  <c r="F1140" i="18"/>
  <c r="E1140" i="18"/>
  <c r="D1140" i="18"/>
  <c r="F1116" i="18"/>
  <c r="E1116" i="18"/>
  <c r="D1116" i="18"/>
  <c r="F809" i="18"/>
  <c r="E809" i="18"/>
  <c r="D809" i="18"/>
  <c r="F838" i="18"/>
  <c r="E838" i="18"/>
  <c r="D838" i="18"/>
  <c r="F879" i="18"/>
  <c r="E879" i="18"/>
  <c r="D879" i="18"/>
  <c r="F857" i="18"/>
  <c r="E857" i="18"/>
  <c r="D857" i="18"/>
  <c r="F788" i="18"/>
  <c r="E788" i="18"/>
  <c r="D788" i="18"/>
  <c r="F761" i="18"/>
  <c r="E761" i="18"/>
  <c r="D761" i="18"/>
  <c r="D976" i="18"/>
  <c r="D902" i="18"/>
  <c r="F957" i="18"/>
  <c r="E957" i="18"/>
  <c r="D957" i="18"/>
  <c r="F116" i="14"/>
  <c r="E116" i="14"/>
  <c r="F165" i="14"/>
  <c r="E165" i="14"/>
  <c r="F150" i="14"/>
  <c r="E150" i="14"/>
  <c r="F145" i="14"/>
  <c r="E145" i="14"/>
  <c r="F133" i="14"/>
  <c r="E133" i="14"/>
  <c r="F127" i="14"/>
  <c r="E127" i="14"/>
  <c r="F120" i="14"/>
  <c r="E120" i="14"/>
  <c r="F139" i="14"/>
  <c r="E139" i="14"/>
  <c r="F154" i="14"/>
  <c r="E154" i="14"/>
  <c r="F178" i="14"/>
  <c r="E178" i="14"/>
  <c r="F88" i="14"/>
  <c r="E88" i="14"/>
  <c r="F1198" i="18"/>
  <c r="E1198" i="18"/>
  <c r="D1198" i="18"/>
  <c r="F1188" i="18"/>
  <c r="E1188" i="18"/>
  <c r="D1188" i="18"/>
  <c r="F1172" i="18"/>
  <c r="E1172" i="18"/>
  <c r="D1172" i="18"/>
  <c r="F1126" i="18"/>
  <c r="E1126" i="18"/>
  <c r="D1126" i="18"/>
  <c r="F1108" i="18"/>
  <c r="E1108" i="18"/>
  <c r="D1108" i="18"/>
  <c r="F1065" i="18"/>
  <c r="E1065" i="18"/>
  <c r="D1065" i="18"/>
  <c r="F999" i="18"/>
  <c r="E999" i="18"/>
  <c r="D999" i="18"/>
  <c r="F969" i="18"/>
  <c r="E969" i="18"/>
  <c r="D969" i="18"/>
  <c r="F936" i="18"/>
  <c r="E936" i="18"/>
  <c r="D936" i="18"/>
  <c r="F924" i="18"/>
  <c r="E924" i="18"/>
  <c r="D924" i="18"/>
  <c r="F893" i="18"/>
  <c r="E893" i="18"/>
  <c r="D893" i="18"/>
  <c r="F877" i="18"/>
  <c r="E877" i="18"/>
  <c r="D877" i="18"/>
  <c r="F851" i="18"/>
  <c r="E851" i="18"/>
  <c r="D851" i="18"/>
  <c r="F798" i="18"/>
  <c r="E798" i="18"/>
  <c r="D798" i="18"/>
  <c r="F782" i="18"/>
  <c r="E782" i="18"/>
  <c r="D782" i="18"/>
  <c r="F749" i="18"/>
  <c r="E749" i="18"/>
  <c r="D749" i="18"/>
  <c r="F1183" i="18"/>
  <c r="E1183" i="18"/>
  <c r="D1183" i="18"/>
  <c r="F886" i="18"/>
  <c r="E886" i="18"/>
  <c r="D886" i="18"/>
  <c r="F930" i="18"/>
  <c r="E930" i="18"/>
  <c r="D930" i="18"/>
  <c r="F915" i="18"/>
  <c r="E915" i="18"/>
  <c r="D915" i="18"/>
  <c r="F1081" i="18"/>
  <c r="E1081" i="18"/>
  <c r="D1081" i="18"/>
  <c r="F1018" i="18"/>
  <c r="E1018" i="18"/>
  <c r="D1018" i="18"/>
  <c r="F868" i="18"/>
  <c r="E868" i="18"/>
  <c r="D868" i="18"/>
  <c r="F1156" i="18"/>
  <c r="E1156" i="18"/>
  <c r="D1156" i="18"/>
  <c r="F794" i="18"/>
  <c r="E794" i="18"/>
  <c r="D794" i="18"/>
  <c r="F821" i="18"/>
  <c r="E821" i="18"/>
  <c r="D821" i="18"/>
  <c r="F774" i="18"/>
  <c r="E774" i="18"/>
  <c r="D774" i="18"/>
  <c r="F929" i="18"/>
  <c r="E929" i="18"/>
  <c r="D929" i="18"/>
  <c r="F885" i="18"/>
  <c r="E885" i="18"/>
  <c r="D885" i="18"/>
  <c r="F1182" i="18"/>
  <c r="E1182" i="18"/>
  <c r="D1182" i="18"/>
  <c r="F914" i="18"/>
  <c r="E914" i="18"/>
  <c r="D914" i="18"/>
  <c r="F1080" i="18"/>
  <c r="E1080" i="18"/>
  <c r="D1080" i="18"/>
  <c r="F1017" i="18"/>
  <c r="E1017" i="18"/>
  <c r="D1017" i="18"/>
  <c r="F867" i="18"/>
  <c r="E867" i="18"/>
  <c r="D867" i="18"/>
  <c r="F1155" i="18"/>
  <c r="E1155" i="18"/>
  <c r="D1155" i="18"/>
  <c r="F793" i="18"/>
  <c r="E793" i="18"/>
  <c r="D793" i="18"/>
  <c r="F820" i="18"/>
  <c r="E820" i="18"/>
  <c r="D820" i="18"/>
  <c r="F773" i="18"/>
  <c r="E773" i="18"/>
  <c r="D773" i="18"/>
  <c r="D410" i="18"/>
  <c r="F569" i="18"/>
  <c r="E569" i="18"/>
  <c r="D569" i="18"/>
  <c r="F458" i="14"/>
  <c r="E458" i="14"/>
  <c r="F452" i="14"/>
  <c r="E452" i="14"/>
  <c r="F438" i="14"/>
  <c r="E438" i="14"/>
  <c r="F373" i="14"/>
  <c r="E373" i="14"/>
  <c r="F362" i="14"/>
  <c r="E362" i="14"/>
  <c r="F471" i="14"/>
  <c r="E471" i="14"/>
  <c r="F445" i="14"/>
  <c r="E445" i="14"/>
  <c r="F1299" i="18"/>
  <c r="E1301" i="18"/>
  <c r="D1302" i="18"/>
  <c r="F316" i="14"/>
  <c r="E316" i="14"/>
  <c r="F80" i="18"/>
  <c r="E80" i="18"/>
  <c r="D108" i="18"/>
  <c r="F96" i="18"/>
  <c r="E96" i="18"/>
  <c r="D96" i="18"/>
  <c r="F125" i="18"/>
  <c r="E125" i="18"/>
  <c r="D125" i="18"/>
  <c r="F129" i="18"/>
  <c r="E129" i="18"/>
  <c r="D129" i="18"/>
  <c r="F993" i="18"/>
  <c r="E993" i="18"/>
  <c r="D993" i="18"/>
  <c r="F1042" i="18"/>
  <c r="E1042" i="18"/>
  <c r="D1042" i="18"/>
  <c r="F958" i="18"/>
  <c r="E958" i="18"/>
  <c r="D958" i="18"/>
  <c r="F927" i="18"/>
  <c r="E927" i="18"/>
  <c r="F1035" i="18"/>
  <c r="E1035" i="18"/>
  <c r="D1035" i="18"/>
  <c r="F1093" i="18"/>
  <c r="E1093" i="18"/>
  <c r="D1093" i="18"/>
  <c r="F1178" i="18"/>
  <c r="E1178" i="18"/>
  <c r="D1178" i="18"/>
  <c r="F947" i="18"/>
  <c r="E947" i="18"/>
  <c r="D947" i="18"/>
  <c r="F1213" i="18"/>
  <c r="E1213" i="18"/>
  <c r="D1213" i="18"/>
  <c r="F1059" i="18"/>
  <c r="E1059" i="18"/>
  <c r="D1059" i="18"/>
  <c r="F1170" i="18"/>
  <c r="E1170" i="18"/>
  <c r="D1170" i="18"/>
  <c r="F974" i="18"/>
  <c r="E974" i="18"/>
  <c r="D974" i="18"/>
  <c r="F989" i="18"/>
  <c r="E989" i="18"/>
  <c r="D989" i="18"/>
  <c r="F1114" i="18"/>
  <c r="E1114" i="18"/>
  <c r="D1114" i="18"/>
  <c r="F1203" i="18"/>
  <c r="E1203" i="18"/>
  <c r="D1203" i="18"/>
  <c r="F836" i="18"/>
  <c r="E836" i="18"/>
  <c r="D836" i="18"/>
  <c r="F980" i="18"/>
  <c r="D980" i="18"/>
  <c r="F925" i="18"/>
  <c r="E925" i="18"/>
  <c r="F931" i="18"/>
  <c r="E931" i="18"/>
  <c r="F934" i="18"/>
  <c r="E934" i="18"/>
  <c r="F1124" i="18"/>
  <c r="F1239" i="18"/>
  <c r="F1240" i="18"/>
  <c r="F1238" i="18"/>
  <c r="F1223" i="18"/>
  <c r="F880" i="18"/>
  <c r="E880" i="18"/>
  <c r="F888" i="18"/>
  <c r="E888" i="18"/>
  <c r="F875" i="18"/>
  <c r="E875" i="18"/>
  <c r="F1220" i="18"/>
  <c r="F985" i="18"/>
  <c r="F1096" i="18"/>
  <c r="F1102" i="18"/>
  <c r="F1088" i="18"/>
  <c r="F1073" i="18"/>
  <c r="F1085" i="18"/>
  <c r="F1062" i="18"/>
  <c r="F1053" i="18"/>
  <c r="F978" i="18"/>
  <c r="F967" i="18"/>
  <c r="F905" i="18"/>
  <c r="E905" i="18"/>
  <c r="F919" i="18"/>
  <c r="E919" i="18"/>
  <c r="F891" i="18"/>
  <c r="E891" i="18"/>
  <c r="F1196" i="18"/>
  <c r="F952" i="18"/>
  <c r="E952" i="18"/>
  <c r="F1026" i="18"/>
  <c r="F1039" i="18"/>
  <c r="E1039" i="18"/>
  <c r="F1107" i="18"/>
  <c r="F990" i="18"/>
  <c r="E990" i="18"/>
  <c r="F1180" i="18"/>
  <c r="F1171" i="18"/>
  <c r="F946" i="18"/>
  <c r="F1143" i="18"/>
  <c r="F1161" i="18"/>
  <c r="F1127" i="18"/>
  <c r="F1185" i="18"/>
  <c r="E1185" i="18"/>
  <c r="F1046" i="18"/>
  <c r="E1046" i="18"/>
  <c r="F1009" i="18"/>
  <c r="F1021" i="18"/>
  <c r="F997" i="18"/>
  <c r="F859" i="18"/>
  <c r="F871" i="18"/>
  <c r="F850" i="18"/>
  <c r="F764" i="18"/>
  <c r="F778" i="18"/>
  <c r="F750" i="18"/>
  <c r="F840" i="18"/>
  <c r="F848" i="18"/>
  <c r="F828" i="18"/>
  <c r="F796" i="18"/>
  <c r="E796" i="18"/>
  <c r="F783" i="18"/>
  <c r="E783" i="18"/>
  <c r="F812" i="18"/>
  <c r="F824" i="18"/>
  <c r="F799" i="18"/>
  <c r="F268" i="18"/>
  <c r="E268" i="18"/>
  <c r="D268" i="18"/>
  <c r="F377" i="18"/>
  <c r="E377" i="18"/>
  <c r="D377" i="18"/>
  <c r="F1193" i="18"/>
  <c r="E1193" i="18"/>
  <c r="D1193" i="18"/>
  <c r="F331" i="18"/>
  <c r="E331" i="18"/>
  <c r="D331" i="18"/>
  <c r="D931" i="18"/>
  <c r="D1240" i="18"/>
  <c r="D888" i="18"/>
  <c r="D1102" i="18"/>
  <c r="D1085" i="18"/>
  <c r="D978" i="18"/>
  <c r="D919" i="18"/>
  <c r="D1161" i="18"/>
  <c r="D1021" i="18"/>
  <c r="D871" i="18"/>
  <c r="D778" i="18"/>
  <c r="D848" i="18"/>
  <c r="D796" i="18"/>
  <c r="D824" i="18"/>
  <c r="D925" i="18"/>
  <c r="D934" i="18"/>
  <c r="D1124" i="18"/>
  <c r="F996" i="18"/>
  <c r="D1239" i="18"/>
  <c r="D1238" i="18"/>
  <c r="D1223" i="18"/>
  <c r="D880" i="18"/>
  <c r="D875" i="18"/>
  <c r="D1220" i="18"/>
  <c r="D985" i="18"/>
  <c r="D1096" i="18"/>
  <c r="D1088" i="18"/>
  <c r="D1073" i="18"/>
  <c r="D1062" i="18"/>
  <c r="D1053" i="18"/>
  <c r="D967" i="18"/>
  <c r="D905" i="18"/>
  <c r="D891" i="18"/>
  <c r="D1196" i="18"/>
  <c r="D952" i="18"/>
  <c r="D1026" i="18"/>
  <c r="D1039" i="18"/>
  <c r="D1107" i="18"/>
  <c r="D990" i="18"/>
  <c r="D1180" i="18"/>
  <c r="D1171" i="18"/>
  <c r="D946" i="18"/>
  <c r="D1143" i="18"/>
  <c r="D1127" i="18"/>
  <c r="F1211" i="18"/>
  <c r="E1211" i="18"/>
  <c r="D1211" i="18"/>
  <c r="D1185" i="18"/>
  <c r="D1046" i="18"/>
  <c r="D1009" i="18"/>
  <c r="D997" i="18"/>
  <c r="D859" i="18"/>
  <c r="D850" i="18"/>
  <c r="D764" i="18"/>
  <c r="D750" i="18"/>
  <c r="D840" i="18"/>
  <c r="D828" i="18"/>
  <c r="D783" i="18"/>
  <c r="D812" i="18"/>
  <c r="D799" i="18"/>
  <c r="F309" i="14"/>
  <c r="E309" i="14"/>
  <c r="E450" i="14"/>
  <c r="F450" i="14"/>
  <c r="F566" i="18"/>
  <c r="E566" i="18"/>
  <c r="D566" i="18"/>
  <c r="F688" i="18"/>
  <c r="F682" i="18"/>
  <c r="E682" i="18"/>
  <c r="F341" i="18"/>
  <c r="E341" i="18"/>
  <c r="D341" i="18"/>
  <c r="D927" i="18"/>
  <c r="F372" i="14"/>
  <c r="D996" i="18"/>
  <c r="F1233" i="18"/>
  <c r="E1233" i="18"/>
  <c r="D1233" i="18"/>
  <c r="F948" i="18"/>
  <c r="E948" i="18"/>
  <c r="D948" i="18"/>
  <c r="E182" i="14"/>
  <c r="F182" i="14"/>
  <c r="E418" i="14"/>
  <c r="F418" i="14"/>
  <c r="E409" i="14"/>
  <c r="F409" i="14"/>
  <c r="F307" i="14"/>
  <c r="E307" i="14"/>
  <c r="E405" i="14"/>
  <c r="F405" i="14"/>
  <c r="F470" i="14"/>
  <c r="F459" i="14"/>
  <c r="F451" i="14"/>
  <c r="F428" i="14"/>
  <c r="F361" i="14"/>
  <c r="F1044" i="18"/>
  <c r="E1044" i="18"/>
  <c r="D962" i="18"/>
  <c r="D1044" i="18"/>
  <c r="F962" i="18"/>
  <c r="E962" i="18"/>
  <c r="F961" i="18"/>
  <c r="E961" i="18"/>
  <c r="D961" i="18"/>
  <c r="F286" i="14"/>
  <c r="E286" i="14"/>
  <c r="E457" i="14"/>
  <c r="F457" i="14"/>
  <c r="E415" i="14"/>
  <c r="F415" i="14"/>
  <c r="F312" i="14"/>
  <c r="E312" i="14"/>
  <c r="F60" i="18"/>
  <c r="E60" i="18"/>
  <c r="F681" i="18"/>
  <c r="E681" i="18"/>
  <c r="D681" i="18"/>
  <c r="F332" i="14"/>
  <c r="E332" i="14"/>
  <c r="F134" i="14"/>
  <c r="E134" i="14"/>
  <c r="D60" i="18"/>
  <c r="F562" i="18"/>
  <c r="E562" i="18"/>
  <c r="D562" i="18"/>
  <c r="E86" i="14"/>
  <c r="F86" i="14"/>
  <c r="E85" i="14"/>
  <c r="F85" i="14"/>
  <c r="E173" i="14"/>
  <c r="F173" i="14"/>
  <c r="E301" i="14"/>
  <c r="F301" i="14"/>
  <c r="E333" i="14"/>
  <c r="F333" i="14"/>
  <c r="F388" i="14"/>
  <c r="E412" i="14"/>
  <c r="F412" i="14"/>
  <c r="E421" i="14"/>
  <c r="F421" i="14"/>
  <c r="E442" i="14"/>
  <c r="F442" i="14"/>
  <c r="E469" i="14"/>
  <c r="F469" i="14"/>
  <c r="E486" i="14"/>
  <c r="F486" i="14"/>
  <c r="F1302" i="18"/>
  <c r="D1301" i="18"/>
  <c r="F1298" i="18"/>
  <c r="E1299" i="18"/>
  <c r="E1300" i="18"/>
  <c r="E1302" i="18"/>
  <c r="E1298" i="18"/>
  <c r="F1300" i="18"/>
  <c r="F1301" i="18"/>
  <c r="D1298" i="18"/>
  <c r="D1300" i="18"/>
  <c r="D1299" i="18"/>
</calcChain>
</file>

<file path=xl/comments1.xml><?xml version="1.0" encoding="utf-8"?>
<comments xmlns="http://schemas.openxmlformats.org/spreadsheetml/2006/main">
  <authors>
    <author>vaio</author>
    <author>morninglin</author>
  </authors>
  <commentList>
    <comment ref="J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DP World Hong Kong Limited</t>
        </r>
      </text>
    </comment>
    <comment ref="J5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DP World Hong Kong Limited</t>
        </r>
      </text>
    </comment>
    <comment ref="J7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MID-Stream Operation</t>
        </r>
      </text>
    </comment>
    <comment ref="J8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MID-Stream Operation</t>
        </r>
      </text>
    </comment>
    <comment ref="J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10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15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17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18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1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20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MID-Stream Operation</t>
        </r>
      </text>
    </comment>
    <comment ref="J2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MID-Stream Operation</t>
        </r>
      </text>
    </comment>
    <comment ref="J22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MID-Stream Operation</t>
        </r>
      </text>
    </comment>
    <comment ref="J23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MID-Stream Operation</t>
        </r>
      </text>
    </comment>
    <comment ref="J26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32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33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3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36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37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38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Hongkong International Terminals Ltd</t>
        </r>
      </text>
    </comment>
    <comment ref="J3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MID-Stream Operation</t>
        </r>
      </text>
    </comment>
    <comment ref="J40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MID-Stream Operation</t>
        </r>
      </text>
    </comment>
    <comment ref="J4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MID-Stream Operation</t>
        </r>
      </text>
    </comment>
    <comment ref="J128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PTSC (SNL) / DINH VU (SITC)</t>
        </r>
      </text>
    </comment>
    <comment ref="J12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PTSC (SNL) / DINH VU (SITC)</t>
        </r>
      </text>
    </comment>
    <comment ref="P436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
2017年12月1日起</t>
        </r>
      </text>
    </comment>
    <comment ref="P447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2017年12月7日起</t>
        </r>
      </text>
    </comment>
    <comment ref="P451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453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454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
2017年12月1日起</t>
        </r>
      </text>
    </comment>
    <comment ref="P458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460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466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471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
2017年12月1日起</t>
        </r>
      </text>
    </comment>
    <comment ref="P482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2017年12月7日起</t>
        </r>
      </text>
    </comment>
    <comment ref="P486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489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491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493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498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515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2017年12月7日起</t>
        </r>
      </text>
    </comment>
    <comment ref="P524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2017年12月7日起</t>
        </r>
      </text>
    </comment>
    <comment ref="P532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2017年12月7日起</t>
        </r>
      </text>
    </comment>
    <comment ref="P543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2017年12月7日起</t>
        </r>
      </text>
    </comment>
  </commentList>
</comments>
</file>

<file path=xl/comments2.xml><?xml version="1.0" encoding="utf-8"?>
<comments xmlns="http://schemas.openxmlformats.org/spreadsheetml/2006/main">
  <authors>
    <author>morninglin</author>
    <author>vaio</author>
  </authors>
  <commentList>
    <comment ref="P259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2017年12月25日起</t>
        </r>
      </text>
    </comment>
    <comment ref="P288" authorId="1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2017年10月1日起</t>
        </r>
      </text>
    </comment>
    <comment ref="P297" authorId="1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2017年10月1日起</t>
        </r>
      </text>
    </comment>
    <comment ref="P306" authorId="1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2017年10月1日起</t>
        </r>
      </text>
    </comment>
    <comment ref="S697" authorId="1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2017年9月20日起执行</t>
        </r>
      </text>
    </comment>
    <comment ref="J831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832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842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843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862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863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1110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1111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1132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1133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1149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1150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  <comment ref="J1151" authorId="0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TRAIN OPERATOR</t>
        </r>
      </text>
    </comment>
  </commentList>
</comments>
</file>

<file path=xl/comments3.xml><?xml version="1.0" encoding="utf-8"?>
<comments xmlns="http://schemas.openxmlformats.org/spreadsheetml/2006/main">
  <authors>
    <author>EVA</author>
  </authors>
  <commentList>
    <comment ref="P174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176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178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8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183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84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87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189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19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191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192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194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97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0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01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02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03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04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06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07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1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12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15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19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2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22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28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31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33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34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36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39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46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48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52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54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55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58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61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63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66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67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69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71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72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73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76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77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8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83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85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86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88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89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9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92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94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299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0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301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03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4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9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321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23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327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0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331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7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</text>
    </comment>
    <comment ref="P338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44" authorId="0" shapeId="0">
      <text>
        <r>
          <rPr>
            <b/>
            <sz val="9"/>
            <color indexed="81"/>
            <rFont val="宋体"/>
            <family val="3"/>
            <charset val="134"/>
          </rPr>
          <t>2017年7月7日到港日起目的港征收CRC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vaio</author>
    <author>morninglin</author>
  </authors>
  <commentLis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M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5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6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2017年4月24日起</t>
        </r>
      </text>
    </comment>
    <comment ref="F7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2017年11月1日起</t>
        </r>
      </text>
    </comment>
    <comment ref="I7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ZIM航线</t>
        </r>
      </text>
    </comment>
    <comment ref="M7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ZIM航线</t>
        </r>
      </text>
    </comment>
    <comment ref="O7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P7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2017年12月1日起</t>
        </r>
      </text>
    </comment>
    <comment ref="F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10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1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M1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O1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伊拉克港口电放费RMB650</t>
        </r>
      </text>
    </comment>
    <comment ref="P1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伊拉克港口电放费RMB650</t>
        </r>
      </text>
    </comment>
    <comment ref="F12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13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1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15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16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17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Q17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澳洲可做SWB</t>
        </r>
      </text>
    </comment>
    <comment ref="F18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2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 含EIF80/110</t>
        </r>
      </text>
    </comment>
    <comment ref="F22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23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2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25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26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27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Q27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欧地线可做SWB</t>
        </r>
      </text>
    </comment>
    <comment ref="F2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2017年5月15日起</t>
        </r>
      </text>
    </comment>
    <comment ref="M2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2017年4月14日起</t>
        </r>
      </text>
    </comment>
    <comment ref="Q2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收发货人为同一家公司可做SWB</t>
        </r>
      </text>
    </comment>
    <comment ref="F30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3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32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3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35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37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38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2017年11月9日起</t>
        </r>
      </text>
    </comment>
    <comment ref="Q38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欧地线不可做SWB</t>
        </r>
      </text>
    </comment>
    <comment ref="F3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40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4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2017年5月12日起</t>
        </r>
      </text>
    </comment>
    <comment ref="F42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2017年4月24日起</t>
        </r>
      </text>
    </comment>
    <comment ref="M42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2017年4月15日起</t>
        </r>
      </text>
    </comment>
    <comment ref="C43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2017年12月5日起</t>
        </r>
      </text>
    </comment>
    <comment ref="F43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2017年12月5日起</t>
        </r>
      </text>
    </comment>
    <comment ref="F4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2017年4月24日起</t>
        </r>
      </text>
    </comment>
    <comment ref="I4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2017年4月25日起</t>
        </r>
      </text>
    </comment>
    <comment ref="F45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2017年5月15日起</t>
        </r>
      </text>
    </comment>
    <comment ref="F46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47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48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4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50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52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53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54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56" authorId="1" shapeId="0">
      <text>
        <r>
          <rPr>
            <b/>
            <sz val="9"/>
            <color indexed="81"/>
            <rFont val="宋体"/>
            <family val="3"/>
            <charset val="134"/>
          </rPr>
          <t>morninglin:</t>
        </r>
        <r>
          <rPr>
            <sz val="9"/>
            <color indexed="81"/>
            <rFont val="宋体"/>
            <family val="3"/>
            <charset val="134"/>
          </rPr>
          <t xml:space="preserve">
2017年10月1日起</t>
        </r>
      </text>
    </comment>
    <comment ref="F58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2017年4月24日起</t>
        </r>
      </text>
    </comment>
    <comment ref="F59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2017年5月1日起</t>
        </r>
      </text>
    </comment>
    <comment ref="F60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2017年4月1日起</t>
        </r>
      </text>
    </comment>
    <comment ref="F61" authorId="0" shapeId="0">
      <text>
        <r>
          <rPr>
            <b/>
            <sz val="9"/>
            <color indexed="81"/>
            <rFont val="宋体"/>
            <family val="3"/>
            <charset val="134"/>
          </rPr>
          <t>vaio:</t>
        </r>
        <r>
          <rPr>
            <sz val="9"/>
            <color indexed="81"/>
            <rFont val="宋体"/>
            <family val="3"/>
            <charset val="134"/>
          </rPr>
          <t xml:space="preserve">
2017年4月24日起</t>
        </r>
      </text>
    </comment>
  </commentList>
</comments>
</file>

<file path=xl/sharedStrings.xml><?xml version="1.0" encoding="utf-8"?>
<sst xmlns="http://schemas.openxmlformats.org/spreadsheetml/2006/main" count="80323" uniqueCount="5442">
  <si>
    <t>MIRI</t>
    <phoneticPr fontId="3" type="noConversion"/>
  </si>
  <si>
    <t>MYTPP</t>
    <phoneticPr fontId="3" type="noConversion"/>
  </si>
  <si>
    <t>PONTIANAK</t>
    <phoneticPr fontId="3" type="noConversion"/>
  </si>
  <si>
    <t>PHILIPPINE</t>
    <phoneticPr fontId="3" type="noConversion"/>
  </si>
  <si>
    <t>PIL</t>
  </si>
  <si>
    <t>CMA</t>
    <phoneticPr fontId="3" type="noConversion"/>
  </si>
  <si>
    <t>APL</t>
    <phoneticPr fontId="3" type="noConversion"/>
  </si>
  <si>
    <t>SOSDI</t>
    <phoneticPr fontId="3" type="noConversion"/>
  </si>
  <si>
    <t>10TH OF RAMADAN</t>
    <phoneticPr fontId="3" type="noConversion"/>
  </si>
  <si>
    <t>JEDDAH</t>
    <phoneticPr fontId="3" type="noConversion"/>
  </si>
  <si>
    <t>RCL</t>
    <phoneticPr fontId="3" type="noConversion"/>
  </si>
  <si>
    <t>SADAM</t>
    <phoneticPr fontId="3" type="noConversion"/>
  </si>
  <si>
    <t>ZIM</t>
    <phoneticPr fontId="3" type="noConversion"/>
  </si>
  <si>
    <t>PIL</t>
    <phoneticPr fontId="3" type="noConversion"/>
  </si>
  <si>
    <t>SSL</t>
    <phoneticPr fontId="3" type="noConversion"/>
  </si>
  <si>
    <t>BANDUNG</t>
    <phoneticPr fontId="3" type="noConversion"/>
  </si>
  <si>
    <t>SGSGP</t>
    <phoneticPr fontId="3" type="noConversion"/>
  </si>
  <si>
    <t>DIR</t>
    <phoneticPr fontId="3" type="noConversion"/>
  </si>
  <si>
    <t>MSK</t>
    <phoneticPr fontId="3" type="noConversion"/>
  </si>
  <si>
    <t>HPL</t>
    <phoneticPr fontId="3" type="noConversion"/>
  </si>
  <si>
    <t>12</t>
    <phoneticPr fontId="3" type="noConversion"/>
  </si>
  <si>
    <t>SOLOMON ISLANDS</t>
    <phoneticPr fontId="3" type="noConversion"/>
  </si>
  <si>
    <t>MOL</t>
    <phoneticPr fontId="3" type="noConversion"/>
  </si>
  <si>
    <t>MYPKL</t>
    <phoneticPr fontId="3" type="noConversion"/>
  </si>
  <si>
    <t>BY TRUCK</t>
    <phoneticPr fontId="3" type="noConversion"/>
  </si>
  <si>
    <t>SKBUS</t>
    <phoneticPr fontId="3" type="noConversion"/>
  </si>
  <si>
    <t>KHSIH</t>
    <phoneticPr fontId="3" type="noConversion"/>
  </si>
  <si>
    <t>TWKAO</t>
    <phoneticPr fontId="3" type="noConversion"/>
  </si>
  <si>
    <t>YML</t>
    <phoneticPr fontId="3" type="noConversion"/>
  </si>
  <si>
    <t>WHL</t>
    <phoneticPr fontId="3" type="noConversion"/>
  </si>
  <si>
    <t>KLINE</t>
    <phoneticPr fontId="3" type="noConversion"/>
  </si>
  <si>
    <t>MSC</t>
    <phoneticPr fontId="3" type="noConversion"/>
  </si>
  <si>
    <t>MSC</t>
    <phoneticPr fontId="3" type="noConversion"/>
  </si>
  <si>
    <t>EMC</t>
    <phoneticPr fontId="3" type="noConversion"/>
  </si>
  <si>
    <t>YML</t>
    <phoneticPr fontId="3" type="noConversion"/>
  </si>
  <si>
    <t>WHL</t>
    <phoneticPr fontId="3" type="noConversion"/>
  </si>
  <si>
    <t>SITC</t>
    <phoneticPr fontId="3" type="noConversion"/>
  </si>
  <si>
    <t>OOCL</t>
    <phoneticPr fontId="3" type="noConversion"/>
  </si>
  <si>
    <t>20'</t>
    <phoneticPr fontId="3" type="noConversion"/>
  </si>
  <si>
    <t>40'</t>
    <phoneticPr fontId="3" type="noConversion"/>
  </si>
  <si>
    <t>40'H</t>
    <phoneticPr fontId="3" type="noConversion"/>
  </si>
  <si>
    <t>MSK</t>
    <phoneticPr fontId="3" type="noConversion"/>
  </si>
  <si>
    <t>AUFRE</t>
    <phoneticPr fontId="3" type="noConversion"/>
  </si>
  <si>
    <t>FUNAFUTI</t>
    <phoneticPr fontId="3" type="noConversion"/>
  </si>
  <si>
    <t>FUTUNA</t>
    <phoneticPr fontId="3" type="noConversion"/>
  </si>
  <si>
    <t>SANTO</t>
    <phoneticPr fontId="3" type="noConversion"/>
  </si>
  <si>
    <t>MAJURO</t>
    <phoneticPr fontId="3" type="noConversion"/>
  </si>
  <si>
    <t>HONIARA</t>
    <phoneticPr fontId="3" type="noConversion"/>
  </si>
  <si>
    <t>WALLIS</t>
    <phoneticPr fontId="3" type="noConversion"/>
  </si>
  <si>
    <t>MARIANA</t>
    <phoneticPr fontId="3" type="noConversion"/>
  </si>
  <si>
    <t>ZIM</t>
    <phoneticPr fontId="3" type="noConversion"/>
  </si>
  <si>
    <t>COSCO</t>
    <phoneticPr fontId="3" type="noConversion"/>
  </si>
  <si>
    <t>EMI</t>
    <phoneticPr fontId="3" type="noConversion"/>
  </si>
  <si>
    <t>OOCL</t>
    <phoneticPr fontId="3" type="noConversion"/>
  </si>
  <si>
    <t>IDJKT</t>
    <phoneticPr fontId="3" type="noConversion"/>
  </si>
  <si>
    <t>MOL</t>
    <phoneticPr fontId="3" type="noConversion"/>
  </si>
  <si>
    <t>SAMPIT</t>
    <phoneticPr fontId="3" type="noConversion"/>
  </si>
  <si>
    <t>20GP</t>
    <phoneticPr fontId="3" type="noConversion"/>
  </si>
  <si>
    <t>40GP</t>
    <phoneticPr fontId="3" type="noConversion"/>
  </si>
  <si>
    <t>40HC</t>
    <phoneticPr fontId="3" type="noConversion"/>
  </si>
  <si>
    <t>WEST</t>
    <phoneticPr fontId="3" type="noConversion"/>
  </si>
  <si>
    <t>PIL</t>
    <phoneticPr fontId="3" type="noConversion"/>
  </si>
  <si>
    <t>MCC</t>
    <phoneticPr fontId="3" type="noConversion"/>
  </si>
  <si>
    <t>SHUAIBA</t>
    <phoneticPr fontId="3" type="noConversion"/>
  </si>
  <si>
    <t>HPL</t>
    <phoneticPr fontId="3" type="noConversion"/>
  </si>
  <si>
    <t>CMA</t>
    <phoneticPr fontId="3" type="noConversion"/>
  </si>
  <si>
    <t>EGYPT</t>
    <phoneticPr fontId="3" type="noConversion"/>
  </si>
  <si>
    <t>RABAUL</t>
    <phoneticPr fontId="3" type="noConversion"/>
  </si>
  <si>
    <t>UJUNG PANDANG</t>
    <phoneticPr fontId="3" type="noConversion"/>
  </si>
  <si>
    <t>OOCL</t>
    <phoneticPr fontId="3" type="noConversion"/>
  </si>
  <si>
    <t>MIP</t>
    <phoneticPr fontId="3" type="noConversion"/>
  </si>
  <si>
    <t>SWIRE</t>
    <phoneticPr fontId="3" type="noConversion"/>
  </si>
  <si>
    <t>MARIANA</t>
    <phoneticPr fontId="3" type="noConversion"/>
  </si>
  <si>
    <t xml:space="preserve">MICRONESIA    </t>
    <phoneticPr fontId="3" type="noConversion"/>
  </si>
  <si>
    <t>NORTH</t>
    <phoneticPr fontId="3" type="noConversion"/>
  </si>
  <si>
    <t>KLINE</t>
    <phoneticPr fontId="3" type="noConversion"/>
  </si>
  <si>
    <t>BENLINE</t>
    <phoneticPr fontId="3" type="noConversion"/>
  </si>
  <si>
    <t>SANDAKAN</t>
    <phoneticPr fontId="3" type="noConversion"/>
  </si>
  <si>
    <t>UTC1</t>
    <phoneticPr fontId="3" type="noConversion"/>
  </si>
  <si>
    <t>ZIM</t>
    <phoneticPr fontId="3" type="noConversion"/>
  </si>
  <si>
    <t>HKHKG</t>
    <phoneticPr fontId="3" type="noConversion"/>
  </si>
  <si>
    <t>HPL</t>
    <phoneticPr fontId="3" type="noConversion"/>
  </si>
  <si>
    <t>YML</t>
    <phoneticPr fontId="3" type="noConversion"/>
  </si>
  <si>
    <t>PIL</t>
    <phoneticPr fontId="3" type="noConversion"/>
  </si>
  <si>
    <t>SUBIC BAY</t>
    <phoneticPr fontId="3" type="noConversion"/>
  </si>
  <si>
    <t>MOL</t>
    <phoneticPr fontId="3" type="noConversion"/>
  </si>
  <si>
    <t>MARIANA</t>
    <phoneticPr fontId="3" type="noConversion"/>
  </si>
  <si>
    <t>KMTC</t>
    <phoneticPr fontId="3" type="noConversion"/>
  </si>
  <si>
    <t>KMTC</t>
    <phoneticPr fontId="3" type="noConversion"/>
  </si>
  <si>
    <t>KMTC</t>
    <phoneticPr fontId="3" type="noConversion"/>
  </si>
  <si>
    <t>ZIM</t>
    <phoneticPr fontId="3" type="noConversion"/>
  </si>
  <si>
    <t>NZNPE</t>
    <phoneticPr fontId="3" type="noConversion"/>
  </si>
  <si>
    <t>RCL</t>
    <phoneticPr fontId="3" type="noConversion"/>
  </si>
  <si>
    <t>INNSA</t>
    <phoneticPr fontId="3" type="noConversion"/>
  </si>
  <si>
    <t>MOL</t>
  </si>
  <si>
    <t>EMC</t>
  </si>
  <si>
    <t>APIA</t>
    <phoneticPr fontId="3" type="noConversion"/>
  </si>
  <si>
    <t>NEW CALEDONIA</t>
    <phoneticPr fontId="3" type="noConversion"/>
  </si>
  <si>
    <t>LIHIR</t>
    <phoneticPr fontId="3" type="noConversion"/>
  </si>
  <si>
    <t>HPL</t>
    <phoneticPr fontId="3" type="noConversion"/>
  </si>
  <si>
    <t>TO DOOR</t>
    <phoneticPr fontId="3" type="noConversion"/>
  </si>
  <si>
    <t>HPL</t>
    <phoneticPr fontId="3" type="noConversion"/>
  </si>
  <si>
    <t>OOCL</t>
    <phoneticPr fontId="3" type="noConversion"/>
  </si>
  <si>
    <t>ANL</t>
    <phoneticPr fontId="3" type="noConversion"/>
  </si>
  <si>
    <t>SHUWAIKH</t>
    <phoneticPr fontId="3" type="noConversion"/>
  </si>
  <si>
    <t>HPL</t>
    <phoneticPr fontId="3" type="noConversion"/>
  </si>
  <si>
    <t>ZIM</t>
    <phoneticPr fontId="3" type="noConversion"/>
  </si>
  <si>
    <t>AEJAL</t>
    <phoneticPr fontId="3" type="noConversion"/>
  </si>
  <si>
    <t>CEBU</t>
    <phoneticPr fontId="3" type="noConversion"/>
  </si>
  <si>
    <t>SONGKLA</t>
    <phoneticPr fontId="3" type="noConversion"/>
  </si>
  <si>
    <t>LAX</t>
    <phoneticPr fontId="3" type="noConversion"/>
  </si>
  <si>
    <t>AUBRI</t>
    <phoneticPr fontId="3" type="noConversion"/>
  </si>
  <si>
    <t>NZLYT</t>
    <phoneticPr fontId="3" type="noConversion"/>
  </si>
  <si>
    <t>AUMEL</t>
    <phoneticPr fontId="3" type="noConversion"/>
  </si>
  <si>
    <t>PFPAP</t>
    <phoneticPr fontId="3" type="noConversion"/>
  </si>
  <si>
    <t>AUTOW</t>
    <phoneticPr fontId="3" type="noConversion"/>
  </si>
  <si>
    <t>NZAUC</t>
    <phoneticPr fontId="3" type="noConversion"/>
  </si>
  <si>
    <t>NZNAP</t>
    <phoneticPr fontId="3" type="noConversion"/>
  </si>
  <si>
    <t>FJSUV</t>
    <phoneticPr fontId="3" type="noConversion"/>
  </si>
  <si>
    <t>THLCB</t>
    <phoneticPr fontId="3" type="noConversion"/>
  </si>
  <si>
    <t>UTC3</t>
    <phoneticPr fontId="3" type="noConversion"/>
  </si>
  <si>
    <t xml:space="preserve"> UTC3</t>
    <phoneticPr fontId="3" type="noConversion"/>
  </si>
  <si>
    <t>VNHCM</t>
    <phoneticPr fontId="3" type="noConversion"/>
  </si>
  <si>
    <t>VNHPG</t>
    <phoneticPr fontId="3" type="noConversion"/>
  </si>
  <si>
    <t>IRBAB</t>
    <phoneticPr fontId="3" type="noConversion"/>
  </si>
  <si>
    <t>BDCTG</t>
    <phoneticPr fontId="3" type="noConversion"/>
  </si>
  <si>
    <t>LKCOL</t>
    <phoneticPr fontId="3" type="noConversion"/>
  </si>
  <si>
    <t>SAJED</t>
    <phoneticPr fontId="3" type="noConversion"/>
  </si>
  <si>
    <t>AEKFA</t>
    <phoneticPr fontId="3" type="noConversion"/>
  </si>
  <si>
    <t>INMAA</t>
    <phoneticPr fontId="3" type="noConversion"/>
  </si>
  <si>
    <t>INPIP</t>
    <phoneticPr fontId="3" type="noConversion"/>
  </si>
  <si>
    <t>EGAIS</t>
    <phoneticPr fontId="3" type="noConversion"/>
  </si>
  <si>
    <t>IRBKH</t>
    <phoneticPr fontId="3" type="noConversion"/>
  </si>
  <si>
    <t>MSC</t>
    <phoneticPr fontId="3" type="noConversion"/>
  </si>
  <si>
    <t>MOL</t>
    <phoneticPr fontId="3" type="noConversion"/>
  </si>
  <si>
    <t>MAKASSAR</t>
    <phoneticPr fontId="3" type="noConversion"/>
  </si>
  <si>
    <t>IDSUB</t>
    <phoneticPr fontId="3" type="noConversion"/>
  </si>
  <si>
    <t>YML</t>
    <phoneticPr fontId="3" type="noConversion"/>
  </si>
  <si>
    <t>PAPUA NEW GUINEA</t>
    <phoneticPr fontId="3" type="noConversion"/>
  </si>
  <si>
    <t>SWIRE</t>
    <phoneticPr fontId="3" type="noConversion"/>
  </si>
  <si>
    <t>MCC</t>
    <phoneticPr fontId="3" type="noConversion"/>
  </si>
  <si>
    <t>RUSSIA</t>
    <phoneticPr fontId="3" type="noConversion"/>
  </si>
  <si>
    <t>NAMSUNG</t>
    <phoneticPr fontId="3" type="noConversion"/>
  </si>
  <si>
    <t>PERAWANG</t>
    <phoneticPr fontId="3" type="noConversion"/>
  </si>
  <si>
    <t>SWIRE</t>
    <phoneticPr fontId="3" type="noConversion"/>
  </si>
  <si>
    <t>HPL</t>
    <phoneticPr fontId="3" type="noConversion"/>
  </si>
  <si>
    <t>ZIM</t>
    <phoneticPr fontId="3" type="noConversion"/>
  </si>
  <si>
    <t>ASL</t>
    <phoneticPr fontId="3" type="noConversion"/>
  </si>
  <si>
    <t>HASCO</t>
    <phoneticPr fontId="3" type="noConversion"/>
  </si>
  <si>
    <t>OOCL</t>
    <phoneticPr fontId="3" type="noConversion"/>
  </si>
  <si>
    <t>RCL</t>
    <phoneticPr fontId="3" type="noConversion"/>
  </si>
  <si>
    <t>15</t>
    <phoneticPr fontId="3" type="noConversion"/>
  </si>
  <si>
    <t>2/3</t>
    <phoneticPr fontId="3" type="noConversion"/>
  </si>
  <si>
    <t>NHA TRANG</t>
    <phoneticPr fontId="3" type="noConversion"/>
  </si>
  <si>
    <t>PAKHI</t>
    <phoneticPr fontId="3" type="noConversion"/>
  </si>
  <si>
    <t>MACAU</t>
    <phoneticPr fontId="3" type="noConversion"/>
  </si>
  <si>
    <t>OOCL</t>
    <phoneticPr fontId="3" type="noConversion"/>
  </si>
  <si>
    <t>YML</t>
    <phoneticPr fontId="3" type="noConversion"/>
  </si>
  <si>
    <t>APL</t>
    <phoneticPr fontId="3" type="noConversion"/>
  </si>
  <si>
    <t>QICT</t>
    <phoneticPr fontId="3" type="noConversion"/>
  </si>
  <si>
    <t>MARIANA</t>
    <phoneticPr fontId="3" type="noConversion"/>
  </si>
  <si>
    <t>GUAM</t>
    <phoneticPr fontId="3" type="noConversion"/>
  </si>
  <si>
    <t>SWIRE</t>
    <phoneticPr fontId="3" type="noConversion"/>
  </si>
  <si>
    <t>AWT</t>
    <phoneticPr fontId="3" type="noConversion"/>
  </si>
  <si>
    <t>SH1</t>
    <phoneticPr fontId="3" type="noConversion"/>
  </si>
  <si>
    <t>ANX</t>
    <phoneticPr fontId="3" type="noConversion"/>
  </si>
  <si>
    <t>FRS</t>
    <phoneticPr fontId="3" type="noConversion"/>
  </si>
  <si>
    <t>MEX</t>
    <phoneticPr fontId="3" type="noConversion"/>
  </si>
  <si>
    <t>FAX</t>
    <phoneticPr fontId="3" type="noConversion"/>
  </si>
  <si>
    <t>CVX</t>
    <phoneticPr fontId="3" type="noConversion"/>
  </si>
  <si>
    <t>AU1</t>
    <phoneticPr fontId="3" type="noConversion"/>
  </si>
  <si>
    <t>WIN</t>
    <phoneticPr fontId="3" type="noConversion"/>
  </si>
  <si>
    <t>CNZ</t>
    <phoneticPr fontId="3" type="noConversion"/>
  </si>
  <si>
    <t>IFX</t>
    <phoneticPr fontId="3" type="noConversion"/>
  </si>
  <si>
    <t>BY FEEDER</t>
    <phoneticPr fontId="3" type="noConversion"/>
  </si>
  <si>
    <t>ANZEX</t>
    <phoneticPr fontId="3" type="noConversion"/>
  </si>
  <si>
    <t>WALLABY</t>
    <phoneticPr fontId="3" type="noConversion"/>
  </si>
  <si>
    <t>ESACO</t>
    <phoneticPr fontId="3" type="noConversion"/>
  </si>
  <si>
    <t>RSS</t>
    <phoneticPr fontId="3" type="noConversion"/>
  </si>
  <si>
    <t>CPX</t>
    <phoneticPr fontId="3" type="noConversion"/>
  </si>
  <si>
    <t>RES1</t>
    <phoneticPr fontId="3" type="noConversion"/>
  </si>
  <si>
    <t>NAE</t>
    <phoneticPr fontId="3" type="noConversion"/>
  </si>
  <si>
    <t>JKN</t>
    <phoneticPr fontId="3" type="noConversion"/>
  </si>
  <si>
    <t>AAUS</t>
    <phoneticPr fontId="3" type="noConversion"/>
  </si>
  <si>
    <t>ANZL</t>
    <phoneticPr fontId="3" type="noConversion"/>
  </si>
  <si>
    <t>ANA</t>
    <phoneticPr fontId="3" type="noConversion"/>
  </si>
  <si>
    <t>CGX</t>
    <phoneticPr fontId="3" type="noConversion"/>
  </si>
  <si>
    <t>CCI</t>
    <phoneticPr fontId="3" type="noConversion"/>
  </si>
  <si>
    <t>CTS</t>
    <phoneticPr fontId="3" type="noConversion"/>
  </si>
  <si>
    <t>CTI</t>
    <phoneticPr fontId="3" type="noConversion"/>
  </si>
  <si>
    <t>CKI</t>
    <phoneticPr fontId="3" type="noConversion"/>
  </si>
  <si>
    <t>CMS</t>
    <phoneticPr fontId="3" type="noConversion"/>
  </si>
  <si>
    <t>CIX3</t>
    <phoneticPr fontId="3" type="noConversion"/>
  </si>
  <si>
    <t>KPS</t>
    <phoneticPr fontId="3" type="noConversion"/>
  </si>
  <si>
    <t>CHN1</t>
    <phoneticPr fontId="3" type="noConversion"/>
  </si>
  <si>
    <t>RBC</t>
    <phoneticPr fontId="3" type="noConversion"/>
  </si>
  <si>
    <t>LP4/LP7</t>
    <phoneticPr fontId="3" type="noConversion"/>
  </si>
  <si>
    <t>BY RAIL</t>
    <phoneticPr fontId="3" type="noConversion"/>
  </si>
  <si>
    <t>ZCP</t>
    <phoneticPr fontId="3" type="noConversion"/>
  </si>
  <si>
    <t>JCV</t>
    <phoneticPr fontId="3" type="noConversion"/>
  </si>
  <si>
    <t>CHT</t>
    <phoneticPr fontId="3" type="noConversion"/>
  </si>
  <si>
    <t>PCI</t>
    <phoneticPr fontId="3" type="noConversion"/>
  </si>
  <si>
    <t>CIX</t>
    <phoneticPr fontId="3" type="noConversion"/>
  </si>
  <si>
    <t>RKI</t>
    <phoneticPr fontId="3" type="noConversion"/>
  </si>
  <si>
    <t>RBC2</t>
    <phoneticPr fontId="3" type="noConversion"/>
  </si>
  <si>
    <t>PADANG</t>
    <phoneticPr fontId="3" type="noConversion"/>
  </si>
  <si>
    <t>MERAK</t>
    <phoneticPr fontId="3" type="noConversion"/>
  </si>
  <si>
    <t>KMTC</t>
    <phoneticPr fontId="3" type="noConversion"/>
  </si>
  <si>
    <t>COSCO</t>
    <phoneticPr fontId="3" type="noConversion"/>
  </si>
  <si>
    <t>MOL</t>
    <phoneticPr fontId="3" type="noConversion"/>
  </si>
  <si>
    <t>PIL</t>
    <phoneticPr fontId="3" type="noConversion"/>
  </si>
  <si>
    <t>MEGA-SAFETY(SHANGHAI) INTERNATIONAL TRANSPORTATION CO.,LTD</t>
    <phoneticPr fontId="3" type="noConversion"/>
  </si>
  <si>
    <t>APL</t>
    <phoneticPr fontId="3" type="noConversion"/>
  </si>
  <si>
    <t>LABUAN</t>
    <phoneticPr fontId="3" type="noConversion"/>
  </si>
  <si>
    <t>CMA</t>
    <phoneticPr fontId="3" type="noConversion"/>
  </si>
  <si>
    <t>APL</t>
    <phoneticPr fontId="3" type="noConversion"/>
  </si>
  <si>
    <t>HAIPHONG</t>
    <phoneticPr fontId="3" type="noConversion"/>
  </si>
  <si>
    <t>ALOTAU</t>
    <phoneticPr fontId="3" type="noConversion"/>
  </si>
  <si>
    <t>BUKA</t>
    <phoneticPr fontId="3" type="noConversion"/>
  </si>
  <si>
    <t>KAVIENG</t>
    <phoneticPr fontId="3" type="noConversion"/>
  </si>
  <si>
    <t>KIETA</t>
    <phoneticPr fontId="3" type="noConversion"/>
  </si>
  <si>
    <t>KIMBE</t>
    <phoneticPr fontId="3" type="noConversion"/>
  </si>
  <si>
    <t>VANIMO</t>
    <phoneticPr fontId="3" type="noConversion"/>
  </si>
  <si>
    <t>WEWAK</t>
    <phoneticPr fontId="3" type="noConversion"/>
  </si>
  <si>
    <t>NAURU</t>
    <phoneticPr fontId="3" type="noConversion"/>
  </si>
  <si>
    <t>EBEYE</t>
    <phoneticPr fontId="3" type="noConversion"/>
  </si>
  <si>
    <t>KOSRAE</t>
    <phoneticPr fontId="3" type="noConversion"/>
  </si>
  <si>
    <t>POHNPEI</t>
    <phoneticPr fontId="3" type="noConversion"/>
  </si>
  <si>
    <t>CHUUK</t>
    <phoneticPr fontId="3" type="noConversion"/>
  </si>
  <si>
    <t>YAP</t>
    <phoneticPr fontId="3" type="noConversion"/>
  </si>
  <si>
    <t>KOROR</t>
    <phoneticPr fontId="3" type="noConversion"/>
  </si>
  <si>
    <t>IAL</t>
    <phoneticPr fontId="3" type="noConversion"/>
  </si>
  <si>
    <t>HMM</t>
    <phoneticPr fontId="3" type="noConversion"/>
  </si>
  <si>
    <t>HMM</t>
    <phoneticPr fontId="3" type="noConversion"/>
  </si>
  <si>
    <t>DAVAO</t>
    <phoneticPr fontId="3" type="noConversion"/>
  </si>
  <si>
    <t>GENERAL SANTOS</t>
    <phoneticPr fontId="3" type="noConversion"/>
  </si>
  <si>
    <t>HMM</t>
    <phoneticPr fontId="3" type="noConversion"/>
  </si>
  <si>
    <t>AUCKLAND</t>
    <phoneticPr fontId="3" type="noConversion"/>
  </si>
  <si>
    <t>MOL</t>
    <phoneticPr fontId="3" type="noConversion"/>
  </si>
  <si>
    <t>MSK</t>
    <phoneticPr fontId="3" type="noConversion"/>
  </si>
  <si>
    <t>APL</t>
    <phoneticPr fontId="3" type="noConversion"/>
  </si>
  <si>
    <t>MSC</t>
    <phoneticPr fontId="3" type="noConversion"/>
  </si>
  <si>
    <t>MOL</t>
    <phoneticPr fontId="3" type="noConversion"/>
  </si>
  <si>
    <t>HDT</t>
    <phoneticPr fontId="3" type="noConversion"/>
  </si>
  <si>
    <t>APG</t>
    <phoneticPr fontId="3" type="noConversion"/>
  </si>
  <si>
    <t>KCT</t>
    <phoneticPr fontId="3" type="noConversion"/>
  </si>
  <si>
    <t>KJCS/KCS/KMSK</t>
    <phoneticPr fontId="3" type="noConversion"/>
  </si>
  <si>
    <t>ACS</t>
    <phoneticPr fontId="3" type="noConversion"/>
  </si>
  <si>
    <t>KMSK</t>
    <phoneticPr fontId="3" type="noConversion"/>
  </si>
  <si>
    <t>MCT</t>
    <phoneticPr fontId="3" type="noConversion"/>
  </si>
  <si>
    <t>MSK</t>
    <phoneticPr fontId="3" type="noConversion"/>
  </si>
  <si>
    <t>CI2</t>
    <phoneticPr fontId="3" type="noConversion"/>
  </si>
  <si>
    <t>GTI</t>
    <phoneticPr fontId="3" type="noConversion"/>
  </si>
  <si>
    <t>KUCHING</t>
    <phoneticPr fontId="3" type="noConversion"/>
  </si>
  <si>
    <t>BELAWAN</t>
    <phoneticPr fontId="3" type="noConversion"/>
  </si>
  <si>
    <t>NOUMEA</t>
    <phoneticPr fontId="3" type="noConversion"/>
  </si>
  <si>
    <t>NCNOA</t>
    <phoneticPr fontId="3" type="noConversion"/>
  </si>
  <si>
    <t>PGLAE</t>
    <phoneticPr fontId="3" type="noConversion"/>
  </si>
  <si>
    <t>HHX1</t>
    <phoneticPr fontId="3" type="noConversion"/>
  </si>
  <si>
    <t>HHX2</t>
    <phoneticPr fontId="3" type="noConversion"/>
  </si>
  <si>
    <t>MSK</t>
    <phoneticPr fontId="3" type="noConversion"/>
  </si>
  <si>
    <t>CVT</t>
    <phoneticPr fontId="3" type="noConversion"/>
  </si>
  <si>
    <t>CAVCR</t>
    <phoneticPr fontId="3" type="noConversion"/>
  </si>
  <si>
    <t>CH1</t>
    <phoneticPr fontId="3" type="noConversion"/>
  </si>
  <si>
    <t>DAULATABAD</t>
    <phoneticPr fontId="3" type="noConversion"/>
  </si>
  <si>
    <t>MANGALORE</t>
    <phoneticPr fontId="3" type="noConversion"/>
  </si>
  <si>
    <t>MARMAGAO</t>
    <phoneticPr fontId="3" type="noConversion"/>
  </si>
  <si>
    <t>NASIK</t>
    <phoneticPr fontId="3" type="noConversion"/>
  </si>
  <si>
    <t>SEMARANG</t>
    <phoneticPr fontId="3" type="noConversion"/>
  </si>
  <si>
    <t>MADANG</t>
    <phoneticPr fontId="3" type="noConversion"/>
  </si>
  <si>
    <t>SIBU</t>
    <phoneticPr fontId="3" type="noConversion"/>
  </si>
  <si>
    <t>CI3</t>
    <phoneticPr fontId="3" type="noConversion"/>
  </si>
  <si>
    <t>FI2</t>
    <phoneticPr fontId="3" type="noConversion"/>
  </si>
  <si>
    <t>CHX</t>
    <phoneticPr fontId="3" type="noConversion"/>
  </si>
  <si>
    <t>INCOC</t>
    <phoneticPr fontId="3" type="noConversion"/>
  </si>
  <si>
    <t>FTS</t>
    <phoneticPr fontId="3" type="noConversion"/>
  </si>
  <si>
    <t>LAEM CHABANG</t>
    <phoneticPr fontId="3" type="noConversion"/>
  </si>
  <si>
    <t>SOUTH</t>
    <phoneticPr fontId="3" type="noConversion"/>
  </si>
  <si>
    <t>SINOKOR</t>
    <phoneticPr fontId="3" type="noConversion"/>
  </si>
  <si>
    <t>NELSON</t>
    <phoneticPr fontId="3" type="noConversion"/>
  </si>
  <si>
    <t>ASHBURTON</t>
    <phoneticPr fontId="3" type="noConversion"/>
  </si>
  <si>
    <t>DUNEDIN</t>
    <phoneticPr fontId="3" type="noConversion"/>
  </si>
  <si>
    <t>PALMERSTON NORTH</t>
    <phoneticPr fontId="3" type="noConversion"/>
  </si>
  <si>
    <t>GREYMOUTH</t>
    <phoneticPr fontId="3" type="noConversion"/>
  </si>
  <si>
    <t>INVERCARGILL</t>
    <phoneticPr fontId="3" type="noConversion"/>
  </si>
  <si>
    <t>LORNEVILLE</t>
    <phoneticPr fontId="3" type="noConversion"/>
  </si>
  <si>
    <t>MARSDEN POINT</t>
    <phoneticPr fontId="3" type="noConversion"/>
  </si>
  <si>
    <t>MATAURA</t>
    <phoneticPr fontId="3" type="noConversion"/>
  </si>
  <si>
    <t>PUKEURI</t>
    <phoneticPr fontId="3" type="noConversion"/>
  </si>
  <si>
    <t>WHANGAREI</t>
    <phoneticPr fontId="3" type="noConversion"/>
  </si>
  <si>
    <t>FIJI</t>
    <phoneticPr fontId="3" type="noConversion"/>
  </si>
  <si>
    <t>SAMOA</t>
    <phoneticPr fontId="3" type="noConversion"/>
  </si>
  <si>
    <t>TONGA</t>
    <phoneticPr fontId="3" type="noConversion"/>
  </si>
  <si>
    <t>VANUATU</t>
    <phoneticPr fontId="3" type="noConversion"/>
  </si>
  <si>
    <t>COOK ISLANDS</t>
    <phoneticPr fontId="3" type="noConversion"/>
  </si>
  <si>
    <t>TUVALU</t>
    <phoneticPr fontId="3" type="noConversion"/>
  </si>
  <si>
    <t>WALLIS AND FUTUNA ISLANDS</t>
    <phoneticPr fontId="3" type="noConversion"/>
  </si>
  <si>
    <t>KIRIBATI</t>
    <phoneticPr fontId="3" type="noConversion"/>
  </si>
  <si>
    <t>PALAU</t>
    <phoneticPr fontId="3" type="noConversion"/>
  </si>
  <si>
    <t>SGSGP</t>
    <phoneticPr fontId="3" type="noConversion"/>
  </si>
  <si>
    <t>CAT</t>
    <phoneticPr fontId="3" type="noConversion"/>
  </si>
  <si>
    <t>STA</t>
    <phoneticPr fontId="3" type="noConversion"/>
  </si>
  <si>
    <t>AUSYD</t>
    <phoneticPr fontId="3" type="noConversion"/>
  </si>
  <si>
    <t>YANGON</t>
    <phoneticPr fontId="3" type="noConversion"/>
  </si>
  <si>
    <t>BY RAIL</t>
    <phoneticPr fontId="3" type="noConversion"/>
  </si>
  <si>
    <t>BY TRUCK</t>
    <phoneticPr fontId="3" type="noConversion"/>
  </si>
  <si>
    <t>BY FEEDER</t>
    <phoneticPr fontId="3" type="noConversion"/>
  </si>
  <si>
    <t>CJV5</t>
    <phoneticPr fontId="3" type="noConversion"/>
  </si>
  <si>
    <t>CKV</t>
    <phoneticPr fontId="3" type="noConversion"/>
  </si>
  <si>
    <t>VTX1</t>
    <phoneticPr fontId="3" type="noConversion"/>
  </si>
  <si>
    <t>CJV2</t>
    <phoneticPr fontId="3" type="noConversion"/>
  </si>
  <si>
    <t>CJV3</t>
    <phoneticPr fontId="3" type="noConversion"/>
  </si>
  <si>
    <t>VTX2</t>
    <phoneticPr fontId="3" type="noConversion"/>
  </si>
  <si>
    <t>VTX3</t>
    <phoneticPr fontId="3" type="noConversion"/>
  </si>
  <si>
    <t>JABCO2</t>
    <phoneticPr fontId="3" type="noConversion"/>
  </si>
  <si>
    <t>CKV2</t>
    <phoneticPr fontId="3" type="noConversion"/>
  </si>
  <si>
    <t>KCM</t>
    <phoneticPr fontId="3" type="noConversion"/>
  </si>
  <si>
    <t>AJMAN</t>
    <phoneticPr fontId="3" type="noConversion"/>
  </si>
  <si>
    <t>FUJAIRAH</t>
    <phoneticPr fontId="3" type="noConversion"/>
  </si>
  <si>
    <t>JUBAIL</t>
    <phoneticPr fontId="3" type="noConversion"/>
  </si>
  <si>
    <t>KISH</t>
    <phoneticPr fontId="3" type="noConversion"/>
  </si>
  <si>
    <t>KUWAIT</t>
    <phoneticPr fontId="3" type="noConversion"/>
  </si>
  <si>
    <t>SOHAR</t>
    <phoneticPr fontId="3" type="noConversion"/>
  </si>
  <si>
    <t>BHUSAWAL</t>
    <phoneticPr fontId="3" type="noConversion"/>
  </si>
  <si>
    <t>COIMBATORE</t>
    <phoneticPr fontId="3" type="noConversion"/>
  </si>
  <si>
    <t>RATLAM</t>
    <phoneticPr fontId="3" type="noConversion"/>
  </si>
  <si>
    <t>ADABIYA</t>
    <phoneticPr fontId="3" type="noConversion"/>
  </si>
  <si>
    <t>20GP</t>
    <phoneticPr fontId="3" type="noConversion"/>
  </si>
  <si>
    <t>40GP</t>
    <phoneticPr fontId="3" type="noConversion"/>
  </si>
  <si>
    <t>40HC</t>
    <phoneticPr fontId="3" type="noConversion"/>
  </si>
  <si>
    <t>THTPT</t>
    <phoneticPr fontId="3" type="noConversion"/>
  </si>
  <si>
    <t>JNPT</t>
    <phoneticPr fontId="3" type="noConversion"/>
  </si>
  <si>
    <t>PICT</t>
    <phoneticPr fontId="3" type="noConversion"/>
  </si>
  <si>
    <t>KICT</t>
    <phoneticPr fontId="3" type="noConversion"/>
  </si>
  <si>
    <t>if moved by consignee</t>
    <phoneticPr fontId="3" type="noConversion"/>
  </si>
  <si>
    <t>WA2</t>
    <phoneticPr fontId="3" type="noConversion"/>
  </si>
  <si>
    <t>CMS</t>
    <phoneticPr fontId="3" type="noConversion"/>
  </si>
  <si>
    <t>JEBEL ALI FREEZONE</t>
    <phoneticPr fontId="3" type="noConversion"/>
  </si>
  <si>
    <t>IRAN</t>
    <phoneticPr fontId="3" type="noConversion"/>
  </si>
  <si>
    <t>KHORAMSHAHR</t>
    <phoneticPr fontId="3" type="noConversion"/>
  </si>
  <si>
    <t>IRAQ</t>
    <phoneticPr fontId="3" type="noConversion"/>
  </si>
  <si>
    <t>OMAN</t>
    <phoneticPr fontId="3" type="noConversion"/>
  </si>
  <si>
    <t>CALCUTTA/KOLKATA</t>
    <phoneticPr fontId="3" type="noConversion"/>
  </si>
  <si>
    <t>INDIA</t>
    <phoneticPr fontId="3" type="noConversion"/>
  </si>
  <si>
    <t>KANPUR</t>
    <phoneticPr fontId="3" type="noConversion"/>
  </si>
  <si>
    <t>VALVADA</t>
    <phoneticPr fontId="3" type="noConversion"/>
  </si>
  <si>
    <t>JORDAN</t>
    <phoneticPr fontId="3" type="noConversion"/>
  </si>
  <si>
    <t>ESA</t>
    <phoneticPr fontId="3" type="noConversion"/>
  </si>
  <si>
    <t>USA</t>
    <phoneticPr fontId="3" type="noConversion"/>
  </si>
  <si>
    <t>CANADA</t>
    <phoneticPr fontId="3" type="noConversion"/>
  </si>
  <si>
    <t>VIETNAM</t>
    <phoneticPr fontId="3" type="noConversion"/>
  </si>
  <si>
    <t>CATLAI</t>
    <phoneticPr fontId="3" type="noConversion"/>
  </si>
  <si>
    <t>HOCHIMINH</t>
    <phoneticPr fontId="3" type="noConversion"/>
  </si>
  <si>
    <t>VICT</t>
    <phoneticPr fontId="3" type="noConversion"/>
  </si>
  <si>
    <t>CAI MEP</t>
    <phoneticPr fontId="3" type="noConversion"/>
  </si>
  <si>
    <t>DANANG</t>
    <phoneticPr fontId="3" type="noConversion"/>
  </si>
  <si>
    <t>HANOI</t>
    <phoneticPr fontId="3" type="noConversion"/>
  </si>
  <si>
    <t>BEN NGHE</t>
    <phoneticPr fontId="3" type="noConversion"/>
  </si>
  <si>
    <t>BINH DUONG</t>
    <phoneticPr fontId="3" type="noConversion"/>
  </si>
  <si>
    <t>BIEN HOA</t>
    <phoneticPr fontId="3" type="noConversion"/>
  </si>
  <si>
    <t>KHANH HOI</t>
    <phoneticPr fontId="3" type="noConversion"/>
  </si>
  <si>
    <t>LONG BINH</t>
    <phoneticPr fontId="3" type="noConversion"/>
  </si>
  <si>
    <t>PHU MY</t>
    <phoneticPr fontId="3" type="noConversion"/>
  </si>
  <si>
    <t>SONG THAN</t>
    <phoneticPr fontId="3" type="noConversion"/>
  </si>
  <si>
    <t>SPCT PORT</t>
    <phoneticPr fontId="3" type="noConversion"/>
  </si>
  <si>
    <t>TANAMEXCO</t>
    <phoneticPr fontId="3" type="noConversion"/>
  </si>
  <si>
    <t>TRANSIMEX</t>
    <phoneticPr fontId="3" type="noConversion"/>
  </si>
  <si>
    <t>TAN THUAN</t>
    <phoneticPr fontId="3" type="noConversion"/>
  </si>
  <si>
    <t>VUNG TAU</t>
    <phoneticPr fontId="3" type="noConversion"/>
  </si>
  <si>
    <t>THAILAND</t>
    <phoneticPr fontId="3" type="noConversion"/>
  </si>
  <si>
    <t>PAT</t>
    <phoneticPr fontId="3" type="noConversion"/>
  </si>
  <si>
    <t>BANGKOK</t>
    <phoneticPr fontId="3" type="noConversion"/>
  </si>
  <si>
    <t>TPT</t>
    <phoneticPr fontId="3" type="noConversion"/>
  </si>
  <si>
    <t>UNITHAI</t>
    <phoneticPr fontId="3" type="noConversion"/>
  </si>
  <si>
    <t>SCT</t>
    <phoneticPr fontId="3" type="noConversion"/>
  </si>
  <si>
    <t>BMT</t>
    <phoneticPr fontId="3" type="noConversion"/>
  </si>
  <si>
    <t>CAGAYAN DE ORO</t>
    <phoneticPr fontId="3" type="noConversion"/>
  </si>
  <si>
    <t>BATANGAS</t>
    <phoneticPr fontId="3" type="noConversion"/>
  </si>
  <si>
    <t>PORT KELANG</t>
    <phoneticPr fontId="3" type="noConversion"/>
  </si>
  <si>
    <t>TANJUNG PELEPAS</t>
    <phoneticPr fontId="3" type="noConversion"/>
  </si>
  <si>
    <t>TAWAU</t>
    <phoneticPr fontId="3" type="noConversion"/>
  </si>
  <si>
    <t>KUANTAN</t>
    <phoneticPr fontId="3" type="noConversion"/>
  </si>
  <si>
    <t>KOTA KINABALU</t>
    <phoneticPr fontId="3" type="noConversion"/>
  </si>
  <si>
    <t>LAHAD DATU</t>
    <phoneticPr fontId="3" type="noConversion"/>
  </si>
  <si>
    <t>INDONESIA</t>
    <phoneticPr fontId="3" type="noConversion"/>
  </si>
  <si>
    <t>BATAM</t>
    <phoneticPr fontId="3" type="noConversion"/>
  </si>
  <si>
    <t>BALIKPAPAN</t>
    <phoneticPr fontId="3" type="noConversion"/>
  </si>
  <si>
    <t>BITUNG</t>
    <phoneticPr fontId="3" type="noConversion"/>
  </si>
  <si>
    <t>PALEMBANG</t>
    <phoneticPr fontId="3" type="noConversion"/>
  </si>
  <si>
    <t>SAMARINDA</t>
    <phoneticPr fontId="3" type="noConversion"/>
  </si>
  <si>
    <t>DILI</t>
    <phoneticPr fontId="3" type="noConversion"/>
  </si>
  <si>
    <t>EAST TIMOR</t>
    <phoneticPr fontId="3" type="noConversion"/>
  </si>
  <si>
    <t>SINGAPORE</t>
    <phoneticPr fontId="3" type="noConversion"/>
  </si>
  <si>
    <t>BRUNEI</t>
    <phoneticPr fontId="3" type="noConversion"/>
  </si>
  <si>
    <t>MUARA</t>
    <phoneticPr fontId="3" type="noConversion"/>
  </si>
  <si>
    <t>CAMBODIA</t>
    <phoneticPr fontId="3" type="noConversion"/>
  </si>
  <si>
    <t>UNITED ARAB EMIRATES</t>
    <phoneticPr fontId="3" type="noConversion"/>
  </si>
  <si>
    <t>KHOR FAKKAN</t>
    <phoneticPr fontId="3" type="noConversion"/>
  </si>
  <si>
    <t>SAUDI ARABIA</t>
    <phoneticPr fontId="3" type="noConversion"/>
  </si>
  <si>
    <t>ASSALUYEH</t>
    <phoneticPr fontId="3" type="noConversion"/>
  </si>
  <si>
    <t>CHABAHAR</t>
    <phoneticPr fontId="3" type="noConversion"/>
  </si>
  <si>
    <t>BANDAR IMAM KHOMEINI</t>
    <phoneticPr fontId="3" type="noConversion"/>
  </si>
  <si>
    <t>QATAR</t>
    <phoneticPr fontId="3" type="noConversion"/>
  </si>
  <si>
    <t>BAHRAIN</t>
    <phoneticPr fontId="3" type="noConversion"/>
  </si>
  <si>
    <t>NHAVA SHEVA</t>
    <phoneticPr fontId="3" type="noConversion"/>
  </si>
  <si>
    <t>PIPAVAV</t>
    <phoneticPr fontId="3" type="noConversion"/>
  </si>
  <si>
    <t>MUNDRA</t>
    <phoneticPr fontId="3" type="noConversion"/>
  </si>
  <si>
    <t>BANGALORE</t>
    <phoneticPr fontId="3" type="noConversion"/>
  </si>
  <si>
    <t>KARACHI</t>
    <phoneticPr fontId="3" type="noConversion"/>
  </si>
  <si>
    <t>BANGLADESH</t>
    <phoneticPr fontId="3" type="noConversion"/>
  </si>
  <si>
    <t>DHAKA</t>
    <phoneticPr fontId="3" type="noConversion"/>
  </si>
  <si>
    <t>CHITTAGONG</t>
    <phoneticPr fontId="3" type="noConversion"/>
  </si>
  <si>
    <t>SRILANKA</t>
    <phoneticPr fontId="3" type="noConversion"/>
  </si>
  <si>
    <t>COLOMBO</t>
    <phoneticPr fontId="3" type="noConversion"/>
  </si>
  <si>
    <t>SUDAN</t>
    <phoneticPr fontId="3" type="noConversion"/>
  </si>
  <si>
    <t>YEMEN</t>
    <phoneticPr fontId="3" type="noConversion"/>
  </si>
  <si>
    <t>DJIBOUTI</t>
    <phoneticPr fontId="3" type="noConversion"/>
  </si>
  <si>
    <t>SEATLE WA</t>
    <phoneticPr fontId="3" type="noConversion"/>
  </si>
  <si>
    <t>OAKLAND CA</t>
    <phoneticPr fontId="3" type="noConversion"/>
  </si>
  <si>
    <t>NEW YORK NY</t>
    <phoneticPr fontId="3" type="noConversion"/>
  </si>
  <si>
    <t>SAVANNAH GA</t>
    <phoneticPr fontId="3" type="noConversion"/>
  </si>
  <si>
    <t>MIAMI FL</t>
    <phoneticPr fontId="3" type="noConversion"/>
  </si>
  <si>
    <t>NORFOLK VA</t>
    <phoneticPr fontId="3" type="noConversion"/>
  </si>
  <si>
    <t>CHARLESTON SC</t>
    <phoneticPr fontId="3" type="noConversion"/>
  </si>
  <si>
    <t>HOUSTON TX</t>
    <phoneticPr fontId="3" type="noConversion"/>
  </si>
  <si>
    <t>MOBILE AL</t>
    <phoneticPr fontId="3" type="noConversion"/>
  </si>
  <si>
    <t>VANCOUVER BC</t>
    <phoneticPr fontId="3" type="noConversion"/>
  </si>
  <si>
    <t>MONTREAL QC</t>
    <phoneticPr fontId="3" type="noConversion"/>
  </si>
  <si>
    <t>TORONTO ON</t>
    <phoneticPr fontId="3" type="noConversion"/>
  </si>
  <si>
    <t>SASKATON SK</t>
    <phoneticPr fontId="3" type="noConversion"/>
  </si>
  <si>
    <t>WINNIPEG MB</t>
    <phoneticPr fontId="3" type="noConversion"/>
  </si>
  <si>
    <t>HALIFAX NS</t>
    <phoneticPr fontId="3" type="noConversion"/>
  </si>
  <si>
    <t>TSL</t>
    <phoneticPr fontId="3" type="noConversion"/>
  </si>
  <si>
    <t>ANL</t>
    <phoneticPr fontId="3" type="noConversion"/>
  </si>
  <si>
    <t>HEUNG A</t>
    <phoneticPr fontId="3" type="noConversion"/>
  </si>
  <si>
    <t>NEW ZEALAND</t>
    <phoneticPr fontId="3" type="noConversion"/>
  </si>
  <si>
    <t>FI2</t>
    <phoneticPr fontId="3" type="noConversion"/>
  </si>
  <si>
    <t>IA5</t>
    <phoneticPr fontId="3" type="noConversion"/>
  </si>
  <si>
    <t>RAS AL KHAIMAH</t>
    <phoneticPr fontId="3" type="noConversion"/>
  </si>
  <si>
    <t>LGB</t>
    <phoneticPr fontId="3" type="noConversion"/>
  </si>
  <si>
    <t>UTC1/3</t>
    <phoneticPr fontId="3" type="noConversion"/>
  </si>
  <si>
    <t>PHNOM PENH</t>
    <phoneticPr fontId="3" type="noConversion"/>
  </si>
  <si>
    <t>KSH</t>
    <phoneticPr fontId="3" type="noConversion"/>
  </si>
  <si>
    <t>HIX</t>
    <phoneticPr fontId="3" type="noConversion"/>
  </si>
  <si>
    <t>HIT</t>
    <phoneticPr fontId="3" type="noConversion"/>
  </si>
  <si>
    <t>SOKHNA</t>
    <phoneticPr fontId="3" type="noConversion"/>
  </si>
  <si>
    <t>ADEN</t>
    <phoneticPr fontId="3" type="noConversion"/>
  </si>
  <si>
    <t>PORT KHALID</t>
    <phoneticPr fontId="3" type="noConversion"/>
  </si>
  <si>
    <t>MESAIEED</t>
    <phoneticPr fontId="3" type="noConversion"/>
  </si>
  <si>
    <t>WIN</t>
    <phoneticPr fontId="3" type="noConversion"/>
  </si>
  <si>
    <t>PMX</t>
    <phoneticPr fontId="3" type="noConversion"/>
  </si>
  <si>
    <t>WIN/CPX</t>
    <phoneticPr fontId="3" type="noConversion"/>
  </si>
  <si>
    <t>DICT PANABO</t>
    <phoneticPr fontId="3" type="noConversion"/>
  </si>
  <si>
    <t>HMM</t>
    <phoneticPr fontId="3" type="noConversion"/>
  </si>
  <si>
    <t>JAKARTA</t>
    <phoneticPr fontId="3" type="noConversion"/>
  </si>
  <si>
    <t>AQABA</t>
    <phoneticPr fontId="3" type="noConversion"/>
  </si>
  <si>
    <t>CHRISTCHURCH</t>
    <phoneticPr fontId="3" type="noConversion"/>
  </si>
  <si>
    <t>BY BARGE</t>
    <phoneticPr fontId="3" type="noConversion"/>
  </si>
  <si>
    <t>BY BARGE/RAIL</t>
    <phoneticPr fontId="3" type="noConversion"/>
  </si>
  <si>
    <t>WANGANUI</t>
    <phoneticPr fontId="3" type="noConversion"/>
  </si>
  <si>
    <t>PAGO PAGO</t>
    <phoneticPr fontId="3" type="noConversion"/>
  </si>
  <si>
    <t>NUKUALOFA</t>
    <phoneticPr fontId="3" type="noConversion"/>
  </si>
  <si>
    <t>PORT VILA</t>
    <phoneticPr fontId="3" type="noConversion"/>
  </si>
  <si>
    <t>RAROTONGA</t>
    <phoneticPr fontId="3" type="noConversion"/>
  </si>
  <si>
    <t>TARAWA</t>
    <phoneticPr fontId="3" type="noConversion"/>
  </si>
  <si>
    <t>BY FEEDER/RAIL</t>
    <phoneticPr fontId="3" type="noConversion"/>
  </si>
  <si>
    <t>LAE</t>
    <phoneticPr fontId="3" type="noConversion"/>
  </si>
  <si>
    <t>WELLINGTON</t>
    <phoneticPr fontId="3" type="noConversion"/>
  </si>
  <si>
    <t>TIMARU</t>
    <phoneticPr fontId="3" type="noConversion"/>
  </si>
  <si>
    <t>BLUFF</t>
    <phoneticPr fontId="3" type="noConversion"/>
  </si>
  <si>
    <t>PANGAON</t>
    <phoneticPr fontId="3" type="noConversion"/>
  </si>
  <si>
    <t>CPS</t>
    <phoneticPr fontId="3" type="noConversion"/>
  </si>
  <si>
    <t>INMUN</t>
    <phoneticPr fontId="3" type="noConversion"/>
  </si>
  <si>
    <t>23/25</t>
    <phoneticPr fontId="3" type="noConversion"/>
  </si>
  <si>
    <t>25/27</t>
    <phoneticPr fontId="3" type="noConversion"/>
  </si>
  <si>
    <t>MOL</t>
    <phoneticPr fontId="3" type="noConversion"/>
  </si>
  <si>
    <t>PUNE/PIMPRI</t>
    <phoneticPr fontId="3" type="noConversion"/>
  </si>
  <si>
    <t>MUMBAI/BOMBAY</t>
    <phoneticPr fontId="3" type="noConversion"/>
  </si>
  <si>
    <t>AGRA</t>
    <phoneticPr fontId="3" type="noConversion"/>
  </si>
  <si>
    <t>ANKLESHWAR</t>
    <phoneticPr fontId="3" type="noConversion"/>
  </si>
  <si>
    <t>MALANPUR</t>
    <phoneticPr fontId="3" type="noConversion"/>
  </si>
  <si>
    <t>JAIPUR</t>
    <phoneticPr fontId="3" type="noConversion"/>
  </si>
  <si>
    <t>JODHPUR</t>
    <phoneticPr fontId="3" type="noConversion"/>
  </si>
  <si>
    <t>LUDHIANA</t>
    <phoneticPr fontId="3" type="noConversion"/>
  </si>
  <si>
    <t>MORADABAD</t>
    <phoneticPr fontId="3" type="noConversion"/>
  </si>
  <si>
    <t>LAHORE</t>
    <phoneticPr fontId="3" type="noConversion"/>
  </si>
  <si>
    <t>MONGLA</t>
    <phoneticPr fontId="3" type="noConversion"/>
  </si>
  <si>
    <t>6TH OF OCTOBER</t>
    <phoneticPr fontId="3" type="noConversion"/>
  </si>
  <si>
    <t>SHARJAH</t>
    <phoneticPr fontId="3" type="noConversion"/>
  </si>
  <si>
    <t>MULUND</t>
    <phoneticPr fontId="3" type="noConversion"/>
  </si>
  <si>
    <t>HALDIA</t>
    <phoneticPr fontId="3" type="noConversion"/>
  </si>
  <si>
    <t>CK</t>
    <phoneticPr fontId="3" type="noConversion"/>
  </si>
  <si>
    <t>RIYADH</t>
    <phoneticPr fontId="3" type="noConversion"/>
  </si>
  <si>
    <t>BUSHEHR</t>
    <phoneticPr fontId="3" type="noConversion"/>
  </si>
  <si>
    <t>UMM QASR</t>
    <phoneticPr fontId="3" type="noConversion"/>
  </si>
  <si>
    <t>if moved by customer</t>
    <phoneticPr fontId="3" type="noConversion"/>
  </si>
  <si>
    <t>PORT CHALMERS</t>
    <phoneticPr fontId="3" type="noConversion"/>
  </si>
  <si>
    <t>COCHIN</t>
    <phoneticPr fontId="3" type="noConversion"/>
  </si>
  <si>
    <t>PORT SUDAN</t>
    <phoneticPr fontId="3" type="noConversion"/>
  </si>
  <si>
    <t>HODEIDAH</t>
    <phoneticPr fontId="3" type="noConversion"/>
  </si>
  <si>
    <t>QQ:2355822006</t>
    <phoneticPr fontId="3" type="noConversion"/>
  </si>
  <si>
    <t>NCS</t>
    <phoneticPr fontId="3" type="noConversion"/>
  </si>
  <si>
    <t>NAPIER</t>
    <phoneticPr fontId="3" type="noConversion"/>
  </si>
  <si>
    <t>TAURANGA</t>
    <phoneticPr fontId="3" type="noConversion"/>
  </si>
  <si>
    <t>CPX</t>
    <phoneticPr fontId="3" type="noConversion"/>
  </si>
  <si>
    <t>BANJARMASIN</t>
    <phoneticPr fontId="3" type="noConversion"/>
  </si>
  <si>
    <t>NEW PLYMOUTH</t>
    <phoneticPr fontId="3" type="noConversion"/>
  </si>
  <si>
    <t>PRINCE RUPERT</t>
    <phoneticPr fontId="3" type="noConversion"/>
  </si>
  <si>
    <t>ABU DHABI</t>
    <phoneticPr fontId="3" type="noConversion"/>
  </si>
  <si>
    <t>SURABAYA</t>
    <phoneticPr fontId="3" type="noConversion"/>
  </si>
  <si>
    <t>BINTULU</t>
    <phoneticPr fontId="3" type="noConversion"/>
  </si>
  <si>
    <t>VISAKHAPATNAM</t>
    <phoneticPr fontId="3" type="noConversion"/>
  </si>
  <si>
    <t>LYTTELTON</t>
    <phoneticPr fontId="3" type="noConversion"/>
  </si>
  <si>
    <t>QUI NHON</t>
    <phoneticPr fontId="3" type="noConversion"/>
  </si>
  <si>
    <t>PENANG</t>
    <phoneticPr fontId="3" type="noConversion"/>
  </si>
  <si>
    <t>SIHANOUKVILLE</t>
    <phoneticPr fontId="3" type="noConversion"/>
  </si>
  <si>
    <t>PORT MORESBY</t>
    <phoneticPr fontId="3" type="noConversion"/>
  </si>
  <si>
    <t>NAORO</t>
    <phoneticPr fontId="3" type="noConversion"/>
  </si>
  <si>
    <t>ORO BAY</t>
    <phoneticPr fontId="3" type="noConversion"/>
  </si>
  <si>
    <t>AMERICAN SAMOA</t>
    <phoneticPr fontId="3" type="noConversion"/>
  </si>
  <si>
    <t>MARSHALL ISLANDS</t>
    <phoneticPr fontId="3" type="noConversion"/>
  </si>
  <si>
    <t>SYDNEY</t>
    <phoneticPr fontId="3" type="noConversion"/>
  </si>
  <si>
    <t>BRISBANE</t>
    <phoneticPr fontId="3" type="noConversion"/>
  </si>
  <si>
    <t>ADELAIDE</t>
    <phoneticPr fontId="3" type="noConversion"/>
  </si>
  <si>
    <t>GLADSTONE</t>
    <phoneticPr fontId="3" type="noConversion"/>
  </si>
  <si>
    <t>ROCKHAMPTON</t>
    <phoneticPr fontId="3" type="noConversion"/>
  </si>
  <si>
    <t>CAIRNS</t>
    <phoneticPr fontId="3" type="noConversion"/>
  </si>
  <si>
    <t>TOWNSVILLE</t>
    <phoneticPr fontId="3" type="noConversion"/>
  </si>
  <si>
    <t>DARWIN</t>
    <phoneticPr fontId="3" type="noConversion"/>
  </si>
  <si>
    <t>LAUNCESTON</t>
    <phoneticPr fontId="3" type="noConversion"/>
  </si>
  <si>
    <t>HOBART</t>
    <phoneticPr fontId="3" type="noConversion"/>
  </si>
  <si>
    <t>DEVONPORT</t>
    <phoneticPr fontId="3" type="noConversion"/>
  </si>
  <si>
    <t>BELL BAY</t>
    <phoneticPr fontId="3" type="noConversion"/>
  </si>
  <si>
    <t>PERTH</t>
    <phoneticPr fontId="3" type="noConversion"/>
  </si>
  <si>
    <t>FREMANTLE</t>
    <phoneticPr fontId="3" type="noConversion"/>
  </si>
  <si>
    <t>PHUOC LONG</t>
    <phoneticPr fontId="3" type="noConversion"/>
  </si>
  <si>
    <t>PANJANG</t>
    <phoneticPr fontId="3" type="noConversion"/>
  </si>
  <si>
    <t>BURMA/MYANMAR</t>
    <phoneticPr fontId="3" type="noConversion"/>
  </si>
  <si>
    <t>VOSTOCHNY</t>
    <phoneticPr fontId="3" type="noConversion"/>
  </si>
  <si>
    <t>UMM AL QUWAIN</t>
    <phoneticPr fontId="3" type="noConversion"/>
  </si>
  <si>
    <t>DAMMAM</t>
    <phoneticPr fontId="3" type="noConversion"/>
  </si>
  <si>
    <t>FINEGAND/BALCLUTHA</t>
    <phoneticPr fontId="3" type="noConversion"/>
  </si>
  <si>
    <t>BENOA/BALI</t>
    <phoneticPr fontId="3" type="noConversion"/>
  </si>
  <si>
    <t>BANDAR ABBAS/SHAHID RAJAEE SEZ</t>
    <phoneticPr fontId="3" type="noConversion"/>
  </si>
  <si>
    <t>NEW DELHI/ICD LONI</t>
    <phoneticPr fontId="3" type="noConversion"/>
  </si>
  <si>
    <t>AHMEDABAD/KHODIYAR</t>
    <phoneticPr fontId="3" type="noConversion"/>
  </si>
  <si>
    <t>AHMEDABAD/ICD SANAND</t>
    <phoneticPr fontId="3" type="noConversion"/>
  </si>
  <si>
    <t>AURANGABAD/MALIWADA</t>
    <phoneticPr fontId="3" type="noConversion"/>
  </si>
  <si>
    <t>BHOPAL/ICD MANDIDEEP</t>
    <phoneticPr fontId="3" type="noConversion"/>
  </si>
  <si>
    <t>GURGAON/ICD GARHI HARSARU</t>
    <phoneticPr fontId="3" type="noConversion"/>
  </si>
  <si>
    <t>HYDERABAD/SANATHNAGAR</t>
    <phoneticPr fontId="3" type="noConversion"/>
  </si>
  <si>
    <t>HARYANA/REWARI</t>
    <phoneticPr fontId="3" type="noConversion"/>
  </si>
  <si>
    <t>NAGPUR/ANJANI</t>
    <phoneticPr fontId="3" type="noConversion"/>
  </si>
  <si>
    <t>BURNIE</t>
    <phoneticPr fontId="3" type="noConversion"/>
  </si>
  <si>
    <t>CHENNAI/MADRAS</t>
    <phoneticPr fontId="3" type="noConversion"/>
  </si>
  <si>
    <t>MARIANA</t>
    <phoneticPr fontId="3" type="noConversion"/>
  </si>
  <si>
    <t>LOS ANGELES/LONG BEACH</t>
    <phoneticPr fontId="3" type="noConversion"/>
  </si>
  <si>
    <t>CIKARANG DRY PORT/BEKASI</t>
    <phoneticPr fontId="3" type="noConversion"/>
  </si>
  <si>
    <t>SNL</t>
    <phoneticPr fontId="3" type="noConversion"/>
  </si>
  <si>
    <t>HDS</t>
    <phoneticPr fontId="3" type="noConversion"/>
  </si>
  <si>
    <t>NORTHERN MARIANA ISLANDS</t>
    <phoneticPr fontId="3" type="noConversion"/>
  </si>
  <si>
    <t>FRENCH POLYNESIA</t>
    <phoneticPr fontId="3" type="noConversion"/>
  </si>
  <si>
    <t>PAPEETE/TAHITI</t>
    <phoneticPr fontId="3" type="noConversion"/>
  </si>
  <si>
    <t>SOTRANS</t>
    <phoneticPr fontId="3" type="noConversion"/>
  </si>
  <si>
    <t>PASIR GUDANG</t>
    <phoneticPr fontId="3" type="noConversion"/>
  </si>
  <si>
    <t>LAT KRABANG</t>
    <phoneticPr fontId="3" type="noConversion"/>
  </si>
  <si>
    <t>AUSTRALIA</t>
    <phoneticPr fontId="3" type="noConversion"/>
  </si>
  <si>
    <t>MALAYSIA</t>
    <phoneticPr fontId="3" type="noConversion"/>
  </si>
  <si>
    <t>NYK</t>
    <phoneticPr fontId="3" type="noConversion"/>
  </si>
  <si>
    <t>35~67</t>
    <phoneticPr fontId="3" type="noConversion"/>
  </si>
  <si>
    <t>39~50</t>
    <phoneticPr fontId="3" type="noConversion"/>
  </si>
  <si>
    <t>38~46</t>
    <phoneticPr fontId="3" type="noConversion"/>
  </si>
  <si>
    <t>29~42</t>
    <phoneticPr fontId="3" type="noConversion"/>
  </si>
  <si>
    <t>45~55</t>
    <phoneticPr fontId="3" type="noConversion"/>
  </si>
  <si>
    <t>31~46</t>
    <phoneticPr fontId="3" type="noConversion"/>
  </si>
  <si>
    <t>33~47</t>
    <phoneticPr fontId="3" type="noConversion"/>
  </si>
  <si>
    <t>27~41</t>
    <phoneticPr fontId="3" type="noConversion"/>
  </si>
  <si>
    <t>37~54</t>
    <phoneticPr fontId="3" type="noConversion"/>
  </si>
  <si>
    <t>22~50</t>
    <phoneticPr fontId="3" type="noConversion"/>
  </si>
  <si>
    <t>24~36</t>
    <phoneticPr fontId="3" type="noConversion"/>
  </si>
  <si>
    <t>CNS</t>
    <phoneticPr fontId="3" type="noConversion"/>
  </si>
  <si>
    <t>ANZEX</t>
    <phoneticPr fontId="3" type="noConversion"/>
  </si>
  <si>
    <t>MSK</t>
    <phoneticPr fontId="3" type="noConversion"/>
  </si>
  <si>
    <t>MADANG</t>
    <phoneticPr fontId="3" type="noConversion"/>
  </si>
  <si>
    <t>HONOLULU HI</t>
    <phoneticPr fontId="3" type="noConversion"/>
  </si>
  <si>
    <t>CGS $50/TEU CC</t>
    <phoneticPr fontId="3" type="noConversion"/>
  </si>
  <si>
    <t>CIS $50/80 CC</t>
    <phoneticPr fontId="3" type="noConversion"/>
  </si>
  <si>
    <t>CIS $65/TEU CC</t>
    <phoneticPr fontId="3" type="noConversion"/>
  </si>
  <si>
    <t>EIS $80/TEU CC</t>
    <phoneticPr fontId="3" type="noConversion"/>
  </si>
  <si>
    <t>PCS $50/TEU CC</t>
    <phoneticPr fontId="3" type="noConversion"/>
  </si>
  <si>
    <t>NO PCS</t>
    <phoneticPr fontId="3" type="noConversion"/>
  </si>
  <si>
    <t>THD$95/TEU DOC IDR100000 CLE IDR 475/TEU PP</t>
    <phoneticPr fontId="3" type="noConversion"/>
  </si>
  <si>
    <t>CIC $100/TEU CC</t>
    <phoneticPr fontId="3" type="noConversion"/>
  </si>
  <si>
    <t>EIS $100/TEU CC</t>
    <phoneticPr fontId="3" type="noConversion"/>
  </si>
  <si>
    <t>OCRD $50/TEU CC</t>
    <phoneticPr fontId="3" type="noConversion"/>
  </si>
  <si>
    <t>ORC $80/120 CC</t>
    <phoneticPr fontId="3" type="noConversion"/>
  </si>
  <si>
    <t>NO EIS</t>
    <phoneticPr fontId="3" type="noConversion"/>
  </si>
  <si>
    <t>INCL DTHC</t>
    <phoneticPr fontId="3" type="noConversion"/>
  </si>
  <si>
    <t>INCL CSG DTHC</t>
    <phoneticPr fontId="3" type="noConversion"/>
  </si>
  <si>
    <t>PRS $21/TEU CC</t>
    <phoneticPr fontId="3" type="noConversion"/>
  </si>
  <si>
    <t>ISPS $12/BOX</t>
    <phoneticPr fontId="3" type="noConversion"/>
  </si>
  <si>
    <t>ISPS $10/BOX</t>
    <phoneticPr fontId="3" type="noConversion"/>
  </si>
  <si>
    <t>ISPS $11/BOX</t>
    <phoneticPr fontId="3" type="noConversion"/>
  </si>
  <si>
    <t>PCS $150/TEU CIC $50/TEU CC</t>
    <phoneticPr fontId="3" type="noConversion"/>
  </si>
  <si>
    <t>PCS $150/TEU CC</t>
    <phoneticPr fontId="3" type="noConversion"/>
  </si>
  <si>
    <t>PCS $100/TEU CC</t>
    <phoneticPr fontId="3" type="noConversion"/>
  </si>
  <si>
    <t>INCL PCS $200/TEU</t>
    <phoneticPr fontId="3" type="noConversion"/>
  </si>
  <si>
    <t>INCL TSC $155/TEU</t>
    <phoneticPr fontId="3" type="noConversion"/>
  </si>
  <si>
    <t>AMS $30</t>
    <phoneticPr fontId="3" type="noConversion"/>
  </si>
  <si>
    <t>DTHC $250/300 CC</t>
    <phoneticPr fontId="3" type="noConversion"/>
  </si>
  <si>
    <t>DTHC $200/TEU CC</t>
    <phoneticPr fontId="3" type="noConversion"/>
  </si>
  <si>
    <t>ISPS $13/BOX</t>
    <phoneticPr fontId="3" type="noConversion"/>
  </si>
  <si>
    <t>HAMILTON</t>
    <phoneticPr fontId="3" type="noConversion"/>
  </si>
  <si>
    <t>NZTAU</t>
    <phoneticPr fontId="3" type="noConversion"/>
  </si>
  <si>
    <t>NEW PLYMOUTH</t>
    <phoneticPr fontId="3" type="noConversion"/>
  </si>
  <si>
    <t>ISR $150/TEU CC</t>
    <phoneticPr fontId="3" type="noConversion"/>
  </si>
  <si>
    <t>INCL POS</t>
    <phoneticPr fontId="3" type="noConversion"/>
  </si>
  <si>
    <t>INCL POS IMP</t>
    <phoneticPr fontId="3" type="noConversion"/>
  </si>
  <si>
    <t>SENARI</t>
    <phoneticPr fontId="3" type="noConversion"/>
  </si>
  <si>
    <t>INCL PCS DTHC</t>
    <phoneticPr fontId="3" type="noConversion"/>
  </si>
  <si>
    <t>CIS $100/TEU CC</t>
    <phoneticPr fontId="3" type="noConversion"/>
  </si>
  <si>
    <t>ORC $80/120 CC</t>
    <phoneticPr fontId="3" type="noConversion"/>
  </si>
  <si>
    <t>INCL PCS $100/TEU</t>
    <phoneticPr fontId="3" type="noConversion"/>
  </si>
  <si>
    <t xml:space="preserve"> INPIP</t>
    <phoneticPr fontId="3" type="noConversion"/>
  </si>
  <si>
    <t>ISPS $12/BOX</t>
    <phoneticPr fontId="3" type="noConversion"/>
  </si>
  <si>
    <t>CC3/NP2/CC1</t>
    <phoneticPr fontId="3" type="noConversion"/>
  </si>
  <si>
    <t>THAR</t>
    <phoneticPr fontId="3" type="noConversion"/>
  </si>
  <si>
    <t>NEW DELHI/ICD PATLI</t>
    <phoneticPr fontId="3" type="noConversion"/>
  </si>
  <si>
    <t>ECS $300/TEU CIC $150/TEU CC</t>
    <phoneticPr fontId="3" type="noConversion"/>
  </si>
  <si>
    <t>3/6</t>
    <phoneticPr fontId="3" type="noConversion"/>
  </si>
  <si>
    <t>3/4/6</t>
    <phoneticPr fontId="3" type="noConversion"/>
  </si>
  <si>
    <t>4/6</t>
    <phoneticPr fontId="3" type="noConversion"/>
  </si>
  <si>
    <t>BI-WEEKLY</t>
    <phoneticPr fontId="3" type="noConversion"/>
  </si>
  <si>
    <t>1/4</t>
    <phoneticPr fontId="3" type="noConversion"/>
  </si>
  <si>
    <t>1/5</t>
    <phoneticPr fontId="3" type="noConversion"/>
  </si>
  <si>
    <t>LUOJING</t>
    <phoneticPr fontId="3" type="noConversion"/>
  </si>
  <si>
    <t>WGQ2</t>
    <phoneticPr fontId="3" type="noConversion"/>
  </si>
  <si>
    <t>WGQ</t>
    <phoneticPr fontId="3" type="noConversion"/>
  </si>
  <si>
    <t>WGQ</t>
    <phoneticPr fontId="3" type="noConversion"/>
  </si>
  <si>
    <t>WGQ5</t>
    <phoneticPr fontId="3" type="noConversion"/>
  </si>
  <si>
    <t>WGQ5/YS</t>
    <phoneticPr fontId="3" type="noConversion"/>
  </si>
  <si>
    <t>WGQ1</t>
    <phoneticPr fontId="3" type="noConversion"/>
  </si>
  <si>
    <t>WGQ1/YS</t>
    <phoneticPr fontId="3" type="noConversion"/>
  </si>
  <si>
    <t>YS</t>
    <phoneticPr fontId="3" type="noConversion"/>
  </si>
  <si>
    <t>2/4/6/7</t>
    <phoneticPr fontId="3" type="noConversion"/>
  </si>
  <si>
    <t>2/5</t>
    <phoneticPr fontId="3" type="noConversion"/>
  </si>
  <si>
    <t>3/7</t>
    <phoneticPr fontId="3" type="noConversion"/>
  </si>
  <si>
    <t>3/4/5/6/7</t>
    <phoneticPr fontId="3" type="noConversion"/>
  </si>
  <si>
    <t>WGQ2/1</t>
    <phoneticPr fontId="3" type="noConversion"/>
  </si>
  <si>
    <t>WGQ4</t>
    <phoneticPr fontId="3" type="noConversion"/>
  </si>
  <si>
    <t>WGQ1</t>
    <phoneticPr fontId="3" type="noConversion"/>
  </si>
  <si>
    <t>1/6</t>
    <phoneticPr fontId="3" type="noConversion"/>
  </si>
  <si>
    <t>WGQ5</t>
    <phoneticPr fontId="3" type="noConversion"/>
  </si>
  <si>
    <t>YS</t>
    <phoneticPr fontId="3" type="noConversion"/>
  </si>
  <si>
    <t>4/7</t>
    <phoneticPr fontId="3" type="noConversion"/>
  </si>
  <si>
    <t>YS</t>
    <phoneticPr fontId="3" type="noConversion"/>
  </si>
  <si>
    <t>2/6</t>
    <phoneticPr fontId="3" type="noConversion"/>
  </si>
  <si>
    <t>2/4</t>
    <phoneticPr fontId="3" type="noConversion"/>
  </si>
  <si>
    <t>2/4/5/6/7</t>
    <phoneticPr fontId="3" type="noConversion"/>
  </si>
  <si>
    <t>3</t>
    <phoneticPr fontId="3" type="noConversion"/>
  </si>
  <si>
    <t>23</t>
    <phoneticPr fontId="3" type="noConversion"/>
  </si>
  <si>
    <t>33</t>
    <phoneticPr fontId="3" type="noConversion"/>
  </si>
  <si>
    <t>39</t>
    <phoneticPr fontId="3" type="noConversion"/>
  </si>
  <si>
    <t>26</t>
    <phoneticPr fontId="3" type="noConversion"/>
  </si>
  <si>
    <t>32</t>
    <phoneticPr fontId="3" type="noConversion"/>
  </si>
  <si>
    <t>27</t>
    <phoneticPr fontId="3" type="noConversion"/>
  </si>
  <si>
    <t>COSCO</t>
  </si>
  <si>
    <t>YML</t>
  </si>
  <si>
    <t>2</t>
  </si>
  <si>
    <t>HMM</t>
  </si>
  <si>
    <t>1</t>
  </si>
  <si>
    <t>30</t>
  </si>
  <si>
    <t>25</t>
  </si>
  <si>
    <t>APL</t>
  </si>
  <si>
    <t>3</t>
  </si>
  <si>
    <t>18</t>
  </si>
  <si>
    <t>5</t>
  </si>
  <si>
    <t>MSC</t>
  </si>
  <si>
    <t>OOCL</t>
  </si>
  <si>
    <t>CMA</t>
  </si>
  <si>
    <t>22</t>
    <phoneticPr fontId="3" type="noConversion"/>
  </si>
  <si>
    <t>5</t>
    <phoneticPr fontId="3" type="noConversion"/>
  </si>
  <si>
    <t>20</t>
    <phoneticPr fontId="3" type="noConversion"/>
  </si>
  <si>
    <t>34</t>
    <phoneticPr fontId="3" type="noConversion"/>
  </si>
  <si>
    <t>24</t>
    <phoneticPr fontId="3" type="noConversion"/>
  </si>
  <si>
    <t>28</t>
    <phoneticPr fontId="3" type="noConversion"/>
  </si>
  <si>
    <t>29</t>
    <phoneticPr fontId="3" type="noConversion"/>
  </si>
  <si>
    <t>31</t>
    <phoneticPr fontId="3" type="noConversion"/>
  </si>
  <si>
    <t>30</t>
    <phoneticPr fontId="3" type="noConversion"/>
  </si>
  <si>
    <t>CHARLOTTE NC</t>
    <phoneticPr fontId="3" type="noConversion"/>
  </si>
  <si>
    <t>COLUMBUS OH</t>
    <phoneticPr fontId="3" type="noConversion"/>
  </si>
  <si>
    <t>CINCINNATI OH</t>
    <phoneticPr fontId="3" type="noConversion"/>
  </si>
  <si>
    <t>CHICAGO IL</t>
    <phoneticPr fontId="3" type="noConversion"/>
  </si>
  <si>
    <t>CLEVELAND OH</t>
    <phoneticPr fontId="3" type="noConversion"/>
  </si>
  <si>
    <t>DETROIT MI</t>
    <phoneticPr fontId="3" type="noConversion"/>
  </si>
  <si>
    <t>INDIANAPOLIS IN</t>
    <phoneticPr fontId="3" type="noConversion"/>
  </si>
  <si>
    <t>LOUISVILLE KY</t>
    <phoneticPr fontId="3" type="noConversion"/>
  </si>
  <si>
    <t>MEMPHIS TN</t>
    <phoneticPr fontId="3" type="noConversion"/>
  </si>
  <si>
    <t>WINTER HAVEN FL</t>
    <phoneticPr fontId="3" type="noConversion"/>
  </si>
  <si>
    <t>NASHVILLE TN</t>
    <phoneticPr fontId="3" type="noConversion"/>
  </si>
  <si>
    <t>OMAHA NE</t>
    <phoneticPr fontId="3" type="noConversion"/>
  </si>
  <si>
    <t>PITTSBURGH PA</t>
    <phoneticPr fontId="3" type="noConversion"/>
  </si>
  <si>
    <t>WORCESTER MA</t>
    <phoneticPr fontId="3" type="noConversion"/>
  </si>
  <si>
    <t>USLAX</t>
    <phoneticPr fontId="3" type="noConversion"/>
  </si>
  <si>
    <t>USSEA</t>
    <phoneticPr fontId="3" type="noConversion"/>
  </si>
  <si>
    <t>USNYC</t>
    <phoneticPr fontId="3" type="noConversion"/>
  </si>
  <si>
    <t>7</t>
    <phoneticPr fontId="3" type="noConversion"/>
  </si>
  <si>
    <t>CLEVELAND OH</t>
    <phoneticPr fontId="3" type="noConversion"/>
  </si>
  <si>
    <t>COLUMBUS OH</t>
    <phoneticPr fontId="3" type="noConversion"/>
  </si>
  <si>
    <t>DALLAS TX</t>
    <phoneticPr fontId="3" type="noConversion"/>
  </si>
  <si>
    <t>DENVER CO</t>
    <phoneticPr fontId="3" type="noConversion"/>
  </si>
  <si>
    <t>SANTA TERESA MN</t>
    <phoneticPr fontId="3" type="noConversion"/>
  </si>
  <si>
    <t>KANSAS CITY KS</t>
    <phoneticPr fontId="3" type="noConversion"/>
  </si>
  <si>
    <t>LAREDO TX</t>
    <phoneticPr fontId="3" type="noConversion"/>
  </si>
  <si>
    <t>MINNEAPOLIS MN</t>
    <phoneticPr fontId="3" type="noConversion"/>
  </si>
  <si>
    <t>PHILADELPHIA PA</t>
    <phoneticPr fontId="3" type="noConversion"/>
  </si>
  <si>
    <t>SAN ANTONIO TX</t>
    <phoneticPr fontId="3" type="noConversion"/>
  </si>
  <si>
    <t>SALT LAKE CITY UT</t>
    <phoneticPr fontId="3" type="noConversion"/>
  </si>
  <si>
    <t>ST. LOUIS MO</t>
    <phoneticPr fontId="3" type="noConversion"/>
  </si>
  <si>
    <t>HARVEY IL</t>
    <phoneticPr fontId="3" type="noConversion"/>
  </si>
  <si>
    <t>JOLIET IL</t>
    <phoneticPr fontId="3" type="noConversion"/>
  </si>
  <si>
    <t>6</t>
    <phoneticPr fontId="3" type="noConversion"/>
  </si>
  <si>
    <t>36</t>
    <phoneticPr fontId="3" type="noConversion"/>
  </si>
  <si>
    <t>14</t>
    <phoneticPr fontId="3" type="noConversion"/>
  </si>
  <si>
    <t>26</t>
    <phoneticPr fontId="3" type="noConversion"/>
  </si>
  <si>
    <t>4</t>
    <phoneticPr fontId="3" type="noConversion"/>
  </si>
  <si>
    <t>8</t>
    <phoneticPr fontId="3" type="noConversion"/>
  </si>
  <si>
    <t>21</t>
    <phoneticPr fontId="3" type="noConversion"/>
  </si>
  <si>
    <t>25</t>
    <phoneticPr fontId="3" type="noConversion"/>
  </si>
  <si>
    <t>1</t>
    <phoneticPr fontId="3" type="noConversion"/>
  </si>
  <si>
    <t>INCL BAF DTHC</t>
    <phoneticPr fontId="3" type="noConversion"/>
  </si>
  <si>
    <t>37</t>
    <phoneticPr fontId="3" type="noConversion"/>
  </si>
  <si>
    <t>10</t>
    <phoneticPr fontId="3" type="noConversion"/>
  </si>
  <si>
    <t>BY TRUCK</t>
    <phoneticPr fontId="3" type="noConversion"/>
  </si>
  <si>
    <t>BY TRUCK</t>
    <phoneticPr fontId="3" type="noConversion"/>
  </si>
  <si>
    <t>INCAL</t>
    <phoneticPr fontId="3" type="noConversion"/>
  </si>
  <si>
    <t>9</t>
    <phoneticPr fontId="3" type="noConversion"/>
  </si>
  <si>
    <t>35</t>
    <phoneticPr fontId="3" type="noConversion"/>
  </si>
  <si>
    <t>41</t>
    <phoneticPr fontId="3" type="noConversion"/>
  </si>
  <si>
    <t>DURGAPUR</t>
    <phoneticPr fontId="3" type="noConversion"/>
  </si>
  <si>
    <t>1/2</t>
    <phoneticPr fontId="3" type="noConversion"/>
  </si>
  <si>
    <t>JCV/CMS</t>
    <phoneticPr fontId="3" type="noConversion"/>
  </si>
  <si>
    <t>2</t>
    <phoneticPr fontId="3" type="noConversion"/>
  </si>
  <si>
    <t>16</t>
    <phoneticPr fontId="3" type="noConversion"/>
  </si>
  <si>
    <t>KHEDA</t>
    <phoneticPr fontId="3" type="noConversion"/>
  </si>
  <si>
    <t>AE15</t>
    <phoneticPr fontId="3" type="noConversion"/>
  </si>
  <si>
    <t>13</t>
    <phoneticPr fontId="3" type="noConversion"/>
  </si>
  <si>
    <t>17</t>
    <phoneticPr fontId="3" type="noConversion"/>
  </si>
  <si>
    <t>AE1</t>
    <phoneticPr fontId="3" type="noConversion"/>
  </si>
  <si>
    <t>28</t>
    <phoneticPr fontId="3" type="noConversion"/>
  </si>
  <si>
    <t>18</t>
    <phoneticPr fontId="3" type="noConversion"/>
  </si>
  <si>
    <t>21</t>
    <phoneticPr fontId="3" type="noConversion"/>
  </si>
  <si>
    <t>19</t>
    <phoneticPr fontId="3" type="noConversion"/>
  </si>
  <si>
    <t>22</t>
    <phoneticPr fontId="3" type="noConversion"/>
  </si>
  <si>
    <t>24</t>
    <phoneticPr fontId="3" type="noConversion"/>
  </si>
  <si>
    <t>MADANG</t>
    <phoneticPr fontId="3" type="noConversion"/>
  </si>
  <si>
    <t>3/5/7</t>
    <phoneticPr fontId="3" type="noConversion"/>
  </si>
  <si>
    <t>ISH</t>
    <phoneticPr fontId="3" type="noConversion"/>
  </si>
  <si>
    <t>TAMPA FL</t>
    <phoneticPr fontId="3" type="noConversion"/>
  </si>
  <si>
    <t>MSC</t>
    <phoneticPr fontId="3" type="noConversion"/>
  </si>
  <si>
    <t>3/4</t>
    <phoneticPr fontId="3" type="noConversion"/>
  </si>
  <si>
    <t>VTX</t>
    <phoneticPr fontId="3" type="noConversion"/>
  </si>
  <si>
    <t>CIMEX3</t>
    <phoneticPr fontId="3" type="noConversion"/>
  </si>
  <si>
    <t>CIMEX1</t>
    <phoneticPr fontId="3" type="noConversion"/>
  </si>
  <si>
    <t>27</t>
    <phoneticPr fontId="3" type="noConversion"/>
  </si>
  <si>
    <t>26</t>
    <phoneticPr fontId="3" type="noConversion"/>
  </si>
  <si>
    <t>24</t>
    <phoneticPr fontId="3" type="noConversion"/>
  </si>
  <si>
    <t>24/17</t>
    <phoneticPr fontId="3" type="noConversion"/>
  </si>
  <si>
    <t>WGQ2/YS</t>
    <phoneticPr fontId="3" type="noConversion"/>
  </si>
  <si>
    <t>ISPS $12/BOX</t>
    <phoneticPr fontId="3" type="noConversion"/>
  </si>
  <si>
    <t>BASRA</t>
    <phoneticPr fontId="3" type="noConversion"/>
  </si>
  <si>
    <t>11</t>
    <phoneticPr fontId="3" type="noConversion"/>
  </si>
  <si>
    <t>KLINE</t>
  </si>
  <si>
    <t>CJV6</t>
    <phoneticPr fontId="3" type="noConversion"/>
  </si>
  <si>
    <t>18</t>
    <phoneticPr fontId="3" type="noConversion"/>
  </si>
  <si>
    <t>30</t>
    <phoneticPr fontId="3" type="noConversion"/>
  </si>
  <si>
    <t>MXS</t>
    <phoneticPr fontId="3" type="noConversion"/>
  </si>
  <si>
    <t>27</t>
    <phoneticPr fontId="3" type="noConversion"/>
  </si>
  <si>
    <t>KCM2</t>
    <phoneticPr fontId="3" type="noConversion"/>
  </si>
  <si>
    <t>JAMBI</t>
    <phoneticPr fontId="3" type="noConversion"/>
  </si>
  <si>
    <t>FALCON</t>
    <phoneticPr fontId="3" type="noConversion"/>
  </si>
  <si>
    <t>MCT/CTE</t>
    <phoneticPr fontId="3" type="noConversion"/>
  </si>
  <si>
    <t>CIC $50/TEU CC</t>
    <phoneticPr fontId="3" type="noConversion"/>
  </si>
  <si>
    <t>021- 60658377/60658327</t>
    <phoneticPr fontId="3" type="noConversion"/>
  </si>
  <si>
    <t>021- 60658227</t>
    <phoneticPr fontId="3" type="noConversion"/>
  </si>
  <si>
    <t>8326</t>
    <phoneticPr fontId="3" type="noConversion"/>
  </si>
  <si>
    <t>60658326</t>
    <phoneticPr fontId="3" type="noConversion"/>
  </si>
  <si>
    <t>8376</t>
    <phoneticPr fontId="3" type="noConversion"/>
  </si>
  <si>
    <t>60658376</t>
    <phoneticPr fontId="3" type="noConversion"/>
  </si>
  <si>
    <t>18616188111</t>
    <phoneticPr fontId="3" type="noConversion"/>
  </si>
  <si>
    <t>aaron@hm-safety.com</t>
    <phoneticPr fontId="3" type="noConversion"/>
  </si>
  <si>
    <t>op004@hm-safety.com</t>
    <phoneticPr fontId="3" type="noConversion"/>
  </si>
  <si>
    <t>mars@hm-safety.com</t>
    <phoneticPr fontId="3" type="noConversion"/>
  </si>
  <si>
    <t>OCR $150/TEU CIC $300/TEU</t>
    <phoneticPr fontId="3" type="noConversion"/>
  </si>
  <si>
    <t>25</t>
    <phoneticPr fontId="3" type="noConversion"/>
  </si>
  <si>
    <t>CJV5/CKV/CJV2/CJV3</t>
    <phoneticPr fontId="3" type="noConversion"/>
  </si>
  <si>
    <t>HEUNG A</t>
    <phoneticPr fontId="3" type="noConversion"/>
  </si>
  <si>
    <t>MITT</t>
    <phoneticPr fontId="3" type="noConversion"/>
  </si>
  <si>
    <t>50</t>
    <phoneticPr fontId="3" type="noConversion"/>
  </si>
  <si>
    <t>TANJONG MANIS</t>
    <phoneticPr fontId="3" type="noConversion"/>
  </si>
  <si>
    <t>EIS $350/TEU PCS $100/TEU CC</t>
    <phoneticPr fontId="3" type="noConversion"/>
  </si>
  <si>
    <r>
      <rPr>
        <sz val="10"/>
        <rFont val="宋体"/>
        <family val="3"/>
        <charset val="134"/>
      </rPr>
      <t>航线</t>
    </r>
    <phoneticPr fontId="3" type="noConversion"/>
  </si>
  <si>
    <r>
      <rPr>
        <sz val="10"/>
        <rFont val="宋体"/>
        <family val="3"/>
        <charset val="134"/>
      </rPr>
      <t>国家</t>
    </r>
    <phoneticPr fontId="3" type="noConversion"/>
  </si>
  <si>
    <r>
      <rPr>
        <sz val="10"/>
        <rFont val="宋体"/>
        <family val="3"/>
        <charset val="134"/>
      </rPr>
      <t>有效期截止日</t>
    </r>
    <phoneticPr fontId="3" type="noConversion"/>
  </si>
  <si>
    <r>
      <rPr>
        <sz val="10"/>
        <rFont val="宋体"/>
        <family val="3"/>
        <charset val="134"/>
      </rPr>
      <t>附加费</t>
    </r>
    <phoneticPr fontId="3" type="noConversion"/>
  </si>
  <si>
    <r>
      <rPr>
        <sz val="10"/>
        <rFont val="宋体"/>
        <family val="3"/>
        <charset val="134"/>
      </rPr>
      <t>目的港附加费</t>
    </r>
    <phoneticPr fontId="3" type="noConversion"/>
  </si>
  <si>
    <r>
      <rPr>
        <sz val="10"/>
        <rFont val="宋体"/>
        <family val="3"/>
        <charset val="134"/>
      </rPr>
      <t>备注</t>
    </r>
    <phoneticPr fontId="3" type="noConversion"/>
  </si>
  <si>
    <t>KHALIFA PORT</t>
    <phoneticPr fontId="3" type="noConversion"/>
  </si>
  <si>
    <t>HP2</t>
    <phoneticPr fontId="3" type="noConversion"/>
  </si>
  <si>
    <t>WGQ4</t>
    <phoneticPr fontId="3" type="noConversion"/>
  </si>
  <si>
    <t>24</t>
    <phoneticPr fontId="3" type="noConversion"/>
  </si>
  <si>
    <t>19</t>
    <phoneticPr fontId="3" type="noConversion"/>
  </si>
  <si>
    <t>17</t>
    <phoneticPr fontId="3" type="noConversion"/>
  </si>
  <si>
    <t>19</t>
    <phoneticPr fontId="3" type="noConversion"/>
  </si>
  <si>
    <t>CNC</t>
    <phoneticPr fontId="3" type="noConversion"/>
  </si>
  <si>
    <t>ME1</t>
    <phoneticPr fontId="3" type="noConversion"/>
  </si>
  <si>
    <t>AS1</t>
    <phoneticPr fontId="3" type="noConversion"/>
  </si>
  <si>
    <t>EIS $280/TEU EEC $70/TEU CC</t>
    <phoneticPr fontId="3" type="noConversion"/>
  </si>
  <si>
    <t>CVS</t>
    <phoneticPr fontId="3" type="noConversion"/>
  </si>
  <si>
    <t>WGQ5/4</t>
    <phoneticPr fontId="3" type="noConversion"/>
  </si>
  <si>
    <t>CKI/CH1</t>
    <phoneticPr fontId="3" type="noConversion"/>
  </si>
  <si>
    <t>DONG NAI</t>
    <phoneticPr fontId="3" type="noConversion"/>
  </si>
  <si>
    <t>SAIPAN</t>
    <phoneticPr fontId="3" type="noConversion"/>
  </si>
  <si>
    <t>BADR DRY PORT</t>
    <phoneticPr fontId="3" type="noConversion"/>
  </si>
  <si>
    <t>HONIARA</t>
    <phoneticPr fontId="3" type="noConversion"/>
  </si>
  <si>
    <t>DIR</t>
    <phoneticPr fontId="3" type="noConversion"/>
  </si>
  <si>
    <t>AIM</t>
    <phoneticPr fontId="3" type="noConversion"/>
  </si>
  <si>
    <t>MSK</t>
    <phoneticPr fontId="3" type="noConversion"/>
  </si>
  <si>
    <t>3</t>
    <phoneticPr fontId="3" type="noConversion"/>
  </si>
  <si>
    <t>26</t>
    <phoneticPr fontId="3" type="noConversion"/>
  </si>
  <si>
    <t>20</t>
    <phoneticPr fontId="3" type="noConversion"/>
  </si>
  <si>
    <t>SOLOMON ISLANDS</t>
    <phoneticPr fontId="3" type="noConversion"/>
  </si>
  <si>
    <t>SOLOMON ISLANDS</t>
    <phoneticPr fontId="3" type="noConversion"/>
  </si>
  <si>
    <t>PGLAE</t>
    <phoneticPr fontId="3" type="noConversion"/>
  </si>
  <si>
    <t>PORT NORO</t>
    <phoneticPr fontId="3" type="noConversion"/>
  </si>
  <si>
    <t>35</t>
    <phoneticPr fontId="3" type="noConversion"/>
  </si>
  <si>
    <t>RIM</t>
    <phoneticPr fontId="3" type="noConversion"/>
  </si>
  <si>
    <t>CPX1</t>
    <phoneticPr fontId="3" type="noConversion"/>
  </si>
  <si>
    <t>RIM</t>
    <phoneticPr fontId="3" type="noConversion"/>
  </si>
  <si>
    <t>AIM</t>
    <phoneticPr fontId="3" type="noConversion"/>
  </si>
  <si>
    <t>CGS $100/TEU CC</t>
    <phoneticPr fontId="3" type="noConversion"/>
  </si>
  <si>
    <t>18</t>
    <phoneticPr fontId="3" type="noConversion"/>
  </si>
  <si>
    <t>20</t>
    <phoneticPr fontId="3" type="noConversion"/>
  </si>
  <si>
    <t>1</t>
    <phoneticPr fontId="3" type="noConversion"/>
  </si>
  <si>
    <t>MORRINSVILLE</t>
    <phoneticPr fontId="3" type="noConversion"/>
  </si>
  <si>
    <t>NZTAU</t>
    <phoneticPr fontId="3" type="noConversion"/>
  </si>
  <si>
    <t>DIR</t>
    <phoneticPr fontId="3" type="noConversion"/>
  </si>
  <si>
    <t>WGQ1</t>
    <phoneticPr fontId="3" type="noConversion"/>
  </si>
  <si>
    <t>NAX</t>
    <phoneticPr fontId="3" type="noConversion"/>
  </si>
  <si>
    <t>KCM/KMSK</t>
    <phoneticPr fontId="3" type="noConversion"/>
  </si>
  <si>
    <t>23/22</t>
    <phoneticPr fontId="3" type="noConversion"/>
  </si>
  <si>
    <t>17/15</t>
    <phoneticPr fontId="3" type="noConversion"/>
  </si>
  <si>
    <t>op006@hm-safety.com</t>
    <phoneticPr fontId="3" type="noConversion"/>
  </si>
  <si>
    <t>cs01@hm-safety.com</t>
    <phoneticPr fontId="3" type="noConversion"/>
  </si>
  <si>
    <t>MYBTU</t>
    <phoneticPr fontId="3" type="noConversion"/>
  </si>
  <si>
    <t>SGSGP</t>
  </si>
  <si>
    <t>WGQ</t>
  </si>
  <si>
    <t>ISPS $9/BOX</t>
  </si>
  <si>
    <t>ISPS $10/BOX</t>
  </si>
  <si>
    <t>BENLINE</t>
  </si>
  <si>
    <t>YS</t>
  </si>
  <si>
    <t>EMI</t>
  </si>
  <si>
    <t>27</t>
  </si>
  <si>
    <t>WGQ4</t>
  </si>
  <si>
    <t>MSK</t>
  </si>
  <si>
    <t>NEWCASTLE</t>
  </si>
  <si>
    <t>AUSYD</t>
  </si>
  <si>
    <t>20</t>
  </si>
  <si>
    <t>WGQ5</t>
  </si>
  <si>
    <t>SWIRE</t>
  </si>
  <si>
    <t>DIR</t>
  </si>
  <si>
    <t>LUOJING</t>
  </si>
  <si>
    <t>23</t>
    <phoneticPr fontId="3" type="noConversion"/>
  </si>
  <si>
    <t>JJ</t>
    <phoneticPr fontId="3" type="noConversion"/>
  </si>
  <si>
    <t>EMC</t>
    <phoneticPr fontId="3" type="noConversion"/>
  </si>
  <si>
    <t>KRISHNAPATNAM</t>
    <phoneticPr fontId="3" type="noConversion"/>
  </si>
  <si>
    <t>CIC $200/TEU CRS $250/TEU CC</t>
    <phoneticPr fontId="3" type="noConversion"/>
  </si>
  <si>
    <t>MONGLA</t>
    <phoneticPr fontId="3" type="noConversion"/>
  </si>
  <si>
    <t>HPL</t>
  </si>
  <si>
    <t>ISPS $12/BOX AMS $30</t>
  </si>
  <si>
    <t>ISPS $10/BOX AMS $30</t>
  </si>
  <si>
    <t>AMS $30</t>
  </si>
  <si>
    <t>ISPS $10/BOX AMS $35</t>
  </si>
  <si>
    <t>21</t>
  </si>
  <si>
    <t>ISPS $15/BOX AMS $30</t>
  </si>
  <si>
    <t>WHL</t>
  </si>
  <si>
    <t>1/3</t>
    <phoneticPr fontId="3" type="noConversion"/>
  </si>
  <si>
    <t>NAM HAI</t>
    <phoneticPr fontId="3" type="noConversion"/>
  </si>
  <si>
    <t>DINHVU PORT</t>
    <phoneticPr fontId="3" type="noConversion"/>
  </si>
  <si>
    <t>CHUA VE</t>
    <phoneticPr fontId="3" type="noConversion"/>
  </si>
  <si>
    <t>NSICT</t>
    <phoneticPr fontId="3" type="noConversion"/>
  </si>
  <si>
    <t>PEKANBARU</t>
    <phoneticPr fontId="3" type="noConversion"/>
  </si>
  <si>
    <t>CAN THO</t>
    <phoneticPr fontId="3" type="noConversion"/>
  </si>
  <si>
    <t>CIC $30/TEU CC</t>
    <phoneticPr fontId="3" type="noConversion"/>
  </si>
  <si>
    <t>CHH1</t>
    <phoneticPr fontId="3" type="noConversion"/>
  </si>
  <si>
    <t>MARIANA</t>
    <phoneticPr fontId="3" type="noConversion"/>
  </si>
  <si>
    <t>BCS $50/TEU CC</t>
    <phoneticPr fontId="3" type="noConversion"/>
  </si>
  <si>
    <t>CALGARY AB</t>
    <phoneticPr fontId="3" type="noConversion"/>
  </si>
  <si>
    <t>EDMONTON AB</t>
    <phoneticPr fontId="3" type="noConversion"/>
  </si>
  <si>
    <t>ISPS $6/BOX</t>
    <phoneticPr fontId="3" type="noConversion"/>
  </si>
  <si>
    <t>22</t>
    <phoneticPr fontId="3" type="noConversion"/>
  </si>
  <si>
    <t>cs03@hm-safety.com</t>
    <phoneticPr fontId="3" type="noConversion"/>
  </si>
  <si>
    <t>20'&lt;7.7T 40'&lt;15.4T</t>
    <phoneticPr fontId="3" type="noConversion"/>
  </si>
  <si>
    <t>5</t>
    <phoneticPr fontId="3" type="noConversion"/>
  </si>
  <si>
    <t>CTC $50/TEU CC</t>
    <phoneticPr fontId="3" type="noConversion"/>
  </si>
  <si>
    <t>CAHLX</t>
    <phoneticPr fontId="3" type="noConversion"/>
  </si>
  <si>
    <t>PCS $200/TEU CC</t>
    <phoneticPr fontId="3" type="noConversion"/>
  </si>
  <si>
    <t>PCS $75/TEU CC</t>
    <phoneticPr fontId="3" type="noConversion"/>
  </si>
  <si>
    <t>CMA</t>
    <phoneticPr fontId="3" type="noConversion"/>
  </si>
  <si>
    <t>20</t>
    <phoneticPr fontId="3" type="noConversion"/>
  </si>
  <si>
    <t>OOCL</t>
    <phoneticPr fontId="3" type="noConversion"/>
  </si>
  <si>
    <t>if moved by consignee</t>
    <phoneticPr fontId="3" type="noConversion"/>
  </si>
  <si>
    <t>2355892056</t>
    <phoneticPr fontId="3" type="noConversion"/>
  </si>
  <si>
    <t>PCS $90/TEU CC</t>
    <phoneticPr fontId="3" type="noConversion"/>
  </si>
  <si>
    <t>ECT $50/TEU CC</t>
    <phoneticPr fontId="3" type="noConversion"/>
  </si>
  <si>
    <t>CIC DECR $450/TEU CC</t>
    <phoneticPr fontId="3" type="noConversion"/>
  </si>
  <si>
    <t>PH4S</t>
    <phoneticPr fontId="3" type="noConversion"/>
  </si>
  <si>
    <t>PH4W</t>
    <phoneticPr fontId="3" type="noConversion"/>
  </si>
  <si>
    <t>20'&lt;17.5T 40'&lt;19.5T</t>
    <phoneticPr fontId="3" type="noConversion"/>
  </si>
  <si>
    <t>20'&lt;17.5T 40'&lt;15.4T</t>
    <phoneticPr fontId="3" type="noConversion"/>
  </si>
  <si>
    <t>PUNE/CHINCHWAD</t>
    <phoneticPr fontId="3" type="noConversion"/>
  </si>
  <si>
    <t>INDORE/PITHAMPUR</t>
    <phoneticPr fontId="3" type="noConversion"/>
  </si>
  <si>
    <t>NEW DELHI/TUGHLAKABAD</t>
    <phoneticPr fontId="3" type="noConversion"/>
  </si>
  <si>
    <t>NEW DELHI/PATPARGANJ</t>
    <phoneticPr fontId="3" type="noConversion"/>
  </si>
  <si>
    <t>NEW DELHI/DADRI</t>
    <phoneticPr fontId="3" type="noConversion"/>
  </si>
  <si>
    <t>NEW DELHI/FARIDABAD</t>
    <phoneticPr fontId="3" type="noConversion"/>
  </si>
  <si>
    <t>BARODA/DASRATH</t>
    <phoneticPr fontId="3" type="noConversion"/>
  </si>
  <si>
    <t>20'&lt;7.7T 40'&lt;16.1T</t>
    <phoneticPr fontId="3" type="noConversion"/>
  </si>
  <si>
    <t>20'&lt;27.7T 40'&lt;25.4T</t>
    <phoneticPr fontId="3" type="noConversion"/>
  </si>
  <si>
    <t>AURANGABAD/WALUNJ</t>
    <phoneticPr fontId="3" type="noConversion"/>
  </si>
  <si>
    <t>20'&lt;7.7T 40'&lt;21.5T</t>
    <phoneticPr fontId="3" type="noConversion"/>
  </si>
  <si>
    <t>20'&lt;24.7T 40'&lt;22.4T</t>
    <phoneticPr fontId="3" type="noConversion"/>
  </si>
  <si>
    <t>20'&lt;7.7T 40'&lt;15.4T</t>
    <phoneticPr fontId="3" type="noConversion"/>
  </si>
  <si>
    <t>BARODA/VADODARA</t>
    <phoneticPr fontId="3" type="noConversion"/>
  </si>
  <si>
    <t>20'&lt;7.5T 40'&lt;15.4T</t>
    <phoneticPr fontId="3" type="noConversion"/>
  </si>
  <si>
    <t>20'&lt;6.5T 40'&lt;14.4T</t>
    <phoneticPr fontId="3" type="noConversion"/>
  </si>
  <si>
    <t>20'&lt;6.5T</t>
    <phoneticPr fontId="3" type="noConversion"/>
  </si>
  <si>
    <t>20'&lt;7.5T</t>
    <phoneticPr fontId="3" type="noConversion"/>
  </si>
  <si>
    <t>SRS $60/TEU CC</t>
    <phoneticPr fontId="3" type="noConversion"/>
  </si>
  <si>
    <t>INCL DTHC</t>
    <phoneticPr fontId="3" type="noConversion"/>
  </si>
  <si>
    <t>PAKISTAN</t>
    <phoneticPr fontId="3" type="noConversion"/>
  </si>
  <si>
    <t>27</t>
    <phoneticPr fontId="3" type="noConversion"/>
  </si>
  <si>
    <t>AE1</t>
    <phoneticPr fontId="3" type="noConversion"/>
  </si>
  <si>
    <t>ORS $80/120 CC</t>
    <phoneticPr fontId="3" type="noConversion"/>
  </si>
  <si>
    <t>3/6</t>
    <phoneticPr fontId="3" type="noConversion"/>
  </si>
  <si>
    <t>CNCWN</t>
    <phoneticPr fontId="3" type="noConversion"/>
  </si>
  <si>
    <t>KENDARI</t>
    <phoneticPr fontId="3" type="noConversion"/>
  </si>
  <si>
    <t>SALALAH</t>
    <phoneticPr fontId="3" type="noConversion"/>
  </si>
  <si>
    <t>1</t>
    <phoneticPr fontId="3" type="noConversion"/>
  </si>
  <si>
    <t>20</t>
    <phoneticPr fontId="3" type="noConversion"/>
  </si>
  <si>
    <t>20'&lt;17.7T 40'&lt;15.4T</t>
    <phoneticPr fontId="3" type="noConversion"/>
  </si>
  <si>
    <t>22</t>
    <phoneticPr fontId="3" type="noConversion"/>
  </si>
  <si>
    <t>WGQ/YS</t>
    <phoneticPr fontId="3" type="noConversion"/>
  </si>
  <si>
    <t>RCT</t>
    <phoneticPr fontId="3" type="noConversion"/>
  </si>
  <si>
    <t>BALTIMORE MD</t>
    <phoneticPr fontId="3" type="noConversion"/>
  </si>
  <si>
    <t>ALL IN</t>
    <phoneticPr fontId="3" type="noConversion"/>
  </si>
  <si>
    <t>BENLINE</t>
    <phoneticPr fontId="3" type="noConversion"/>
  </si>
  <si>
    <t>20</t>
    <phoneticPr fontId="3" type="noConversion"/>
  </si>
  <si>
    <t>WGQ</t>
    <phoneticPr fontId="3" type="noConversion"/>
  </si>
  <si>
    <t>22</t>
    <phoneticPr fontId="3" type="noConversion"/>
  </si>
  <si>
    <t>CNP2</t>
    <phoneticPr fontId="3" type="noConversion"/>
  </si>
  <si>
    <t>KAMLAPUR</t>
    <phoneticPr fontId="3" type="noConversion"/>
  </si>
  <si>
    <t>ACE</t>
    <phoneticPr fontId="3" type="noConversion"/>
  </si>
  <si>
    <t>60658319</t>
    <phoneticPr fontId="3" type="noConversion"/>
  </si>
  <si>
    <t>CTR $100/TEU CC</t>
    <phoneticPr fontId="3" type="noConversion"/>
  </si>
  <si>
    <t>KYOWA</t>
    <phoneticPr fontId="3" type="noConversion"/>
  </si>
  <si>
    <t>WGQ</t>
    <phoneticPr fontId="3" type="noConversion"/>
  </si>
  <si>
    <t>4/6</t>
    <phoneticPr fontId="3" type="noConversion"/>
  </si>
  <si>
    <t>21</t>
    <phoneticPr fontId="3" type="noConversion"/>
  </si>
  <si>
    <t>26</t>
    <phoneticPr fontId="3" type="noConversion"/>
  </si>
  <si>
    <t>29</t>
    <phoneticPr fontId="3" type="noConversion"/>
  </si>
  <si>
    <t>PNG</t>
    <phoneticPr fontId="3" type="noConversion"/>
  </si>
  <si>
    <t>17</t>
    <phoneticPr fontId="3" type="noConversion"/>
  </si>
  <si>
    <t>19</t>
    <phoneticPr fontId="3" type="noConversion"/>
  </si>
  <si>
    <t>22</t>
    <phoneticPr fontId="3" type="noConversion"/>
  </si>
  <si>
    <t>32</t>
    <phoneticPr fontId="3" type="noConversion"/>
  </si>
  <si>
    <t>GUGUM</t>
    <phoneticPr fontId="3" type="noConversion"/>
  </si>
  <si>
    <t>GSM</t>
    <phoneticPr fontId="3" type="noConversion"/>
  </si>
  <si>
    <t>20</t>
    <phoneticPr fontId="3" type="noConversion"/>
  </si>
  <si>
    <t>25</t>
    <phoneticPr fontId="3" type="noConversion"/>
  </si>
  <si>
    <t>33</t>
    <phoneticPr fontId="3" type="noConversion"/>
  </si>
  <si>
    <t>34</t>
    <phoneticPr fontId="3" type="noConversion"/>
  </si>
  <si>
    <t>38</t>
    <phoneticPr fontId="3" type="noConversion"/>
  </si>
  <si>
    <t>39</t>
    <phoneticPr fontId="3" type="noConversion"/>
  </si>
  <si>
    <t>41</t>
    <phoneticPr fontId="3" type="noConversion"/>
  </si>
  <si>
    <t>44</t>
    <phoneticPr fontId="3" type="noConversion"/>
  </si>
  <si>
    <t>45</t>
    <phoneticPr fontId="3" type="noConversion"/>
  </si>
  <si>
    <t>48</t>
    <phoneticPr fontId="3" type="noConversion"/>
  </si>
  <si>
    <t>SPI</t>
    <phoneticPr fontId="3" type="noConversion"/>
  </si>
  <si>
    <t>MATSON</t>
    <phoneticPr fontId="3" type="noConversion"/>
  </si>
  <si>
    <t>COOK ISLANDS</t>
    <phoneticPr fontId="3" type="noConversion"/>
  </si>
  <si>
    <t>TONGA</t>
    <phoneticPr fontId="3" type="noConversion"/>
  </si>
  <si>
    <t>VAVA U</t>
    <phoneticPr fontId="3" type="noConversion"/>
  </si>
  <si>
    <t>NIUE</t>
    <phoneticPr fontId="3" type="noConversion"/>
  </si>
  <si>
    <t>1</t>
    <phoneticPr fontId="3" type="noConversion"/>
  </si>
  <si>
    <t>ISPS $12/BOX MSL $10/BOX</t>
    <phoneticPr fontId="3" type="noConversion"/>
  </si>
  <si>
    <t>SBHIR</t>
    <phoneticPr fontId="3" type="noConversion"/>
  </si>
  <si>
    <t>24</t>
    <phoneticPr fontId="3" type="noConversion"/>
  </si>
  <si>
    <t>27</t>
    <phoneticPr fontId="3" type="noConversion"/>
  </si>
  <si>
    <t>SAIPAN</t>
    <phoneticPr fontId="3" type="noConversion"/>
  </si>
  <si>
    <t>KYOWA</t>
    <phoneticPr fontId="3" type="noConversion"/>
  </si>
  <si>
    <t>DEC12/30 JAN23</t>
    <phoneticPr fontId="3" type="noConversion"/>
  </si>
  <si>
    <t>DEC12/30 JAN23</t>
    <phoneticPr fontId="3" type="noConversion"/>
  </si>
  <si>
    <t>SWIRE</t>
    <phoneticPr fontId="3" type="noConversion"/>
  </si>
  <si>
    <t>13817474369</t>
    <phoneticPr fontId="3" type="noConversion"/>
  </si>
  <si>
    <t>60658314</t>
    <phoneticPr fontId="3" type="noConversion"/>
  </si>
  <si>
    <t>20</t>
    <phoneticPr fontId="3" type="noConversion"/>
  </si>
  <si>
    <t>17</t>
    <phoneticPr fontId="3" type="noConversion"/>
  </si>
  <si>
    <t>20</t>
    <phoneticPr fontId="3" type="noConversion"/>
  </si>
  <si>
    <t>23</t>
    <phoneticPr fontId="3" type="noConversion"/>
  </si>
  <si>
    <t>16</t>
    <phoneticPr fontId="3" type="noConversion"/>
  </si>
  <si>
    <t>SALMAN</t>
    <phoneticPr fontId="3" type="noConversion"/>
  </si>
  <si>
    <t>13</t>
    <phoneticPr fontId="3" type="noConversion"/>
  </si>
  <si>
    <t>17</t>
    <phoneticPr fontId="3" type="noConversion"/>
  </si>
  <si>
    <t>26</t>
    <phoneticPr fontId="3" type="noConversion"/>
  </si>
  <si>
    <t>RKI/RIM</t>
    <phoneticPr fontId="3" type="noConversion"/>
  </si>
  <si>
    <t>COSCO</t>
    <phoneticPr fontId="3" type="noConversion"/>
  </si>
  <si>
    <t>CEN</t>
    <phoneticPr fontId="3" type="noConversion"/>
  </si>
  <si>
    <t>18</t>
    <phoneticPr fontId="3" type="noConversion"/>
  </si>
  <si>
    <t>ISPS $19/BOX ACI $30</t>
    <phoneticPr fontId="3" type="noConversion"/>
  </si>
  <si>
    <t>CAPPR</t>
    <phoneticPr fontId="3" type="noConversion"/>
  </si>
  <si>
    <t>22</t>
    <phoneticPr fontId="3" type="noConversion"/>
  </si>
  <si>
    <t>21</t>
    <phoneticPr fontId="3" type="noConversion"/>
  </si>
  <si>
    <t>17</t>
    <phoneticPr fontId="3" type="noConversion"/>
  </si>
  <si>
    <t>CASE BY CASE</t>
    <phoneticPr fontId="3" type="noConversion"/>
  </si>
  <si>
    <t>NO ACCEPT</t>
    <phoneticPr fontId="3" type="noConversion"/>
  </si>
  <si>
    <t>WGQ1</t>
  </si>
  <si>
    <t>TSL</t>
  </si>
  <si>
    <t>19</t>
  </si>
  <si>
    <r>
      <rPr>
        <sz val="10"/>
        <rFont val="宋体"/>
        <family val="3"/>
        <charset val="134"/>
      </rPr>
      <t>航线代码</t>
    </r>
    <phoneticPr fontId="3" type="noConversion"/>
  </si>
  <si>
    <r>
      <rPr>
        <b/>
        <sz val="28"/>
        <rFont val="隶书"/>
        <family val="3"/>
        <charset val="134"/>
      </rPr>
      <t>赛嘉（上海）国际货物运输代理有限公司</t>
    </r>
    <phoneticPr fontId="3" type="noConversion"/>
  </si>
  <si>
    <r>
      <rPr>
        <sz val="12"/>
        <rFont val="宋体"/>
        <family val="3"/>
        <charset val="134"/>
      </rPr>
      <t>公司总机：</t>
    </r>
    <r>
      <rPr>
        <sz val="12"/>
        <rFont val="Arial"/>
        <family val="2"/>
      </rPr>
      <t>021- 60658377/60658327</t>
    </r>
    <phoneticPr fontId="3" type="noConversion"/>
  </si>
  <si>
    <r>
      <rPr>
        <sz val="12"/>
        <rFont val="宋体"/>
        <family val="3"/>
        <charset val="134"/>
      </rPr>
      <t>传真：</t>
    </r>
    <r>
      <rPr>
        <sz val="12"/>
        <rFont val="Arial"/>
        <family val="2"/>
      </rPr>
      <t>021- 60658227</t>
    </r>
    <phoneticPr fontId="3" type="noConversion"/>
  </si>
  <si>
    <r>
      <rPr>
        <sz val="12"/>
        <rFont val="宋体"/>
        <family val="3"/>
        <charset val="134"/>
      </rPr>
      <t>联系人：林晨</t>
    </r>
    <r>
      <rPr>
        <sz val="12"/>
        <rFont val="Arial"/>
        <family val="2"/>
      </rPr>
      <t xml:space="preserve"> </t>
    </r>
    <phoneticPr fontId="3" type="noConversion"/>
  </si>
  <si>
    <r>
      <rPr>
        <sz val="12"/>
        <rFont val="宋体"/>
        <family val="3"/>
        <charset val="134"/>
      </rPr>
      <t>手机：</t>
    </r>
    <r>
      <rPr>
        <sz val="12"/>
        <rFont val="Arial"/>
        <family val="2"/>
      </rPr>
      <t>13601916838</t>
    </r>
    <phoneticPr fontId="3" type="noConversion"/>
  </si>
  <si>
    <r>
      <rPr>
        <sz val="8"/>
        <color theme="1"/>
        <rFont val="Comic Sans MS"/>
        <family val="4"/>
      </rPr>
      <t>加拿大</t>
    </r>
    <phoneticPr fontId="3" type="noConversion"/>
  </si>
  <si>
    <r>
      <rPr>
        <sz val="8"/>
        <color theme="1"/>
        <rFont val="Comic Sans MS"/>
        <family val="4"/>
      </rPr>
      <t>美西</t>
    </r>
    <phoneticPr fontId="3" type="noConversion"/>
  </si>
  <si>
    <r>
      <rPr>
        <sz val="8"/>
        <color theme="1"/>
        <rFont val="Comic Sans MS"/>
        <family val="4"/>
      </rPr>
      <t>美东</t>
    </r>
    <phoneticPr fontId="3" type="noConversion"/>
  </si>
  <si>
    <r>
      <rPr>
        <sz val="8"/>
        <color theme="1"/>
        <rFont val="Comic Sans MS"/>
        <family val="4"/>
      </rPr>
      <t>美国内陆点</t>
    </r>
    <phoneticPr fontId="3" type="noConversion"/>
  </si>
  <si>
    <r>
      <rPr>
        <sz val="10"/>
        <color theme="1"/>
        <rFont val="宋体"/>
        <family val="3"/>
        <charset val="134"/>
      </rPr>
      <t>传真：</t>
    </r>
  </si>
  <si>
    <r>
      <rPr>
        <sz val="10"/>
        <color theme="1"/>
        <rFont val="宋体"/>
        <family val="3"/>
        <charset val="134"/>
      </rPr>
      <t>部门</t>
    </r>
  </si>
  <si>
    <r>
      <rPr>
        <sz val="10"/>
        <color theme="1"/>
        <rFont val="宋体"/>
        <family val="3"/>
        <charset val="134"/>
      </rPr>
      <t>姓名</t>
    </r>
  </si>
  <si>
    <r>
      <rPr>
        <sz val="10"/>
        <color theme="1"/>
        <rFont val="宋体"/>
        <family val="3"/>
        <charset val="134"/>
      </rPr>
      <t>职务</t>
    </r>
  </si>
  <si>
    <r>
      <rPr>
        <sz val="10"/>
        <color theme="1"/>
        <rFont val="宋体"/>
        <family val="3"/>
        <charset val="134"/>
      </rPr>
      <t>分机</t>
    </r>
    <phoneticPr fontId="3" type="noConversion"/>
  </si>
  <si>
    <r>
      <rPr>
        <sz val="10"/>
        <color theme="1"/>
        <rFont val="宋体"/>
        <family val="3"/>
        <charset val="134"/>
      </rPr>
      <t>直线</t>
    </r>
    <phoneticPr fontId="3" type="noConversion"/>
  </si>
  <si>
    <r>
      <rPr>
        <sz val="10"/>
        <color theme="1"/>
        <rFont val="宋体"/>
        <family val="3"/>
        <charset val="134"/>
      </rPr>
      <t>手机</t>
    </r>
    <phoneticPr fontId="3" type="noConversion"/>
  </si>
  <si>
    <r>
      <rPr>
        <sz val="10"/>
        <color theme="1"/>
        <rFont val="宋体"/>
        <family val="3"/>
        <charset val="134"/>
      </rPr>
      <t>邮箱地址</t>
    </r>
    <phoneticPr fontId="3" type="noConversion"/>
  </si>
  <si>
    <r>
      <t>QQ</t>
    </r>
    <r>
      <rPr>
        <sz val="10"/>
        <color theme="1"/>
        <rFont val="宋体"/>
        <family val="3"/>
        <charset val="134"/>
      </rPr>
      <t>号</t>
    </r>
    <phoneticPr fontId="3" type="noConversion"/>
  </si>
  <si>
    <r>
      <rPr>
        <sz val="10"/>
        <color theme="1"/>
        <rFont val="宋体"/>
        <family val="3"/>
        <charset val="134"/>
      </rPr>
      <t>俞曦</t>
    </r>
    <phoneticPr fontId="3" type="noConversion"/>
  </si>
  <si>
    <r>
      <rPr>
        <sz val="10"/>
        <color theme="1"/>
        <rFont val="宋体"/>
        <family val="3"/>
        <charset val="134"/>
      </rPr>
      <t>总经理助理</t>
    </r>
    <phoneticPr fontId="3" type="noConversion"/>
  </si>
  <si>
    <r>
      <rPr>
        <sz val="10"/>
        <color theme="1"/>
        <rFont val="宋体"/>
        <family val="3"/>
        <charset val="134"/>
      </rPr>
      <t>销售部</t>
    </r>
    <phoneticPr fontId="3" type="noConversion"/>
  </si>
  <si>
    <r>
      <rPr>
        <sz val="10"/>
        <color theme="1"/>
        <rFont val="宋体"/>
        <family val="3"/>
        <charset val="134"/>
      </rPr>
      <t>李鹏超</t>
    </r>
    <phoneticPr fontId="3" type="noConversion"/>
  </si>
  <si>
    <r>
      <rPr>
        <sz val="10"/>
        <color theme="1"/>
        <rFont val="宋体"/>
        <family val="3"/>
        <charset val="134"/>
      </rPr>
      <t>销售部主管</t>
    </r>
    <phoneticPr fontId="3" type="noConversion"/>
  </si>
  <si>
    <r>
      <rPr>
        <sz val="10"/>
        <rFont val="宋体"/>
        <family val="3"/>
        <charset val="134"/>
      </rPr>
      <t>市场部</t>
    </r>
    <phoneticPr fontId="3" type="noConversion"/>
  </si>
  <si>
    <r>
      <rPr>
        <sz val="10"/>
        <rFont val="宋体"/>
        <family val="3"/>
        <charset val="134"/>
      </rPr>
      <t>市场部经理</t>
    </r>
    <phoneticPr fontId="3" type="noConversion"/>
  </si>
  <si>
    <r>
      <rPr>
        <sz val="10"/>
        <rFont val="宋体"/>
        <family val="3"/>
        <charset val="134"/>
      </rPr>
      <t>曹薇</t>
    </r>
    <phoneticPr fontId="3" type="noConversion"/>
  </si>
  <si>
    <r>
      <rPr>
        <sz val="10"/>
        <rFont val="宋体"/>
        <family val="3"/>
        <charset val="134"/>
      </rPr>
      <t>客服</t>
    </r>
    <phoneticPr fontId="3" type="noConversion"/>
  </si>
  <si>
    <r>
      <rPr>
        <sz val="10"/>
        <color theme="1"/>
        <rFont val="宋体"/>
        <family val="3"/>
        <charset val="134"/>
      </rPr>
      <t>操作部</t>
    </r>
    <phoneticPr fontId="3" type="noConversion"/>
  </si>
  <si>
    <r>
      <rPr>
        <sz val="10"/>
        <color theme="1"/>
        <rFont val="宋体"/>
        <family val="3"/>
        <charset val="134"/>
      </rPr>
      <t>海外部</t>
    </r>
    <phoneticPr fontId="3" type="noConversion"/>
  </si>
  <si>
    <r>
      <rPr>
        <sz val="10"/>
        <rFont val="宋体"/>
        <family val="3"/>
        <charset val="134"/>
      </rPr>
      <t>海外部经理</t>
    </r>
    <phoneticPr fontId="3" type="noConversion"/>
  </si>
  <si>
    <r>
      <rPr>
        <sz val="10"/>
        <rFont val="宋体"/>
        <family val="3"/>
        <charset val="134"/>
      </rPr>
      <t>施懿侠</t>
    </r>
    <phoneticPr fontId="3" type="noConversion"/>
  </si>
  <si>
    <r>
      <rPr>
        <sz val="10"/>
        <rFont val="宋体"/>
        <family val="3"/>
        <charset val="134"/>
      </rPr>
      <t>海外部客服</t>
    </r>
    <phoneticPr fontId="3" type="noConversion"/>
  </si>
  <si>
    <r>
      <rPr>
        <sz val="10"/>
        <color theme="1"/>
        <rFont val="宋体"/>
        <family val="3"/>
        <charset val="134"/>
      </rPr>
      <t>财务部</t>
    </r>
    <phoneticPr fontId="3" type="noConversion"/>
  </si>
  <si>
    <r>
      <rPr>
        <sz val="10"/>
        <rFont val="宋体"/>
        <family val="3"/>
        <charset val="134"/>
      </rPr>
      <t>周淑琴</t>
    </r>
    <phoneticPr fontId="3" type="noConversion"/>
  </si>
  <si>
    <r>
      <rPr>
        <sz val="10"/>
        <rFont val="宋体"/>
        <family val="3"/>
        <charset val="134"/>
      </rPr>
      <t>财务部主管</t>
    </r>
    <phoneticPr fontId="3" type="noConversion"/>
  </si>
  <si>
    <r>
      <rPr>
        <sz val="10"/>
        <rFont val="宋体"/>
        <family val="3"/>
        <charset val="134"/>
      </rPr>
      <t>财务</t>
    </r>
    <phoneticPr fontId="3" type="noConversion"/>
  </si>
  <si>
    <r>
      <rPr>
        <sz val="10"/>
        <rFont val="宋体"/>
        <family val="3"/>
        <charset val="134"/>
      </rPr>
      <t>吴晓婧</t>
    </r>
    <phoneticPr fontId="3" type="noConversion"/>
  </si>
  <si>
    <r>
      <rPr>
        <sz val="10"/>
        <color theme="1"/>
        <rFont val="宋体"/>
        <family val="3"/>
        <charset val="134"/>
      </rPr>
      <t>公司地址</t>
    </r>
    <r>
      <rPr>
        <sz val="10"/>
        <color theme="1"/>
        <rFont val="Arial"/>
        <family val="2"/>
      </rPr>
      <t>:</t>
    </r>
    <phoneticPr fontId="3" type="noConversion"/>
  </si>
  <si>
    <r>
      <rPr>
        <sz val="10"/>
        <color theme="1"/>
        <rFont val="宋体"/>
        <family val="3"/>
        <charset val="134"/>
      </rPr>
      <t>总机：</t>
    </r>
    <phoneticPr fontId="3" type="noConversion"/>
  </si>
  <si>
    <t>PORT OF KATTUPALLI</t>
    <phoneticPr fontId="3" type="noConversion"/>
  </si>
  <si>
    <t>东南亚线</t>
    <phoneticPr fontId="3" type="noConversion"/>
  </si>
  <si>
    <t>PCS USD200/TEU CC</t>
    <phoneticPr fontId="3" type="noConversion"/>
  </si>
  <si>
    <t>ISR $80/TEU CC</t>
    <phoneticPr fontId="3" type="noConversion"/>
  </si>
  <si>
    <t>EMI</t>
    <phoneticPr fontId="3" type="noConversion"/>
  </si>
  <si>
    <t>APG/HDT</t>
    <phoneticPr fontId="3" type="noConversion"/>
  </si>
  <si>
    <r>
      <rPr>
        <sz val="10"/>
        <color indexed="8"/>
        <rFont val="宋体"/>
        <family val="3"/>
        <charset val="134"/>
      </rPr>
      <t>港口</t>
    </r>
    <phoneticPr fontId="3" type="noConversion"/>
  </si>
  <si>
    <r>
      <rPr>
        <sz val="10"/>
        <color indexed="8"/>
        <rFont val="宋体"/>
        <family val="3"/>
        <charset val="134"/>
      </rPr>
      <t>船公司</t>
    </r>
    <phoneticPr fontId="3" type="noConversion"/>
  </si>
  <si>
    <r>
      <rPr>
        <sz val="10"/>
        <color indexed="8"/>
        <rFont val="宋体"/>
        <family val="3"/>
        <charset val="134"/>
      </rPr>
      <t>船期</t>
    </r>
    <phoneticPr fontId="3" type="noConversion"/>
  </si>
  <si>
    <r>
      <rPr>
        <sz val="10"/>
        <color indexed="8"/>
        <rFont val="宋体"/>
        <family val="3"/>
        <charset val="134"/>
      </rPr>
      <t>中转</t>
    </r>
    <phoneticPr fontId="3" type="noConversion"/>
  </si>
  <si>
    <r>
      <rPr>
        <sz val="10"/>
        <color indexed="8"/>
        <rFont val="宋体"/>
        <family val="3"/>
        <charset val="134"/>
      </rPr>
      <t>码头</t>
    </r>
    <phoneticPr fontId="3" type="noConversion"/>
  </si>
  <si>
    <r>
      <rPr>
        <sz val="10"/>
        <color indexed="8"/>
        <rFont val="宋体"/>
        <family val="3"/>
        <charset val="134"/>
      </rPr>
      <t>航程</t>
    </r>
    <phoneticPr fontId="3" type="noConversion"/>
  </si>
  <si>
    <r>
      <rPr>
        <sz val="10"/>
        <color indexed="8"/>
        <rFont val="宋体"/>
        <family val="3"/>
        <charset val="134"/>
      </rPr>
      <t>港区</t>
    </r>
    <phoneticPr fontId="3" type="noConversion"/>
  </si>
  <si>
    <t>NAX</t>
    <phoneticPr fontId="3" type="noConversion"/>
  </si>
  <si>
    <t>8382</t>
    <phoneticPr fontId="3" type="noConversion"/>
  </si>
  <si>
    <t>60658378</t>
    <phoneticPr fontId="3" type="noConversion"/>
  </si>
  <si>
    <t>8378</t>
    <phoneticPr fontId="3" type="noConversion"/>
  </si>
  <si>
    <t>cs05@hm-safety.com</t>
    <phoneticPr fontId="3" type="noConversion"/>
  </si>
  <si>
    <t>13801735646</t>
    <phoneticPr fontId="3" type="noConversion"/>
  </si>
  <si>
    <t>15800827966</t>
    <phoneticPr fontId="3" type="noConversion"/>
  </si>
  <si>
    <t>doc01@hm-safety.com</t>
    <phoneticPr fontId="3" type="noConversion"/>
  </si>
  <si>
    <r>
      <rPr>
        <sz val="10"/>
        <color theme="1"/>
        <rFont val="宋体"/>
        <family val="3"/>
        <charset val="134"/>
      </rPr>
      <t>总经理办公室</t>
    </r>
    <phoneticPr fontId="3" type="noConversion"/>
  </si>
  <si>
    <r>
      <rPr>
        <sz val="10"/>
        <rFont val="宋体"/>
        <family val="3"/>
        <charset val="134"/>
      </rPr>
      <t>杨健</t>
    </r>
    <phoneticPr fontId="3" type="noConversion"/>
  </si>
  <si>
    <t>20</t>
    <phoneticPr fontId="3" type="noConversion"/>
  </si>
  <si>
    <t>澳新线</t>
    <phoneticPr fontId="3" type="noConversion"/>
  </si>
  <si>
    <t>MID</t>
    <phoneticPr fontId="3" type="noConversion"/>
  </si>
  <si>
    <t>DPW</t>
    <phoneticPr fontId="3" type="noConversion"/>
  </si>
  <si>
    <t>TAN VU</t>
    <phoneticPr fontId="3" type="noConversion"/>
  </si>
  <si>
    <t>21</t>
    <phoneticPr fontId="3" type="noConversion"/>
  </si>
  <si>
    <t>6</t>
    <phoneticPr fontId="3" type="noConversion"/>
  </si>
  <si>
    <t>22</t>
    <phoneticPr fontId="3" type="noConversion"/>
  </si>
  <si>
    <t>26</t>
    <phoneticPr fontId="3" type="noConversion"/>
  </si>
  <si>
    <t>1</t>
    <phoneticPr fontId="3" type="noConversion"/>
  </si>
  <si>
    <t>2</t>
    <phoneticPr fontId="3" type="noConversion"/>
  </si>
  <si>
    <t>17</t>
    <phoneticPr fontId="3" type="noConversion"/>
  </si>
  <si>
    <t>18</t>
    <phoneticPr fontId="3" type="noConversion"/>
  </si>
  <si>
    <t>24</t>
    <phoneticPr fontId="3" type="noConversion"/>
  </si>
  <si>
    <t>22</t>
    <phoneticPr fontId="3" type="noConversion"/>
  </si>
  <si>
    <t>28</t>
    <phoneticPr fontId="3" type="noConversion"/>
  </si>
  <si>
    <t>26</t>
    <phoneticPr fontId="3" type="noConversion"/>
  </si>
  <si>
    <t>19</t>
    <phoneticPr fontId="3" type="noConversion"/>
  </si>
  <si>
    <t>HAZIRA</t>
    <phoneticPr fontId="3" type="noConversion"/>
  </si>
  <si>
    <t>印巴线</t>
    <phoneticPr fontId="3" type="noConversion"/>
  </si>
  <si>
    <t>22</t>
    <phoneticPr fontId="3" type="noConversion"/>
  </si>
  <si>
    <t>ICI</t>
    <phoneticPr fontId="3" type="noConversion"/>
  </si>
  <si>
    <t>WIN</t>
    <phoneticPr fontId="3" type="noConversion"/>
  </si>
  <si>
    <t>2355822006</t>
    <phoneticPr fontId="3" type="noConversion"/>
  </si>
  <si>
    <t>sara@hm-safety.com</t>
    <phoneticPr fontId="3" type="noConversion"/>
  </si>
  <si>
    <t>20'&lt;14.5T 40'&lt;12.4T</t>
    <phoneticPr fontId="3" type="noConversion"/>
  </si>
  <si>
    <t>20'&lt;17.5T 40'&lt;7.4T</t>
    <phoneticPr fontId="3" type="noConversion"/>
  </si>
  <si>
    <t>20'&lt;9.5T 40'&lt;15.4T</t>
    <phoneticPr fontId="3" type="noConversion"/>
  </si>
  <si>
    <t>20'&lt;9.5T 40'&lt;7.4T</t>
    <phoneticPr fontId="3" type="noConversion"/>
  </si>
  <si>
    <t>20'&lt;17.5T 40'&lt;10.4T</t>
    <phoneticPr fontId="3" type="noConversion"/>
  </si>
  <si>
    <t>INDIA</t>
    <phoneticPr fontId="3" type="noConversion"/>
  </si>
  <si>
    <t>INDIA</t>
    <phoneticPr fontId="3" type="noConversion"/>
  </si>
  <si>
    <t>JANORI</t>
    <phoneticPr fontId="3" type="noConversion"/>
  </si>
  <si>
    <t>ARSHIYA</t>
    <phoneticPr fontId="3" type="noConversion"/>
  </si>
  <si>
    <t>金俊杰</t>
    <phoneticPr fontId="3" type="noConversion"/>
  </si>
  <si>
    <t>林晨</t>
    <phoneticPr fontId="3" type="noConversion"/>
  </si>
  <si>
    <t>cw001@hm-safety.com</t>
    <phoneticPr fontId="3" type="noConversion"/>
  </si>
  <si>
    <t>周红燕</t>
    <phoneticPr fontId="3" type="noConversion"/>
  </si>
  <si>
    <t>sales08@hm-safety.com</t>
    <phoneticPr fontId="3" type="noConversion"/>
  </si>
  <si>
    <t>CIMEX2K</t>
    <phoneticPr fontId="3" type="noConversion"/>
  </si>
  <si>
    <t>if moved by customer</t>
    <phoneticPr fontId="3" type="noConversion"/>
  </si>
  <si>
    <t>60658311</t>
    <phoneticPr fontId="3" type="noConversion"/>
  </si>
  <si>
    <t>CPX2</t>
    <phoneticPr fontId="3" type="noConversion"/>
  </si>
  <si>
    <t>3</t>
    <phoneticPr fontId="3" type="noConversion"/>
  </si>
  <si>
    <t>电子邮件：morning@hm-safety.com</t>
    <phoneticPr fontId="3" type="noConversion"/>
  </si>
  <si>
    <t>DTHC $95/145 DDF IDR100000 EMF IDR75000/TEU PP</t>
    <phoneticPr fontId="3" type="noConversion"/>
  </si>
  <si>
    <t>17</t>
    <phoneticPr fontId="3" type="noConversion"/>
  </si>
  <si>
    <t>INCL DTHC PCS</t>
    <phoneticPr fontId="3" type="noConversion"/>
  </si>
  <si>
    <t>INCL DTHC PCS</t>
    <phoneticPr fontId="3" type="noConversion"/>
  </si>
  <si>
    <t>INCL DTHC</t>
    <phoneticPr fontId="3" type="noConversion"/>
  </si>
  <si>
    <t>CRS</t>
    <phoneticPr fontId="3" type="noConversion"/>
  </si>
  <si>
    <t>CTX</t>
    <phoneticPr fontId="3" type="noConversion"/>
  </si>
  <si>
    <t>ALL IN INCL THC</t>
    <phoneticPr fontId="3" type="noConversion"/>
  </si>
  <si>
    <t>300</t>
    <phoneticPr fontId="3" type="noConversion"/>
  </si>
  <si>
    <t>200</t>
    <phoneticPr fontId="3" type="noConversion"/>
  </si>
  <si>
    <t>400</t>
    <phoneticPr fontId="3" type="noConversion"/>
  </si>
  <si>
    <t>100</t>
    <phoneticPr fontId="3" type="noConversion"/>
  </si>
  <si>
    <t>2355929710</t>
    <phoneticPr fontId="3" type="noConversion"/>
  </si>
  <si>
    <t>SOUTH/NORTH</t>
    <phoneticPr fontId="3" type="noConversion"/>
  </si>
  <si>
    <t>20</t>
    <phoneticPr fontId="3" type="noConversion"/>
  </si>
  <si>
    <t>PIL</t>
    <phoneticPr fontId="3" type="noConversion"/>
  </si>
  <si>
    <t>16/15/9</t>
    <phoneticPr fontId="3" type="noConversion"/>
  </si>
  <si>
    <t>17/16/10</t>
    <phoneticPr fontId="3" type="noConversion"/>
  </si>
  <si>
    <t>TAN CANG</t>
    <phoneticPr fontId="3" type="noConversion"/>
  </si>
  <si>
    <t>500</t>
    <phoneticPr fontId="3" type="noConversion"/>
  </si>
  <si>
    <t>HDS</t>
    <phoneticPr fontId="3" type="noConversion"/>
  </si>
  <si>
    <t>1</t>
    <phoneticPr fontId="3" type="noConversion"/>
  </si>
  <si>
    <t>CALGARY AB</t>
    <phoneticPr fontId="3" type="noConversion"/>
  </si>
  <si>
    <t>NO</t>
    <phoneticPr fontId="58" type="noConversion"/>
  </si>
  <si>
    <t>YES</t>
    <phoneticPr fontId="58" type="noConversion"/>
  </si>
  <si>
    <t>EMC</t>
    <phoneticPr fontId="58" type="noConversion"/>
  </si>
  <si>
    <t>EMI</t>
    <phoneticPr fontId="58" type="noConversion"/>
  </si>
  <si>
    <t>MSK</t>
    <phoneticPr fontId="58" type="noConversion"/>
  </si>
  <si>
    <t>MSC</t>
    <phoneticPr fontId="58" type="noConversion"/>
  </si>
  <si>
    <r>
      <rPr>
        <sz val="10"/>
        <color theme="1"/>
        <rFont val="宋体"/>
        <family val="3"/>
        <charset val="134"/>
      </rPr>
      <t>台湾线</t>
    </r>
    <phoneticPr fontId="58" type="noConversion"/>
  </si>
  <si>
    <t>SSL</t>
    <phoneticPr fontId="58" type="noConversion"/>
  </si>
  <si>
    <t>SITC</t>
    <phoneticPr fontId="58" type="noConversion"/>
  </si>
  <si>
    <t>SWIRE</t>
    <phoneticPr fontId="58" type="noConversion"/>
  </si>
  <si>
    <t>TSL</t>
    <phoneticPr fontId="58" type="noConversion"/>
  </si>
  <si>
    <t>ZIM</t>
    <phoneticPr fontId="58" type="noConversion"/>
  </si>
  <si>
    <t>0</t>
    <phoneticPr fontId="3" type="noConversion"/>
  </si>
  <si>
    <t>450</t>
    <phoneticPr fontId="3" type="noConversion"/>
  </si>
  <si>
    <t>190</t>
    <phoneticPr fontId="3" type="noConversion"/>
  </si>
  <si>
    <r>
      <rPr>
        <sz val="10"/>
        <rFont val="宋体"/>
        <family val="3"/>
        <charset val="134"/>
      </rPr>
      <t>限重</t>
    </r>
    <phoneticPr fontId="3" type="noConversion"/>
  </si>
  <si>
    <t>NO OWS</t>
    <phoneticPr fontId="3" type="noConversion"/>
  </si>
  <si>
    <t>NO OWS</t>
    <phoneticPr fontId="3" type="noConversion"/>
  </si>
  <si>
    <t>NO OWS</t>
    <phoneticPr fontId="3" type="noConversion"/>
  </si>
  <si>
    <t>INCL DTHC</t>
    <phoneticPr fontId="3" type="noConversion"/>
  </si>
  <si>
    <t>EMI</t>
    <phoneticPr fontId="3" type="noConversion"/>
  </si>
  <si>
    <t>RS3</t>
    <phoneticPr fontId="3" type="noConversion"/>
  </si>
  <si>
    <t>21</t>
    <phoneticPr fontId="3" type="noConversion"/>
  </si>
  <si>
    <t>MITT/MIP</t>
    <phoneticPr fontId="3" type="noConversion"/>
  </si>
  <si>
    <t>ICT</t>
    <phoneticPr fontId="3" type="noConversion"/>
  </si>
  <si>
    <t>TANJUNG EMAS</t>
    <phoneticPr fontId="3" type="noConversion"/>
  </si>
  <si>
    <t>PTSC/DINH VU</t>
    <phoneticPr fontId="3" type="noConversion"/>
  </si>
  <si>
    <t>13916022684</t>
    <phoneticPr fontId="3" type="noConversion"/>
  </si>
  <si>
    <t>15</t>
    <phoneticPr fontId="3" type="noConversion"/>
  </si>
  <si>
    <t>1/4/7</t>
    <phoneticPr fontId="3" type="noConversion"/>
  </si>
  <si>
    <t>CEN</t>
    <phoneticPr fontId="3" type="noConversion"/>
  </si>
  <si>
    <t>CEN</t>
    <phoneticPr fontId="3" type="noConversion"/>
  </si>
  <si>
    <t>WGQ5</t>
    <phoneticPr fontId="3" type="noConversion"/>
  </si>
  <si>
    <t>TACOMA WA</t>
    <phoneticPr fontId="3" type="noConversion"/>
  </si>
  <si>
    <t>12</t>
    <phoneticPr fontId="3" type="noConversion"/>
  </si>
  <si>
    <t>6</t>
    <phoneticPr fontId="3" type="noConversion"/>
  </si>
  <si>
    <t>24</t>
    <phoneticPr fontId="3" type="noConversion"/>
  </si>
  <si>
    <t>YS</t>
    <phoneticPr fontId="3" type="noConversion"/>
  </si>
  <si>
    <t>30</t>
    <phoneticPr fontId="3" type="noConversion"/>
  </si>
  <si>
    <t>1</t>
    <phoneticPr fontId="3" type="noConversion"/>
  </si>
  <si>
    <t>WILMINGTON NC</t>
    <phoneticPr fontId="3" type="noConversion"/>
  </si>
  <si>
    <t>AWE2</t>
    <phoneticPr fontId="3" type="noConversion"/>
  </si>
  <si>
    <t>BOSTON MA</t>
    <phoneticPr fontId="3" type="noConversion"/>
  </si>
  <si>
    <t>33</t>
    <phoneticPr fontId="3" type="noConversion"/>
  </si>
  <si>
    <t>AWE3</t>
    <phoneticPr fontId="3" type="noConversion"/>
  </si>
  <si>
    <t>GME</t>
    <phoneticPr fontId="3" type="noConversion"/>
  </si>
  <si>
    <t>ISPS $19/BOX AMS $30</t>
    <phoneticPr fontId="3" type="noConversion"/>
  </si>
  <si>
    <t>CSE</t>
    <phoneticPr fontId="3" type="noConversion"/>
  </si>
  <si>
    <t>HPL</t>
    <phoneticPr fontId="3" type="noConversion"/>
  </si>
  <si>
    <t>MACKAY</t>
    <phoneticPr fontId="3" type="noConversion"/>
  </si>
  <si>
    <t>16</t>
    <phoneticPr fontId="3" type="noConversion"/>
  </si>
  <si>
    <t>RAIL+TRUCK</t>
    <phoneticPr fontId="3" type="noConversion"/>
  </si>
  <si>
    <t>GLADSTONE</t>
    <phoneticPr fontId="3" type="noConversion"/>
  </si>
  <si>
    <t>LAUNCESTON</t>
    <phoneticPr fontId="3" type="noConversion"/>
  </si>
  <si>
    <t>2</t>
    <phoneticPr fontId="3" type="noConversion"/>
  </si>
  <si>
    <t>24</t>
    <phoneticPr fontId="3" type="noConversion"/>
  </si>
  <si>
    <t>HOBART</t>
    <phoneticPr fontId="3" type="noConversion"/>
  </si>
  <si>
    <t>NEWCASTLE</t>
    <phoneticPr fontId="3" type="noConversion"/>
  </si>
  <si>
    <t>18</t>
    <phoneticPr fontId="3" type="noConversion"/>
  </si>
  <si>
    <t>GEELONG</t>
    <phoneticPr fontId="3" type="noConversion"/>
  </si>
  <si>
    <t>19</t>
    <phoneticPr fontId="3" type="noConversion"/>
  </si>
  <si>
    <t>CANBERRA</t>
    <phoneticPr fontId="3" type="noConversion"/>
  </si>
  <si>
    <t>ERX</t>
    <phoneticPr fontId="3" type="noConversion"/>
  </si>
  <si>
    <t>KUALA LUMPUR</t>
    <phoneticPr fontId="3" type="noConversion"/>
  </si>
  <si>
    <t>5</t>
    <phoneticPr fontId="3" type="noConversion"/>
  </si>
  <si>
    <t>4</t>
    <phoneticPr fontId="3" type="noConversion"/>
  </si>
  <si>
    <t>6</t>
    <phoneticPr fontId="3" type="noConversion"/>
  </si>
  <si>
    <t>YS</t>
    <phoneticPr fontId="3" type="noConversion"/>
  </si>
  <si>
    <t>4/6</t>
    <phoneticPr fontId="3" type="noConversion"/>
  </si>
  <si>
    <t>23/20</t>
    <phoneticPr fontId="3" type="noConversion"/>
  </si>
  <si>
    <t>WGQ2/YS</t>
    <phoneticPr fontId="3" type="noConversion"/>
  </si>
  <si>
    <t>3</t>
    <phoneticPr fontId="3" type="noConversion"/>
  </si>
  <si>
    <t>39</t>
    <phoneticPr fontId="3" type="noConversion"/>
  </si>
  <si>
    <t>7</t>
    <phoneticPr fontId="3" type="noConversion"/>
  </si>
  <si>
    <t>21</t>
    <phoneticPr fontId="3" type="noConversion"/>
  </si>
  <si>
    <t>24</t>
    <phoneticPr fontId="3" type="noConversion"/>
  </si>
  <si>
    <t>CHENNAI/MADRAS</t>
    <phoneticPr fontId="3" type="noConversion"/>
  </si>
  <si>
    <t>INDIA</t>
    <phoneticPr fontId="3" type="noConversion"/>
  </si>
  <si>
    <t>DDF $30/BL</t>
    <phoneticPr fontId="3" type="noConversion"/>
  </si>
  <si>
    <t>2</t>
    <phoneticPr fontId="3" type="noConversion"/>
  </si>
  <si>
    <t>SAKAC</t>
    <phoneticPr fontId="3" type="noConversion"/>
  </si>
  <si>
    <t>KING ABDULLAH PORT</t>
    <phoneticPr fontId="3" type="noConversion"/>
  </si>
  <si>
    <t>40</t>
    <phoneticPr fontId="3" type="noConversion"/>
  </si>
  <si>
    <t>38</t>
    <phoneticPr fontId="3" type="noConversion"/>
  </si>
  <si>
    <t>22</t>
    <phoneticPr fontId="3" type="noConversion"/>
  </si>
  <si>
    <t>WGQ1</t>
    <phoneticPr fontId="3" type="noConversion"/>
  </si>
  <si>
    <t xml:space="preserve">MICRONESIA    </t>
    <phoneticPr fontId="3" type="noConversion"/>
  </si>
  <si>
    <t>33</t>
    <phoneticPr fontId="3" type="noConversion"/>
  </si>
  <si>
    <t>7</t>
    <phoneticPr fontId="3" type="noConversion"/>
  </si>
  <si>
    <t>SHUWAIKH</t>
    <phoneticPr fontId="3" type="noConversion"/>
  </si>
  <si>
    <t>SHUAIBA</t>
    <phoneticPr fontId="3" type="noConversion"/>
  </si>
  <si>
    <t>NYK</t>
    <phoneticPr fontId="3" type="noConversion"/>
  </si>
  <si>
    <t>SHUWAIKH</t>
    <phoneticPr fontId="3" type="noConversion"/>
  </si>
  <si>
    <t>沈羚</t>
    <phoneticPr fontId="3" type="noConversion"/>
  </si>
  <si>
    <t>CPF</t>
    <phoneticPr fontId="3" type="noConversion"/>
  </si>
  <si>
    <t>31</t>
    <phoneticPr fontId="3" type="noConversion"/>
  </si>
  <si>
    <t>35</t>
    <phoneticPr fontId="3" type="noConversion"/>
  </si>
  <si>
    <t>25</t>
    <phoneticPr fontId="3" type="noConversion"/>
  </si>
  <si>
    <t>37</t>
    <phoneticPr fontId="3" type="noConversion"/>
  </si>
  <si>
    <t>20</t>
    <phoneticPr fontId="3" type="noConversion"/>
  </si>
  <si>
    <t>19</t>
    <phoneticPr fontId="3" type="noConversion"/>
  </si>
  <si>
    <t>22</t>
    <phoneticPr fontId="3" type="noConversion"/>
  </si>
  <si>
    <t>28</t>
    <phoneticPr fontId="3" type="noConversion"/>
  </si>
  <si>
    <t>32</t>
    <phoneticPr fontId="3" type="noConversion"/>
  </si>
  <si>
    <t>43</t>
    <phoneticPr fontId="3" type="noConversion"/>
  </si>
  <si>
    <t>47</t>
    <phoneticPr fontId="3" type="noConversion"/>
  </si>
  <si>
    <t>45</t>
    <phoneticPr fontId="3" type="noConversion"/>
  </si>
  <si>
    <t>48</t>
    <phoneticPr fontId="3" type="noConversion"/>
  </si>
  <si>
    <t>23</t>
    <phoneticPr fontId="3" type="noConversion"/>
  </si>
  <si>
    <t>24</t>
    <phoneticPr fontId="3" type="noConversion"/>
  </si>
  <si>
    <t>21</t>
    <phoneticPr fontId="3" type="noConversion"/>
  </si>
  <si>
    <t>3</t>
    <phoneticPr fontId="3" type="noConversion"/>
  </si>
  <si>
    <t>35</t>
    <phoneticPr fontId="3" type="noConversion"/>
  </si>
  <si>
    <t>25</t>
    <phoneticPr fontId="3" type="noConversion"/>
  </si>
  <si>
    <t>AE5</t>
    <phoneticPr fontId="3" type="noConversion"/>
  </si>
  <si>
    <t>AE10</t>
    <phoneticPr fontId="3" type="noConversion"/>
  </si>
  <si>
    <t>3</t>
    <phoneticPr fontId="3" type="noConversion"/>
  </si>
  <si>
    <t>13601916838</t>
    <phoneticPr fontId="3" type="noConversion"/>
  </si>
  <si>
    <t>30</t>
    <phoneticPr fontId="3" type="noConversion"/>
  </si>
  <si>
    <t>NZPOE</t>
    <phoneticPr fontId="3" type="noConversion"/>
  </si>
  <si>
    <t>29</t>
    <phoneticPr fontId="3" type="noConversion"/>
  </si>
  <si>
    <t>35</t>
    <phoneticPr fontId="3" type="noConversion"/>
  </si>
  <si>
    <t>25</t>
    <phoneticPr fontId="3" type="noConversion"/>
  </si>
  <si>
    <t>南太平洋线</t>
    <phoneticPr fontId="3" type="noConversion"/>
  </si>
  <si>
    <t>WALLIS AND FUTUNA ISLANDS</t>
    <phoneticPr fontId="3" type="noConversion"/>
  </si>
  <si>
    <t>56</t>
    <phoneticPr fontId="3" type="noConversion"/>
  </si>
  <si>
    <t>40</t>
    <phoneticPr fontId="3" type="noConversion"/>
  </si>
  <si>
    <t>NZPOE</t>
    <phoneticPr fontId="3" type="noConversion"/>
  </si>
  <si>
    <t>30</t>
    <phoneticPr fontId="3" type="noConversion"/>
  </si>
  <si>
    <t>28</t>
    <phoneticPr fontId="3" type="noConversion"/>
  </si>
  <si>
    <t>OAMARU</t>
    <phoneticPr fontId="3" type="noConversion"/>
  </si>
  <si>
    <t>29</t>
    <phoneticPr fontId="3" type="noConversion"/>
  </si>
  <si>
    <t>24</t>
    <phoneticPr fontId="3" type="noConversion"/>
  </si>
  <si>
    <t>32</t>
    <phoneticPr fontId="3" type="noConversion"/>
  </si>
  <si>
    <t>21</t>
    <phoneticPr fontId="3" type="noConversion"/>
  </si>
  <si>
    <t>26</t>
    <phoneticPr fontId="3" type="noConversion"/>
  </si>
  <si>
    <t>34</t>
    <phoneticPr fontId="3" type="noConversion"/>
  </si>
  <si>
    <t>CHL3</t>
    <phoneticPr fontId="3" type="noConversion"/>
  </si>
  <si>
    <t>NHON TRACH</t>
    <phoneticPr fontId="3" type="noConversion"/>
  </si>
  <si>
    <t>INCL EIS $80/TEU</t>
    <phoneticPr fontId="3" type="noConversion"/>
  </si>
  <si>
    <t>ACS/CIX</t>
    <phoneticPr fontId="3" type="noConversion"/>
  </si>
  <si>
    <t>MEX</t>
    <phoneticPr fontId="3" type="noConversion"/>
  </si>
  <si>
    <t>中东线</t>
    <phoneticPr fontId="3" type="noConversion"/>
  </si>
  <si>
    <t>KHOR AL ZUBAIR</t>
    <phoneticPr fontId="3" type="noConversion"/>
  </si>
  <si>
    <t>TUTICORIN</t>
    <phoneticPr fontId="3" type="noConversion"/>
  </si>
  <si>
    <t>CHABAHAR</t>
    <phoneticPr fontId="3" type="noConversion"/>
  </si>
  <si>
    <t>CT3</t>
    <phoneticPr fontId="3" type="noConversion"/>
  </si>
  <si>
    <t>AMS $30</t>
    <phoneticPr fontId="3" type="noConversion"/>
  </si>
  <si>
    <t>电询2</t>
  </si>
  <si>
    <r>
      <rPr>
        <sz val="10"/>
        <color theme="1"/>
        <rFont val="宋体"/>
        <family val="3"/>
        <charset val="134"/>
      </rPr>
      <t>电询</t>
    </r>
    <r>
      <rPr>
        <sz val="10"/>
        <color theme="1"/>
        <rFont val="Arial"/>
        <family val="2"/>
      </rPr>
      <t>2</t>
    </r>
    <phoneticPr fontId="3" type="noConversion"/>
  </si>
  <si>
    <t>JCV/KPS</t>
    <phoneticPr fontId="3" type="noConversion"/>
  </si>
  <si>
    <t>3/5</t>
    <phoneticPr fontId="3" type="noConversion"/>
  </si>
  <si>
    <t>ANX/KPS/CVT</t>
    <phoneticPr fontId="3" type="noConversion"/>
  </si>
  <si>
    <t>USHOU</t>
    <phoneticPr fontId="3" type="noConversion"/>
  </si>
  <si>
    <t>ACS</t>
    <phoneticPr fontId="3" type="noConversion"/>
  </si>
  <si>
    <t>4/7</t>
    <phoneticPr fontId="3" type="noConversion"/>
  </si>
  <si>
    <t>20</t>
    <phoneticPr fontId="3" type="noConversion"/>
  </si>
  <si>
    <t>20/21</t>
    <phoneticPr fontId="3" type="noConversion"/>
  </si>
  <si>
    <t>ACS/TP1</t>
    <phoneticPr fontId="3" type="noConversion"/>
  </si>
  <si>
    <t>29</t>
    <phoneticPr fontId="3" type="noConversion"/>
  </si>
  <si>
    <t>23</t>
    <phoneticPr fontId="3" type="noConversion"/>
  </si>
  <si>
    <t>KHURJA</t>
    <phoneticPr fontId="3" type="noConversion"/>
  </si>
  <si>
    <t>INDIA</t>
    <phoneticPr fontId="3" type="noConversion"/>
  </si>
  <si>
    <t>1</t>
    <phoneticPr fontId="3" type="noConversion"/>
  </si>
  <si>
    <t>INCCU</t>
    <phoneticPr fontId="3" type="noConversion"/>
  </si>
  <si>
    <t>30</t>
    <phoneticPr fontId="3" type="noConversion"/>
  </si>
  <si>
    <t>AAC3</t>
    <phoneticPr fontId="3" type="noConversion"/>
  </si>
  <si>
    <t>PORTLAND</t>
    <phoneticPr fontId="3" type="noConversion"/>
  </si>
  <si>
    <t>FORT WORTH TX</t>
    <phoneticPr fontId="3" type="noConversion"/>
  </si>
  <si>
    <t>CHIPPEWA FALLS</t>
    <phoneticPr fontId="3" type="noConversion"/>
  </si>
  <si>
    <t>GREER SC</t>
    <phoneticPr fontId="3" type="noConversion"/>
  </si>
  <si>
    <t>CGS $300/TEU CC</t>
    <phoneticPr fontId="3" type="noConversion"/>
  </si>
  <si>
    <t>CA2</t>
    <phoneticPr fontId="3" type="noConversion"/>
  </si>
  <si>
    <t>TTP</t>
    <phoneticPr fontId="3" type="noConversion"/>
  </si>
  <si>
    <t>3</t>
    <phoneticPr fontId="3" type="noConversion"/>
  </si>
  <si>
    <t>13</t>
    <phoneticPr fontId="3" type="noConversion"/>
  </si>
  <si>
    <t>IA7</t>
    <phoneticPr fontId="3" type="noConversion"/>
  </si>
  <si>
    <t>IA7/SH1</t>
    <phoneticPr fontId="3" type="noConversion"/>
  </si>
  <si>
    <t>19/18</t>
    <phoneticPr fontId="3" type="noConversion"/>
  </si>
  <si>
    <t>CVT-V</t>
    <phoneticPr fontId="3" type="noConversion"/>
  </si>
  <si>
    <t>CVT-T</t>
    <phoneticPr fontId="3" type="noConversion"/>
  </si>
  <si>
    <t>MARIANA</t>
    <phoneticPr fontId="3" type="noConversion"/>
  </si>
  <si>
    <t>CTV1</t>
    <phoneticPr fontId="3" type="noConversion"/>
  </si>
  <si>
    <t>CTV2</t>
    <phoneticPr fontId="3" type="noConversion"/>
  </si>
  <si>
    <t>CHL2-W</t>
    <phoneticPr fontId="3" type="noConversion"/>
  </si>
  <si>
    <t>CHL2-W/CHL3</t>
    <phoneticPr fontId="3" type="noConversion"/>
  </si>
  <si>
    <t>CHL2-S</t>
    <phoneticPr fontId="3" type="noConversion"/>
  </si>
  <si>
    <t>17/8</t>
    <phoneticPr fontId="3" type="noConversion"/>
  </si>
  <si>
    <t>7/9</t>
    <phoneticPr fontId="3" type="noConversion"/>
  </si>
  <si>
    <t>9/11</t>
    <phoneticPr fontId="3" type="noConversion"/>
  </si>
  <si>
    <t>3</t>
    <phoneticPr fontId="3" type="noConversion"/>
  </si>
  <si>
    <t>20'&lt;7.7T 40'&lt;15.4T</t>
    <phoneticPr fontId="3" type="noConversion"/>
  </si>
  <si>
    <t>NTH</t>
    <phoneticPr fontId="3" type="noConversion"/>
  </si>
  <si>
    <t>NHM</t>
    <phoneticPr fontId="3" type="noConversion"/>
  </si>
  <si>
    <t>20'&lt;15.5T</t>
    <phoneticPr fontId="3" type="noConversion"/>
  </si>
  <si>
    <t>20'&lt;17.5T 40'&lt;19.4T</t>
    <phoneticPr fontId="3" type="noConversion"/>
  </si>
  <si>
    <t>20'&lt;17.5T 40'&lt;13.4T</t>
    <phoneticPr fontId="3" type="noConversion"/>
  </si>
  <si>
    <t>IRBKM</t>
    <phoneticPr fontId="3" type="noConversion"/>
  </si>
  <si>
    <t>2</t>
    <phoneticPr fontId="3" type="noConversion"/>
  </si>
  <si>
    <t>INDIA</t>
    <phoneticPr fontId="3" type="noConversion"/>
  </si>
  <si>
    <t>KATHUWAS</t>
    <phoneticPr fontId="3" type="noConversion"/>
  </si>
  <si>
    <t>KANECH</t>
    <phoneticPr fontId="3" type="noConversion"/>
  </si>
  <si>
    <t>1/2/3</t>
    <phoneticPr fontId="3" type="noConversion"/>
  </si>
  <si>
    <t>MSI/JCV/CMS</t>
    <phoneticPr fontId="3" type="noConversion"/>
  </si>
  <si>
    <t>CTE/MCT</t>
    <phoneticPr fontId="3" type="noConversion"/>
  </si>
  <si>
    <t>ANX/CHT/NTH/KTC</t>
    <phoneticPr fontId="3" type="noConversion"/>
  </si>
  <si>
    <t>AC1</t>
    <phoneticPr fontId="3" type="noConversion"/>
  </si>
  <si>
    <t>ANZ</t>
    <phoneticPr fontId="3" type="noConversion"/>
  </si>
  <si>
    <t>CCI</t>
    <phoneticPr fontId="3" type="noConversion"/>
  </si>
  <si>
    <t>MOL</t>
    <phoneticPr fontId="3" type="noConversion"/>
  </si>
  <si>
    <t>CMS</t>
    <phoneticPr fontId="3" type="noConversion"/>
  </si>
  <si>
    <t>13</t>
    <phoneticPr fontId="3" type="noConversion"/>
  </si>
  <si>
    <t>A3C</t>
    <phoneticPr fontId="3" type="noConversion"/>
  </si>
  <si>
    <t>17</t>
    <phoneticPr fontId="3" type="noConversion"/>
  </si>
  <si>
    <t>KANAKPURA</t>
    <phoneticPr fontId="3" type="noConversion"/>
  </si>
  <si>
    <t>BHAGAT KI KOTHI</t>
    <phoneticPr fontId="3" type="noConversion"/>
  </si>
  <si>
    <t>ACTL/PIYALA</t>
    <phoneticPr fontId="3" type="noConversion"/>
  </si>
  <si>
    <t>BARODA/VADODARA</t>
    <phoneticPr fontId="3" type="noConversion"/>
  </si>
  <si>
    <t>DESTUFFED</t>
    <phoneticPr fontId="3" type="noConversion"/>
  </si>
  <si>
    <t>ACTL</t>
    <phoneticPr fontId="3" type="noConversion"/>
  </si>
  <si>
    <t>PUNJAB</t>
    <phoneticPr fontId="3" type="noConversion"/>
  </si>
  <si>
    <t>KANAKPURA</t>
    <phoneticPr fontId="3" type="noConversion"/>
  </si>
  <si>
    <t>GDL</t>
    <phoneticPr fontId="3" type="noConversion"/>
  </si>
  <si>
    <t>PUNE/ICD TALEGAON</t>
    <phoneticPr fontId="3" type="noConversion"/>
  </si>
  <si>
    <t>TARAPUR</t>
    <phoneticPr fontId="3" type="noConversion"/>
  </si>
  <si>
    <t>SONIPAT/DICT SONIPAT</t>
    <phoneticPr fontId="3" type="noConversion"/>
  </si>
  <si>
    <t>PUNE/DIGHI</t>
    <phoneticPr fontId="3" type="noConversion"/>
  </si>
  <si>
    <t>SURAT/ICD SACHIN</t>
    <phoneticPr fontId="3" type="noConversion"/>
  </si>
  <si>
    <t>STA/NCS</t>
    <phoneticPr fontId="3" type="noConversion"/>
  </si>
  <si>
    <t>SAC</t>
    <phoneticPr fontId="3" type="noConversion"/>
  </si>
  <si>
    <t>CPX6</t>
    <phoneticPr fontId="3" type="noConversion"/>
  </si>
  <si>
    <t>CHU LAI</t>
    <phoneticPr fontId="3" type="noConversion"/>
  </si>
  <si>
    <t>17</t>
    <phoneticPr fontId="3" type="noConversion"/>
  </si>
  <si>
    <t>A3N</t>
    <phoneticPr fontId="3" type="noConversion"/>
  </si>
  <si>
    <t>20</t>
    <phoneticPr fontId="3" type="noConversion"/>
  </si>
  <si>
    <t>14</t>
    <phoneticPr fontId="3" type="noConversion"/>
  </si>
  <si>
    <t>A3N/A3C</t>
    <phoneticPr fontId="3" type="noConversion"/>
  </si>
  <si>
    <t>19</t>
    <phoneticPr fontId="3" type="noConversion"/>
  </si>
  <si>
    <t>22</t>
    <phoneticPr fontId="3" type="noConversion"/>
  </si>
  <si>
    <t>23</t>
    <phoneticPr fontId="3" type="noConversion"/>
  </si>
  <si>
    <t>ATLANTA GA</t>
    <phoneticPr fontId="3" type="noConversion"/>
  </si>
  <si>
    <t>BIRMINGHAM AL</t>
    <phoneticPr fontId="3" type="noConversion"/>
  </si>
  <si>
    <t>HUNTSVILLE AL</t>
    <phoneticPr fontId="3" type="noConversion"/>
  </si>
  <si>
    <t>MINNEAPOLIS MN</t>
    <phoneticPr fontId="3" type="noConversion"/>
  </si>
  <si>
    <t>NASHVILLE TN</t>
    <phoneticPr fontId="3" type="noConversion"/>
  </si>
  <si>
    <t>USA</t>
    <phoneticPr fontId="3" type="noConversion"/>
  </si>
  <si>
    <t>CISD $30/BOX CC</t>
    <phoneticPr fontId="3" type="noConversion"/>
  </si>
  <si>
    <t>CIMEX1</t>
    <phoneticPr fontId="3" type="noConversion"/>
  </si>
  <si>
    <t>AAUS</t>
    <phoneticPr fontId="3" type="noConversion"/>
  </si>
  <si>
    <t>EIS $450/TEU CC</t>
    <phoneticPr fontId="3" type="noConversion"/>
  </si>
  <si>
    <t>EID $450/TEU CC</t>
    <phoneticPr fontId="3" type="noConversion"/>
  </si>
  <si>
    <t>INCL PCS $200/TEU</t>
    <phoneticPr fontId="3" type="noConversion"/>
  </si>
  <si>
    <t>NO OWS</t>
    <phoneticPr fontId="3" type="noConversion"/>
  </si>
  <si>
    <t>SKBUS</t>
  </si>
  <si>
    <t>AFR $30</t>
  </si>
  <si>
    <t>DJDJI</t>
    <phoneticPr fontId="3" type="noConversion"/>
  </si>
  <si>
    <t>INCL DTHC$100/150 DOC$50/BL</t>
    <phoneticPr fontId="3" type="noConversion"/>
  </si>
  <si>
    <t>BAGHDAD</t>
    <phoneticPr fontId="3" type="noConversion"/>
  </si>
  <si>
    <t>CIC $200/TEU 
ECR $250/TEU CC</t>
    <phoneticPr fontId="3" type="noConversion"/>
  </si>
  <si>
    <t>CIMEX6</t>
    <phoneticPr fontId="3" type="noConversion"/>
  </si>
  <si>
    <t>红海线</t>
    <phoneticPr fontId="3" type="noConversion"/>
  </si>
  <si>
    <t>ETHIOPIA</t>
    <phoneticPr fontId="3" type="noConversion"/>
  </si>
  <si>
    <t>ADDIS ABABA</t>
    <phoneticPr fontId="3" type="noConversion"/>
  </si>
  <si>
    <t>AWASSA</t>
    <phoneticPr fontId="3" type="noConversion"/>
  </si>
  <si>
    <t>BAHAR DAR</t>
    <phoneticPr fontId="3" type="noConversion"/>
  </si>
  <si>
    <t>DIRE DAWA</t>
    <phoneticPr fontId="3" type="noConversion"/>
  </si>
  <si>
    <t>DUKEM</t>
    <phoneticPr fontId="3" type="noConversion"/>
  </si>
  <si>
    <t>KOMBOLCHA</t>
    <phoneticPr fontId="3" type="noConversion"/>
  </si>
  <si>
    <t>MEKELE</t>
    <phoneticPr fontId="3" type="noConversion"/>
  </si>
  <si>
    <t>MOJO</t>
    <phoneticPr fontId="3" type="noConversion"/>
  </si>
  <si>
    <t>SEMERA/DUBTI</t>
    <phoneticPr fontId="3" type="noConversion"/>
  </si>
  <si>
    <t>20'&lt;17.5T 40'&lt;25.4T</t>
    <phoneticPr fontId="3" type="noConversion"/>
  </si>
  <si>
    <t>8367</t>
    <phoneticPr fontId="3" type="noConversion"/>
  </si>
  <si>
    <t>18930643386</t>
    <phoneticPr fontId="3" type="noConversion"/>
  </si>
  <si>
    <t>朱月霞</t>
    <phoneticPr fontId="3" type="noConversion"/>
  </si>
  <si>
    <t>op001@hm-safety.com</t>
    <phoneticPr fontId="3" type="noConversion"/>
  </si>
  <si>
    <t>周蕾</t>
    <phoneticPr fontId="3" type="noConversion"/>
  </si>
  <si>
    <t>2853996227</t>
    <phoneticPr fontId="3" type="noConversion"/>
  </si>
  <si>
    <t>60658255</t>
    <phoneticPr fontId="3" type="noConversion"/>
  </si>
  <si>
    <t>8255</t>
    <phoneticPr fontId="3" type="noConversion"/>
  </si>
  <si>
    <t>silvia@hm-safety.com</t>
    <phoneticPr fontId="3" type="noConversion"/>
  </si>
  <si>
    <t>CS02@hm-safety.com</t>
    <phoneticPr fontId="3" type="noConversion"/>
  </si>
  <si>
    <t>KYOWA</t>
    <phoneticPr fontId="3" type="noConversion"/>
  </si>
  <si>
    <t>HDX</t>
    <phoneticPr fontId="3" type="noConversion"/>
  </si>
  <si>
    <t>2/3/5</t>
    <phoneticPr fontId="3" type="noConversion"/>
  </si>
  <si>
    <t>16</t>
    <phoneticPr fontId="3" type="noConversion"/>
  </si>
  <si>
    <t>NDS</t>
    <phoneticPr fontId="3" type="noConversion"/>
  </si>
  <si>
    <t>CTC $100/TEU CC</t>
    <phoneticPr fontId="3" type="noConversion"/>
  </si>
  <si>
    <t>MATADI</t>
  </si>
  <si>
    <t>CONGO DR</t>
  </si>
  <si>
    <t>西非线</t>
  </si>
  <si>
    <t>ANGOLA</t>
  </si>
  <si>
    <t>CABINDA</t>
  </si>
  <si>
    <t>IEX</t>
    <phoneticPr fontId="3" type="noConversion"/>
  </si>
  <si>
    <t>FCS</t>
    <phoneticPr fontId="3" type="noConversion"/>
  </si>
  <si>
    <t>韩国线</t>
    <phoneticPr fontId="3" type="noConversion"/>
  </si>
  <si>
    <t>GERMANY</t>
  </si>
  <si>
    <t>欧地线内陆点</t>
  </si>
  <si>
    <t>CZECH</t>
  </si>
  <si>
    <t>NEAX</t>
    <phoneticPr fontId="3" type="noConversion"/>
  </si>
  <si>
    <t>KM2</t>
    <phoneticPr fontId="3" type="noConversion"/>
  </si>
  <si>
    <t>Gross Weight over 25 tons</t>
  </si>
  <si>
    <t>Gross Weight from 16.6 - 25 tons</t>
  </si>
  <si>
    <t>Gross Weight below 16.5 tons</t>
  </si>
  <si>
    <t>NACALA</t>
  </si>
  <si>
    <t>MOZAMBIQUE</t>
  </si>
  <si>
    <t>东非线</t>
  </si>
  <si>
    <t>MAPUTO</t>
  </si>
  <si>
    <t>REUNION</t>
  </si>
  <si>
    <t>TAMATAVE/TOAMASINA</t>
  </si>
  <si>
    <t>MADAGASCAR</t>
  </si>
  <si>
    <t>PORT LOUIS</t>
  </si>
  <si>
    <t>MAURITIUS</t>
  </si>
  <si>
    <t>INCL EID</t>
    <phoneticPr fontId="3" type="noConversion"/>
  </si>
  <si>
    <t>IAL</t>
    <phoneticPr fontId="3" type="noConversion"/>
  </si>
  <si>
    <t>IKI</t>
    <phoneticPr fontId="3" type="noConversion"/>
  </si>
  <si>
    <t>ICI</t>
    <phoneticPr fontId="3" type="noConversion"/>
  </si>
  <si>
    <t>1/5</t>
    <phoneticPr fontId="3" type="noConversion"/>
  </si>
  <si>
    <t>WGQ</t>
    <phoneticPr fontId="3" type="noConversion"/>
  </si>
  <si>
    <t>18</t>
    <phoneticPr fontId="3" type="noConversion"/>
  </si>
  <si>
    <t>ICI/KCM2</t>
    <phoneticPr fontId="3" type="noConversion"/>
  </si>
  <si>
    <t>WGQ2</t>
    <phoneticPr fontId="3" type="noConversion"/>
  </si>
  <si>
    <t>NEW CIMEX2E</t>
    <phoneticPr fontId="3" type="noConversion"/>
  </si>
  <si>
    <t>EIS $150/TEU CC</t>
    <phoneticPr fontId="3" type="noConversion"/>
  </si>
  <si>
    <t>MUSCAT</t>
    <phoneticPr fontId="3" type="noConversion"/>
  </si>
  <si>
    <t>OMSOH</t>
    <phoneticPr fontId="3" type="noConversion"/>
  </si>
  <si>
    <t>23</t>
    <phoneticPr fontId="3" type="noConversion"/>
  </si>
  <si>
    <t>IFX</t>
    <phoneticPr fontId="3" type="noConversion"/>
  </si>
  <si>
    <t>HHX</t>
    <phoneticPr fontId="3" type="noConversion"/>
  </si>
  <si>
    <t>SOUTH AFRICA</t>
  </si>
  <si>
    <t>南非线</t>
  </si>
  <si>
    <t>ACE</t>
    <phoneticPr fontId="3" type="noConversion"/>
  </si>
  <si>
    <t>CVI</t>
    <phoneticPr fontId="3" type="noConversion"/>
  </si>
  <si>
    <t>22</t>
    <phoneticPr fontId="3" type="noConversion"/>
  </si>
  <si>
    <t>OOCL</t>
    <phoneticPr fontId="3" type="noConversion"/>
  </si>
  <si>
    <t>WGQ2</t>
  </si>
  <si>
    <t>NZ2</t>
    <phoneticPr fontId="3" type="noConversion"/>
  </si>
  <si>
    <t>ISPS $10/BOX CGSD $175/TEU</t>
    <phoneticPr fontId="3" type="noConversion"/>
  </si>
  <si>
    <t>PIYALA/BALLABHGARH</t>
    <phoneticPr fontId="3" type="noConversion"/>
  </si>
  <si>
    <t>CIC $200/TEU CC</t>
    <phoneticPr fontId="3" type="noConversion"/>
  </si>
  <si>
    <t>CIC $300/TEU CC</t>
    <phoneticPr fontId="3" type="noConversion"/>
  </si>
  <si>
    <t>CIS $50/TEU CC</t>
    <phoneticPr fontId="3" type="noConversion"/>
  </si>
  <si>
    <t>NO CIS</t>
    <phoneticPr fontId="3" type="noConversion"/>
  </si>
  <si>
    <t>CIC ECRS CIC $470/TEU CC</t>
    <phoneticPr fontId="3" type="noConversion"/>
  </si>
  <si>
    <t>CIC ECRS CIC $450/TEU CC</t>
    <phoneticPr fontId="3" type="noConversion"/>
  </si>
  <si>
    <t>29/26</t>
    <phoneticPr fontId="3" type="noConversion"/>
  </si>
  <si>
    <t>17/16</t>
    <phoneticPr fontId="3" type="noConversion"/>
  </si>
  <si>
    <t>MAX/CPX</t>
    <phoneticPr fontId="3" type="noConversion"/>
  </si>
  <si>
    <t>19/15</t>
    <phoneticPr fontId="3" type="noConversion"/>
  </si>
  <si>
    <t>21/17</t>
    <phoneticPr fontId="3" type="noConversion"/>
  </si>
  <si>
    <t>17/14</t>
    <phoneticPr fontId="3" type="noConversion"/>
  </si>
  <si>
    <t>20/16</t>
    <phoneticPr fontId="3" type="noConversion"/>
  </si>
  <si>
    <t>25/21</t>
    <phoneticPr fontId="3" type="noConversion"/>
  </si>
  <si>
    <t>19/16</t>
    <phoneticPr fontId="3" type="noConversion"/>
  </si>
  <si>
    <t>CHARLESTON SC</t>
    <phoneticPr fontId="3" type="noConversion"/>
  </si>
  <si>
    <t>TPS</t>
    <phoneticPr fontId="3" type="noConversion"/>
  </si>
  <si>
    <t>PH4</t>
    <phoneticPr fontId="3" type="noConversion"/>
  </si>
  <si>
    <t>HHX1/HHX2</t>
    <phoneticPr fontId="3" type="noConversion"/>
  </si>
  <si>
    <t>DOHA/HAMAD</t>
    <phoneticPr fontId="3" type="noConversion"/>
  </si>
  <si>
    <t>13</t>
    <phoneticPr fontId="3" type="noConversion"/>
  </si>
  <si>
    <t>GRPIR</t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</si>
  <si>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20T  $100</t>
    </r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</si>
  <si>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 $100</t>
    </r>
  </si>
  <si>
    <t>FME</t>
    <phoneticPr fontId="3" type="noConversion"/>
  </si>
  <si>
    <t>ECRS $250/TEU CIS $200/TEU CC</t>
    <phoneticPr fontId="3" type="noConversion"/>
  </si>
  <si>
    <t>CG $300/TEU CC</t>
    <phoneticPr fontId="3" type="noConversion"/>
  </si>
  <si>
    <t>OC $80/120 CC</t>
    <phoneticPr fontId="3" type="noConversion"/>
  </si>
  <si>
    <t>CG $100/TEU CC</t>
    <phoneticPr fontId="3" type="noConversion"/>
  </si>
  <si>
    <t>OOCL</t>
    <phoneticPr fontId="3" type="noConversion"/>
  </si>
  <si>
    <t>18/17</t>
    <phoneticPr fontId="3" type="noConversion"/>
  </si>
  <si>
    <t>22</t>
    <phoneticPr fontId="3" type="noConversion"/>
  </si>
  <si>
    <t>18</t>
    <phoneticPr fontId="3" type="noConversion"/>
  </si>
  <si>
    <t>INCL DTHC DOC</t>
    <phoneticPr fontId="3" type="noConversion"/>
  </si>
  <si>
    <t>CHH2</t>
    <phoneticPr fontId="3" type="noConversion"/>
  </si>
  <si>
    <t>QESHM</t>
    <phoneticPr fontId="3" type="noConversion"/>
  </si>
  <si>
    <t>PANOCEAN</t>
    <phoneticPr fontId="3" type="noConversion"/>
  </si>
  <si>
    <t>PANOCEAN</t>
    <phoneticPr fontId="58" type="noConversion"/>
  </si>
  <si>
    <t>INCL PCS $50/TEU LWS $75/TEU</t>
    <phoneticPr fontId="3" type="noConversion"/>
  </si>
  <si>
    <t>SAHATHAI</t>
    <phoneticPr fontId="3" type="noConversion"/>
  </si>
  <si>
    <t>5/7</t>
    <phoneticPr fontId="3" type="noConversion"/>
  </si>
  <si>
    <t>VTX1/CKV2</t>
    <phoneticPr fontId="3" type="noConversion"/>
  </si>
  <si>
    <t>VTX2/CVI/VTX1/VTX3/CKV2</t>
    <phoneticPr fontId="3" type="noConversion"/>
  </si>
  <si>
    <t>JCV2</t>
    <phoneticPr fontId="3" type="noConversion"/>
  </si>
  <si>
    <t>CVX1</t>
    <phoneticPr fontId="3" type="noConversion"/>
  </si>
  <si>
    <t>CVX2</t>
    <phoneticPr fontId="3" type="noConversion"/>
  </si>
  <si>
    <t>OCR $50/TEU CC</t>
    <phoneticPr fontId="3" type="noConversion"/>
  </si>
  <si>
    <t>CHH1/2</t>
    <phoneticPr fontId="3" type="noConversion"/>
  </si>
  <si>
    <t>KYOWA</t>
    <phoneticPr fontId="3" type="noConversion"/>
  </si>
  <si>
    <t>33</t>
    <phoneticPr fontId="3" type="noConversion"/>
  </si>
  <si>
    <t>37</t>
    <phoneticPr fontId="3" type="noConversion"/>
  </si>
  <si>
    <t>JCV/JCV2</t>
    <phoneticPr fontId="3" type="noConversion"/>
  </si>
  <si>
    <t>BHAGAT KI KOTHI/THAR DRY PORT</t>
    <phoneticPr fontId="3" type="noConversion"/>
  </si>
  <si>
    <t>CHS</t>
    <phoneticPr fontId="3" type="noConversion"/>
  </si>
  <si>
    <t>CAI CUI PORT</t>
    <phoneticPr fontId="3" type="noConversion"/>
  </si>
  <si>
    <t>SADEC PORT</t>
    <phoneticPr fontId="3" type="noConversion"/>
  </si>
  <si>
    <t>THOT NOT PORT</t>
    <phoneticPr fontId="3" type="noConversion"/>
  </si>
  <si>
    <t>1</t>
    <phoneticPr fontId="3" type="noConversion"/>
  </si>
  <si>
    <t>14</t>
    <phoneticPr fontId="3" type="noConversion"/>
  </si>
  <si>
    <t>19</t>
    <phoneticPr fontId="3" type="noConversion"/>
  </si>
  <si>
    <t>KMS</t>
    <phoneticPr fontId="3" type="noConversion"/>
  </si>
  <si>
    <t>KCM/CIX/KMS</t>
    <phoneticPr fontId="3" type="noConversion"/>
  </si>
  <si>
    <t>DARWIN</t>
    <phoneticPr fontId="3" type="noConversion"/>
  </si>
  <si>
    <t>AUADL</t>
    <phoneticPr fontId="3" type="noConversion"/>
  </si>
  <si>
    <t>AUSTRALIA</t>
    <phoneticPr fontId="3" type="noConversion"/>
  </si>
  <si>
    <t>AUMEL</t>
    <phoneticPr fontId="3" type="noConversion"/>
  </si>
  <si>
    <t>FAIRFIELD</t>
    <phoneticPr fontId="3" type="noConversion"/>
  </si>
  <si>
    <t>2583</t>
    <phoneticPr fontId="3" type="noConversion"/>
  </si>
  <si>
    <t>FOOTSCRAY</t>
    <phoneticPr fontId="3" type="noConversion"/>
  </si>
  <si>
    <t>3011</t>
    <phoneticPr fontId="3" type="noConversion"/>
  </si>
  <si>
    <t>FAIRFIELD VIC</t>
    <phoneticPr fontId="3" type="noConversion"/>
  </si>
  <si>
    <t>3078</t>
    <phoneticPr fontId="3" type="noConversion"/>
  </si>
  <si>
    <t>5112</t>
    <phoneticPr fontId="3" type="noConversion"/>
  </si>
  <si>
    <t>FORSTER</t>
    <phoneticPr fontId="3" type="noConversion"/>
  </si>
  <si>
    <t>EASTERN CREEK NS</t>
    <phoneticPr fontId="3" type="noConversion"/>
  </si>
  <si>
    <t>2766</t>
    <phoneticPr fontId="3" type="noConversion"/>
  </si>
  <si>
    <t>EAGLE FARM QL</t>
    <phoneticPr fontId="3" type="noConversion"/>
  </si>
  <si>
    <t>4009</t>
    <phoneticPr fontId="3" type="noConversion"/>
  </si>
  <si>
    <t>DERRIMUT</t>
    <phoneticPr fontId="3" type="noConversion"/>
  </si>
  <si>
    <t>DANDENONG VIC</t>
    <phoneticPr fontId="3" type="noConversion"/>
  </si>
  <si>
    <t>3175</t>
    <phoneticPr fontId="3" type="noConversion"/>
  </si>
  <si>
    <t>BOTANY BAY NS</t>
    <phoneticPr fontId="3" type="noConversion"/>
  </si>
  <si>
    <t>ACACIA RIDGE QL</t>
    <phoneticPr fontId="3" type="noConversion"/>
  </si>
  <si>
    <t>4110</t>
    <phoneticPr fontId="3" type="noConversion"/>
  </si>
  <si>
    <t>MASSAWA</t>
    <phoneticPr fontId="3" type="noConversion"/>
  </si>
  <si>
    <t>ERITREA</t>
    <phoneticPr fontId="3" type="noConversion"/>
  </si>
  <si>
    <t>PAPEETE/TAHITI</t>
    <phoneticPr fontId="3" type="noConversion"/>
  </si>
  <si>
    <t>APIA</t>
    <phoneticPr fontId="3" type="noConversion"/>
  </si>
  <si>
    <t>NUKUALOFA</t>
    <phoneticPr fontId="3" type="noConversion"/>
  </si>
  <si>
    <t>PORT VILA</t>
    <phoneticPr fontId="3" type="noConversion"/>
  </si>
  <si>
    <t>RAROTONGA</t>
    <phoneticPr fontId="3" type="noConversion"/>
  </si>
  <si>
    <t>AITUTAKI</t>
    <phoneticPr fontId="3" type="noConversion"/>
  </si>
  <si>
    <t>FUNAFUTI</t>
    <phoneticPr fontId="3" type="noConversion"/>
  </si>
  <si>
    <t>FUTUNA</t>
    <phoneticPr fontId="3" type="noConversion"/>
  </si>
  <si>
    <t>WALLIS</t>
    <phoneticPr fontId="3" type="noConversion"/>
  </si>
  <si>
    <t>MATA UTU</t>
    <phoneticPr fontId="3" type="noConversion"/>
  </si>
  <si>
    <t>NAURU</t>
    <phoneticPr fontId="3" type="noConversion"/>
  </si>
  <si>
    <t>NIUE</t>
    <phoneticPr fontId="3" type="noConversion"/>
  </si>
  <si>
    <t>MAJURO</t>
    <phoneticPr fontId="3" type="noConversion"/>
  </si>
  <si>
    <t>EBEYE</t>
    <phoneticPr fontId="3" type="noConversion"/>
  </si>
  <si>
    <t>CHUUK</t>
    <phoneticPr fontId="3" type="noConversion"/>
  </si>
  <si>
    <t>HONIARA</t>
    <phoneticPr fontId="3" type="noConversion"/>
  </si>
  <si>
    <t>PORT NORO</t>
    <phoneticPr fontId="3" type="noConversion"/>
  </si>
  <si>
    <t>KOROR</t>
    <phoneticPr fontId="3" type="noConversion"/>
  </si>
  <si>
    <t>GUAM</t>
    <phoneticPr fontId="3" type="noConversion"/>
  </si>
  <si>
    <t>SAIPAN</t>
    <phoneticPr fontId="3" type="noConversion"/>
  </si>
  <si>
    <t>DILI</t>
    <phoneticPr fontId="3" type="noConversion"/>
  </si>
  <si>
    <t>HONOLULU HI</t>
    <phoneticPr fontId="3" type="noConversion"/>
  </si>
  <si>
    <t>HILO HI</t>
    <phoneticPr fontId="3" type="noConversion"/>
  </si>
  <si>
    <t>KAHULUI HI</t>
    <phoneticPr fontId="3" type="noConversion"/>
  </si>
  <si>
    <t>KAWAIHAE HI</t>
    <phoneticPr fontId="3" type="noConversion"/>
  </si>
  <si>
    <t>NAWILIWILI HI</t>
    <phoneticPr fontId="3" type="noConversion"/>
  </si>
  <si>
    <t>NEPAL</t>
    <phoneticPr fontId="3" type="noConversion"/>
  </si>
  <si>
    <t>ETHIOPIA</t>
    <phoneticPr fontId="3" type="noConversion"/>
  </si>
  <si>
    <t>HEMMANT QL</t>
    <phoneticPr fontId="3" type="noConversion"/>
  </si>
  <si>
    <t>HOMEBUSH NS</t>
    <phoneticPr fontId="3" type="noConversion"/>
  </si>
  <si>
    <t>INGLEBURN NSW</t>
    <phoneticPr fontId="3" type="noConversion"/>
  </si>
  <si>
    <t>2565</t>
    <phoneticPr fontId="3" type="noConversion"/>
  </si>
  <si>
    <t>INKERMAN</t>
    <phoneticPr fontId="3" type="noConversion"/>
  </si>
  <si>
    <t>JANDAKOT</t>
    <phoneticPr fontId="3" type="noConversion"/>
  </si>
  <si>
    <t>2</t>
    <phoneticPr fontId="3" type="noConversion"/>
  </si>
  <si>
    <t>AUFRE</t>
    <phoneticPr fontId="3" type="noConversion"/>
  </si>
  <si>
    <t>LANSDOWNE NSW</t>
    <phoneticPr fontId="3" type="noConversion"/>
  </si>
  <si>
    <t>LIVERPOOL NS</t>
    <phoneticPr fontId="3" type="noConversion"/>
  </si>
  <si>
    <t>NARELLAN NSW</t>
    <phoneticPr fontId="3" type="noConversion"/>
  </si>
  <si>
    <t>NOOSAVILLE</t>
    <phoneticPr fontId="3" type="noConversion"/>
  </si>
  <si>
    <t>4566</t>
    <phoneticPr fontId="3" type="noConversion"/>
  </si>
  <si>
    <t>KEILOR PARK</t>
    <phoneticPr fontId="3" type="noConversion"/>
  </si>
  <si>
    <t>3042</t>
    <phoneticPr fontId="3" type="noConversion"/>
  </si>
  <si>
    <t>OAKHURST</t>
    <phoneticPr fontId="3" type="noConversion"/>
  </si>
  <si>
    <t>4650</t>
    <phoneticPr fontId="3" type="noConversion"/>
  </si>
  <si>
    <t>ORANGE</t>
    <phoneticPr fontId="3" type="noConversion"/>
  </si>
  <si>
    <t>2800</t>
    <phoneticPr fontId="3" type="noConversion"/>
  </si>
  <si>
    <t>PORT KEMBLA NS</t>
    <phoneticPr fontId="3" type="noConversion"/>
  </si>
  <si>
    <t>PARRAMATTA NS</t>
    <phoneticPr fontId="3" type="noConversion"/>
  </si>
  <si>
    <t>2150</t>
    <phoneticPr fontId="3" type="noConversion"/>
  </si>
  <si>
    <t>PENRITH NS</t>
    <phoneticPr fontId="3" type="noConversion"/>
  </si>
  <si>
    <t>SCORESBY VI</t>
    <phoneticPr fontId="3" type="noConversion"/>
  </si>
  <si>
    <t>3179</t>
    <phoneticPr fontId="3" type="noConversion"/>
  </si>
  <si>
    <t>BORONIA</t>
    <phoneticPr fontId="3" type="noConversion"/>
  </si>
  <si>
    <t>3155</t>
    <phoneticPr fontId="3" type="noConversion"/>
  </si>
  <si>
    <t>VIRGINIA SA</t>
    <phoneticPr fontId="3" type="noConversion"/>
  </si>
  <si>
    <t>5120</t>
    <phoneticPr fontId="3" type="noConversion"/>
  </si>
  <si>
    <t>4076</t>
    <phoneticPr fontId="3" type="noConversion"/>
  </si>
  <si>
    <t>6106</t>
    <phoneticPr fontId="3" type="noConversion"/>
  </si>
  <si>
    <t>COLAC</t>
    <phoneticPr fontId="3" type="noConversion"/>
  </si>
  <si>
    <t>3250</t>
    <phoneticPr fontId="3" type="noConversion"/>
  </si>
  <si>
    <t>YAGOONA</t>
    <phoneticPr fontId="3" type="noConversion"/>
  </si>
  <si>
    <t>2199</t>
    <phoneticPr fontId="3" type="noConversion"/>
  </si>
  <si>
    <t>YARRA GLEN</t>
    <phoneticPr fontId="3" type="noConversion"/>
  </si>
  <si>
    <t>3775</t>
    <phoneticPr fontId="3" type="noConversion"/>
  </si>
  <si>
    <t>YARRAVILLE</t>
    <phoneticPr fontId="3" type="noConversion"/>
  </si>
  <si>
    <t>VIENTIANE</t>
    <phoneticPr fontId="3" type="noConversion"/>
  </si>
  <si>
    <t>3/5/6</t>
    <phoneticPr fontId="3" type="noConversion"/>
  </si>
  <si>
    <t>1/3/5/6</t>
    <phoneticPr fontId="3" type="noConversion"/>
  </si>
  <si>
    <t>CI2</t>
    <phoneticPr fontId="3" type="noConversion"/>
  </si>
  <si>
    <t>NSB</t>
    <phoneticPr fontId="3" type="noConversion"/>
  </si>
  <si>
    <t>1/2</t>
    <phoneticPr fontId="3" type="noConversion"/>
  </si>
  <si>
    <t>ANA/SWS</t>
    <phoneticPr fontId="3" type="noConversion"/>
  </si>
  <si>
    <t>INCL DTHC $200/300</t>
    <phoneticPr fontId="3" type="noConversion"/>
  </si>
  <si>
    <t>SML</t>
    <phoneticPr fontId="3" type="noConversion"/>
  </si>
  <si>
    <t>WIN</t>
    <phoneticPr fontId="3" type="noConversion"/>
  </si>
  <si>
    <t>20'&lt;17.6T 40'&lt;15.4T</t>
    <phoneticPr fontId="3" type="noConversion"/>
  </si>
  <si>
    <t>MZS</t>
    <phoneticPr fontId="3" type="noConversion"/>
  </si>
  <si>
    <t>PCS $400/TEU CC</t>
    <phoneticPr fontId="3" type="noConversion"/>
  </si>
  <si>
    <t>ITX</t>
    <phoneticPr fontId="3" type="noConversion"/>
  </si>
  <si>
    <t>4</t>
    <phoneticPr fontId="3" type="noConversion"/>
  </si>
  <si>
    <t>eva@hm-safety.com</t>
    <phoneticPr fontId="3" type="noConversion"/>
  </si>
  <si>
    <t>澳洲、南美、北美</t>
    <phoneticPr fontId="3" type="noConversion"/>
  </si>
  <si>
    <t>亚洲</t>
    <phoneticPr fontId="3" type="noConversion"/>
  </si>
  <si>
    <t>欧洲、非洲</t>
    <phoneticPr fontId="3" type="noConversion"/>
  </si>
  <si>
    <t>涉及航线</t>
    <phoneticPr fontId="3" type="noConversion"/>
  </si>
  <si>
    <t>市场部</t>
    <phoneticPr fontId="3" type="noConversion"/>
  </si>
  <si>
    <t>操作</t>
    <phoneticPr fontId="3" type="noConversion"/>
  </si>
  <si>
    <t>MELBOURNE/BRISBANE</t>
    <phoneticPr fontId="3" type="noConversion"/>
  </si>
  <si>
    <t>13402111889</t>
    <phoneticPr fontId="3" type="noConversion"/>
  </si>
  <si>
    <t>CIC $300/TEU ECR $150/TEU CC</t>
    <phoneticPr fontId="3" type="noConversion"/>
  </si>
  <si>
    <t>INCL DTHC/TAX</t>
    <phoneticPr fontId="3" type="noConversion"/>
  </si>
  <si>
    <t>EIS $30/TEU CC</t>
    <phoneticPr fontId="3" type="noConversion"/>
  </si>
  <si>
    <t>14+14</t>
    <phoneticPr fontId="3" type="noConversion"/>
  </si>
  <si>
    <t>TSTL</t>
    <phoneticPr fontId="3" type="noConversion"/>
  </si>
  <si>
    <t>RBC1</t>
    <phoneticPr fontId="3" type="noConversion"/>
  </si>
  <si>
    <t>BELL BAY</t>
    <phoneticPr fontId="3" type="noConversion"/>
  </si>
  <si>
    <t>AUCKLAND</t>
    <phoneticPr fontId="3" type="noConversion"/>
  </si>
  <si>
    <t>320</t>
    <phoneticPr fontId="3" type="noConversion"/>
  </si>
  <si>
    <t>490</t>
    <phoneticPr fontId="3" type="noConversion"/>
  </si>
  <si>
    <t>370</t>
    <phoneticPr fontId="3" type="noConversion"/>
  </si>
  <si>
    <t>CIT</t>
    <phoneticPr fontId="3" type="noConversion"/>
  </si>
  <si>
    <t>CTP</t>
    <phoneticPr fontId="3" type="noConversion"/>
  </si>
  <si>
    <t>ECRS $50/TEU CC</t>
    <phoneticPr fontId="3" type="noConversion"/>
  </si>
  <si>
    <t>HSD</t>
    <phoneticPr fontId="3" type="noConversion"/>
  </si>
  <si>
    <t>PCS $110/TEU CC</t>
    <phoneticPr fontId="3" type="noConversion"/>
  </si>
  <si>
    <t>15</t>
    <phoneticPr fontId="3" type="noConversion"/>
  </si>
  <si>
    <t>MD2</t>
    <phoneticPr fontId="3" type="noConversion"/>
  </si>
  <si>
    <t>CEM</t>
    <phoneticPr fontId="3" type="noConversion"/>
  </si>
  <si>
    <t>WAX</t>
    <phoneticPr fontId="3" type="noConversion"/>
  </si>
  <si>
    <t>CHAWA</t>
    <phoneticPr fontId="3" type="noConversion"/>
  </si>
  <si>
    <t>SAHNEWAL</t>
    <phoneticPr fontId="3" type="noConversion"/>
  </si>
  <si>
    <t>DANDARI KALAN</t>
    <phoneticPr fontId="3" type="noConversion"/>
  </si>
  <si>
    <t>SAHNEWAL</t>
    <phoneticPr fontId="3" type="noConversion"/>
  </si>
  <si>
    <t>PIYALA</t>
    <phoneticPr fontId="3" type="noConversion"/>
  </si>
  <si>
    <t>DANDARI KALAN/SAHNEWAL</t>
    <phoneticPr fontId="3" type="noConversion"/>
  </si>
  <si>
    <t>SALALAH</t>
    <phoneticPr fontId="3" type="noConversion"/>
  </si>
  <si>
    <t>HONIARA</t>
    <phoneticPr fontId="3" type="noConversion"/>
  </si>
  <si>
    <t>PA3</t>
    <phoneticPr fontId="3" type="noConversion"/>
  </si>
  <si>
    <t>1</t>
    <phoneticPr fontId="3" type="noConversion"/>
  </si>
  <si>
    <t>3</t>
    <phoneticPr fontId="3" type="noConversion"/>
  </si>
  <si>
    <t>27</t>
    <phoneticPr fontId="3" type="noConversion"/>
  </si>
  <si>
    <t>WGQ5</t>
    <phoneticPr fontId="3" type="noConversion"/>
  </si>
  <si>
    <t>FRS</t>
    <phoneticPr fontId="3" type="noConversion"/>
  </si>
  <si>
    <t>RES2</t>
    <phoneticPr fontId="3" type="noConversion"/>
  </si>
  <si>
    <t>22</t>
    <phoneticPr fontId="3" type="noConversion"/>
  </si>
  <si>
    <t>25</t>
    <phoneticPr fontId="3" type="noConversion"/>
  </si>
  <si>
    <t>26</t>
    <phoneticPr fontId="3" type="noConversion"/>
  </si>
  <si>
    <t>29</t>
    <phoneticPr fontId="3" type="noConversion"/>
  </si>
  <si>
    <t>20</t>
    <phoneticPr fontId="3" type="noConversion"/>
  </si>
  <si>
    <t>WGQ5/2</t>
    <phoneticPr fontId="3" type="noConversion"/>
  </si>
  <si>
    <t>WIN/CIE</t>
    <phoneticPr fontId="3" type="noConversion"/>
  </si>
  <si>
    <t>2/2/5</t>
    <phoneticPr fontId="3" type="noConversion"/>
  </si>
  <si>
    <t>WIN/CIE/CPX</t>
    <phoneticPr fontId="3" type="noConversion"/>
  </si>
  <si>
    <t>ME4</t>
    <phoneticPr fontId="3" type="noConversion"/>
  </si>
  <si>
    <t>23</t>
    <phoneticPr fontId="3" type="noConversion"/>
  </si>
  <si>
    <t>26</t>
    <phoneticPr fontId="3" type="noConversion"/>
  </si>
  <si>
    <t>29</t>
    <phoneticPr fontId="3" type="noConversion"/>
  </si>
  <si>
    <t>3</t>
    <phoneticPr fontId="3" type="noConversion"/>
  </si>
  <si>
    <t>28</t>
    <phoneticPr fontId="3" type="noConversion"/>
  </si>
  <si>
    <t>POS $300/600/675CC</t>
    <phoneticPr fontId="3" type="noConversion"/>
  </si>
  <si>
    <t>POS $300/600/675 CC</t>
    <phoneticPr fontId="3" type="noConversion"/>
  </si>
  <si>
    <t>AEM1</t>
  </si>
  <si>
    <t>FAL6</t>
    <phoneticPr fontId="3" type="noConversion"/>
  </si>
  <si>
    <t>其他</t>
    <phoneticPr fontId="3" type="noConversion"/>
  </si>
  <si>
    <t>MEX3</t>
    <phoneticPr fontId="3" type="noConversion"/>
  </si>
  <si>
    <t>MEX4</t>
  </si>
  <si>
    <t>MEX4</t>
    <phoneticPr fontId="3" type="noConversion"/>
  </si>
  <si>
    <t>MEX4</t>
    <phoneticPr fontId="3" type="noConversion"/>
  </si>
  <si>
    <t>MEX5</t>
    <phoneticPr fontId="3" type="noConversion"/>
  </si>
  <si>
    <t>CMS1</t>
    <phoneticPr fontId="3" type="noConversion"/>
  </si>
  <si>
    <t>33</t>
    <phoneticPr fontId="3" type="noConversion"/>
  </si>
  <si>
    <t>ZPN</t>
    <phoneticPr fontId="3" type="noConversion"/>
  </si>
  <si>
    <t>ZMP</t>
    <phoneticPr fontId="3" type="noConversion"/>
  </si>
  <si>
    <t>ZPN/ZMP</t>
    <phoneticPr fontId="3" type="noConversion"/>
  </si>
  <si>
    <t>CI3/CIX</t>
    <phoneticPr fontId="3" type="noConversion"/>
  </si>
  <si>
    <t>INCL PCS $150/TEU</t>
    <phoneticPr fontId="3" type="noConversion"/>
  </si>
  <si>
    <t>GA2</t>
    <phoneticPr fontId="3" type="noConversion"/>
  </si>
  <si>
    <t>GA2</t>
    <phoneticPr fontId="3" type="noConversion"/>
  </si>
  <si>
    <t>WA2</t>
    <phoneticPr fontId="3" type="noConversion"/>
  </si>
  <si>
    <t>WAX</t>
    <phoneticPr fontId="3" type="noConversion"/>
  </si>
  <si>
    <t>GAX</t>
    <phoneticPr fontId="3" type="noConversion"/>
  </si>
  <si>
    <t>RSX</t>
    <phoneticPr fontId="3" type="noConversion"/>
  </si>
  <si>
    <t>RS2</t>
    <phoneticPr fontId="3" type="noConversion"/>
  </si>
  <si>
    <t>FES</t>
    <phoneticPr fontId="3" type="noConversion"/>
  </si>
  <si>
    <t>EC1</t>
    <phoneticPr fontId="3" type="noConversion"/>
  </si>
  <si>
    <t>REX1</t>
    <phoneticPr fontId="3" type="noConversion"/>
  </si>
  <si>
    <t>REX2</t>
    <phoneticPr fontId="3" type="noConversion"/>
  </si>
  <si>
    <t>17</t>
    <phoneticPr fontId="3" type="noConversion"/>
  </si>
  <si>
    <t>20</t>
    <phoneticPr fontId="3" type="noConversion"/>
  </si>
  <si>
    <t>CIMEX3</t>
    <phoneticPr fontId="3" type="noConversion"/>
  </si>
  <si>
    <t>1</t>
    <phoneticPr fontId="3" type="noConversion"/>
  </si>
  <si>
    <t>6</t>
    <phoneticPr fontId="3" type="noConversion"/>
  </si>
  <si>
    <t>24</t>
    <phoneticPr fontId="3" type="noConversion"/>
  </si>
  <si>
    <t>CIMEX7</t>
    <phoneticPr fontId="3" type="noConversion"/>
  </si>
  <si>
    <t>CIMEX7</t>
    <phoneticPr fontId="3" type="noConversion"/>
  </si>
  <si>
    <t>SERA 1</t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</si>
  <si>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$400</t>
    </r>
  </si>
  <si>
    <t>AM2</t>
  </si>
  <si>
    <t>SERA 2</t>
  </si>
  <si>
    <t>NERA 3</t>
  </si>
  <si>
    <t>AARHUS</t>
  </si>
  <si>
    <t>EU2</t>
  </si>
  <si>
    <t>28/32/34</t>
  </si>
  <si>
    <t>20</t>
    <phoneticPr fontId="3" type="noConversion"/>
  </si>
  <si>
    <t>1</t>
    <phoneticPr fontId="3" type="noConversion"/>
  </si>
  <si>
    <t>ISPS $12/BOX</t>
    <phoneticPr fontId="3" type="noConversion"/>
  </si>
  <si>
    <t>MD3</t>
    <phoneticPr fontId="3" type="noConversion"/>
  </si>
  <si>
    <t>7</t>
    <phoneticPr fontId="3" type="noConversion"/>
  </si>
  <si>
    <t>ME5</t>
    <phoneticPr fontId="3" type="noConversion"/>
  </si>
  <si>
    <t>ME2</t>
    <phoneticPr fontId="3" type="noConversion"/>
  </si>
  <si>
    <t>COSCO</t>
    <phoneticPr fontId="3" type="noConversion"/>
  </si>
  <si>
    <t>ME5</t>
    <phoneticPr fontId="3" type="noConversion"/>
  </si>
  <si>
    <t>ME2</t>
    <phoneticPr fontId="3" type="noConversion"/>
  </si>
  <si>
    <t>6</t>
    <phoneticPr fontId="3" type="noConversion"/>
  </si>
  <si>
    <t>5</t>
    <phoneticPr fontId="3" type="noConversion"/>
  </si>
  <si>
    <t>24</t>
    <phoneticPr fontId="3" type="noConversion"/>
  </si>
  <si>
    <t>FE2</t>
    <phoneticPr fontId="3" type="noConversion"/>
  </si>
  <si>
    <t>AGX</t>
    <phoneticPr fontId="3" type="noConversion"/>
  </si>
  <si>
    <t>22</t>
    <phoneticPr fontId="3" type="noConversion"/>
  </si>
  <si>
    <t>25</t>
    <phoneticPr fontId="3" type="noConversion"/>
  </si>
  <si>
    <t>MD2</t>
    <phoneticPr fontId="3" type="noConversion"/>
  </si>
  <si>
    <t>RS1</t>
    <phoneticPr fontId="3" type="noConversion"/>
  </si>
  <si>
    <t>CGX</t>
    <phoneticPr fontId="3" type="noConversion"/>
  </si>
  <si>
    <t>CGX</t>
    <phoneticPr fontId="3" type="noConversion"/>
  </si>
  <si>
    <t>4</t>
    <phoneticPr fontId="3" type="noConversion"/>
  </si>
  <si>
    <t>CMS</t>
    <phoneticPr fontId="3" type="noConversion"/>
  </si>
  <si>
    <t>AGX</t>
    <phoneticPr fontId="3" type="noConversion"/>
  </si>
  <si>
    <t>18</t>
    <phoneticPr fontId="3" type="noConversion"/>
  </si>
  <si>
    <t>19</t>
    <phoneticPr fontId="3" type="noConversion"/>
  </si>
  <si>
    <t>680</t>
    <phoneticPr fontId="3" type="noConversion"/>
  </si>
  <si>
    <t>1034</t>
    <phoneticPr fontId="3" type="noConversion"/>
  </si>
  <si>
    <t>1050</t>
    <phoneticPr fontId="3" type="noConversion"/>
  </si>
  <si>
    <t>7</t>
    <phoneticPr fontId="3" type="noConversion"/>
  </si>
  <si>
    <t>WEWAK</t>
    <phoneticPr fontId="3" type="noConversion"/>
  </si>
  <si>
    <t>BS9</t>
  </si>
  <si>
    <t>SK3</t>
  </si>
  <si>
    <t>PCI</t>
  </si>
  <si>
    <t>SK4</t>
  </si>
  <si>
    <t>CKR</t>
  </si>
  <si>
    <t>KNS4</t>
  </si>
  <si>
    <t>AK6</t>
  </si>
  <si>
    <t>AK22</t>
  </si>
  <si>
    <t>AK21</t>
  </si>
  <si>
    <t>STP</t>
  </si>
  <si>
    <t>KNS7</t>
  </si>
  <si>
    <t>CJK</t>
  </si>
  <si>
    <t>IQUMQ</t>
    <phoneticPr fontId="3" type="noConversion"/>
  </si>
  <si>
    <t>INCL CISD</t>
    <phoneticPr fontId="3" type="noConversion"/>
  </si>
  <si>
    <t>SW5</t>
    <phoneticPr fontId="3" type="noConversion"/>
  </si>
  <si>
    <t>4</t>
    <phoneticPr fontId="3" type="noConversion"/>
  </si>
  <si>
    <t>19</t>
    <phoneticPr fontId="3" type="noConversion"/>
  </si>
  <si>
    <t>22</t>
    <phoneticPr fontId="3" type="noConversion"/>
  </si>
  <si>
    <t>26</t>
    <phoneticPr fontId="3" type="noConversion"/>
  </si>
  <si>
    <t>28</t>
    <phoneticPr fontId="3" type="noConversion"/>
  </si>
  <si>
    <t>RSS</t>
    <phoneticPr fontId="3" type="noConversion"/>
  </si>
  <si>
    <t>3</t>
    <phoneticPr fontId="3" type="noConversion"/>
  </si>
  <si>
    <t>RS5</t>
    <phoneticPr fontId="3" type="noConversion"/>
  </si>
  <si>
    <t>28</t>
    <phoneticPr fontId="3" type="noConversion"/>
  </si>
  <si>
    <t>3</t>
    <phoneticPr fontId="3" type="noConversion"/>
  </si>
  <si>
    <t>FX6</t>
    <phoneticPr fontId="3" type="noConversion"/>
  </si>
  <si>
    <t>CVT/RBC2</t>
    <phoneticPr fontId="3" type="noConversion"/>
  </si>
  <si>
    <t>AAC</t>
    <phoneticPr fontId="3" type="noConversion"/>
  </si>
  <si>
    <t>19</t>
    <phoneticPr fontId="3" type="noConversion"/>
  </si>
  <si>
    <t>AAC2</t>
    <phoneticPr fontId="3" type="noConversion"/>
  </si>
  <si>
    <t>10</t>
    <phoneticPr fontId="3" type="noConversion"/>
  </si>
  <si>
    <t>CPNW</t>
    <phoneticPr fontId="3" type="noConversion"/>
  </si>
  <si>
    <t>MPNW</t>
    <phoneticPr fontId="3" type="noConversion"/>
  </si>
  <si>
    <t>EPNW</t>
    <phoneticPr fontId="3" type="noConversion"/>
  </si>
  <si>
    <t>AWE1</t>
    <phoneticPr fontId="3" type="noConversion"/>
  </si>
  <si>
    <t>34</t>
    <phoneticPr fontId="3" type="noConversion"/>
  </si>
  <si>
    <t>NEW ORLEANS LA</t>
    <phoneticPr fontId="3" type="noConversion"/>
  </si>
  <si>
    <t>NEW ORLEANS LA</t>
    <phoneticPr fontId="3" type="noConversion"/>
  </si>
  <si>
    <t>29</t>
    <phoneticPr fontId="3" type="noConversion"/>
  </si>
  <si>
    <t>GME2</t>
    <phoneticPr fontId="3" type="noConversion"/>
  </si>
  <si>
    <t>1/7</t>
    <phoneticPr fontId="3" type="noConversion"/>
  </si>
  <si>
    <t>AC2/AN2/AME</t>
    <phoneticPr fontId="3" type="noConversion"/>
  </si>
  <si>
    <t>21</t>
    <phoneticPr fontId="3" type="noConversion"/>
  </si>
  <si>
    <t>WAX</t>
    <phoneticPr fontId="3" type="noConversion"/>
  </si>
  <si>
    <t>RS2</t>
    <phoneticPr fontId="3" type="noConversion"/>
  </si>
  <si>
    <t>IA1</t>
    <phoneticPr fontId="3" type="noConversion"/>
  </si>
  <si>
    <t>690</t>
    <phoneticPr fontId="3" type="noConversion"/>
  </si>
  <si>
    <t>625</t>
    <phoneticPr fontId="3" type="noConversion"/>
  </si>
  <si>
    <t>980</t>
    <phoneticPr fontId="3" type="noConversion"/>
  </si>
  <si>
    <t>661</t>
    <phoneticPr fontId="3" type="noConversion"/>
  </si>
  <si>
    <t>992</t>
    <phoneticPr fontId="3" type="noConversion"/>
  </si>
  <si>
    <t>997</t>
    <phoneticPr fontId="3" type="noConversion"/>
  </si>
  <si>
    <t>1045</t>
    <phoneticPr fontId="3" type="noConversion"/>
  </si>
  <si>
    <t>685</t>
    <phoneticPr fontId="3" type="noConversion"/>
  </si>
  <si>
    <t>CM2</t>
    <phoneticPr fontId="3" type="noConversion"/>
  </si>
  <si>
    <t>22</t>
    <phoneticPr fontId="3" type="noConversion"/>
  </si>
  <si>
    <t>21</t>
    <phoneticPr fontId="3" type="noConversion"/>
  </si>
  <si>
    <t>RS2/CPX/ME5</t>
    <phoneticPr fontId="3" type="noConversion"/>
  </si>
  <si>
    <t>CS5</t>
    <phoneticPr fontId="3" type="noConversion"/>
  </si>
  <si>
    <t>693</t>
    <phoneticPr fontId="3" type="noConversion"/>
  </si>
  <si>
    <t>1038</t>
    <phoneticPr fontId="3" type="noConversion"/>
  </si>
  <si>
    <t>AS1/WAX</t>
    <phoneticPr fontId="3" type="noConversion"/>
  </si>
  <si>
    <t>邬文蓉</t>
    <phoneticPr fontId="3" type="noConversion"/>
  </si>
  <si>
    <t>SUVA</t>
    <phoneticPr fontId="3" type="noConversion"/>
  </si>
  <si>
    <t>1</t>
    <phoneticPr fontId="3" type="noConversion"/>
  </si>
  <si>
    <t>PS6</t>
    <phoneticPr fontId="3" type="noConversion"/>
  </si>
  <si>
    <t>2/6</t>
    <phoneticPr fontId="3" type="noConversion"/>
  </si>
  <si>
    <t>GTI/JNPT</t>
    <phoneticPr fontId="3" type="noConversion"/>
  </si>
  <si>
    <t>17/15</t>
    <phoneticPr fontId="3" type="noConversion"/>
  </si>
  <si>
    <t>WGQ5/1</t>
    <phoneticPr fontId="3" type="noConversion"/>
  </si>
  <si>
    <t>WIN/CIX</t>
    <phoneticPr fontId="3" type="noConversion"/>
  </si>
  <si>
    <t>WGQ5/1</t>
    <phoneticPr fontId="3" type="noConversion"/>
  </si>
  <si>
    <t>19/17</t>
    <phoneticPr fontId="3" type="noConversion"/>
  </si>
  <si>
    <t>CIMEX2CS</t>
    <phoneticPr fontId="3" type="noConversion"/>
  </si>
  <si>
    <t>CIMEX2CS/FAL6</t>
    <phoneticPr fontId="3" type="noConversion"/>
  </si>
  <si>
    <t>1/5/6</t>
    <phoneticPr fontId="3" type="noConversion"/>
  </si>
  <si>
    <t>CIX3/CPX/ME5</t>
    <phoneticPr fontId="3" type="noConversion"/>
  </si>
  <si>
    <t>CIX3/RS2/CPX/ME5</t>
    <phoneticPr fontId="3" type="noConversion"/>
  </si>
  <si>
    <t>SINOKOR</t>
    <phoneticPr fontId="3" type="noConversion"/>
  </si>
  <si>
    <t>KARACHI</t>
    <phoneticPr fontId="3" type="noConversion"/>
  </si>
  <si>
    <t>SAPT</t>
    <phoneticPr fontId="3" type="noConversion"/>
  </si>
  <si>
    <t>MD3</t>
    <phoneticPr fontId="3" type="noConversion"/>
  </si>
  <si>
    <t>COCHIN</t>
    <phoneticPr fontId="3" type="noConversion"/>
  </si>
  <si>
    <t>EID $80/TEU CC</t>
    <phoneticPr fontId="3" type="noConversion"/>
  </si>
  <si>
    <t>EID $30/TEU CC</t>
    <phoneticPr fontId="3" type="noConversion"/>
  </si>
  <si>
    <t>INCL DTHC $155/235</t>
    <phoneticPr fontId="3" type="noConversion"/>
  </si>
  <si>
    <t>EIN</t>
    <phoneticPr fontId="3" type="noConversion"/>
  </si>
  <si>
    <t>GIA LAM/MY DINH</t>
    <phoneticPr fontId="3" type="noConversion"/>
  </si>
  <si>
    <t>1070</t>
    <phoneticPr fontId="3" type="noConversion"/>
  </si>
  <si>
    <t>25</t>
    <phoneticPr fontId="3" type="noConversion"/>
  </si>
  <si>
    <t>32</t>
    <phoneticPr fontId="3" type="noConversion"/>
  </si>
  <si>
    <t>34</t>
    <phoneticPr fontId="3" type="noConversion"/>
  </si>
  <si>
    <t>44</t>
    <phoneticPr fontId="3" type="noConversion"/>
  </si>
  <si>
    <t>40</t>
    <phoneticPr fontId="3" type="noConversion"/>
  </si>
  <si>
    <t>36</t>
    <phoneticPr fontId="3" type="noConversion"/>
  </si>
  <si>
    <t>38</t>
    <phoneticPr fontId="3" type="noConversion"/>
  </si>
  <si>
    <t>EIB $15/TEU CIC $100/TEU CC</t>
    <phoneticPr fontId="3" type="noConversion"/>
  </si>
  <si>
    <t>7+14</t>
    <phoneticPr fontId="3" type="noConversion"/>
  </si>
  <si>
    <t>FAX/CIX</t>
    <phoneticPr fontId="3" type="noConversion"/>
  </si>
  <si>
    <t>MELBOURNE</t>
    <phoneticPr fontId="3" type="noConversion"/>
  </si>
  <si>
    <t>2</t>
    <phoneticPr fontId="3" type="noConversion"/>
  </si>
  <si>
    <t>CNZ $150/200</t>
    <phoneticPr fontId="3" type="noConversion"/>
  </si>
  <si>
    <t>AESS2/NERA 4</t>
    <phoneticPr fontId="3" type="noConversion"/>
  </si>
  <si>
    <t>22/18</t>
    <phoneticPr fontId="3" type="noConversion"/>
  </si>
  <si>
    <t>27/23</t>
    <phoneticPr fontId="3" type="noConversion"/>
  </si>
  <si>
    <t>SGSGP/MYTPP</t>
    <phoneticPr fontId="3" type="noConversion"/>
  </si>
  <si>
    <t>18</t>
    <phoneticPr fontId="3" type="noConversion"/>
  </si>
  <si>
    <t>CSE-W</t>
    <phoneticPr fontId="3" type="noConversion"/>
  </si>
  <si>
    <t>JVT</t>
    <phoneticPr fontId="3" type="noConversion"/>
  </si>
  <si>
    <t>INCL DTHC</t>
    <phoneticPr fontId="3" type="noConversion"/>
  </si>
  <si>
    <t>NMS</t>
    <phoneticPr fontId="3" type="noConversion"/>
  </si>
  <si>
    <t>2355822007</t>
    <phoneticPr fontId="3" type="noConversion"/>
  </si>
  <si>
    <t>INCOC</t>
    <phoneticPr fontId="3" type="noConversion"/>
  </si>
  <si>
    <t>DDF $15/BL CCL $10/15 EMI IDR420000/BOX PP</t>
    <phoneticPr fontId="3" type="noConversion"/>
  </si>
  <si>
    <t>NAE</t>
    <phoneticPr fontId="3" type="noConversion"/>
  </si>
  <si>
    <t>WIN1</t>
    <phoneticPr fontId="3" type="noConversion"/>
  </si>
  <si>
    <t>PKX</t>
    <phoneticPr fontId="3" type="noConversion"/>
  </si>
  <si>
    <t>1027</t>
    <phoneticPr fontId="3" type="noConversion"/>
  </si>
  <si>
    <t>PALU/PANTOLOAN</t>
    <phoneticPr fontId="3" type="noConversion"/>
  </si>
  <si>
    <t>IDMAK</t>
    <phoneticPr fontId="3" type="noConversion"/>
  </si>
  <si>
    <t>BANGALORE</t>
    <phoneticPr fontId="3" type="noConversion"/>
  </si>
  <si>
    <t>INDIA</t>
    <phoneticPr fontId="3" type="noConversion"/>
  </si>
  <si>
    <t>HYDERABAD/SANATHNAGAR</t>
    <phoneticPr fontId="3" type="noConversion"/>
  </si>
  <si>
    <t>INKRI</t>
    <phoneticPr fontId="3" type="noConversion"/>
  </si>
  <si>
    <t>20</t>
    <phoneticPr fontId="3" type="noConversion"/>
  </si>
  <si>
    <t>美加线</t>
    <phoneticPr fontId="58" type="noConversion"/>
  </si>
  <si>
    <t>TONGA</t>
    <phoneticPr fontId="3" type="noConversion"/>
  </si>
  <si>
    <t>EIS $100/200 CC</t>
    <phoneticPr fontId="3" type="noConversion"/>
  </si>
  <si>
    <t>INCL TRF $100/TEU</t>
    <phoneticPr fontId="3" type="noConversion"/>
  </si>
  <si>
    <t>EIS $115/TEU CC</t>
    <phoneticPr fontId="3" type="noConversion"/>
  </si>
  <si>
    <t>PCS $60/TEU CC</t>
    <phoneticPr fontId="3" type="noConversion"/>
  </si>
  <si>
    <t>INCL WSC $125/TEU</t>
    <phoneticPr fontId="3" type="noConversion"/>
  </si>
  <si>
    <t>CIS $50/TEU CC INCL WSC $125/TEU</t>
    <phoneticPr fontId="3" type="noConversion"/>
  </si>
  <si>
    <t>CIS $75/TEU CC</t>
    <phoneticPr fontId="3" type="noConversion"/>
  </si>
  <si>
    <t>EIS $75/TEU CC</t>
    <phoneticPr fontId="3" type="noConversion"/>
  </si>
  <si>
    <t xml:space="preserve">PCS $150/TEU CC </t>
    <phoneticPr fontId="3" type="noConversion"/>
  </si>
  <si>
    <t>13761611692</t>
    <phoneticPr fontId="3" type="noConversion"/>
  </si>
  <si>
    <t>CIC $75/TEU CC</t>
    <phoneticPr fontId="3" type="noConversion"/>
  </si>
  <si>
    <t>CII $100/TEU CC</t>
    <phoneticPr fontId="3" type="noConversion"/>
  </si>
  <si>
    <t>INCL CSG</t>
    <phoneticPr fontId="3" type="noConversion"/>
  </si>
  <si>
    <t>INCL DTHC EIS $100/TEU CC</t>
    <phoneticPr fontId="3" type="noConversion"/>
  </si>
  <si>
    <t>INCL DTHC PCS $120/TEU CC</t>
    <phoneticPr fontId="3" type="noConversion"/>
  </si>
  <si>
    <t>INCL DTHC/TAX IS $100/TEU CC</t>
    <phoneticPr fontId="3" type="noConversion"/>
  </si>
  <si>
    <t>IS $100/TEU CC</t>
    <phoneticPr fontId="3" type="noConversion"/>
  </si>
  <si>
    <t>ITSC $100/TEU CC</t>
    <phoneticPr fontId="3" type="noConversion"/>
  </si>
  <si>
    <t>TRI $100/TEU CC</t>
    <phoneticPr fontId="3" type="noConversion"/>
  </si>
  <si>
    <t>CIF $125/TEU CC</t>
    <phoneticPr fontId="3" type="noConversion"/>
  </si>
  <si>
    <t>PCS $120/TEU CC</t>
    <phoneticPr fontId="3" type="noConversion"/>
  </si>
  <si>
    <t>PCS $80/TEU CC</t>
    <phoneticPr fontId="3" type="noConversion"/>
  </si>
  <si>
    <t>ISPS $17/TEU</t>
    <phoneticPr fontId="3" type="noConversion"/>
  </si>
  <si>
    <t>WA2/WAX</t>
    <phoneticPr fontId="3" type="noConversion"/>
  </si>
  <si>
    <t>CIX/WA2/WAX</t>
    <phoneticPr fontId="3" type="noConversion"/>
  </si>
  <si>
    <t>NO OWS</t>
  </si>
  <si>
    <t>CIX/GAX/WAX</t>
    <phoneticPr fontId="3" type="noConversion"/>
  </si>
  <si>
    <t>29/28</t>
    <phoneticPr fontId="3" type="noConversion"/>
  </si>
  <si>
    <t>CA3</t>
    <phoneticPr fontId="3" type="noConversion"/>
  </si>
  <si>
    <t>LAHORE</t>
    <phoneticPr fontId="3" type="noConversion"/>
  </si>
  <si>
    <t>21/20</t>
    <phoneticPr fontId="3" type="noConversion"/>
  </si>
  <si>
    <t>CMS/RSS</t>
    <phoneticPr fontId="3" type="noConversion"/>
  </si>
  <si>
    <t>15/20</t>
    <phoneticPr fontId="3" type="noConversion"/>
  </si>
  <si>
    <t>20/25</t>
    <phoneticPr fontId="3" type="noConversion"/>
  </si>
  <si>
    <t>14/19</t>
    <phoneticPr fontId="3" type="noConversion"/>
  </si>
  <si>
    <t>18/23</t>
    <phoneticPr fontId="3" type="noConversion"/>
  </si>
  <si>
    <t>2</t>
    <phoneticPr fontId="3" type="noConversion"/>
  </si>
  <si>
    <t>30</t>
    <phoneticPr fontId="3" type="noConversion"/>
  </si>
  <si>
    <t>ASPA3/ASCA</t>
    <phoneticPr fontId="3" type="noConversion"/>
  </si>
  <si>
    <t>1/2/3/3</t>
    <phoneticPr fontId="3" type="noConversion"/>
  </si>
  <si>
    <t>17/26/25/13</t>
    <phoneticPr fontId="3" type="noConversion"/>
  </si>
  <si>
    <t>MEX5/WIN/PMX/AEU5</t>
    <phoneticPr fontId="3" type="noConversion"/>
  </si>
  <si>
    <t>2/3/4</t>
    <phoneticPr fontId="3" type="noConversion"/>
  </si>
  <si>
    <t>CMS/PMX</t>
    <phoneticPr fontId="3" type="noConversion"/>
  </si>
  <si>
    <t>5</t>
    <phoneticPr fontId="3" type="noConversion"/>
  </si>
  <si>
    <t>23</t>
    <phoneticPr fontId="3" type="noConversion"/>
  </si>
  <si>
    <t>CIMEX1</t>
    <phoneticPr fontId="3" type="noConversion"/>
  </si>
  <si>
    <t>EIS $50/TEU PCS $150/TEU CC</t>
    <phoneticPr fontId="3" type="noConversion"/>
  </si>
  <si>
    <t>SOUTH</t>
    <phoneticPr fontId="3" type="noConversion"/>
  </si>
  <si>
    <t>21</t>
    <phoneticPr fontId="3" type="noConversion"/>
  </si>
  <si>
    <t>ACE/WIN1</t>
    <phoneticPr fontId="3" type="noConversion"/>
  </si>
  <si>
    <t>PCS $150/TEU CC</t>
    <phoneticPr fontId="3" type="noConversion"/>
  </si>
  <si>
    <t>49</t>
    <phoneticPr fontId="3" type="noConversion"/>
  </si>
  <si>
    <t>ISPS $29/BOX</t>
    <phoneticPr fontId="3" type="noConversion"/>
  </si>
  <si>
    <t>2/7</t>
    <phoneticPr fontId="3" type="noConversion"/>
  </si>
  <si>
    <t>65</t>
    <phoneticPr fontId="3" type="noConversion"/>
  </si>
  <si>
    <t>51</t>
    <phoneticPr fontId="3" type="noConversion"/>
  </si>
  <si>
    <t>54</t>
    <phoneticPr fontId="3" type="noConversion"/>
  </si>
  <si>
    <t>LAOS</t>
    <phoneticPr fontId="3" type="noConversion"/>
  </si>
  <si>
    <t>CGX/PA3</t>
    <phoneticPr fontId="3" type="noConversion"/>
  </si>
  <si>
    <t>AWT/MIP</t>
    <phoneticPr fontId="3" type="noConversion"/>
  </si>
  <si>
    <t>7+7</t>
    <phoneticPr fontId="3" type="noConversion"/>
  </si>
  <si>
    <t>14</t>
    <phoneticPr fontId="3" type="noConversion"/>
  </si>
  <si>
    <t>EAX1</t>
    <phoneticPr fontId="3" type="noConversion"/>
  </si>
  <si>
    <t>10+10</t>
    <phoneticPr fontId="3" type="noConversion"/>
  </si>
  <si>
    <t>14+7,7+14</t>
    <phoneticPr fontId="3" type="noConversion"/>
  </si>
  <si>
    <t>10+14</t>
    <phoneticPr fontId="3" type="noConversion"/>
  </si>
  <si>
    <t>7+7,11+3,3+11</t>
    <phoneticPr fontId="3" type="noConversion"/>
  </si>
  <si>
    <t>3+3</t>
    <phoneticPr fontId="3" type="noConversion"/>
  </si>
  <si>
    <t>11+3,7+7</t>
    <phoneticPr fontId="3" type="noConversion"/>
  </si>
  <si>
    <t>12+5</t>
    <phoneticPr fontId="3" type="noConversion"/>
  </si>
  <si>
    <t>CIS $120/TEU CC</t>
    <phoneticPr fontId="3" type="noConversion"/>
  </si>
  <si>
    <t>CTI1</t>
    <phoneticPr fontId="3" type="noConversion"/>
  </si>
  <si>
    <t>1</t>
    <phoneticPr fontId="3" type="noConversion"/>
  </si>
  <si>
    <t>25</t>
    <phoneticPr fontId="3" type="noConversion"/>
  </si>
  <si>
    <t>MANILA</t>
    <phoneticPr fontId="3" type="noConversion"/>
  </si>
  <si>
    <t>IKI2</t>
    <phoneticPr fontId="3" type="noConversion"/>
  </si>
  <si>
    <t>CGS</t>
    <phoneticPr fontId="3" type="noConversion"/>
  </si>
  <si>
    <t>CIC $80/TEU CC</t>
    <phoneticPr fontId="3" type="noConversion"/>
  </si>
  <si>
    <t>op005@hm-safety.com</t>
    <phoneticPr fontId="3" type="noConversion"/>
  </si>
  <si>
    <t>东南亚、日韩台</t>
    <phoneticPr fontId="3" type="noConversion"/>
  </si>
  <si>
    <t>澳新其他、红海</t>
    <phoneticPr fontId="3" type="noConversion"/>
  </si>
  <si>
    <t>欧地、非洲、南美、北美、印巴</t>
    <phoneticPr fontId="3" type="noConversion"/>
  </si>
  <si>
    <t>董越婷</t>
    <phoneticPr fontId="3" type="noConversion"/>
  </si>
  <si>
    <t>13816389195</t>
    <phoneticPr fontId="3" type="noConversion"/>
  </si>
  <si>
    <t>2355967012</t>
    <phoneticPr fontId="3" type="noConversion"/>
  </si>
  <si>
    <t>60658332</t>
    <phoneticPr fontId="3" type="noConversion"/>
  </si>
  <si>
    <t>8332</t>
    <phoneticPr fontId="3" type="noConversion"/>
  </si>
  <si>
    <t>sales02@hm-safety.com</t>
    <phoneticPr fontId="3" type="noConversion"/>
  </si>
  <si>
    <t>cs07@hm-safety.com</t>
    <phoneticPr fontId="3" type="noConversion"/>
  </si>
  <si>
    <t>客服部</t>
    <phoneticPr fontId="3" type="noConversion"/>
  </si>
  <si>
    <t>cs06@hm-safety.com</t>
    <phoneticPr fontId="3" type="noConversion"/>
  </si>
  <si>
    <t>CNZ/CSW</t>
    <phoneticPr fontId="3" type="noConversion"/>
  </si>
  <si>
    <t>CIC $120/TEU CC</t>
    <phoneticPr fontId="3" type="noConversion"/>
  </si>
  <si>
    <t>3/6</t>
    <phoneticPr fontId="3" type="noConversion"/>
  </si>
  <si>
    <t>INKPM</t>
    <phoneticPr fontId="3" type="noConversion"/>
  </si>
  <si>
    <t>INKPM/MYPKL</t>
    <phoneticPr fontId="3" type="noConversion"/>
  </si>
  <si>
    <t>刘蓉</t>
    <phoneticPr fontId="3" type="noConversion"/>
  </si>
  <si>
    <t>单证</t>
    <phoneticPr fontId="3" type="noConversion"/>
  </si>
  <si>
    <t>doc02@hm-safety.com</t>
    <phoneticPr fontId="3" type="noConversion"/>
  </si>
  <si>
    <t>2355747551</t>
    <phoneticPr fontId="3" type="noConversion"/>
  </si>
  <si>
    <t>18321895302</t>
    <phoneticPr fontId="3" type="noConversion"/>
  </si>
  <si>
    <t>RES2/MEX</t>
    <phoneticPr fontId="3" type="noConversion"/>
  </si>
  <si>
    <t>ADELAIDE</t>
    <phoneticPr fontId="3" type="noConversion"/>
  </si>
  <si>
    <t>13764290003</t>
    <phoneticPr fontId="3" type="noConversion"/>
  </si>
  <si>
    <t>60658315</t>
    <phoneticPr fontId="3" type="noConversion"/>
  </si>
  <si>
    <t>15821560540</t>
    <phoneticPr fontId="3" type="noConversion"/>
  </si>
  <si>
    <t>31/32</t>
    <phoneticPr fontId="3" type="noConversion"/>
  </si>
  <si>
    <t>19/23</t>
    <phoneticPr fontId="3" type="noConversion"/>
  </si>
  <si>
    <t>RES2/MEX</t>
    <phoneticPr fontId="3" type="noConversion"/>
  </si>
  <si>
    <t>1/6/6</t>
    <phoneticPr fontId="3" type="noConversion"/>
  </si>
  <si>
    <t>SCF $10/17 CC</t>
    <phoneticPr fontId="3" type="noConversion"/>
  </si>
  <si>
    <t>5+14,14+5</t>
    <phoneticPr fontId="3" type="noConversion"/>
  </si>
  <si>
    <t>5+7</t>
    <phoneticPr fontId="3" type="noConversion"/>
  </si>
  <si>
    <t>7+7,14+7,5+14</t>
    <phoneticPr fontId="3" type="noConversion"/>
  </si>
  <si>
    <t>5+3</t>
    <phoneticPr fontId="3" type="noConversion"/>
  </si>
  <si>
    <t>26</t>
    <phoneticPr fontId="3" type="noConversion"/>
  </si>
  <si>
    <t>1/3/5</t>
    <phoneticPr fontId="3" type="noConversion"/>
  </si>
  <si>
    <t>WGQ4</t>
    <phoneticPr fontId="3" type="noConversion"/>
  </si>
  <si>
    <t>14</t>
    <phoneticPr fontId="3" type="noConversion"/>
  </si>
  <si>
    <t>SKBUS</t>
    <phoneticPr fontId="3" type="noConversion"/>
  </si>
  <si>
    <t>MCC</t>
    <phoneticPr fontId="3" type="noConversion"/>
  </si>
  <si>
    <t>KORSAKOV</t>
    <phoneticPr fontId="3" type="noConversion"/>
  </si>
  <si>
    <t>RUSSIA</t>
    <phoneticPr fontId="3" type="noConversion"/>
  </si>
  <si>
    <t>IA5N</t>
    <phoneticPr fontId="3" type="noConversion"/>
  </si>
  <si>
    <t>WGQ5</t>
    <phoneticPr fontId="3" type="noConversion"/>
  </si>
  <si>
    <t>9</t>
    <phoneticPr fontId="3" type="noConversion"/>
  </si>
  <si>
    <t>DIR</t>
    <phoneticPr fontId="3" type="noConversion"/>
  </si>
  <si>
    <t>7</t>
    <phoneticPr fontId="3" type="noConversion"/>
  </si>
  <si>
    <t>MCC</t>
    <phoneticPr fontId="3" type="noConversion"/>
  </si>
  <si>
    <t>DALZAVOD</t>
    <phoneticPr fontId="3" type="noConversion"/>
  </si>
  <si>
    <t>DTHC $250/300 CC</t>
    <phoneticPr fontId="3" type="noConversion"/>
  </si>
  <si>
    <t>FISH PORT</t>
    <phoneticPr fontId="3" type="noConversion"/>
  </si>
  <si>
    <t>VLADIVOSTOK</t>
    <phoneticPr fontId="3" type="noConversion"/>
  </si>
  <si>
    <t>KJCS/KCS/KMSK</t>
    <phoneticPr fontId="3" type="noConversion"/>
  </si>
  <si>
    <t>DTHC $150/200 CC</t>
    <phoneticPr fontId="3" type="noConversion"/>
  </si>
  <si>
    <t>WGQ</t>
    <phoneticPr fontId="3" type="noConversion"/>
  </si>
  <si>
    <t>SKBUS</t>
    <phoneticPr fontId="3" type="noConversion"/>
  </si>
  <si>
    <t>3/4/6</t>
    <phoneticPr fontId="3" type="noConversion"/>
  </si>
  <si>
    <t>KMTC</t>
    <phoneticPr fontId="3" type="noConversion"/>
  </si>
  <si>
    <t>PH4N</t>
    <phoneticPr fontId="3" type="noConversion"/>
  </si>
  <si>
    <t>5</t>
    <phoneticPr fontId="3" type="noConversion"/>
  </si>
  <si>
    <t>1</t>
    <phoneticPr fontId="3" type="noConversion"/>
  </si>
  <si>
    <t>14+14</t>
    <phoneticPr fontId="3" type="noConversion"/>
  </si>
  <si>
    <t>CRS</t>
    <phoneticPr fontId="3" type="noConversion"/>
  </si>
  <si>
    <t>WGQ1</t>
    <phoneticPr fontId="3" type="noConversion"/>
  </si>
  <si>
    <t>3</t>
    <phoneticPr fontId="3" type="noConversion"/>
  </si>
  <si>
    <t xml:space="preserve">COMMERCIAL PORT </t>
    <phoneticPr fontId="3" type="noConversion"/>
  </si>
  <si>
    <t>HMM</t>
    <phoneticPr fontId="3" type="noConversion"/>
  </si>
  <si>
    <t>ISPS $12/BOX</t>
    <phoneticPr fontId="3" type="noConversion"/>
  </si>
  <si>
    <t>CMA</t>
    <phoneticPr fontId="3" type="noConversion"/>
  </si>
  <si>
    <t>NO OWS</t>
    <phoneticPr fontId="3" type="noConversion"/>
  </si>
  <si>
    <t>ERX</t>
    <phoneticPr fontId="3" type="noConversion"/>
  </si>
  <si>
    <t>INCL BAF DTHC</t>
    <phoneticPr fontId="3" type="noConversion"/>
  </si>
  <si>
    <t>APL</t>
    <phoneticPr fontId="3" type="noConversion"/>
  </si>
  <si>
    <t>DTHC $250/320 CC</t>
    <phoneticPr fontId="3" type="noConversion"/>
  </si>
  <si>
    <t>CRN</t>
    <phoneticPr fontId="3" type="noConversion"/>
  </si>
  <si>
    <t>KHPR</t>
    <phoneticPr fontId="3" type="noConversion"/>
  </si>
  <si>
    <t>ALL IN</t>
    <phoneticPr fontId="3" type="noConversion"/>
  </si>
  <si>
    <t>4</t>
    <phoneticPr fontId="3" type="noConversion"/>
  </si>
  <si>
    <t>CPX</t>
    <phoneticPr fontId="3" type="noConversion"/>
  </si>
  <si>
    <t>15</t>
    <phoneticPr fontId="3" type="noConversion"/>
  </si>
  <si>
    <t>SGSGP</t>
    <phoneticPr fontId="3" type="noConversion"/>
  </si>
  <si>
    <t>YML</t>
    <phoneticPr fontId="3" type="noConversion"/>
  </si>
  <si>
    <t>SIHANOUKVILLE</t>
    <phoneticPr fontId="3" type="noConversion"/>
  </si>
  <si>
    <t>CAMBODIA</t>
    <phoneticPr fontId="3" type="noConversion"/>
  </si>
  <si>
    <t>CMS/RSS</t>
    <phoneticPr fontId="3" type="noConversion"/>
  </si>
  <si>
    <t>3/4</t>
    <phoneticPr fontId="3" type="noConversion"/>
  </si>
  <si>
    <t>PIL</t>
    <phoneticPr fontId="3" type="noConversion"/>
  </si>
  <si>
    <t>7+7</t>
    <phoneticPr fontId="3" type="noConversion"/>
  </si>
  <si>
    <t>EIS $280/TEU CAC $70/TEU CC</t>
    <phoneticPr fontId="3" type="noConversion"/>
  </si>
  <si>
    <t>INCL PCS</t>
    <phoneticPr fontId="3" type="noConversion"/>
  </si>
  <si>
    <t>WIN</t>
    <phoneticPr fontId="3" type="noConversion"/>
  </si>
  <si>
    <t>RBC</t>
    <phoneticPr fontId="3" type="noConversion"/>
  </si>
  <si>
    <t>JCV/CMS/JCV2</t>
    <phoneticPr fontId="3" type="noConversion"/>
  </si>
  <si>
    <t>1/2/3/5</t>
    <phoneticPr fontId="3" type="noConversion"/>
  </si>
  <si>
    <t>MSI/JCV/CMS/JCV2</t>
    <phoneticPr fontId="3" type="noConversion"/>
  </si>
  <si>
    <t>MSI/CMS/PMX</t>
    <phoneticPr fontId="3" type="noConversion"/>
  </si>
  <si>
    <t>CI2/CMS/PMX</t>
    <phoneticPr fontId="3" type="noConversion"/>
  </si>
  <si>
    <t>VANCOUVER BC</t>
    <phoneticPr fontId="3" type="noConversion"/>
  </si>
  <si>
    <t>BCC $10/BOX ISPS $15/BOX ACI $30</t>
    <phoneticPr fontId="3" type="noConversion"/>
  </si>
  <si>
    <t>7</t>
    <phoneticPr fontId="3" type="noConversion"/>
  </si>
  <si>
    <t>12</t>
    <phoneticPr fontId="3" type="noConversion"/>
  </si>
  <si>
    <t>13</t>
    <phoneticPr fontId="3" type="noConversion"/>
  </si>
  <si>
    <t>赛嘉（上海）国际货物运输代理有限公司</t>
    <phoneticPr fontId="3" type="noConversion"/>
  </si>
  <si>
    <t>2</t>
    <phoneticPr fontId="3" type="noConversion"/>
  </si>
  <si>
    <t>FAL7</t>
    <phoneticPr fontId="3" type="noConversion"/>
  </si>
  <si>
    <t>3/4/7</t>
    <phoneticPr fontId="3" type="noConversion"/>
  </si>
  <si>
    <t>GUATAMELA</t>
    <phoneticPr fontId="3" type="noConversion"/>
  </si>
  <si>
    <t>AESS2</t>
    <phoneticPr fontId="3" type="noConversion"/>
  </si>
  <si>
    <t>KIMBE</t>
    <phoneticPr fontId="3" type="noConversion"/>
  </si>
  <si>
    <t>23</t>
    <phoneticPr fontId="3" type="noConversion"/>
  </si>
  <si>
    <t>22</t>
    <phoneticPr fontId="3" type="noConversion"/>
  </si>
  <si>
    <t>24</t>
    <phoneticPr fontId="3" type="noConversion"/>
  </si>
  <si>
    <t>27</t>
    <phoneticPr fontId="3" type="noConversion"/>
  </si>
  <si>
    <t>30</t>
    <phoneticPr fontId="3" type="noConversion"/>
  </si>
  <si>
    <t>CIS $100/TEU ORC $70/100 CC</t>
    <phoneticPr fontId="3" type="noConversion"/>
  </si>
  <si>
    <t>5</t>
    <phoneticPr fontId="3" type="noConversion"/>
  </si>
  <si>
    <t>20'&lt;21.5T 40'&lt;20T</t>
    <phoneticPr fontId="3" type="noConversion"/>
  </si>
  <si>
    <t>AM2/CWL</t>
    <phoneticPr fontId="3" type="noConversion"/>
  </si>
  <si>
    <t>MXMAN</t>
    <phoneticPr fontId="3" type="noConversion"/>
  </si>
  <si>
    <t>20'&lt;24.5T 40'&lt;22.5T</t>
    <phoneticPr fontId="3" type="noConversion"/>
  </si>
  <si>
    <t>墨西哥内陆点</t>
    <phoneticPr fontId="3" type="noConversion"/>
  </si>
  <si>
    <t>WSA/WSA2</t>
    <phoneticPr fontId="3" type="noConversion"/>
  </si>
  <si>
    <t>ISPS $13/BOX AMS $35</t>
    <phoneticPr fontId="3" type="noConversion"/>
  </si>
  <si>
    <t>20'&lt;22.7T 40'&lt;20.4T</t>
    <phoneticPr fontId="3" type="noConversion"/>
  </si>
  <si>
    <t>20'&lt;23T 40'&lt;22.5T</t>
    <phoneticPr fontId="3" type="noConversion"/>
  </si>
  <si>
    <t>SA3</t>
    <phoneticPr fontId="3" type="noConversion"/>
  </si>
  <si>
    <t>ASE</t>
    <phoneticPr fontId="3" type="noConversion"/>
  </si>
  <si>
    <t>SEAS1</t>
    <phoneticPr fontId="3" type="noConversion"/>
  </si>
  <si>
    <t>NE2</t>
    <phoneticPr fontId="3" type="noConversion"/>
  </si>
  <si>
    <t>Ipanema</t>
    <phoneticPr fontId="3" type="noConversion"/>
  </si>
  <si>
    <t>UYMON</t>
    <phoneticPr fontId="3" type="noConversion"/>
  </si>
  <si>
    <t>0</t>
    <phoneticPr fontId="3" type="noConversion"/>
  </si>
  <si>
    <t>YZJ</t>
    <phoneticPr fontId="58" type="noConversion"/>
  </si>
  <si>
    <t>YES</t>
    <phoneticPr fontId="58" type="noConversion"/>
  </si>
  <si>
    <t>NO</t>
    <phoneticPr fontId="58" type="noConversion"/>
  </si>
  <si>
    <t>350</t>
    <phoneticPr fontId="3" type="noConversion"/>
  </si>
  <si>
    <t>WHL</t>
    <phoneticPr fontId="58" type="noConversion"/>
  </si>
  <si>
    <t>500</t>
    <phoneticPr fontId="3" type="noConversion"/>
  </si>
  <si>
    <t>665</t>
    <phoneticPr fontId="3" type="noConversion"/>
  </si>
  <si>
    <t>300</t>
    <phoneticPr fontId="3" type="noConversion"/>
  </si>
  <si>
    <t>200</t>
    <phoneticPr fontId="3" type="noConversion"/>
  </si>
  <si>
    <t>YES</t>
    <phoneticPr fontId="58" type="noConversion"/>
  </si>
  <si>
    <t>50</t>
    <phoneticPr fontId="3" type="noConversion"/>
  </si>
  <si>
    <t>韩国线</t>
    <phoneticPr fontId="3" type="noConversion"/>
  </si>
  <si>
    <t>250</t>
    <phoneticPr fontId="3" type="noConversion"/>
  </si>
  <si>
    <t>SML</t>
    <phoneticPr fontId="3" type="noConversion"/>
  </si>
  <si>
    <r>
      <rPr>
        <sz val="10"/>
        <color theme="1"/>
        <rFont val="宋体"/>
        <family val="3"/>
        <charset val="134"/>
      </rPr>
      <t>韩国线</t>
    </r>
    <phoneticPr fontId="58" type="noConversion"/>
  </si>
  <si>
    <t>SINOKOR</t>
    <phoneticPr fontId="58" type="noConversion"/>
  </si>
  <si>
    <t>190</t>
    <phoneticPr fontId="3" type="noConversion"/>
  </si>
  <si>
    <t>SAF</t>
    <phoneticPr fontId="58" type="noConversion"/>
  </si>
  <si>
    <t>10</t>
    <phoneticPr fontId="3" type="noConversion"/>
  </si>
  <si>
    <t>KMTC</t>
    <phoneticPr fontId="58" type="noConversion"/>
  </si>
  <si>
    <t>30</t>
    <phoneticPr fontId="3" type="noConversion"/>
  </si>
  <si>
    <t>150</t>
    <phoneticPr fontId="3" type="noConversion"/>
  </si>
  <si>
    <t>1001</t>
    <phoneticPr fontId="3" type="noConversion"/>
  </si>
  <si>
    <t>656</t>
    <phoneticPr fontId="3" type="noConversion"/>
  </si>
  <si>
    <t>KLINE</t>
    <phoneticPr fontId="58" type="noConversion"/>
  </si>
  <si>
    <t>1030</t>
    <phoneticPr fontId="3" type="noConversion"/>
  </si>
  <si>
    <t>IAL</t>
    <phoneticPr fontId="58" type="noConversion"/>
  </si>
  <si>
    <t>HDS</t>
    <phoneticPr fontId="58" type="noConversion"/>
  </si>
  <si>
    <t>HMM</t>
    <phoneticPr fontId="58" type="noConversion"/>
  </si>
  <si>
    <t>942</t>
    <phoneticPr fontId="3" type="noConversion"/>
  </si>
  <si>
    <t>686</t>
    <phoneticPr fontId="3" type="noConversion"/>
  </si>
  <si>
    <t>HPL</t>
    <phoneticPr fontId="58" type="noConversion"/>
  </si>
  <si>
    <t>HEUNG A</t>
    <phoneticPr fontId="58" type="noConversion"/>
  </si>
  <si>
    <t>40HC</t>
    <phoneticPr fontId="3" type="noConversion"/>
  </si>
  <si>
    <t>40GP</t>
    <phoneticPr fontId="3" type="noConversion"/>
  </si>
  <si>
    <t>20GP</t>
    <phoneticPr fontId="3" type="noConversion"/>
  </si>
  <si>
    <t>BL</t>
    <phoneticPr fontId="3" type="noConversion"/>
  </si>
  <si>
    <t>BOX</t>
    <phoneticPr fontId="3" type="noConversion"/>
  </si>
  <si>
    <r>
      <t>TOTAL(</t>
    </r>
    <r>
      <rPr>
        <sz val="10"/>
        <color theme="1"/>
        <rFont val="宋体"/>
        <family val="3"/>
        <charset val="134"/>
      </rPr>
      <t>不含电放费）</t>
    </r>
    <phoneticPr fontId="3" type="noConversion"/>
  </si>
  <si>
    <r>
      <rPr>
        <sz val="10"/>
        <color theme="1"/>
        <rFont val="宋体"/>
        <family val="3"/>
        <charset val="134"/>
      </rPr>
      <t>操作费</t>
    </r>
    <phoneticPr fontId="3" type="noConversion"/>
  </si>
  <si>
    <t>SWB</t>
    <phoneticPr fontId="3" type="noConversion"/>
  </si>
  <si>
    <t>船后电放</t>
    <phoneticPr fontId="3" type="noConversion"/>
  </si>
  <si>
    <t>船前电放</t>
    <phoneticPr fontId="3" type="noConversion"/>
  </si>
  <si>
    <r>
      <rPr>
        <sz val="10"/>
        <color theme="1"/>
        <rFont val="宋体"/>
        <family val="3"/>
        <charset val="134"/>
      </rPr>
      <t>文件费</t>
    </r>
    <phoneticPr fontId="3" type="noConversion"/>
  </si>
  <si>
    <t>封子费</t>
    <phoneticPr fontId="3" type="noConversion"/>
  </si>
  <si>
    <r>
      <rPr>
        <sz val="10"/>
        <color theme="1"/>
        <rFont val="宋体"/>
        <family val="3"/>
        <charset val="134"/>
      </rPr>
      <t>安保费</t>
    </r>
    <phoneticPr fontId="3" type="noConversion"/>
  </si>
  <si>
    <r>
      <rPr>
        <sz val="10"/>
        <color theme="1"/>
        <rFont val="宋体"/>
        <family val="3"/>
        <charset val="134"/>
      </rPr>
      <t>放单费</t>
    </r>
    <phoneticPr fontId="3" type="noConversion"/>
  </si>
  <si>
    <t>THC</t>
    <phoneticPr fontId="3" type="noConversion"/>
  </si>
  <si>
    <t>370</t>
    <phoneticPr fontId="3" type="noConversion"/>
  </si>
  <si>
    <t>240</t>
    <phoneticPr fontId="3" type="noConversion"/>
  </si>
  <si>
    <t>YES</t>
    <phoneticPr fontId="58" type="noConversion"/>
  </si>
  <si>
    <t>663</t>
    <phoneticPr fontId="3" type="noConversion"/>
  </si>
  <si>
    <t>YML</t>
    <phoneticPr fontId="58" type="noConversion"/>
  </si>
  <si>
    <t>NO</t>
    <phoneticPr fontId="58" type="noConversion"/>
  </si>
  <si>
    <t>NO</t>
    <phoneticPr fontId="58" type="noConversion"/>
  </si>
  <si>
    <t>350</t>
    <phoneticPr fontId="3" type="noConversion"/>
  </si>
  <si>
    <t>1008</t>
    <phoneticPr fontId="3" type="noConversion"/>
  </si>
  <si>
    <t>672</t>
    <phoneticPr fontId="3" type="noConversion"/>
  </si>
  <si>
    <t>0</t>
    <phoneticPr fontId="3" type="noConversion"/>
  </si>
  <si>
    <t>SNL</t>
    <phoneticPr fontId="58" type="noConversion"/>
  </si>
  <si>
    <t>450</t>
    <phoneticPr fontId="3" type="noConversion"/>
  </si>
  <si>
    <t>25</t>
    <phoneticPr fontId="3" type="noConversion"/>
  </si>
  <si>
    <t>1031</t>
    <phoneticPr fontId="3" type="noConversion"/>
  </si>
  <si>
    <t>733</t>
    <phoneticPr fontId="3" type="noConversion"/>
  </si>
  <si>
    <t>390</t>
    <phoneticPr fontId="3" type="noConversion"/>
  </si>
  <si>
    <t>RCL</t>
    <phoneticPr fontId="58" type="noConversion"/>
  </si>
  <si>
    <t>400</t>
    <phoneticPr fontId="3" type="noConversion"/>
  </si>
  <si>
    <t>1128</t>
    <phoneticPr fontId="3" type="noConversion"/>
  </si>
  <si>
    <t>715</t>
    <phoneticPr fontId="3" type="noConversion"/>
  </si>
  <si>
    <t>PIL</t>
    <phoneticPr fontId="58" type="noConversion"/>
  </si>
  <si>
    <t>OOCL</t>
    <phoneticPr fontId="58" type="noConversion"/>
  </si>
  <si>
    <t>1157</t>
    <phoneticPr fontId="3" type="noConversion"/>
  </si>
  <si>
    <t>771</t>
    <phoneticPr fontId="3" type="noConversion"/>
  </si>
  <si>
    <t>679</t>
    <phoneticPr fontId="3" type="noConversion"/>
  </si>
  <si>
    <t>NYK</t>
    <phoneticPr fontId="58" type="noConversion"/>
  </si>
  <si>
    <t>929</t>
    <phoneticPr fontId="3" type="noConversion"/>
  </si>
  <si>
    <t>653</t>
    <phoneticPr fontId="3" type="noConversion"/>
  </si>
  <si>
    <t>290</t>
    <phoneticPr fontId="3" type="noConversion"/>
  </si>
  <si>
    <t>MOL</t>
    <phoneticPr fontId="58" type="noConversion"/>
  </si>
  <si>
    <t>MCC</t>
    <phoneticPr fontId="58" type="noConversion"/>
  </si>
  <si>
    <t>1100</t>
    <phoneticPr fontId="3" type="noConversion"/>
  </si>
  <si>
    <t>825</t>
    <phoneticPr fontId="3" type="noConversion"/>
  </si>
  <si>
    <t>KYOWA</t>
    <phoneticPr fontId="3" type="noConversion"/>
  </si>
  <si>
    <t>100</t>
    <phoneticPr fontId="3" type="noConversion"/>
  </si>
  <si>
    <r>
      <rPr>
        <sz val="10"/>
        <color theme="1"/>
        <rFont val="宋体"/>
        <family val="3"/>
        <charset val="134"/>
      </rPr>
      <t>日本线</t>
    </r>
    <phoneticPr fontId="58" type="noConversion"/>
  </si>
  <si>
    <t>650</t>
    <phoneticPr fontId="3" type="noConversion"/>
  </si>
  <si>
    <t>1055</t>
    <phoneticPr fontId="3" type="noConversion"/>
  </si>
  <si>
    <t>HASCO</t>
    <phoneticPr fontId="58" type="noConversion"/>
  </si>
  <si>
    <t>1106</t>
    <phoneticPr fontId="3" type="noConversion"/>
  </si>
  <si>
    <t>750</t>
    <phoneticPr fontId="3" type="noConversion"/>
  </si>
  <si>
    <t>HSD</t>
    <phoneticPr fontId="58" type="noConversion"/>
  </si>
  <si>
    <t>380</t>
    <phoneticPr fontId="3" type="noConversion"/>
  </si>
  <si>
    <t>260</t>
    <phoneticPr fontId="3" type="noConversion"/>
  </si>
  <si>
    <t>EAS</t>
    <phoneticPr fontId="3" type="noConversion"/>
  </si>
  <si>
    <t>1006</t>
    <phoneticPr fontId="3" type="noConversion"/>
  </si>
  <si>
    <t>689</t>
    <phoneticPr fontId="3" type="noConversion"/>
  </si>
  <si>
    <t>60</t>
    <phoneticPr fontId="3" type="noConversion"/>
  </si>
  <si>
    <t>台湾线</t>
    <phoneticPr fontId="58" type="noConversion"/>
  </si>
  <si>
    <t>COSCO</t>
    <phoneticPr fontId="58" type="noConversion"/>
  </si>
  <si>
    <t>日本线</t>
    <phoneticPr fontId="58" type="noConversion"/>
  </si>
  <si>
    <t>0</t>
    <phoneticPr fontId="3" type="noConversion"/>
  </si>
  <si>
    <t>韩国线</t>
    <phoneticPr fontId="58" type="noConversion"/>
  </si>
  <si>
    <t>CSCL</t>
    <phoneticPr fontId="58" type="noConversion"/>
  </si>
  <si>
    <t>1040</t>
    <phoneticPr fontId="3" type="noConversion"/>
  </si>
  <si>
    <t>695</t>
    <phoneticPr fontId="3" type="noConversion"/>
  </si>
  <si>
    <t>CNC</t>
    <phoneticPr fontId="58" type="noConversion"/>
  </si>
  <si>
    <t>450</t>
    <phoneticPr fontId="3" type="noConversion"/>
  </si>
  <si>
    <t>30</t>
    <phoneticPr fontId="3" type="noConversion"/>
  </si>
  <si>
    <t>CMA</t>
    <phoneticPr fontId="58" type="noConversion"/>
  </si>
  <si>
    <t>NO</t>
    <phoneticPr fontId="58" type="noConversion"/>
  </si>
  <si>
    <t>CK</t>
    <phoneticPr fontId="58" type="noConversion"/>
  </si>
  <si>
    <t>BURN ASIA</t>
    <phoneticPr fontId="58" type="noConversion"/>
  </si>
  <si>
    <t>BENLINE</t>
    <phoneticPr fontId="58" type="noConversion"/>
  </si>
  <si>
    <t>100</t>
    <phoneticPr fontId="3" type="noConversion"/>
  </si>
  <si>
    <t>ASL</t>
    <phoneticPr fontId="58" type="noConversion"/>
  </si>
  <si>
    <t>50</t>
    <phoneticPr fontId="3" type="noConversion"/>
  </si>
  <si>
    <t>410</t>
    <phoneticPr fontId="3" type="noConversion"/>
  </si>
  <si>
    <t>290</t>
    <phoneticPr fontId="3" type="noConversion"/>
  </si>
  <si>
    <t>APL</t>
    <phoneticPr fontId="58" type="noConversion"/>
  </si>
  <si>
    <t>ANL</t>
    <phoneticPr fontId="58" type="noConversion"/>
  </si>
  <si>
    <r>
      <rPr>
        <sz val="10"/>
        <color theme="1"/>
        <rFont val="宋体"/>
        <family val="3"/>
        <charset val="134"/>
      </rPr>
      <t>订舱费</t>
    </r>
    <phoneticPr fontId="3" type="noConversion"/>
  </si>
  <si>
    <r>
      <rPr>
        <sz val="10"/>
        <color theme="1"/>
        <rFont val="宋体"/>
        <family val="3"/>
        <charset val="134"/>
      </rPr>
      <t>航线</t>
    </r>
    <phoneticPr fontId="3" type="noConversion"/>
  </si>
  <si>
    <t>船公司</t>
    <phoneticPr fontId="3" type="noConversion"/>
  </si>
  <si>
    <t>4</t>
    <phoneticPr fontId="3" type="noConversion"/>
  </si>
  <si>
    <t>8</t>
    <phoneticPr fontId="3" type="noConversion"/>
  </si>
  <si>
    <t>KMH</t>
    <phoneticPr fontId="3" type="noConversion"/>
  </si>
  <si>
    <t>3</t>
    <phoneticPr fontId="3" type="noConversion"/>
  </si>
  <si>
    <t>EAS/RSS/MZS</t>
    <phoneticPr fontId="3" type="noConversion"/>
  </si>
  <si>
    <t>1/3/4/7</t>
    <phoneticPr fontId="3" type="noConversion"/>
  </si>
  <si>
    <t>RS3/EAS/RSS/MZS</t>
    <phoneticPr fontId="3" type="noConversion"/>
  </si>
  <si>
    <t>NHM/ANX/KMH</t>
    <phoneticPr fontId="3" type="noConversion"/>
  </si>
  <si>
    <t>14+14</t>
    <phoneticPr fontId="3" type="noConversion"/>
  </si>
  <si>
    <r>
      <rPr>
        <sz val="8"/>
        <rFont val="宋体"/>
        <family val="3"/>
        <charset val="134"/>
      </rPr>
      <t>欧地线内陆点</t>
    </r>
    <phoneticPr fontId="3" type="noConversion"/>
  </si>
  <si>
    <t>SURCHARGES CASE BY CASE</t>
    <phoneticPr fontId="3" type="noConversion"/>
  </si>
  <si>
    <t>TOLUCA</t>
    <phoneticPr fontId="3" type="noConversion"/>
  </si>
  <si>
    <t>FSD $50/BOX ITD $40/BOX PP</t>
    <phoneticPr fontId="3" type="noConversion"/>
  </si>
  <si>
    <t>TEXCOCO</t>
    <phoneticPr fontId="3" type="noConversion"/>
  </si>
  <si>
    <t>MD3/AGX</t>
    <phoneticPr fontId="3" type="noConversion"/>
  </si>
  <si>
    <t>21/17</t>
    <phoneticPr fontId="3" type="noConversion"/>
  </si>
  <si>
    <t>22/24</t>
    <phoneticPr fontId="3" type="noConversion"/>
  </si>
  <si>
    <t>20</t>
    <phoneticPr fontId="3" type="noConversion"/>
  </si>
  <si>
    <t>EMI</t>
    <phoneticPr fontId="3" type="noConversion"/>
  </si>
  <si>
    <t>4</t>
    <phoneticPr fontId="3" type="noConversion"/>
  </si>
  <si>
    <t>25</t>
    <phoneticPr fontId="3" type="noConversion"/>
  </si>
  <si>
    <t>PCS $125/200 CC</t>
    <phoneticPr fontId="3" type="noConversion"/>
  </si>
  <si>
    <t>RFM</t>
    <phoneticPr fontId="3" type="noConversion"/>
  </si>
  <si>
    <t>SA2</t>
    <phoneticPr fontId="3" type="noConversion"/>
  </si>
  <si>
    <t>MSI/CMS/JCV2</t>
    <phoneticPr fontId="3" type="noConversion"/>
  </si>
  <si>
    <t>WGQ5</t>
    <phoneticPr fontId="3" type="noConversion"/>
  </si>
  <si>
    <t>CTV</t>
    <phoneticPr fontId="3" type="noConversion"/>
  </si>
  <si>
    <t>10</t>
    <phoneticPr fontId="3" type="noConversion"/>
  </si>
  <si>
    <t>4/5</t>
    <phoneticPr fontId="3" type="noConversion"/>
  </si>
  <si>
    <t>以下运价均为冷代干</t>
    <phoneticPr fontId="3" type="noConversion"/>
  </si>
  <si>
    <t>AIM</t>
    <phoneticPr fontId="3" type="noConversion"/>
  </si>
  <si>
    <t>WIN/AIM</t>
    <phoneticPr fontId="3" type="noConversion"/>
  </si>
  <si>
    <t>WGQ</t>
    <phoneticPr fontId="3" type="noConversion"/>
  </si>
  <si>
    <t>SML</t>
    <phoneticPr fontId="3" type="noConversion"/>
  </si>
  <si>
    <t>APG/WAX</t>
    <phoneticPr fontId="3" type="noConversion"/>
  </si>
  <si>
    <t>NSB</t>
    <phoneticPr fontId="3" type="noConversion"/>
  </si>
  <si>
    <t>WAX</t>
    <phoneticPr fontId="3" type="noConversion"/>
  </si>
  <si>
    <t>3/6</t>
    <phoneticPr fontId="3" type="noConversion"/>
  </si>
  <si>
    <t>RES2/WAX</t>
    <phoneticPr fontId="3" type="noConversion"/>
  </si>
  <si>
    <t>9</t>
    <phoneticPr fontId="3" type="noConversion"/>
  </si>
  <si>
    <t>11</t>
    <phoneticPr fontId="3" type="noConversion"/>
  </si>
  <si>
    <t>15/10/10</t>
    <phoneticPr fontId="3" type="noConversion"/>
  </si>
  <si>
    <t>CIX/CKI/CTI1</t>
    <phoneticPr fontId="3" type="noConversion"/>
  </si>
  <si>
    <t>18/13/13</t>
    <phoneticPr fontId="3" type="noConversion"/>
  </si>
  <si>
    <t>EMI</t>
    <phoneticPr fontId="3" type="noConversion"/>
  </si>
  <si>
    <t>TEHRAN</t>
    <phoneticPr fontId="3" type="noConversion"/>
  </si>
  <si>
    <t>28</t>
    <phoneticPr fontId="3" type="noConversion"/>
  </si>
  <si>
    <t>SIHANOUKVILLE</t>
    <phoneticPr fontId="3" type="noConversion"/>
  </si>
  <si>
    <t>2</t>
    <phoneticPr fontId="3" type="noConversion"/>
  </si>
  <si>
    <t>24</t>
    <phoneticPr fontId="3" type="noConversion"/>
  </si>
  <si>
    <t>7</t>
    <phoneticPr fontId="3" type="noConversion"/>
  </si>
  <si>
    <t>25</t>
    <phoneticPr fontId="3" type="noConversion"/>
  </si>
  <si>
    <t>3/7</t>
    <phoneticPr fontId="3" type="noConversion"/>
  </si>
  <si>
    <t>MYPKL/SGSGP</t>
    <phoneticPr fontId="3" type="noConversion"/>
  </si>
  <si>
    <t>AIM/FAL1</t>
    <phoneticPr fontId="3" type="noConversion"/>
  </si>
  <si>
    <t>INCL ECRS $100/TEU DTHC</t>
    <phoneticPr fontId="3" type="noConversion"/>
  </si>
  <si>
    <t>CI2/WIN</t>
    <phoneticPr fontId="3" type="noConversion"/>
  </si>
  <si>
    <t>INCL DTHC $142/195</t>
    <phoneticPr fontId="3" type="noConversion"/>
  </si>
  <si>
    <t>1</t>
    <phoneticPr fontId="3" type="noConversion"/>
  </si>
  <si>
    <t>21</t>
    <phoneticPr fontId="3" type="noConversion"/>
  </si>
  <si>
    <t>CMS/CGX</t>
    <phoneticPr fontId="3" type="noConversion"/>
  </si>
  <si>
    <t>南美西</t>
    <phoneticPr fontId="58" type="noConversion"/>
  </si>
  <si>
    <t>750</t>
    <phoneticPr fontId="58" type="noConversion"/>
  </si>
  <si>
    <t>1500</t>
    <phoneticPr fontId="58" type="noConversion"/>
  </si>
  <si>
    <t>EMI</t>
    <phoneticPr fontId="3" type="noConversion"/>
  </si>
  <si>
    <t>GWALIOR</t>
    <phoneticPr fontId="3" type="noConversion"/>
  </si>
  <si>
    <t>INDIA</t>
    <phoneticPr fontId="3" type="noConversion"/>
  </si>
  <si>
    <t>INDIA</t>
    <phoneticPr fontId="3" type="noConversion"/>
  </si>
  <si>
    <t>BAWAL</t>
    <phoneticPr fontId="3" type="noConversion"/>
  </si>
  <si>
    <t>JHATIPUR</t>
    <phoneticPr fontId="3" type="noConversion"/>
  </si>
  <si>
    <t>KASHIPUR</t>
    <phoneticPr fontId="3" type="noConversion"/>
  </si>
  <si>
    <t>TUMB</t>
    <phoneticPr fontId="3" type="noConversion"/>
  </si>
  <si>
    <t>20</t>
    <phoneticPr fontId="3" type="noConversion"/>
  </si>
  <si>
    <t>20'&lt;7.6T 40'&lt;14.5T</t>
    <phoneticPr fontId="3" type="noConversion"/>
  </si>
  <si>
    <t>INCOC</t>
    <phoneticPr fontId="3" type="noConversion"/>
  </si>
  <si>
    <t>ANKLESHWAR</t>
    <phoneticPr fontId="3" type="noConversion"/>
  </si>
  <si>
    <t>HARYANA/REWARI</t>
    <phoneticPr fontId="3" type="noConversion"/>
  </si>
  <si>
    <t>21</t>
    <phoneticPr fontId="3" type="noConversion"/>
  </si>
  <si>
    <t>27</t>
    <phoneticPr fontId="3" type="noConversion"/>
  </si>
  <si>
    <t>EMI</t>
    <phoneticPr fontId="3" type="noConversion"/>
  </si>
  <si>
    <t>MIP</t>
    <phoneticPr fontId="3" type="noConversion"/>
  </si>
  <si>
    <t>20</t>
    <phoneticPr fontId="3" type="noConversion"/>
  </si>
  <si>
    <t>21</t>
    <phoneticPr fontId="3" type="noConversion"/>
  </si>
  <si>
    <t>SSL</t>
    <phoneticPr fontId="3" type="noConversion"/>
  </si>
  <si>
    <t>19/20</t>
    <phoneticPr fontId="3" type="noConversion"/>
  </si>
  <si>
    <t>KANPUR</t>
    <phoneticPr fontId="3" type="noConversion"/>
  </si>
  <si>
    <t>2</t>
    <phoneticPr fontId="3" type="noConversion"/>
  </si>
  <si>
    <t>25</t>
    <phoneticPr fontId="3" type="noConversion"/>
  </si>
  <si>
    <t>TARAWA</t>
    <phoneticPr fontId="3" type="noConversion"/>
  </si>
  <si>
    <t>SINOKOR</t>
    <phoneticPr fontId="3" type="noConversion"/>
  </si>
  <si>
    <t>HRRIJ</t>
    <phoneticPr fontId="3" type="noConversion"/>
  </si>
  <si>
    <t>VIX</t>
    <phoneticPr fontId="3" type="noConversion"/>
  </si>
  <si>
    <t>40</t>
    <phoneticPr fontId="3" type="noConversion"/>
  </si>
  <si>
    <t>PSD $7/BOX ISPS $19/BOX AMS $30</t>
    <phoneticPr fontId="3" type="noConversion"/>
  </si>
  <si>
    <t>PSD $3.25/BOX ISPS $19/BOX AMS $30</t>
    <phoneticPr fontId="3" type="noConversion"/>
  </si>
  <si>
    <t>CONCOR/KANECH/SAHNEWAL</t>
    <phoneticPr fontId="3" type="noConversion"/>
  </si>
  <si>
    <t>1/2</t>
    <phoneticPr fontId="3" type="noConversion"/>
  </si>
  <si>
    <t>20</t>
    <phoneticPr fontId="3" type="noConversion"/>
  </si>
  <si>
    <t>INCL DTHC PCS $80/TEU CC</t>
    <phoneticPr fontId="3" type="noConversion"/>
  </si>
  <si>
    <t>2</t>
    <phoneticPr fontId="3" type="noConversion"/>
  </si>
  <si>
    <t>22</t>
    <phoneticPr fontId="3" type="noConversion"/>
  </si>
  <si>
    <t>INCL PCS $300/BOX</t>
    <phoneticPr fontId="3" type="noConversion"/>
  </si>
  <si>
    <t>2</t>
    <phoneticPr fontId="3" type="noConversion"/>
  </si>
  <si>
    <t>4</t>
    <phoneticPr fontId="3" type="noConversion"/>
  </si>
  <si>
    <t>3/5/6/7</t>
    <phoneticPr fontId="3" type="noConversion"/>
  </si>
  <si>
    <t>VTX2/VTX1/VTX3/CKV2</t>
    <phoneticPr fontId="3" type="noConversion"/>
  </si>
  <si>
    <t>1/2/3/6</t>
    <phoneticPr fontId="3" type="noConversion"/>
  </si>
  <si>
    <t>RES1/WIN/PMX/MEX</t>
    <phoneticPr fontId="3" type="noConversion"/>
  </si>
  <si>
    <t>14+14</t>
    <phoneticPr fontId="3" type="noConversion"/>
  </si>
  <si>
    <t>NAM HAI</t>
    <phoneticPr fontId="3" type="noConversion"/>
  </si>
  <si>
    <t>ADABIYA</t>
    <phoneticPr fontId="3" type="noConversion"/>
  </si>
  <si>
    <t>OOCL</t>
    <phoneticPr fontId="3" type="noConversion"/>
  </si>
  <si>
    <t>YML</t>
    <phoneticPr fontId="3" type="noConversion"/>
  </si>
  <si>
    <t>5</t>
    <phoneticPr fontId="3" type="noConversion"/>
  </si>
  <si>
    <t>15</t>
    <phoneticPr fontId="3" type="noConversion"/>
  </si>
  <si>
    <t>WGQ4</t>
    <phoneticPr fontId="3" type="noConversion"/>
  </si>
  <si>
    <t>CPX</t>
    <phoneticPr fontId="3" type="noConversion"/>
  </si>
  <si>
    <t>2</t>
    <phoneticPr fontId="3" type="noConversion"/>
  </si>
  <si>
    <t>12</t>
    <phoneticPr fontId="3" type="noConversion"/>
  </si>
  <si>
    <t>YS</t>
    <phoneticPr fontId="3" type="noConversion"/>
  </si>
  <si>
    <t>MD3</t>
    <phoneticPr fontId="3" type="noConversion"/>
  </si>
  <si>
    <t>14</t>
    <phoneticPr fontId="3" type="noConversion"/>
  </si>
  <si>
    <t>17</t>
    <phoneticPr fontId="3" type="noConversion"/>
  </si>
  <si>
    <t>17</t>
    <phoneticPr fontId="3" type="noConversion"/>
  </si>
  <si>
    <t>WGQ1</t>
    <phoneticPr fontId="3" type="noConversion"/>
  </si>
  <si>
    <t>CGX</t>
    <phoneticPr fontId="3" type="noConversion"/>
  </si>
  <si>
    <t>SHUWAIKH</t>
    <phoneticPr fontId="3" type="noConversion"/>
  </si>
  <si>
    <t>SHUAIBA</t>
    <phoneticPr fontId="3" type="noConversion"/>
  </si>
  <si>
    <t>KRISHNAPATNAM</t>
    <phoneticPr fontId="3" type="noConversion"/>
  </si>
  <si>
    <t>TEBING TINGGI JAMBI</t>
    <phoneticPr fontId="3" type="noConversion"/>
  </si>
  <si>
    <t>JADE</t>
    <phoneticPr fontId="3" type="noConversion"/>
  </si>
  <si>
    <t>42</t>
    <phoneticPr fontId="3" type="noConversion"/>
  </si>
  <si>
    <t>46</t>
    <phoneticPr fontId="3" type="noConversion"/>
  </si>
  <si>
    <t>SFA</t>
    <phoneticPr fontId="3" type="noConversion"/>
  </si>
  <si>
    <t>8</t>
    <phoneticPr fontId="3" type="noConversion"/>
  </si>
  <si>
    <t>WGQ</t>
    <phoneticPr fontId="3" type="noConversion"/>
  </si>
  <si>
    <t>2/4/5</t>
    <phoneticPr fontId="3" type="noConversion"/>
  </si>
  <si>
    <t>7</t>
    <phoneticPr fontId="3" type="noConversion"/>
  </si>
  <si>
    <t>4/7</t>
    <phoneticPr fontId="3" type="noConversion"/>
  </si>
  <si>
    <t>6</t>
    <phoneticPr fontId="3" type="noConversion"/>
  </si>
  <si>
    <t>21</t>
    <phoneticPr fontId="3" type="noConversion"/>
  </si>
  <si>
    <t>4</t>
    <phoneticPr fontId="3" type="noConversion"/>
  </si>
  <si>
    <t>IA1N</t>
    <phoneticPr fontId="3" type="noConversion"/>
  </si>
  <si>
    <t>APG/CEM</t>
    <phoneticPr fontId="3" type="noConversion"/>
  </si>
  <si>
    <t>EMC</t>
    <phoneticPr fontId="3" type="noConversion"/>
  </si>
  <si>
    <t>APG</t>
    <phoneticPr fontId="3" type="noConversion"/>
  </si>
  <si>
    <t>SOKHNA</t>
    <phoneticPr fontId="3" type="noConversion"/>
  </si>
  <si>
    <t>260</t>
    <phoneticPr fontId="3" type="noConversion"/>
  </si>
  <si>
    <t>420</t>
    <phoneticPr fontId="3" type="noConversion"/>
  </si>
  <si>
    <t>290</t>
    <phoneticPr fontId="3" type="noConversion"/>
  </si>
  <si>
    <t>450</t>
    <phoneticPr fontId="3" type="noConversion"/>
  </si>
  <si>
    <t>250</t>
    <phoneticPr fontId="3" type="noConversion"/>
  </si>
  <si>
    <t>440</t>
    <phoneticPr fontId="3" type="noConversion"/>
  </si>
  <si>
    <t>KUANTAN</t>
    <phoneticPr fontId="3" type="noConversion"/>
  </si>
  <si>
    <t>DUNEDIN</t>
    <phoneticPr fontId="3" type="noConversion"/>
  </si>
  <si>
    <t>LYTTELTON</t>
    <phoneticPr fontId="3" type="noConversion"/>
  </si>
  <si>
    <t>CIMEX8</t>
    <phoneticPr fontId="3" type="noConversion"/>
  </si>
  <si>
    <t>DOHA/HAMAD</t>
    <phoneticPr fontId="3" type="noConversion"/>
  </si>
  <si>
    <t>UTC1 NPCT1</t>
    <phoneticPr fontId="3" type="noConversion"/>
  </si>
  <si>
    <t>PCS $300/TEU CC</t>
    <phoneticPr fontId="3" type="noConversion"/>
  </si>
  <si>
    <t>480</t>
    <phoneticPr fontId="3" type="noConversion"/>
  </si>
  <si>
    <t>410</t>
    <phoneticPr fontId="3" type="noConversion"/>
  </si>
  <si>
    <t>CAIRNS</t>
    <phoneticPr fontId="3" type="noConversion"/>
  </si>
  <si>
    <t>·</t>
    <phoneticPr fontId="3" type="noConversion"/>
  </si>
  <si>
    <t>5</t>
    <phoneticPr fontId="3" type="noConversion"/>
  </si>
  <si>
    <t>27</t>
    <phoneticPr fontId="3" type="noConversion"/>
  </si>
  <si>
    <t>14</t>
    <phoneticPr fontId="3" type="noConversion"/>
  </si>
  <si>
    <t>FRLEH</t>
    <phoneticPr fontId="3" type="noConversion"/>
  </si>
  <si>
    <t>450</t>
    <phoneticPr fontId="3" type="noConversion"/>
  </si>
  <si>
    <r>
      <rPr>
        <sz val="10"/>
        <color theme="1"/>
        <rFont val="宋体"/>
        <family val="3"/>
        <charset val="134"/>
      </rPr>
      <t>欧地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西非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加勒比单票确认</t>
    </r>
    <phoneticPr fontId="3" type="noConversion"/>
  </si>
  <si>
    <t>BY RAIL+TRUCK</t>
    <phoneticPr fontId="3" type="noConversion"/>
  </si>
  <si>
    <t>ASL</t>
    <phoneticPr fontId="3" type="noConversion"/>
  </si>
  <si>
    <t>MARIANA</t>
    <phoneticPr fontId="58" type="noConversion"/>
  </si>
  <si>
    <t>SHARJAH</t>
    <phoneticPr fontId="3" type="noConversion"/>
  </si>
  <si>
    <t>EVD $150/TEU CC</t>
    <phoneticPr fontId="3" type="noConversion"/>
  </si>
  <si>
    <t>PHEX</t>
    <phoneticPr fontId="3" type="noConversion"/>
  </si>
  <si>
    <t>ISPS $13/BOX ENS $35</t>
    <phoneticPr fontId="3" type="noConversion"/>
  </si>
  <si>
    <t>DJS</t>
    <phoneticPr fontId="3" type="noConversion"/>
  </si>
  <si>
    <t>ENS $30</t>
    <phoneticPr fontId="3" type="noConversion"/>
  </si>
  <si>
    <t>ITGOA</t>
    <phoneticPr fontId="3" type="noConversion"/>
  </si>
  <si>
    <t>ISPS $15/BOX AMS $30</t>
    <phoneticPr fontId="3" type="noConversion"/>
  </si>
  <si>
    <t>ISPS $12/BOX AMS $30</t>
    <phoneticPr fontId="3" type="noConversion"/>
  </si>
  <si>
    <t>NAPIER</t>
    <phoneticPr fontId="3" type="noConversion"/>
  </si>
  <si>
    <t>NELSON</t>
    <phoneticPr fontId="3" type="noConversion"/>
  </si>
  <si>
    <t>NAMSUNG</t>
    <phoneticPr fontId="3" type="noConversion"/>
  </si>
  <si>
    <t>450</t>
    <phoneticPr fontId="3" type="noConversion"/>
  </si>
  <si>
    <t>30</t>
    <phoneticPr fontId="3" type="noConversion"/>
  </si>
  <si>
    <t>30</t>
    <phoneticPr fontId="3" type="noConversion"/>
  </si>
  <si>
    <t>100</t>
    <phoneticPr fontId="3" type="noConversion"/>
  </si>
  <si>
    <t>300</t>
    <phoneticPr fontId="3" type="noConversion"/>
  </si>
  <si>
    <t>TLALNEPANTLA</t>
    <phoneticPr fontId="3" type="noConversion"/>
  </si>
  <si>
    <t>2355747552</t>
    <phoneticPr fontId="3" type="noConversion"/>
  </si>
  <si>
    <t>NAUCALPAN</t>
    <phoneticPr fontId="3" type="noConversion"/>
  </si>
  <si>
    <t>奚翼龙</t>
    <phoneticPr fontId="3" type="noConversion"/>
  </si>
  <si>
    <t>VILLAWOOD-SYDNEY</t>
    <phoneticPr fontId="3" type="noConversion"/>
  </si>
  <si>
    <t>AEU5</t>
    <phoneticPr fontId="3" type="noConversion"/>
  </si>
  <si>
    <t>DEVONPORT</t>
    <phoneticPr fontId="3" type="noConversion"/>
  </si>
  <si>
    <t>MEX4</t>
    <phoneticPr fontId="3" type="noConversion"/>
  </si>
  <si>
    <t>5</t>
    <phoneticPr fontId="3" type="noConversion"/>
  </si>
  <si>
    <t>WAKEFIELD</t>
    <phoneticPr fontId="3" type="noConversion"/>
  </si>
  <si>
    <t>IRUGUR</t>
    <phoneticPr fontId="3" type="noConversion"/>
  </si>
  <si>
    <t>CANBERRA</t>
    <phoneticPr fontId="3" type="noConversion"/>
  </si>
  <si>
    <t>20'&lt;21T 40'&lt;21T</t>
    <phoneticPr fontId="3" type="noConversion"/>
  </si>
  <si>
    <t>58</t>
    <phoneticPr fontId="3" type="noConversion"/>
  </si>
  <si>
    <t>PACTB</t>
    <phoneticPr fontId="3" type="noConversion"/>
  </si>
  <si>
    <t>JCS</t>
    <phoneticPr fontId="3" type="noConversion"/>
  </si>
  <si>
    <t>ASCA</t>
    <phoneticPr fontId="3" type="noConversion"/>
  </si>
  <si>
    <t>JMKIN</t>
    <phoneticPr fontId="3" type="noConversion"/>
  </si>
  <si>
    <t>CAX1</t>
    <phoneticPr fontId="3" type="noConversion"/>
  </si>
  <si>
    <t>15</t>
    <phoneticPr fontId="3" type="noConversion"/>
  </si>
  <si>
    <t>16</t>
    <phoneticPr fontId="3" type="noConversion"/>
  </si>
  <si>
    <t>NMS</t>
    <phoneticPr fontId="3" type="noConversion"/>
  </si>
  <si>
    <t>CFD $200/TEU CC</t>
    <phoneticPr fontId="3" type="noConversion"/>
  </si>
  <si>
    <t>2355822009</t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</si>
  <si>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 xml:space="preserve">7 </t>
    </r>
    <r>
      <rPr>
        <sz val="8"/>
        <rFont val="宋体"/>
        <family val="3"/>
        <charset val="134"/>
      </rPr>
      <t>不能申请</t>
    </r>
    <phoneticPr fontId="3" type="noConversion"/>
  </si>
  <si>
    <t>HEUNG A</t>
    <phoneticPr fontId="3" type="noConversion"/>
  </si>
  <si>
    <t>何毅峰</t>
    <phoneticPr fontId="3" type="noConversion"/>
  </si>
  <si>
    <t>销售</t>
    <phoneticPr fontId="3" type="noConversion"/>
  </si>
  <si>
    <t>13482676317</t>
    <phoneticPr fontId="3" type="noConversion"/>
  </si>
  <si>
    <t>sales01@hm-safety.com</t>
    <phoneticPr fontId="3" type="noConversion"/>
  </si>
  <si>
    <t>2881827776</t>
    <phoneticPr fontId="3" type="noConversion"/>
  </si>
  <si>
    <t>7</t>
    <phoneticPr fontId="3" type="noConversion"/>
  </si>
  <si>
    <t>KTP</t>
    <phoneticPr fontId="3" type="noConversion"/>
  </si>
  <si>
    <t>4</t>
    <phoneticPr fontId="3" type="noConversion"/>
  </si>
  <si>
    <t>25</t>
    <phoneticPr fontId="3" type="noConversion"/>
  </si>
  <si>
    <t>28</t>
    <phoneticPr fontId="3" type="noConversion"/>
  </si>
  <si>
    <t>32</t>
    <phoneticPr fontId="3" type="noConversion"/>
  </si>
  <si>
    <t>DANANG</t>
    <phoneticPr fontId="3" type="noConversion"/>
  </si>
  <si>
    <t>4</t>
    <phoneticPr fontId="3" type="noConversion"/>
  </si>
  <si>
    <t>10</t>
    <phoneticPr fontId="3" type="noConversion"/>
  </si>
  <si>
    <t>CV1</t>
    <phoneticPr fontId="3" type="noConversion"/>
  </si>
  <si>
    <t>PORT SUDAN</t>
    <phoneticPr fontId="3" type="noConversion"/>
  </si>
  <si>
    <t>SHUAIBA</t>
    <phoneticPr fontId="3" type="noConversion"/>
  </si>
  <si>
    <t>1/4/6</t>
    <phoneticPr fontId="3" type="noConversion"/>
  </si>
  <si>
    <t>1</t>
    <phoneticPr fontId="3" type="noConversion"/>
  </si>
  <si>
    <t>8</t>
    <phoneticPr fontId="3" type="noConversion"/>
  </si>
  <si>
    <t>10</t>
    <phoneticPr fontId="3" type="noConversion"/>
  </si>
  <si>
    <t>CIT/CVI/PCI</t>
    <phoneticPr fontId="3" type="noConversion"/>
  </si>
  <si>
    <t>KANDLA</t>
    <phoneticPr fontId="3" type="noConversion"/>
  </si>
  <si>
    <t>EMC</t>
    <phoneticPr fontId="3" type="noConversion"/>
  </si>
  <si>
    <t>SHUAIBA</t>
    <phoneticPr fontId="3" type="noConversion"/>
  </si>
  <si>
    <t>EMC</t>
    <phoneticPr fontId="3" type="noConversion"/>
  </si>
  <si>
    <t>FME</t>
    <phoneticPr fontId="3" type="noConversion"/>
  </si>
  <si>
    <t>SHUAIBA</t>
    <phoneticPr fontId="3" type="noConversion"/>
  </si>
  <si>
    <t>ME4/RS2/CPX/ME5</t>
    <phoneticPr fontId="3" type="noConversion"/>
  </si>
  <si>
    <t>59</t>
    <phoneticPr fontId="3" type="noConversion"/>
  </si>
  <si>
    <t>MCC</t>
    <phoneticPr fontId="3" type="noConversion"/>
  </si>
  <si>
    <t>危险品</t>
    <phoneticPr fontId="3" type="noConversion"/>
  </si>
  <si>
    <t>拼箱询价、客户投诉</t>
    <phoneticPr fontId="3" type="noConversion"/>
  </si>
  <si>
    <t>中东线、指定货、赛蒂拼箱</t>
    <phoneticPr fontId="3" type="noConversion"/>
  </si>
  <si>
    <t>直客</t>
    <phoneticPr fontId="3" type="noConversion"/>
  </si>
  <si>
    <t>CHRISTCHURCH</t>
    <phoneticPr fontId="3" type="noConversion"/>
  </si>
  <si>
    <t>RUFEX1</t>
    <phoneticPr fontId="3" type="noConversion"/>
  </si>
  <si>
    <t>1</t>
    <phoneticPr fontId="3" type="noConversion"/>
  </si>
  <si>
    <t>12</t>
    <phoneticPr fontId="3" type="noConversion"/>
  </si>
  <si>
    <t>RUFEX2</t>
    <phoneticPr fontId="3" type="noConversion"/>
  </si>
  <si>
    <t>7</t>
    <phoneticPr fontId="3" type="noConversion"/>
  </si>
  <si>
    <t>CASE BY CASE</t>
    <phoneticPr fontId="3" type="noConversion"/>
  </si>
  <si>
    <t>NLROT</t>
    <phoneticPr fontId="3" type="noConversion"/>
  </si>
  <si>
    <t>2/3/5/6/7</t>
    <phoneticPr fontId="3" type="noConversion"/>
  </si>
  <si>
    <t>AM2</t>
    <phoneticPr fontId="3" type="noConversion"/>
  </si>
  <si>
    <t>ALL TRUCK</t>
    <phoneticPr fontId="3" type="noConversion"/>
  </si>
  <si>
    <t>MXLCS</t>
    <phoneticPr fontId="3" type="noConversion"/>
  </si>
  <si>
    <t>MEXICO</t>
    <phoneticPr fontId="3" type="noConversion"/>
  </si>
  <si>
    <t>ASPA2/3</t>
    <phoneticPr fontId="3" type="noConversion"/>
  </si>
  <si>
    <t>ISPS $12/BOX AMS $35</t>
    <phoneticPr fontId="3" type="noConversion"/>
  </si>
  <si>
    <t>ASPA1/3</t>
    <phoneticPr fontId="3" type="noConversion"/>
  </si>
  <si>
    <t>TULTEPEC</t>
    <phoneticPr fontId="3" type="noConversion"/>
  </si>
  <si>
    <t>2/5/6/7</t>
    <phoneticPr fontId="3" type="noConversion"/>
  </si>
  <si>
    <t>TOMATLAN</t>
    <phoneticPr fontId="3" type="noConversion"/>
  </si>
  <si>
    <t>TONALA</t>
    <phoneticPr fontId="3" type="noConversion"/>
  </si>
  <si>
    <t>5/6</t>
    <phoneticPr fontId="3" type="noConversion"/>
  </si>
  <si>
    <t>WS2</t>
    <phoneticPr fontId="3" type="noConversion"/>
  </si>
  <si>
    <t>2/2/3/5/7</t>
    <phoneticPr fontId="3" type="noConversion"/>
  </si>
  <si>
    <t>WSA2</t>
    <phoneticPr fontId="3" type="noConversion"/>
  </si>
  <si>
    <t>ALL RAIL</t>
    <phoneticPr fontId="3" type="noConversion"/>
  </si>
  <si>
    <t>MXESE</t>
    <phoneticPr fontId="3" type="noConversion"/>
  </si>
  <si>
    <t>20'&lt;22T 40'&lt;21T</t>
    <phoneticPr fontId="3" type="noConversion"/>
  </si>
  <si>
    <t>WSA2/WSA</t>
    <phoneticPr fontId="3" type="noConversion"/>
  </si>
  <si>
    <t>USMIA</t>
    <phoneticPr fontId="3" type="noConversion"/>
  </si>
  <si>
    <t>ARGENTINA</t>
    <phoneticPr fontId="3" type="noConversion"/>
  </si>
  <si>
    <t>ISPS $15/BOX</t>
    <phoneticPr fontId="3" type="noConversion"/>
  </si>
  <si>
    <t>DIR</t>
    <phoneticPr fontId="3" type="noConversion"/>
  </si>
  <si>
    <t>AC2</t>
    <phoneticPr fontId="3" type="noConversion"/>
  </si>
  <si>
    <t>PABAL</t>
    <phoneticPr fontId="3" type="noConversion"/>
  </si>
  <si>
    <t>COLOMBIA</t>
    <phoneticPr fontId="3" type="noConversion"/>
  </si>
  <si>
    <t>CALI</t>
    <phoneticPr fontId="3" type="noConversion"/>
  </si>
  <si>
    <t>BOGOTA</t>
    <phoneticPr fontId="3" type="noConversion"/>
  </si>
  <si>
    <t>AMS</t>
    <phoneticPr fontId="3" type="noConversion"/>
  </si>
  <si>
    <t>GUATEMALA CITY</t>
    <phoneticPr fontId="3" type="noConversion"/>
  </si>
  <si>
    <t>MONTEVIDEO</t>
    <phoneticPr fontId="3" type="noConversion"/>
  </si>
  <si>
    <t>URUGUAY</t>
    <phoneticPr fontId="3" type="noConversion"/>
  </si>
  <si>
    <t>AS2</t>
    <phoneticPr fontId="3" type="noConversion"/>
  </si>
  <si>
    <t>ESA2</t>
    <phoneticPr fontId="3" type="noConversion"/>
  </si>
  <si>
    <t>SEAS2</t>
    <phoneticPr fontId="3" type="noConversion"/>
  </si>
  <si>
    <t>SAF</t>
    <phoneticPr fontId="3" type="noConversion"/>
  </si>
  <si>
    <t>CSW</t>
    <phoneticPr fontId="3" type="noConversion"/>
  </si>
  <si>
    <t>PARAGUAY</t>
    <phoneticPr fontId="3" type="noConversion"/>
  </si>
  <si>
    <t>AS2/ASE</t>
    <phoneticPr fontId="3" type="noConversion"/>
  </si>
  <si>
    <t>ARENA</t>
    <phoneticPr fontId="3" type="noConversion"/>
  </si>
  <si>
    <t>PUERTO SEGURO</t>
    <phoneticPr fontId="3" type="noConversion"/>
  </si>
  <si>
    <t>55</t>
    <phoneticPr fontId="3" type="noConversion"/>
  </si>
  <si>
    <t>PEX2</t>
    <phoneticPr fontId="3" type="noConversion"/>
  </si>
  <si>
    <t>53</t>
    <phoneticPr fontId="3" type="noConversion"/>
  </si>
  <si>
    <t>MEX1</t>
    <phoneticPr fontId="3" type="noConversion"/>
  </si>
  <si>
    <t>COCTA</t>
    <phoneticPr fontId="3" type="noConversion"/>
  </si>
  <si>
    <t>AFR BAF YAS EBS GBF</t>
    <phoneticPr fontId="3" type="noConversion"/>
  </si>
  <si>
    <t>SIKOP</t>
    <phoneticPr fontId="3" type="noConversion"/>
  </si>
  <si>
    <t>GRPIR</t>
    <phoneticPr fontId="3" type="noConversion"/>
  </si>
  <si>
    <t>AEU2</t>
    <phoneticPr fontId="3" type="noConversion"/>
  </si>
  <si>
    <t>3</t>
    <phoneticPr fontId="3" type="noConversion"/>
  </si>
  <si>
    <t>HONGKONG</t>
    <phoneticPr fontId="3" type="noConversion"/>
  </si>
  <si>
    <t>4</t>
    <phoneticPr fontId="3" type="noConversion"/>
  </si>
  <si>
    <t>NO PCS</t>
    <phoneticPr fontId="3" type="noConversion"/>
  </si>
  <si>
    <t>2355821973</t>
    <phoneticPr fontId="3" type="noConversion"/>
  </si>
  <si>
    <t>LAUTOKA</t>
    <phoneticPr fontId="3" type="noConversion"/>
  </si>
  <si>
    <t>LEBANON</t>
  </si>
  <si>
    <t>18</t>
    <phoneticPr fontId="3" type="noConversion"/>
  </si>
  <si>
    <t>PORT SUDAN</t>
    <phoneticPr fontId="3" type="noConversion"/>
  </si>
  <si>
    <t>DJIBOUTI</t>
    <phoneticPr fontId="3" type="noConversion"/>
  </si>
  <si>
    <t>ESA2/ESA</t>
    <phoneticPr fontId="3" type="noConversion"/>
  </si>
  <si>
    <t>BRAZIL</t>
    <phoneticPr fontId="3" type="noConversion"/>
  </si>
  <si>
    <t>EMERALD</t>
    <phoneticPr fontId="3" type="noConversion"/>
  </si>
  <si>
    <t>FAL3/1</t>
    <phoneticPr fontId="3" type="noConversion"/>
  </si>
  <si>
    <t>AESS2/ESA</t>
    <phoneticPr fontId="3" type="noConversion"/>
  </si>
  <si>
    <t>BRSTS</t>
    <phoneticPr fontId="3" type="noConversion"/>
  </si>
  <si>
    <t>BRNVT</t>
    <phoneticPr fontId="3" type="noConversion"/>
  </si>
  <si>
    <t>MD3/2</t>
    <phoneticPr fontId="3" type="noConversion"/>
  </si>
  <si>
    <t>ASAS1</t>
    <phoneticPr fontId="3" type="noConversion"/>
  </si>
  <si>
    <t>WARDHA</t>
    <phoneticPr fontId="3" type="noConversion"/>
  </si>
  <si>
    <t>ZACATLAN</t>
    <phoneticPr fontId="3" type="noConversion"/>
  </si>
  <si>
    <t>ZACATECAS</t>
    <phoneticPr fontId="3" type="noConversion"/>
  </si>
  <si>
    <t>TUXTEPEC</t>
    <phoneticPr fontId="3" type="noConversion"/>
  </si>
  <si>
    <t>TUXCACUESCO</t>
    <phoneticPr fontId="3" type="noConversion"/>
  </si>
  <si>
    <t>TULTITLAN</t>
    <phoneticPr fontId="3" type="noConversion"/>
  </si>
  <si>
    <t>20'&lt;24T 40'&lt;24T</t>
    <phoneticPr fontId="3" type="noConversion"/>
  </si>
  <si>
    <t>TEGUCIGALPA</t>
    <phoneticPr fontId="3" type="noConversion"/>
  </si>
  <si>
    <t>HONDURAS</t>
    <phoneticPr fontId="3" type="noConversion"/>
  </si>
  <si>
    <t>CHOLOMA</t>
    <phoneticPr fontId="3" type="noConversion"/>
  </si>
  <si>
    <t>SAN PEDRO SULA</t>
    <phoneticPr fontId="3" type="noConversion"/>
  </si>
  <si>
    <t>SANTA ANA</t>
    <phoneticPr fontId="3" type="noConversion"/>
  </si>
  <si>
    <t>EL SALVADOR</t>
    <phoneticPr fontId="3" type="noConversion"/>
  </si>
  <si>
    <t>OLOCUILTA</t>
    <phoneticPr fontId="3" type="noConversion"/>
  </si>
  <si>
    <t>LA PAZ SV</t>
    <phoneticPr fontId="3" type="noConversion"/>
  </si>
  <si>
    <t>SAN SALVADOR</t>
    <phoneticPr fontId="3" type="noConversion"/>
  </si>
  <si>
    <t>13918276216</t>
    <phoneticPr fontId="3" type="noConversion"/>
  </si>
  <si>
    <t>BUENOS AIRES</t>
    <phoneticPr fontId="3" type="noConversion"/>
  </si>
  <si>
    <t>TORTOLA</t>
    <phoneticPr fontId="3" type="noConversion"/>
  </si>
  <si>
    <t>BRITISH VIRGIN ISLANDS</t>
    <phoneticPr fontId="3" type="noConversion"/>
  </si>
  <si>
    <t>DOCAU</t>
    <phoneticPr fontId="3" type="noConversion"/>
  </si>
  <si>
    <t>VIRGIN GORDA</t>
    <phoneticPr fontId="3" type="noConversion"/>
  </si>
  <si>
    <t>ST JOHN</t>
    <phoneticPr fontId="3" type="noConversion"/>
  </si>
  <si>
    <t xml:space="preserve"> US VIRGIN ISLANDS</t>
    <phoneticPr fontId="3" type="noConversion"/>
  </si>
  <si>
    <t>ST CROIX</t>
    <phoneticPr fontId="3" type="noConversion"/>
  </si>
  <si>
    <t>ST THOMAS</t>
    <phoneticPr fontId="3" type="noConversion"/>
  </si>
  <si>
    <t>CRUZ BAY</t>
    <phoneticPr fontId="3" type="noConversion"/>
  </si>
  <si>
    <t>CHARLOTTE AMALIE</t>
    <phoneticPr fontId="3" type="noConversion"/>
  </si>
  <si>
    <t>ISPS $15/BOX MAF $20/TEU</t>
    <phoneticPr fontId="3" type="noConversion"/>
  </si>
  <si>
    <t>ROSEAU</t>
    <phoneticPr fontId="3" type="noConversion"/>
  </si>
  <si>
    <t>DOMINICA</t>
    <phoneticPr fontId="3" type="noConversion"/>
  </si>
  <si>
    <t>GRAND TURK</t>
    <phoneticPr fontId="3" type="noConversion"/>
  </si>
  <si>
    <t>TURKS AND CAICOS ISLANDS</t>
    <phoneticPr fontId="3" type="noConversion"/>
  </si>
  <si>
    <t>PROVIDENCIALES</t>
    <phoneticPr fontId="3" type="noConversion"/>
  </si>
  <si>
    <t>PROVO</t>
    <phoneticPr fontId="3" type="noConversion"/>
  </si>
  <si>
    <t>SOUTH CAICOS</t>
    <phoneticPr fontId="3" type="noConversion"/>
  </si>
  <si>
    <t>NEVIS</t>
    <phoneticPr fontId="3" type="noConversion"/>
  </si>
  <si>
    <t>SAINT KITTS AND NEVIS</t>
    <phoneticPr fontId="3" type="noConversion"/>
  </si>
  <si>
    <t>CHARLESTOWN</t>
    <phoneticPr fontId="3" type="noConversion"/>
  </si>
  <si>
    <t>BASSETERRE</t>
    <phoneticPr fontId="3" type="noConversion"/>
  </si>
  <si>
    <t>ROAD BAY</t>
    <phoneticPr fontId="3" type="noConversion"/>
  </si>
  <si>
    <t>ANGUILIA</t>
    <phoneticPr fontId="3" type="noConversion"/>
  </si>
  <si>
    <t>THE VALLEY</t>
    <phoneticPr fontId="3" type="noConversion"/>
  </si>
  <si>
    <t>BLOWING POINT</t>
    <phoneticPr fontId="3" type="noConversion"/>
  </si>
  <si>
    <t>VIEUX FORT</t>
    <phoneticPr fontId="3" type="noConversion"/>
  </si>
  <si>
    <t>SAINT LUCIA</t>
    <phoneticPr fontId="3" type="noConversion"/>
  </si>
  <si>
    <t>CASTRIES</t>
    <phoneticPr fontId="3" type="noConversion"/>
  </si>
  <si>
    <t>TTLIS</t>
    <phoneticPr fontId="3" type="noConversion"/>
  </si>
  <si>
    <t>BELIZE CITY</t>
    <phoneticPr fontId="3" type="noConversion"/>
  </si>
  <si>
    <t>BELIZE</t>
    <phoneticPr fontId="3" type="noConversion"/>
  </si>
  <si>
    <t>MAF $20/TEU CC</t>
    <phoneticPr fontId="3" type="noConversion"/>
  </si>
  <si>
    <t>KINGSTOWN</t>
    <phoneticPr fontId="3" type="noConversion"/>
  </si>
  <si>
    <t>SAINT GEORGES</t>
    <phoneticPr fontId="3" type="noConversion"/>
  </si>
  <si>
    <t>GRENADA</t>
    <phoneticPr fontId="3" type="noConversion"/>
  </si>
  <si>
    <t>NASSAU</t>
    <phoneticPr fontId="3" type="noConversion"/>
  </si>
  <si>
    <t>BAHAMAS</t>
    <phoneticPr fontId="3" type="noConversion"/>
  </si>
  <si>
    <t>MARSH HARBOUR</t>
    <phoneticPr fontId="3" type="noConversion"/>
  </si>
  <si>
    <t>FREE PORT</t>
    <phoneticPr fontId="3" type="noConversion"/>
  </si>
  <si>
    <t>HAITI</t>
    <phoneticPr fontId="3" type="noConversion"/>
  </si>
  <si>
    <t>PORT AU PRINCE</t>
    <phoneticPr fontId="3" type="noConversion"/>
  </si>
  <si>
    <t>DTHC $210/BOX DOC $50/BL PP</t>
    <phoneticPr fontId="3" type="noConversion"/>
  </si>
  <si>
    <t>24/33</t>
    <phoneticPr fontId="3" type="noConversion"/>
  </si>
  <si>
    <t>PACOL/JMKIN</t>
    <phoneticPr fontId="3" type="noConversion"/>
  </si>
  <si>
    <t>PACOL</t>
    <phoneticPr fontId="3" type="noConversion"/>
  </si>
  <si>
    <t>GRAND CAYMAN</t>
    <phoneticPr fontId="3" type="noConversion"/>
  </si>
  <si>
    <t>CAYMAN BRAC</t>
    <phoneticPr fontId="3" type="noConversion"/>
  </si>
  <si>
    <t>GEORGE TOWN</t>
    <phoneticPr fontId="3" type="noConversion"/>
  </si>
  <si>
    <t>DEGRAD DES CANNES</t>
    <phoneticPr fontId="3" type="noConversion"/>
  </si>
  <si>
    <t>FRENCH GUYANA</t>
    <phoneticPr fontId="3" type="noConversion"/>
  </si>
  <si>
    <t>GEORGETOWN</t>
    <phoneticPr fontId="3" type="noConversion"/>
  </si>
  <si>
    <t>GUYANA</t>
    <phoneticPr fontId="3" type="noConversion"/>
  </si>
  <si>
    <t>BRIDGETOWN</t>
    <phoneticPr fontId="3" type="noConversion"/>
  </si>
  <si>
    <t>BARBADOS</t>
    <phoneticPr fontId="3" type="noConversion"/>
  </si>
  <si>
    <t>PARAMARIBO</t>
    <phoneticPr fontId="3" type="noConversion"/>
  </si>
  <si>
    <t>SURINAME</t>
    <phoneticPr fontId="3" type="noConversion"/>
  </si>
  <si>
    <t>GTSTC</t>
    <phoneticPr fontId="3" type="noConversion"/>
  </si>
  <si>
    <t>HNPCO</t>
    <phoneticPr fontId="3" type="noConversion"/>
  </si>
  <si>
    <t>ROATAN</t>
    <phoneticPr fontId="3" type="noConversion"/>
  </si>
  <si>
    <t>PUERTO CORTES</t>
    <phoneticPr fontId="3" type="noConversion"/>
  </si>
  <si>
    <t>PUERTO BARRIOS</t>
    <phoneticPr fontId="3" type="noConversion"/>
  </si>
  <si>
    <t>SANTO TOMAS DE CASTILLO</t>
    <phoneticPr fontId="3" type="noConversion"/>
  </si>
  <si>
    <t>SAN JUAN</t>
    <phoneticPr fontId="3" type="noConversion"/>
  </si>
  <si>
    <t>PUERTO RICO</t>
    <phoneticPr fontId="3" type="noConversion"/>
  </si>
  <si>
    <t>CAS $12/BOX DDC $100/BOX PP OR CC</t>
    <phoneticPr fontId="3" type="noConversion"/>
  </si>
  <si>
    <t>AMS $50</t>
    <phoneticPr fontId="3" type="noConversion"/>
  </si>
  <si>
    <t>LSS $35/39/44 AMS $30</t>
    <phoneticPr fontId="3" type="noConversion"/>
  </si>
  <si>
    <t>ISPS $15/BOX DPS $12/BOX AMS $32</t>
    <phoneticPr fontId="3" type="noConversion"/>
  </si>
  <si>
    <t>BARCADERA</t>
    <phoneticPr fontId="3" type="noConversion"/>
  </si>
  <si>
    <t>ARUBA</t>
    <phoneticPr fontId="3" type="noConversion"/>
  </si>
  <si>
    <t>ORANJESTAD</t>
    <phoneticPr fontId="3" type="noConversion"/>
  </si>
  <si>
    <t>ST BARTHS</t>
    <phoneticPr fontId="3" type="noConversion"/>
  </si>
  <si>
    <t>GUSTAVIA</t>
    <phoneticPr fontId="3" type="noConversion"/>
  </si>
  <si>
    <t>PHILIPSBURG</t>
    <phoneticPr fontId="3" type="noConversion"/>
  </si>
  <si>
    <t>ST MAARTEN</t>
    <phoneticPr fontId="3" type="noConversion"/>
  </si>
  <si>
    <t>KRALENDIJK</t>
    <phoneticPr fontId="3" type="noConversion"/>
  </si>
  <si>
    <t>NETHERLANDS ANTILLES</t>
    <phoneticPr fontId="3" type="noConversion"/>
  </si>
  <si>
    <t>WILLEMSTAD</t>
    <phoneticPr fontId="3" type="noConversion"/>
  </si>
  <si>
    <t>CURACAO</t>
    <phoneticPr fontId="3" type="noConversion"/>
  </si>
  <si>
    <t>DTHC $485/BOX CC</t>
    <phoneticPr fontId="3" type="noConversion"/>
  </si>
  <si>
    <t>INCL DTHC $485/BOX</t>
    <phoneticPr fontId="3" type="noConversion"/>
  </si>
  <si>
    <t>CRLIO</t>
    <phoneticPr fontId="3" type="noConversion"/>
  </si>
  <si>
    <t>21/25</t>
    <phoneticPr fontId="3" type="noConversion"/>
  </si>
  <si>
    <t>PACOL/PAMAN</t>
    <phoneticPr fontId="3" type="noConversion"/>
  </si>
  <si>
    <t>PUERTO LIMON</t>
    <phoneticPr fontId="3" type="noConversion"/>
  </si>
  <si>
    <t>MARACAIBO</t>
    <phoneticPr fontId="3" type="noConversion"/>
  </si>
  <si>
    <t>13020181767</t>
    <phoneticPr fontId="3" type="noConversion"/>
  </si>
  <si>
    <t>NOUMEA</t>
    <phoneticPr fontId="3" type="noConversion"/>
  </si>
  <si>
    <t>MEX3</t>
    <phoneticPr fontId="3" type="noConversion"/>
  </si>
  <si>
    <t>60658322</t>
    <phoneticPr fontId="3" type="noConversion"/>
  </si>
  <si>
    <t>8322</t>
    <phoneticPr fontId="3" type="noConversion"/>
  </si>
  <si>
    <t>cs002@safety-sh.com</t>
    <phoneticPr fontId="3" type="noConversion"/>
  </si>
  <si>
    <t>LOS MOCHIS</t>
    <phoneticPr fontId="3" type="noConversion"/>
  </si>
  <si>
    <t>LOS CABOS</t>
    <phoneticPr fontId="3" type="noConversion"/>
  </si>
  <si>
    <t>LERMA</t>
    <phoneticPr fontId="3" type="noConversion"/>
  </si>
  <si>
    <t>LEON</t>
    <phoneticPr fontId="3" type="noConversion"/>
  </si>
  <si>
    <t>LA PIEDAD</t>
    <phoneticPr fontId="3" type="noConversion"/>
  </si>
  <si>
    <t>LAGOS DE MORENO</t>
    <phoneticPr fontId="3" type="noConversion"/>
  </si>
  <si>
    <t>LA PAZ</t>
    <phoneticPr fontId="3" type="noConversion"/>
  </si>
  <si>
    <t>LA BARCA</t>
    <phoneticPr fontId="3" type="noConversion"/>
  </si>
  <si>
    <t>JEREZ</t>
    <phoneticPr fontId="3" type="noConversion"/>
  </si>
  <si>
    <t>IZTAPALAPA</t>
    <phoneticPr fontId="3" type="noConversion"/>
  </si>
  <si>
    <t>IZTACALCO</t>
    <phoneticPr fontId="3" type="noConversion"/>
  </si>
  <si>
    <t>60658320</t>
    <phoneticPr fontId="3" type="noConversion"/>
  </si>
  <si>
    <t>VENEZUELA</t>
    <phoneticPr fontId="3" type="noConversion"/>
  </si>
  <si>
    <t>INCL DTHC $300/BOX NO DOC</t>
    <phoneticPr fontId="3" type="noConversion"/>
  </si>
  <si>
    <t>DTHC $120/BOX PP</t>
    <phoneticPr fontId="3" type="noConversion"/>
  </si>
  <si>
    <t>INCL DTHC $125/BOX</t>
    <phoneticPr fontId="3" type="noConversion"/>
  </si>
  <si>
    <t>GUARANAO</t>
    <phoneticPr fontId="3" type="noConversion"/>
  </si>
  <si>
    <t>ISLA MAGARITA</t>
    <phoneticPr fontId="3" type="noConversion"/>
  </si>
  <si>
    <t>EL TABLAZO</t>
    <phoneticPr fontId="3" type="noConversion"/>
  </si>
  <si>
    <t>EL GUAMACHE</t>
    <phoneticPr fontId="3" type="noConversion"/>
  </si>
  <si>
    <t>GUANTA</t>
    <phoneticPr fontId="3" type="noConversion"/>
  </si>
  <si>
    <t>INCL DTHC $150/BOX</t>
    <phoneticPr fontId="3" type="noConversion"/>
  </si>
  <si>
    <t>LA GUAIRA</t>
    <phoneticPr fontId="3" type="noConversion"/>
  </si>
  <si>
    <t>INCL DTHC $175/BOX</t>
    <phoneticPr fontId="3" type="noConversion"/>
  </si>
  <si>
    <t>INCL DTHC $100/BOX</t>
    <phoneticPr fontId="3" type="noConversion"/>
  </si>
  <si>
    <t>DTHC $200/BOX PP</t>
    <phoneticPr fontId="3" type="noConversion"/>
  </si>
  <si>
    <t>INCL DTHC $200/BOX</t>
    <phoneticPr fontId="3" type="noConversion"/>
  </si>
  <si>
    <t>PUERTO CABELLO</t>
    <phoneticPr fontId="3" type="noConversion"/>
  </si>
  <si>
    <t>ST DOMINGO</t>
    <phoneticPr fontId="3" type="noConversion"/>
  </si>
  <si>
    <t>DOMINICAN</t>
    <phoneticPr fontId="3" type="noConversion"/>
  </si>
  <si>
    <t>ISPS $5/BOX</t>
    <phoneticPr fontId="3" type="noConversion"/>
  </si>
  <si>
    <t>ISPS $7/BOX</t>
    <phoneticPr fontId="3" type="noConversion"/>
  </si>
  <si>
    <t>PUERTO PLATA</t>
    <phoneticPr fontId="3" type="noConversion"/>
  </si>
  <si>
    <t>RIO HAINA</t>
    <phoneticPr fontId="3" type="noConversion"/>
  </si>
  <si>
    <t>CAUCEDO</t>
    <phoneticPr fontId="3" type="noConversion"/>
  </si>
  <si>
    <t>MEDELLIN</t>
    <phoneticPr fontId="3" type="noConversion"/>
  </si>
  <si>
    <t>SANTA MARTA</t>
    <phoneticPr fontId="3" type="noConversion"/>
  </si>
  <si>
    <t>22/26</t>
    <phoneticPr fontId="3" type="noConversion"/>
  </si>
  <si>
    <t>TURBO</t>
    <phoneticPr fontId="3" type="noConversion"/>
  </si>
  <si>
    <t>BARRANQUILLA</t>
    <phoneticPr fontId="3" type="noConversion"/>
  </si>
  <si>
    <t>CARTAGENA CO</t>
    <phoneticPr fontId="3" type="noConversion"/>
  </si>
  <si>
    <t>DAMMAM</t>
    <phoneticPr fontId="3" type="noConversion"/>
  </si>
  <si>
    <t>SAUDI ARABIA</t>
    <phoneticPr fontId="3" type="noConversion"/>
  </si>
  <si>
    <t>2853996219</t>
    <phoneticPr fontId="3" type="noConversion"/>
  </si>
  <si>
    <t>13818910823</t>
    <phoneticPr fontId="3" type="noConversion"/>
  </si>
  <si>
    <t>INCL DTHC</t>
    <phoneticPr fontId="3" type="noConversion"/>
  </si>
  <si>
    <t>ST JOHNS</t>
    <phoneticPr fontId="3" type="noConversion"/>
  </si>
  <si>
    <t>ANTIGUA AND BARBUDA</t>
    <phoneticPr fontId="3" type="noConversion"/>
  </si>
  <si>
    <t>POINTE A PITRE</t>
    <phoneticPr fontId="3" type="noConversion"/>
  </si>
  <si>
    <t>GUADELOUPE</t>
    <phoneticPr fontId="3" type="noConversion"/>
  </si>
  <si>
    <t>FORT DE FRANCE</t>
    <phoneticPr fontId="3" type="noConversion"/>
  </si>
  <si>
    <t>MARTINIQUE</t>
    <phoneticPr fontId="3" type="noConversion"/>
  </si>
  <si>
    <t>NUE</t>
    <phoneticPr fontId="3" type="noConversion"/>
  </si>
  <si>
    <t>HALDIA</t>
    <phoneticPr fontId="3" type="noConversion"/>
  </si>
  <si>
    <t>80197310</t>
    <phoneticPr fontId="3" type="noConversion"/>
  </si>
  <si>
    <t>7310</t>
    <phoneticPr fontId="3" type="noConversion"/>
  </si>
  <si>
    <t>80197316</t>
    <phoneticPr fontId="3" type="noConversion"/>
  </si>
  <si>
    <t>7316</t>
    <phoneticPr fontId="3" type="noConversion"/>
  </si>
  <si>
    <t>80197314</t>
    <phoneticPr fontId="3" type="noConversion"/>
  </si>
  <si>
    <t>7314</t>
    <phoneticPr fontId="3" type="noConversion"/>
  </si>
  <si>
    <t>80197312</t>
    <phoneticPr fontId="3" type="noConversion"/>
  </si>
  <si>
    <t>7312</t>
    <phoneticPr fontId="3" type="noConversion"/>
  </si>
  <si>
    <t>80197313</t>
    <phoneticPr fontId="3" type="noConversion"/>
  </si>
  <si>
    <t>7313</t>
    <phoneticPr fontId="3" type="noConversion"/>
  </si>
  <si>
    <t>张炜</t>
    <phoneticPr fontId="3" type="noConversion"/>
  </si>
  <si>
    <t>80197317</t>
    <phoneticPr fontId="3" type="noConversion"/>
  </si>
  <si>
    <t>7317</t>
    <phoneticPr fontId="3" type="noConversion"/>
  </si>
  <si>
    <t>60658374</t>
    <phoneticPr fontId="3" type="noConversion"/>
  </si>
  <si>
    <t>8374</t>
    <phoneticPr fontId="3" type="noConversion"/>
  </si>
  <si>
    <t>徐炎</t>
    <phoneticPr fontId="3" type="noConversion"/>
  </si>
  <si>
    <t>钱峰</t>
    <phoneticPr fontId="3" type="noConversion"/>
  </si>
  <si>
    <t>60658398</t>
    <phoneticPr fontId="3" type="noConversion"/>
  </si>
  <si>
    <t>60658356</t>
    <phoneticPr fontId="3" type="noConversion"/>
  </si>
  <si>
    <t>8398</t>
    <phoneticPr fontId="3" type="noConversion"/>
  </si>
  <si>
    <t>8356</t>
    <phoneticPr fontId="3" type="noConversion"/>
  </si>
  <si>
    <t>13301859585</t>
    <phoneticPr fontId="3" type="noConversion"/>
  </si>
  <si>
    <t>Kelvin@hm-safety.com</t>
    <phoneticPr fontId="3" type="noConversion"/>
  </si>
  <si>
    <t>13636600220</t>
    <phoneticPr fontId="3" type="noConversion"/>
  </si>
  <si>
    <t>3004335927</t>
    <phoneticPr fontId="3" type="noConversion"/>
  </si>
  <si>
    <t>13564699476</t>
    <phoneticPr fontId="3" type="noConversion"/>
  </si>
  <si>
    <t>3004331235</t>
    <phoneticPr fontId="3" type="noConversion"/>
  </si>
  <si>
    <t>销售部主管</t>
    <phoneticPr fontId="3" type="noConversion"/>
  </si>
  <si>
    <t>tony@hm-safety.com</t>
    <phoneticPr fontId="3" type="noConversion"/>
  </si>
  <si>
    <t>AWE1/CAX1</t>
    <phoneticPr fontId="3" type="noConversion"/>
  </si>
  <si>
    <t>3/4</t>
    <phoneticPr fontId="3" type="noConversion"/>
  </si>
  <si>
    <t>HDT/MCT</t>
    <phoneticPr fontId="3" type="noConversion"/>
  </si>
  <si>
    <t>12</t>
    <phoneticPr fontId="3" type="noConversion"/>
  </si>
  <si>
    <t>14</t>
    <phoneticPr fontId="3" type="noConversion"/>
  </si>
  <si>
    <t>17</t>
    <phoneticPr fontId="3" type="noConversion"/>
  </si>
  <si>
    <t>20</t>
    <phoneticPr fontId="3" type="noConversion"/>
  </si>
  <si>
    <t>CP2</t>
    <phoneticPr fontId="3" type="noConversion"/>
  </si>
  <si>
    <t>CTI</t>
    <phoneticPr fontId="3" type="noConversion"/>
  </si>
  <si>
    <t>2853996224</t>
    <phoneticPr fontId="3" type="noConversion"/>
  </si>
  <si>
    <t>公司地址：上海市虹口区中山北二路1800号9幢3楼（海鸥商务大厦）</t>
    <phoneticPr fontId="3" type="noConversion"/>
  </si>
  <si>
    <r>
      <rPr>
        <sz val="12"/>
        <color theme="1"/>
        <rFont val="宋体"/>
        <family val="3"/>
        <charset val="134"/>
      </rPr>
      <t>直线：</t>
    </r>
    <r>
      <rPr>
        <sz val="12"/>
        <color theme="1"/>
        <rFont val="Arial"/>
        <family val="2"/>
      </rPr>
      <t>021-60658311</t>
    </r>
    <phoneticPr fontId="3" type="noConversion"/>
  </si>
  <si>
    <t>ROSARITO</t>
    <phoneticPr fontId="3" type="noConversion"/>
  </si>
  <si>
    <t>RIO VERDE</t>
    <phoneticPr fontId="3" type="noConversion"/>
  </si>
  <si>
    <t>REYNOSA</t>
    <phoneticPr fontId="3" type="noConversion"/>
  </si>
  <si>
    <t>RAMOS ARIZPE</t>
    <phoneticPr fontId="3" type="noConversion"/>
  </si>
  <si>
    <t>QUERETARO</t>
    <phoneticPr fontId="3" type="noConversion"/>
  </si>
  <si>
    <t>PUERTO VALLARTA</t>
    <phoneticPr fontId="3" type="noConversion"/>
  </si>
  <si>
    <t>PUEBLA</t>
    <phoneticPr fontId="3" type="noConversion"/>
  </si>
  <si>
    <t>PENJAMO</t>
    <phoneticPr fontId="3" type="noConversion"/>
  </si>
  <si>
    <t>PACHUCA</t>
    <phoneticPr fontId="3" type="noConversion"/>
  </si>
  <si>
    <t>OTUMBA</t>
    <phoneticPr fontId="3" type="noConversion"/>
  </si>
  <si>
    <t>ORIZABA</t>
    <phoneticPr fontId="3" type="noConversion"/>
  </si>
  <si>
    <t>OJUELOS</t>
    <phoneticPr fontId="3" type="noConversion"/>
  </si>
  <si>
    <t>OCOTLAN</t>
    <phoneticPr fontId="3" type="noConversion"/>
  </si>
  <si>
    <t>OAXACA</t>
    <phoneticPr fontId="3" type="noConversion"/>
  </si>
  <si>
    <t>NUEVO LAREDO</t>
    <phoneticPr fontId="3" type="noConversion"/>
  </si>
  <si>
    <t>NOGALES</t>
    <phoneticPr fontId="3" type="noConversion"/>
  </si>
  <si>
    <t>NAVOJOA</t>
    <phoneticPr fontId="3" type="noConversion"/>
  </si>
  <si>
    <t>IXTAPALUCA</t>
    <phoneticPr fontId="3" type="noConversion"/>
  </si>
  <si>
    <r>
      <rPr>
        <sz val="8"/>
        <color indexed="8"/>
        <rFont val="Comic Sans MS"/>
        <family val="4"/>
      </rPr>
      <t>欧地线内陆点</t>
    </r>
    <phoneticPr fontId="3" type="noConversion"/>
  </si>
  <si>
    <t>LIBYA</t>
  </si>
  <si>
    <t>北非线</t>
  </si>
  <si>
    <t>TULANCINGO</t>
    <phoneticPr fontId="3" type="noConversion"/>
  </si>
  <si>
    <t>JILOTEPEC</t>
    <phoneticPr fontId="3" type="noConversion"/>
  </si>
  <si>
    <t>AEU7/AEM3/AEM1/AEU3</t>
    <phoneticPr fontId="3" type="noConversion"/>
  </si>
  <si>
    <t>上海市虹口区中山北二路1800号9幢3楼（海鸥商务大厦）</t>
    <phoneticPr fontId="3" type="noConversion"/>
  </si>
  <si>
    <r>
      <t>14+14</t>
    </r>
    <r>
      <rPr>
        <sz val="12"/>
        <rFont val="宋体"/>
        <family val="3"/>
        <charset val="134"/>
      </rPr>
      <t/>
    </r>
    <phoneticPr fontId="3" type="noConversion"/>
  </si>
  <si>
    <t>2355911607</t>
    <phoneticPr fontId="3" type="noConversion"/>
  </si>
  <si>
    <t>NO PCS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</si>
  <si>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</si>
  <si>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19.4T AUD45.87/TON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</si>
  <si>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19.4T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</si>
  <si>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19.4T AUD27.91/TON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</si>
  <si>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26.5T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</si>
  <si>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$25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27.7T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25.4T NO ACCEPT</t>
    </r>
    <phoneticPr fontId="3" type="noConversion"/>
  </si>
  <si>
    <r>
      <rPr>
        <sz val="10"/>
        <rFont val="宋体"/>
        <family val="3"/>
        <charset val="134"/>
      </rPr>
      <t>其他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</si>
  <si>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14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</si>
  <si>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12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</si>
  <si>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25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</si>
  <si>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7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</si>
  <si>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10</t>
    </r>
    <phoneticPr fontId="3" type="noConversion"/>
  </si>
  <si>
    <r>
      <rPr>
        <sz val="10"/>
        <rFont val="宋体"/>
        <family val="3"/>
        <charset val="134"/>
      </rPr>
      <t>其他</t>
    </r>
    <phoneticPr fontId="3" type="noConversion"/>
  </si>
  <si>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14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</si>
  <si>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7,14</t>
    </r>
    <r>
      <rPr>
        <sz val="8"/>
        <rFont val="宋体"/>
        <family val="3"/>
        <charset val="134"/>
      </rPr>
      <t>可订舱前根据箱量尝试申请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</si>
  <si>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10</t>
    </r>
    <r>
      <rPr>
        <sz val="8"/>
        <rFont val="宋体"/>
        <family val="3"/>
        <charset val="134"/>
      </rPr>
      <t>天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</si>
  <si>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8,14</t>
    </r>
    <r>
      <rPr>
        <sz val="8"/>
        <rFont val="宋体"/>
        <family val="3"/>
        <charset val="134"/>
      </rPr>
      <t>可订舱前根据箱量尝试申请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</si>
  <si>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10</t>
    </r>
    <r>
      <rPr>
        <sz val="8"/>
        <rFont val="宋体"/>
        <family val="3"/>
        <charset val="134"/>
      </rPr>
      <t>天</t>
    </r>
    <r>
      <rPr>
        <sz val="8"/>
        <rFont val="Arial"/>
        <family val="2"/>
      </rPr>
      <t xml:space="preserve"> </t>
    </r>
    <r>
      <rPr>
        <sz val="8"/>
        <rFont val="宋体"/>
        <family val="3"/>
        <charset val="134"/>
      </rPr>
      <t>不能申请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</si>
  <si>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30</t>
    </r>
    <r>
      <rPr>
        <sz val="8"/>
        <rFont val="宋体"/>
        <family val="3"/>
        <charset val="134"/>
      </rPr>
      <t>天</t>
    </r>
    <phoneticPr fontId="3" type="noConversion"/>
  </si>
  <si>
    <r>
      <rPr>
        <sz val="10"/>
        <rFont val="宋体"/>
        <family val="3"/>
        <charset val="134"/>
      </rPr>
      <t>电询</t>
    </r>
    <r>
      <rPr>
        <sz val="10"/>
        <rFont val="Arial"/>
        <family val="2"/>
      </rPr>
      <t>2</t>
    </r>
    <phoneticPr fontId="3" type="noConversion"/>
  </si>
  <si>
    <r>
      <rPr>
        <sz val="10"/>
        <rFont val="宋体"/>
        <family val="3"/>
        <charset val="134"/>
      </rPr>
      <t>电询</t>
    </r>
    <r>
      <rPr>
        <sz val="10"/>
        <rFont val="Arial"/>
        <family val="2"/>
      </rPr>
      <t>H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</si>
  <si>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$25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</si>
  <si>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26T NO ACCEPT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</si>
  <si>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$50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</si>
  <si>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$30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</si>
  <si>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$30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$60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</si>
  <si>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</si>
  <si>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$25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28T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</si>
  <si>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19.5T $30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</si>
  <si>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27.3T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27.1T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</si>
  <si>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28T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27T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</si>
  <si>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</si>
  <si>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$25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28.2T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25.9T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</si>
  <si>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</si>
  <si>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22T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</si>
  <si>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$50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25T $100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</si>
  <si>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22T $50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</si>
  <si>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$25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24.7T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27.4T NO ACCEPT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</si>
  <si>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$30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$60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</si>
  <si>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$50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</si>
  <si>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</si>
  <si>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25.7T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23.4T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</si>
  <si>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27T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</si>
  <si>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</si>
  <si>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CASE BY CASE</t>
    </r>
    <phoneticPr fontId="3" type="noConversion"/>
  </si>
  <si>
    <r>
      <t>21</t>
    </r>
    <r>
      <rPr>
        <sz val="8"/>
        <rFont val="宋体"/>
        <family val="3"/>
        <charset val="134"/>
      </rPr>
      <t>混用</t>
    </r>
    <phoneticPr fontId="3" type="noConversion"/>
  </si>
  <si>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14+14</t>
    </r>
    <phoneticPr fontId="3" type="noConversion"/>
  </si>
  <si>
    <r>
      <t>14</t>
    </r>
    <r>
      <rPr>
        <sz val="8"/>
        <rFont val="宋体"/>
        <family val="3"/>
        <charset val="134"/>
      </rPr>
      <t>免用</t>
    </r>
    <phoneticPr fontId="3" type="noConversion"/>
  </si>
  <si>
    <r>
      <t>14</t>
    </r>
    <r>
      <rPr>
        <sz val="8"/>
        <rFont val="宋体"/>
        <family val="3"/>
        <charset val="134"/>
      </rPr>
      <t>可申待批</t>
    </r>
    <phoneticPr fontId="3" type="noConversion"/>
  </si>
  <si>
    <r>
      <t>14</t>
    </r>
    <r>
      <rPr>
        <sz val="8"/>
        <rFont val="宋体"/>
        <family val="3"/>
        <charset val="134"/>
      </rPr>
      <t>混用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</si>
  <si>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 xml:space="preserve">3+7 </t>
    </r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14</t>
    </r>
    <r>
      <rPr>
        <sz val="8"/>
        <rFont val="宋体"/>
        <family val="3"/>
        <charset val="134"/>
      </rPr>
      <t>需加</t>
    </r>
    <r>
      <rPr>
        <sz val="8"/>
        <rFont val="Arial"/>
        <family val="2"/>
      </rPr>
      <t>USD10/20</t>
    </r>
    <phoneticPr fontId="3" type="noConversion"/>
  </si>
  <si>
    <r>
      <t>7</t>
    </r>
    <r>
      <rPr>
        <sz val="8"/>
        <rFont val="宋体"/>
        <family val="3"/>
        <charset val="134"/>
      </rPr>
      <t>免用</t>
    </r>
    <phoneticPr fontId="3" type="noConversion"/>
  </si>
  <si>
    <r>
      <rPr>
        <sz val="10"/>
        <rFont val="宋体"/>
        <family val="3"/>
        <charset val="134"/>
      </rPr>
      <t>国家</t>
    </r>
    <phoneticPr fontId="3" type="noConversion"/>
  </si>
  <si>
    <r>
      <rPr>
        <sz val="10"/>
        <rFont val="宋体"/>
        <family val="3"/>
        <charset val="134"/>
      </rPr>
      <t>目的港</t>
    </r>
    <phoneticPr fontId="3" type="noConversion"/>
  </si>
  <si>
    <r>
      <rPr>
        <sz val="10"/>
        <rFont val="宋体"/>
        <family val="3"/>
        <charset val="134"/>
      </rPr>
      <t>船公司</t>
    </r>
    <phoneticPr fontId="3" type="noConversion"/>
  </si>
  <si>
    <r>
      <rPr>
        <sz val="10"/>
        <rFont val="宋体"/>
        <family val="3"/>
        <charset val="134"/>
      </rPr>
      <t>船期</t>
    </r>
    <phoneticPr fontId="3" type="noConversion"/>
  </si>
  <si>
    <r>
      <rPr>
        <sz val="10"/>
        <rFont val="宋体"/>
        <family val="3"/>
        <charset val="134"/>
      </rPr>
      <t>中转</t>
    </r>
    <phoneticPr fontId="3" type="noConversion"/>
  </si>
  <si>
    <r>
      <rPr>
        <sz val="10"/>
        <rFont val="宋体"/>
        <family val="3"/>
        <charset val="134"/>
      </rPr>
      <t>码头</t>
    </r>
    <phoneticPr fontId="3" type="noConversion"/>
  </si>
  <si>
    <r>
      <rPr>
        <sz val="10"/>
        <rFont val="宋体"/>
        <family val="3"/>
        <charset val="134"/>
      </rPr>
      <t>航程</t>
    </r>
    <phoneticPr fontId="3" type="noConversion"/>
  </si>
  <si>
    <r>
      <rPr>
        <sz val="10"/>
        <rFont val="宋体"/>
        <family val="3"/>
        <charset val="134"/>
      </rPr>
      <t>港区</t>
    </r>
    <phoneticPr fontId="3" type="noConversion"/>
  </si>
  <si>
    <r>
      <rPr>
        <sz val="10"/>
        <rFont val="宋体"/>
        <family val="3"/>
        <charset val="134"/>
      </rPr>
      <t>有效期截止日</t>
    </r>
    <phoneticPr fontId="3" type="noConversion"/>
  </si>
  <si>
    <r>
      <rPr>
        <sz val="10"/>
        <rFont val="宋体"/>
        <family val="3"/>
        <charset val="134"/>
      </rPr>
      <t>附加费</t>
    </r>
    <phoneticPr fontId="3" type="noConversion"/>
  </si>
  <si>
    <r>
      <rPr>
        <sz val="10"/>
        <rFont val="宋体"/>
        <family val="3"/>
        <charset val="134"/>
      </rPr>
      <t>目的港附加费</t>
    </r>
    <phoneticPr fontId="3" type="noConversion"/>
  </si>
  <si>
    <r>
      <rPr>
        <sz val="10"/>
        <rFont val="宋体"/>
        <family val="3"/>
        <charset val="134"/>
      </rPr>
      <t>备注</t>
    </r>
    <phoneticPr fontId="3" type="noConversion"/>
  </si>
  <si>
    <r>
      <rPr>
        <sz val="10"/>
        <rFont val="宋体"/>
        <family val="3"/>
        <charset val="134"/>
      </rPr>
      <t>航线代码</t>
    </r>
    <phoneticPr fontId="3" type="noConversion"/>
  </si>
  <si>
    <r>
      <rPr>
        <sz val="10"/>
        <rFont val="宋体"/>
        <family val="3"/>
        <charset val="134"/>
      </rPr>
      <t>限重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</si>
  <si>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17.7T $150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</si>
  <si>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</si>
  <si>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</si>
  <si>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$100</t>
    </r>
    <phoneticPr fontId="3" type="noConversion"/>
  </si>
  <si>
    <r>
      <t>**20'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15.5T $150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19.5T $300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</si>
  <si>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14T $50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$200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</si>
  <si>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21.6T $275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26.2T $450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</si>
  <si>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21.6T $50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</si>
  <si>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19.7T $50/TON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</si>
  <si>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15T $100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</si>
  <si>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18.7T $150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</si>
  <si>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$25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22T $50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</si>
  <si>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22T $50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</si>
  <si>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25T $100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</si>
  <si>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21.8T $100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</si>
  <si>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$25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</si>
  <si>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$350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</si>
  <si>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21.8T $100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</si>
  <si>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</si>
  <si>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19.7T $50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</si>
  <si>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$150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</si>
  <si>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22T $250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</si>
  <si>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22T $75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</si>
  <si>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17.5T $100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23.5T $175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</si>
  <si>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12T $200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</si>
  <si>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</si>
  <si>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15T $50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</si>
  <si>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20.5T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19.1T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</si>
  <si>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14T $100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$300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</si>
  <si>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15.5T $150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19.5T $300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</si>
  <si>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23T CASE BY CASE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</si>
  <si>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26.4T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</si>
  <si>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19.2T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21.4T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</si>
  <si>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$30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25T $40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</si>
  <si>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26.4T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</si>
  <si>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23.7T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26.4T NO ACCEPT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</si>
  <si>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$50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</si>
  <si>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21.7T $350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</si>
  <si>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$100</t>
    </r>
    <phoneticPr fontId="3" type="noConversion"/>
  </si>
  <si>
    <r>
      <t>20'</t>
    </r>
    <r>
      <rPr>
        <sz val="8"/>
        <rFont val="Arial"/>
        <family val="2"/>
      </rPr>
      <t xml:space="preserve"> 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$250</t>
    </r>
    <phoneticPr fontId="3" type="noConversion"/>
  </si>
  <si>
    <r>
      <rPr>
        <sz val="8"/>
        <color theme="1"/>
        <rFont val="宋体"/>
        <family val="3"/>
        <charset val="134"/>
      </rPr>
      <t>申请</t>
    </r>
    <r>
      <rPr>
        <sz val="8"/>
        <color theme="1"/>
        <rFont val="Arial"/>
        <family val="2"/>
      </rPr>
      <t>21</t>
    </r>
    <phoneticPr fontId="3" type="noConversion"/>
  </si>
  <si>
    <r>
      <rPr>
        <sz val="8"/>
        <color theme="1"/>
        <rFont val="宋体"/>
        <family val="3"/>
        <charset val="134"/>
      </rPr>
      <t>申请</t>
    </r>
    <r>
      <rPr>
        <sz val="8"/>
        <color theme="1"/>
        <rFont val="Arial"/>
        <family val="2"/>
      </rPr>
      <t>21</t>
    </r>
    <phoneticPr fontId="3" type="noConversion"/>
  </si>
  <si>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14</t>
    </r>
    <r>
      <rPr>
        <sz val="8"/>
        <rFont val="宋体"/>
        <family val="3"/>
        <charset val="134"/>
      </rPr>
      <t>天可显示</t>
    </r>
    <phoneticPr fontId="3" type="noConversion"/>
  </si>
  <si>
    <r>
      <t>14</t>
    </r>
    <r>
      <rPr>
        <sz val="8"/>
        <rFont val="宋体"/>
        <family val="3"/>
        <charset val="134"/>
      </rPr>
      <t>天可显示</t>
    </r>
    <phoneticPr fontId="3" type="noConversion"/>
  </si>
  <si>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10</t>
    </r>
    <r>
      <rPr>
        <sz val="8"/>
        <rFont val="宋体"/>
        <family val="3"/>
        <charset val="134"/>
      </rPr>
      <t>免用箱，</t>
    </r>
    <r>
      <rPr>
        <sz val="8"/>
        <rFont val="Arial"/>
        <family val="2"/>
      </rPr>
      <t>14</t>
    </r>
    <r>
      <rPr>
        <sz val="8"/>
        <rFont val="宋体"/>
        <family val="3"/>
        <charset val="134"/>
      </rPr>
      <t>天需加</t>
    </r>
    <r>
      <rPr>
        <sz val="8"/>
        <rFont val="Arial"/>
        <family val="2"/>
      </rPr>
      <t>100/200</t>
    </r>
    <phoneticPr fontId="3" type="noConversion"/>
  </si>
  <si>
    <r>
      <rPr>
        <sz val="8"/>
        <rFont val="宋体"/>
        <family val="3"/>
        <charset val="134"/>
      </rPr>
      <t>最多申请</t>
    </r>
    <r>
      <rPr>
        <sz val="8"/>
        <rFont val="Arial"/>
        <family val="2"/>
      </rPr>
      <t>14</t>
    </r>
    <r>
      <rPr>
        <sz val="8"/>
        <rFont val="宋体"/>
        <family val="3"/>
        <charset val="134"/>
      </rPr>
      <t>天</t>
    </r>
    <phoneticPr fontId="3" type="noConversion"/>
  </si>
  <si>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14</t>
    </r>
    <phoneticPr fontId="3" type="noConversion"/>
  </si>
  <si>
    <r>
      <t>21</t>
    </r>
    <r>
      <rPr>
        <sz val="8"/>
        <rFont val="宋体"/>
        <family val="3"/>
        <charset val="134"/>
      </rPr>
      <t>天按公布价加</t>
    </r>
    <r>
      <rPr>
        <sz val="8"/>
        <rFont val="Arial"/>
        <family val="2"/>
      </rPr>
      <t>50 100</t>
    </r>
    <phoneticPr fontId="3" type="noConversion"/>
  </si>
  <si>
    <r>
      <t xml:space="preserve">14 </t>
    </r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21</t>
    </r>
    <phoneticPr fontId="3" type="noConversion"/>
  </si>
  <si>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21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</si>
  <si>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$150</t>
    </r>
    <phoneticPr fontId="3" type="noConversion"/>
  </si>
  <si>
    <r>
      <t>20'/40'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 xml:space="preserve">20T $100 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 xml:space="preserve">22T $200 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 xml:space="preserve">24T $300 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26T $400</t>
    </r>
    <phoneticPr fontId="3" type="noConversion"/>
  </si>
  <si>
    <r>
      <rPr>
        <sz val="10"/>
        <rFont val="宋体"/>
        <family val="3"/>
        <charset val="134"/>
      </rPr>
      <t>航线</t>
    </r>
    <r>
      <rPr>
        <sz val="10"/>
        <rFont val="Arial"/>
        <family val="2"/>
      </rPr>
      <t xml:space="preserve"> </t>
    </r>
    <phoneticPr fontId="3" type="noConversion"/>
  </si>
  <si>
    <t>morning@hm-safety.com</t>
    <phoneticPr fontId="3" type="noConversion"/>
  </si>
  <si>
    <r>
      <t>2</t>
    </r>
    <r>
      <rPr>
        <sz val="8"/>
        <rFont val="Arial"/>
        <family val="2"/>
      </rPr>
      <t>9</t>
    </r>
    <phoneticPr fontId="3" type="noConversion"/>
  </si>
  <si>
    <r>
      <t>3</t>
    </r>
    <r>
      <rPr>
        <sz val="8"/>
        <rFont val="Arial"/>
        <family val="2"/>
      </rPr>
      <t>3</t>
    </r>
    <phoneticPr fontId="3" type="noConversion"/>
  </si>
  <si>
    <r>
      <rPr>
        <sz val="8"/>
        <color theme="1"/>
        <rFont val="宋体"/>
        <family val="3"/>
        <charset val="134"/>
      </rPr>
      <t>印巴线</t>
    </r>
    <phoneticPr fontId="3" type="noConversion"/>
  </si>
  <si>
    <r>
      <rPr>
        <sz val="8"/>
        <rFont val="Comic Sans MS"/>
        <family val="4"/>
      </rPr>
      <t>中东线</t>
    </r>
    <phoneticPr fontId="3" type="noConversion"/>
  </si>
  <si>
    <r>
      <rPr>
        <sz val="8"/>
        <rFont val="Comic Sans MS"/>
        <family val="4"/>
      </rPr>
      <t>印巴线</t>
    </r>
    <phoneticPr fontId="3" type="noConversion"/>
  </si>
  <si>
    <r>
      <rPr>
        <sz val="8"/>
        <rFont val="宋体"/>
        <family val="3"/>
        <charset val="134"/>
      </rPr>
      <t>印巴线</t>
    </r>
    <phoneticPr fontId="3" type="noConversion"/>
  </si>
  <si>
    <r>
      <rPr>
        <sz val="8"/>
        <rFont val="Comic Sans MS"/>
        <family val="4"/>
      </rPr>
      <t>红海线</t>
    </r>
    <phoneticPr fontId="3" type="noConversion"/>
  </si>
  <si>
    <r>
      <rPr>
        <sz val="8"/>
        <color theme="1"/>
        <rFont val="宋体"/>
        <family val="3"/>
        <charset val="134"/>
      </rPr>
      <t>东南亚线</t>
    </r>
    <phoneticPr fontId="3" type="noConversion"/>
  </si>
  <si>
    <r>
      <rPr>
        <sz val="8"/>
        <rFont val="宋体"/>
        <family val="3"/>
        <charset val="134"/>
      </rPr>
      <t>香港线</t>
    </r>
    <phoneticPr fontId="3" type="noConversion"/>
  </si>
  <si>
    <r>
      <rPr>
        <sz val="8"/>
        <rFont val="Comic Sans MS"/>
        <family val="4"/>
      </rPr>
      <t>香港线</t>
    </r>
    <phoneticPr fontId="3" type="noConversion"/>
  </si>
  <si>
    <r>
      <rPr>
        <sz val="8"/>
        <rFont val="Comic Sans MS"/>
        <family val="4"/>
      </rPr>
      <t>东南亚线</t>
    </r>
    <phoneticPr fontId="3" type="noConversion"/>
  </si>
  <si>
    <r>
      <rPr>
        <sz val="8"/>
        <rFont val="宋体"/>
        <family val="3"/>
        <charset val="134"/>
      </rPr>
      <t>东南亚线</t>
    </r>
    <phoneticPr fontId="3" type="noConversion"/>
  </si>
  <si>
    <r>
      <rPr>
        <sz val="8"/>
        <rFont val="Comic Sans MS"/>
        <family val="4"/>
      </rPr>
      <t>俄远东线</t>
    </r>
    <phoneticPr fontId="3" type="noConversion"/>
  </si>
  <si>
    <r>
      <rPr>
        <sz val="8"/>
        <rFont val="宋体"/>
        <family val="3"/>
        <charset val="134"/>
      </rPr>
      <t>俄远东线</t>
    </r>
    <phoneticPr fontId="3" type="noConversion"/>
  </si>
  <si>
    <r>
      <rPr>
        <sz val="8"/>
        <rFont val="Comic Sans MS"/>
        <family val="4"/>
      </rPr>
      <t>澳新线</t>
    </r>
    <phoneticPr fontId="3" type="noConversion"/>
  </si>
  <si>
    <r>
      <rPr>
        <sz val="8"/>
        <color theme="1"/>
        <rFont val="Comic Sans MS"/>
        <family val="4"/>
      </rPr>
      <t>澳新线</t>
    </r>
    <phoneticPr fontId="3" type="noConversion"/>
  </si>
  <si>
    <r>
      <rPr>
        <sz val="8"/>
        <rFont val="Comic Sans MS"/>
        <family val="4"/>
      </rPr>
      <t>南太平洋线</t>
    </r>
    <phoneticPr fontId="3" type="noConversion"/>
  </si>
  <si>
    <r>
      <rPr>
        <sz val="8"/>
        <rFont val="宋体"/>
        <family val="3"/>
        <charset val="134"/>
      </rPr>
      <t>南太平洋线</t>
    </r>
    <phoneticPr fontId="3" type="noConversion"/>
  </si>
  <si>
    <r>
      <rPr>
        <sz val="8"/>
        <color theme="1"/>
        <rFont val="宋体"/>
        <family val="3"/>
        <charset val="134"/>
      </rPr>
      <t>澳新线</t>
    </r>
    <phoneticPr fontId="3" type="noConversion"/>
  </si>
  <si>
    <r>
      <rPr>
        <sz val="8"/>
        <color theme="1"/>
        <rFont val="宋体"/>
        <family val="3"/>
        <charset val="134"/>
      </rPr>
      <t>南太平洋线</t>
    </r>
    <phoneticPr fontId="3" type="noConversion"/>
  </si>
  <si>
    <r>
      <t>2/</t>
    </r>
    <r>
      <rPr>
        <sz val="10"/>
        <color theme="0" tint="-0.499984740745262"/>
        <rFont val="Arial"/>
        <family val="2"/>
      </rPr>
      <t>4</t>
    </r>
    <phoneticPr fontId="3" type="noConversion"/>
  </si>
  <si>
    <r>
      <rPr>
        <sz val="10"/>
        <color theme="0" tint="-0.499984740745262"/>
        <rFont val="Arial"/>
        <family val="2"/>
      </rPr>
      <t>1</t>
    </r>
    <r>
      <rPr>
        <sz val="10"/>
        <rFont val="Arial"/>
        <family val="2"/>
      </rPr>
      <t>/6</t>
    </r>
    <phoneticPr fontId="3" type="noConversion"/>
  </si>
  <si>
    <t>YANGON</t>
    <phoneticPr fontId="3" type="noConversion"/>
  </si>
  <si>
    <r>
      <t>M</t>
    </r>
    <r>
      <rPr>
        <sz val="8"/>
        <rFont val="Arial"/>
        <family val="2"/>
      </rPr>
      <t>IP</t>
    </r>
    <phoneticPr fontId="3" type="noConversion"/>
  </si>
  <si>
    <r>
      <rPr>
        <sz val="10"/>
        <rFont val="Comic Sans MS"/>
        <family val="4"/>
      </rPr>
      <t>墨西哥内陆点</t>
    </r>
    <phoneticPr fontId="3" type="noConversion"/>
  </si>
  <si>
    <r>
      <rPr>
        <sz val="10"/>
        <color theme="1"/>
        <rFont val="宋体"/>
        <family val="3"/>
        <charset val="134"/>
      </rPr>
      <t>墨西哥内陆点</t>
    </r>
    <phoneticPr fontId="3" type="noConversion"/>
  </si>
  <si>
    <r>
      <rPr>
        <sz val="10"/>
        <rFont val="Comic Sans MS"/>
        <family val="4"/>
      </rPr>
      <t>加勒比线</t>
    </r>
    <phoneticPr fontId="3" type="noConversion"/>
  </si>
  <si>
    <r>
      <rPr>
        <sz val="10"/>
        <color theme="1"/>
        <rFont val="宋体"/>
        <family val="3"/>
        <charset val="134"/>
      </rPr>
      <t>加勒比线</t>
    </r>
    <phoneticPr fontId="3" type="noConversion"/>
  </si>
  <si>
    <r>
      <rPr>
        <sz val="10"/>
        <rFont val="宋体"/>
        <family val="3"/>
        <charset val="134"/>
      </rPr>
      <t>加勒比线</t>
    </r>
    <phoneticPr fontId="3" type="noConversion"/>
  </si>
  <si>
    <r>
      <rPr>
        <sz val="10"/>
        <rFont val="Comic Sans MS"/>
        <family val="4"/>
      </rPr>
      <t>中美洲</t>
    </r>
    <phoneticPr fontId="3" type="noConversion"/>
  </si>
  <si>
    <r>
      <rPr>
        <sz val="10"/>
        <rFont val="Comic Sans MS"/>
        <family val="4"/>
      </rPr>
      <t>南美东</t>
    </r>
    <phoneticPr fontId="3" type="noConversion"/>
  </si>
  <si>
    <r>
      <rPr>
        <sz val="10"/>
        <color theme="1"/>
        <rFont val="宋体"/>
        <family val="3"/>
        <charset val="134"/>
      </rPr>
      <t>南美东</t>
    </r>
    <phoneticPr fontId="3" type="noConversion"/>
  </si>
  <si>
    <r>
      <rPr>
        <sz val="10"/>
        <rFont val="宋体"/>
        <family val="3"/>
        <charset val="134"/>
      </rPr>
      <t>南美东</t>
    </r>
    <phoneticPr fontId="3" type="noConversion"/>
  </si>
  <si>
    <r>
      <rPr>
        <sz val="8"/>
        <color rgb="FFFF0000"/>
        <rFont val="宋体"/>
        <family val="3"/>
        <charset val="134"/>
      </rPr>
      <t>仅适用于转运</t>
    </r>
    <phoneticPr fontId="3" type="noConversion"/>
  </si>
  <si>
    <r>
      <rPr>
        <sz val="8"/>
        <rFont val="宋体"/>
        <family val="3"/>
        <charset val="134"/>
      </rPr>
      <t>提单只接受电放或</t>
    </r>
    <r>
      <rPr>
        <sz val="8"/>
        <rFont val="Arial"/>
        <family val="2"/>
      </rPr>
      <t>SWB</t>
    </r>
    <phoneticPr fontId="3" type="noConversion"/>
  </si>
  <si>
    <r>
      <rPr>
        <sz val="8"/>
        <rFont val="Comic Sans MS"/>
        <family val="4"/>
      </rPr>
      <t>非纺织品</t>
    </r>
    <phoneticPr fontId="3" type="noConversion"/>
  </si>
  <si>
    <r>
      <rPr>
        <sz val="8"/>
        <rFont val="Comic Sans MS"/>
        <family val="4"/>
      </rPr>
      <t>纺织品</t>
    </r>
    <phoneticPr fontId="3" type="noConversion"/>
  </si>
  <si>
    <r>
      <rPr>
        <sz val="10"/>
        <rFont val="宋体"/>
        <family val="3"/>
        <charset val="134"/>
      </rPr>
      <t>备注</t>
    </r>
    <phoneticPr fontId="3" type="noConversion"/>
  </si>
  <si>
    <t>60658367</t>
    <phoneticPr fontId="3" type="noConversion"/>
  </si>
  <si>
    <t>MCC</t>
    <phoneticPr fontId="3" type="noConversion"/>
  </si>
  <si>
    <t>6</t>
    <phoneticPr fontId="3" type="noConversion"/>
  </si>
  <si>
    <t>地东线</t>
  </si>
  <si>
    <t>PORT CHALMERS</t>
    <phoneticPr fontId="3" type="noConversion"/>
  </si>
  <si>
    <t>TAURANGA</t>
    <phoneticPr fontId="3" type="noConversion"/>
  </si>
  <si>
    <t>60658382</t>
    <phoneticPr fontId="3" type="noConversion"/>
  </si>
  <si>
    <t>280</t>
    <phoneticPr fontId="3" type="noConversion"/>
  </si>
  <si>
    <t>140</t>
    <phoneticPr fontId="3" type="noConversion"/>
  </si>
  <si>
    <t>-80</t>
    <phoneticPr fontId="3" type="noConversion"/>
  </si>
  <si>
    <t>-160</t>
    <phoneticPr fontId="3" type="noConversion"/>
  </si>
  <si>
    <r>
      <t>1</t>
    </r>
    <r>
      <rPr>
        <sz val="8"/>
        <color indexed="8"/>
        <rFont val="Arial"/>
        <family val="2"/>
      </rPr>
      <t>0</t>
    </r>
    <phoneticPr fontId="3" type="noConversion"/>
  </si>
  <si>
    <r>
      <t>1</t>
    </r>
    <r>
      <rPr>
        <sz val="8"/>
        <color indexed="8"/>
        <rFont val="Arial"/>
        <family val="2"/>
      </rPr>
      <t>3</t>
    </r>
    <phoneticPr fontId="3" type="noConversion"/>
  </si>
  <si>
    <r>
      <t>1</t>
    </r>
    <r>
      <rPr>
        <sz val="8"/>
        <color indexed="8"/>
        <rFont val="Arial"/>
        <family val="2"/>
      </rPr>
      <t>7</t>
    </r>
    <phoneticPr fontId="3" type="noConversion"/>
  </si>
  <si>
    <r>
      <t>WGQ</t>
    </r>
    <r>
      <rPr>
        <sz val="8"/>
        <color indexed="8"/>
        <rFont val="Arial"/>
        <family val="2"/>
      </rPr>
      <t>2</t>
    </r>
    <phoneticPr fontId="3" type="noConversion"/>
  </si>
  <si>
    <t>6/6/7</t>
    <phoneticPr fontId="3" type="noConversion"/>
  </si>
  <si>
    <r>
      <t>1</t>
    </r>
    <r>
      <rPr>
        <sz val="8"/>
        <color indexed="8"/>
        <rFont val="Arial"/>
        <family val="2"/>
      </rPr>
      <t>6</t>
    </r>
    <phoneticPr fontId="3" type="noConversion"/>
  </si>
  <si>
    <r>
      <t>1</t>
    </r>
    <r>
      <rPr>
        <sz val="8"/>
        <color indexed="8"/>
        <rFont val="Arial"/>
        <family val="2"/>
      </rPr>
      <t>9</t>
    </r>
    <phoneticPr fontId="3" type="noConversion"/>
  </si>
  <si>
    <r>
      <t>2</t>
    </r>
    <r>
      <rPr>
        <sz val="8"/>
        <color indexed="8"/>
        <rFont val="Arial"/>
        <family val="2"/>
      </rPr>
      <t>4</t>
    </r>
    <phoneticPr fontId="3" type="noConversion"/>
  </si>
  <si>
    <r>
      <rPr>
        <sz val="8"/>
        <rFont val="宋体"/>
        <family val="3"/>
        <charset val="134"/>
      </rPr>
      <t>海运费按</t>
    </r>
    <r>
      <rPr>
        <sz val="8"/>
        <rFont val="Arial"/>
        <family val="2"/>
      </rPr>
      <t>RMB</t>
    </r>
    <r>
      <rPr>
        <sz val="8"/>
        <rFont val="宋体"/>
        <family val="3"/>
        <charset val="134"/>
      </rPr>
      <t>折算</t>
    </r>
    <phoneticPr fontId="3" type="noConversion"/>
  </si>
  <si>
    <t>8</t>
    <phoneticPr fontId="3" type="noConversion"/>
  </si>
  <si>
    <r>
      <t>1</t>
    </r>
    <r>
      <rPr>
        <sz val="8"/>
        <rFont val="Arial"/>
        <family val="2"/>
      </rPr>
      <t>0</t>
    </r>
    <phoneticPr fontId="3" type="noConversion"/>
  </si>
  <si>
    <r>
      <t>1</t>
    </r>
    <r>
      <rPr>
        <sz val="8"/>
        <rFont val="Arial"/>
        <family val="2"/>
      </rPr>
      <t>1</t>
    </r>
    <phoneticPr fontId="3" type="noConversion"/>
  </si>
  <si>
    <r>
      <t>2</t>
    </r>
    <r>
      <rPr>
        <sz val="8"/>
        <rFont val="Arial"/>
        <family val="2"/>
      </rPr>
      <t>4</t>
    </r>
    <phoneticPr fontId="3" type="noConversion"/>
  </si>
  <si>
    <t>BATANGAS</t>
    <phoneticPr fontId="3" type="noConversion"/>
  </si>
  <si>
    <t>TIMARU</t>
    <phoneticPr fontId="3" type="noConversion"/>
  </si>
  <si>
    <t>LOS REYES LA PAZ</t>
    <phoneticPr fontId="3" type="noConversion"/>
  </si>
  <si>
    <t>JAKARTA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</si>
  <si>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$200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21.8T $400</t>
    </r>
    <phoneticPr fontId="3" type="noConversion"/>
  </si>
  <si>
    <t>INCLWSC $100/TEU</t>
    <phoneticPr fontId="3" type="noConversion"/>
  </si>
  <si>
    <r>
      <t>2/4</t>
    </r>
    <r>
      <rPr>
        <sz val="10"/>
        <color theme="1"/>
        <rFont val="Arial"/>
        <family val="2"/>
      </rPr>
      <t>/6</t>
    </r>
    <phoneticPr fontId="3" type="noConversion"/>
  </si>
  <si>
    <r>
      <t>WIN/AIM</t>
    </r>
    <r>
      <rPr>
        <sz val="6"/>
        <rFont val="Arial"/>
        <family val="2"/>
      </rPr>
      <t>/CIX</t>
    </r>
    <phoneticPr fontId="3" type="noConversion"/>
  </si>
  <si>
    <t>NHAVA SHEVA</t>
    <phoneticPr fontId="3" type="noConversion"/>
  </si>
  <si>
    <r>
      <t>C</t>
    </r>
    <r>
      <rPr>
        <sz val="6"/>
        <rFont val="Arial"/>
        <family val="2"/>
      </rPr>
      <t>IX</t>
    </r>
    <phoneticPr fontId="3" type="noConversion"/>
  </si>
  <si>
    <t>有效期起始日</t>
    <phoneticPr fontId="3" type="noConversion"/>
  </si>
  <si>
    <t>2</t>
    <phoneticPr fontId="3" type="noConversion"/>
  </si>
  <si>
    <r>
      <t>I</t>
    </r>
    <r>
      <rPr>
        <sz val="8"/>
        <rFont val="Arial"/>
        <family val="2"/>
      </rPr>
      <t>NVIZ</t>
    </r>
    <phoneticPr fontId="3" type="noConversion"/>
  </si>
  <si>
    <r>
      <rPr>
        <sz val="8"/>
        <rFont val="宋体"/>
        <family val="3"/>
        <charset val="134"/>
      </rPr>
      <t>仅适用于内陆转运</t>
    </r>
    <phoneticPr fontId="3" type="noConversion"/>
  </si>
  <si>
    <r>
      <rPr>
        <sz val="8"/>
        <color rgb="FFFF0000"/>
        <rFont val="宋体"/>
        <family val="3"/>
        <charset val="134"/>
      </rPr>
      <t>仅适用于</t>
    </r>
    <r>
      <rPr>
        <sz val="8"/>
        <color rgb="FFFF0000"/>
        <rFont val="Arial"/>
        <family val="2"/>
      </rPr>
      <t>HYDERABAD</t>
    </r>
    <r>
      <rPr>
        <sz val="8"/>
        <color rgb="FFFF0000"/>
        <rFont val="宋体"/>
        <family val="3"/>
        <charset val="134"/>
      </rPr>
      <t>转运</t>
    </r>
    <phoneticPr fontId="3" type="noConversion"/>
  </si>
  <si>
    <r>
      <rPr>
        <sz val="8"/>
        <color rgb="FFFF0000"/>
        <rFont val="宋体"/>
        <family val="3"/>
        <charset val="134"/>
      </rPr>
      <t>暂不接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宋体"/>
        <family val="3"/>
        <charset val="134"/>
      </rPr>
      <t>仅适用于</t>
    </r>
    <r>
      <rPr>
        <sz val="8"/>
        <color rgb="FFFF0000"/>
        <rFont val="Arial"/>
        <family val="2"/>
      </rPr>
      <t>JODHPUR</t>
    </r>
    <r>
      <rPr>
        <sz val="8"/>
        <color rgb="FFFF0000"/>
        <rFont val="宋体"/>
        <family val="3"/>
        <charset val="134"/>
      </rPr>
      <t>以外内陆转运</t>
    </r>
    <phoneticPr fontId="3" type="noConversion"/>
  </si>
  <si>
    <r>
      <rPr>
        <sz val="8"/>
        <color rgb="FFFF0000"/>
        <rFont val="宋体"/>
        <family val="3"/>
        <charset val="134"/>
      </rPr>
      <t>暂不接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宋体"/>
        <family val="3"/>
        <charset val="134"/>
      </rPr>
      <t>仅适用于</t>
    </r>
    <r>
      <rPr>
        <sz val="8"/>
        <color rgb="FFFF0000"/>
        <rFont val="Arial"/>
        <family val="2"/>
      </rPr>
      <t>JODHPUR</t>
    </r>
    <r>
      <rPr>
        <sz val="8"/>
        <color rgb="FFFF0000"/>
        <rFont val="宋体"/>
        <family val="3"/>
        <charset val="134"/>
      </rPr>
      <t>内陆转运</t>
    </r>
    <phoneticPr fontId="3" type="noConversion"/>
  </si>
  <si>
    <r>
      <rPr>
        <sz val="8"/>
        <color rgb="FFFF0000"/>
        <rFont val="宋体"/>
        <family val="3"/>
        <charset val="134"/>
      </rPr>
      <t>暂不接</t>
    </r>
    <phoneticPr fontId="3" type="noConversion"/>
  </si>
  <si>
    <r>
      <rPr>
        <sz val="8"/>
        <color rgb="FFFF0000"/>
        <rFont val="宋体"/>
        <family val="3"/>
        <charset val="134"/>
      </rPr>
      <t>暂不接</t>
    </r>
    <r>
      <rPr>
        <sz val="8"/>
        <color rgb="FFFF0000"/>
        <rFont val="Arial"/>
        <family val="2"/>
      </rPr>
      <t xml:space="preserve"> </t>
    </r>
    <r>
      <rPr>
        <sz val="8"/>
        <color rgb="FFFF0000"/>
        <rFont val="宋体"/>
        <family val="3"/>
        <charset val="134"/>
      </rPr>
      <t>仅适用于内陆转运</t>
    </r>
    <phoneticPr fontId="3" type="noConversion"/>
  </si>
  <si>
    <r>
      <rPr>
        <sz val="8"/>
        <color rgb="FFFF0000"/>
        <rFont val="宋体"/>
        <family val="3"/>
        <charset val="134"/>
      </rPr>
      <t>仅适用于</t>
    </r>
    <r>
      <rPr>
        <sz val="8"/>
        <color rgb="FFFF0000"/>
        <rFont val="Arial"/>
        <family val="2"/>
      </rPr>
      <t>JAIPUR LUDHIANA</t>
    </r>
    <r>
      <rPr>
        <sz val="8"/>
        <color rgb="FFFF0000"/>
        <rFont val="宋体"/>
        <family val="3"/>
        <charset val="134"/>
      </rPr>
      <t>以外内陆转运</t>
    </r>
    <phoneticPr fontId="3" type="noConversion"/>
  </si>
  <si>
    <r>
      <rPr>
        <sz val="8"/>
        <color rgb="FFFF0000"/>
        <rFont val="宋体"/>
        <family val="3"/>
        <charset val="134"/>
      </rPr>
      <t>仅适用于内陆转运</t>
    </r>
    <phoneticPr fontId="3" type="noConversion"/>
  </si>
  <si>
    <r>
      <rPr>
        <sz val="8"/>
        <color rgb="FFFF0000"/>
        <rFont val="宋体"/>
        <family val="3"/>
        <charset val="134"/>
      </rPr>
      <t>仅适用于</t>
    </r>
    <r>
      <rPr>
        <sz val="8"/>
        <color rgb="FFFF0000"/>
        <rFont val="Arial"/>
        <family val="2"/>
      </rPr>
      <t>BANGALORE</t>
    </r>
    <r>
      <rPr>
        <sz val="8"/>
        <color rgb="FFFF0000"/>
        <rFont val="宋体"/>
        <family val="3"/>
        <charset val="134"/>
      </rPr>
      <t>转运</t>
    </r>
    <phoneticPr fontId="3" type="noConversion"/>
  </si>
  <si>
    <r>
      <rPr>
        <sz val="8"/>
        <color rgb="FFFF0000"/>
        <rFont val="宋体"/>
        <family val="3"/>
        <charset val="134"/>
      </rPr>
      <t>停止挂靠</t>
    </r>
    <phoneticPr fontId="3" type="noConversion"/>
  </si>
  <si>
    <r>
      <rPr>
        <sz val="8"/>
        <rFont val="宋体"/>
        <family val="3"/>
        <charset val="134"/>
      </rPr>
      <t>如需</t>
    </r>
    <r>
      <rPr>
        <sz val="8"/>
        <rFont val="Arial"/>
        <family val="2"/>
      </rPr>
      <t>CFS</t>
    </r>
    <r>
      <rPr>
        <sz val="8"/>
        <rFont val="宋体"/>
        <family val="3"/>
        <charset val="134"/>
      </rPr>
      <t>服务加收</t>
    </r>
    <r>
      <rPr>
        <sz val="8"/>
        <rFont val="Arial"/>
        <family val="2"/>
      </rPr>
      <t>$150/200/250</t>
    </r>
    <phoneticPr fontId="3" type="noConversion"/>
  </si>
  <si>
    <r>
      <rPr>
        <sz val="8"/>
        <color rgb="FFFF0000"/>
        <rFont val="宋体"/>
        <family val="3"/>
        <charset val="134"/>
      </rPr>
      <t>暂不接</t>
    </r>
    <r>
      <rPr>
        <sz val="8"/>
        <rFont val="Arial"/>
        <family val="2"/>
      </rPr>
      <t xml:space="preserve"> 20'&lt;7.7T 40'&lt;15.4T</t>
    </r>
    <phoneticPr fontId="3" type="noConversion"/>
  </si>
  <si>
    <r>
      <rPr>
        <sz val="8"/>
        <color rgb="FFFF0000"/>
        <rFont val="宋体"/>
        <family val="3"/>
        <charset val="134"/>
      </rPr>
      <t>暂不接</t>
    </r>
    <r>
      <rPr>
        <sz val="8"/>
        <rFont val="Arial"/>
        <family val="2"/>
      </rPr>
      <t xml:space="preserve"> 20'&lt;17.5T 40'&lt;15.4T</t>
    </r>
    <phoneticPr fontId="3" type="noConversion"/>
  </si>
  <si>
    <r>
      <rPr>
        <sz val="8"/>
        <color rgb="FFFF0000"/>
        <rFont val="宋体"/>
        <family val="3"/>
        <charset val="134"/>
      </rPr>
      <t>暂不接</t>
    </r>
    <r>
      <rPr>
        <sz val="8"/>
        <rFont val="Arial"/>
        <family val="2"/>
      </rPr>
      <t xml:space="preserve"> 20'&lt;7.5T 40'&lt;15.4T</t>
    </r>
    <phoneticPr fontId="3" type="noConversion"/>
  </si>
  <si>
    <r>
      <rPr>
        <sz val="10"/>
        <rFont val="宋体"/>
        <family val="3"/>
        <charset val="134"/>
      </rPr>
      <t>备注</t>
    </r>
    <phoneticPr fontId="3" type="noConversion"/>
  </si>
  <si>
    <t>有效期起始日</t>
    <phoneticPr fontId="3" type="noConversion"/>
  </si>
  <si>
    <r>
      <t>1</t>
    </r>
    <r>
      <rPr>
        <sz val="8"/>
        <color indexed="8"/>
        <rFont val="Arial"/>
        <family val="2"/>
      </rPr>
      <t>0</t>
    </r>
    <phoneticPr fontId="3" type="noConversion"/>
  </si>
  <si>
    <r>
      <t>WGQ</t>
    </r>
    <r>
      <rPr>
        <sz val="8"/>
        <rFont val="Arial"/>
        <family val="2"/>
      </rPr>
      <t>5</t>
    </r>
    <phoneticPr fontId="3" type="noConversion"/>
  </si>
  <si>
    <r>
      <t>C</t>
    </r>
    <r>
      <rPr>
        <sz val="6"/>
        <color indexed="8"/>
        <rFont val="Arial"/>
        <family val="2"/>
      </rPr>
      <t>MX</t>
    </r>
    <phoneticPr fontId="3" type="noConversion"/>
  </si>
  <si>
    <r>
      <t>1</t>
    </r>
    <r>
      <rPr>
        <sz val="8"/>
        <color indexed="8"/>
        <rFont val="Arial"/>
        <family val="2"/>
      </rPr>
      <t>4</t>
    </r>
    <phoneticPr fontId="3" type="noConversion"/>
  </si>
  <si>
    <r>
      <t>1</t>
    </r>
    <r>
      <rPr>
        <sz val="8"/>
        <rFont val="Arial"/>
        <family val="2"/>
      </rPr>
      <t>9</t>
    </r>
    <phoneticPr fontId="3" type="noConversion"/>
  </si>
  <si>
    <r>
      <t>2</t>
    </r>
    <r>
      <rPr>
        <sz val="8"/>
        <rFont val="Arial"/>
        <family val="2"/>
      </rPr>
      <t>2</t>
    </r>
    <phoneticPr fontId="3" type="noConversion"/>
  </si>
  <si>
    <t>AQABA</t>
    <phoneticPr fontId="3" type="noConversion"/>
  </si>
  <si>
    <t>ADEN</t>
    <phoneticPr fontId="3" type="noConversion"/>
  </si>
  <si>
    <t>HODEIDAH</t>
    <phoneticPr fontId="3" type="noConversion"/>
  </si>
  <si>
    <t>THAILAND</t>
    <phoneticPr fontId="3" type="noConversion"/>
  </si>
  <si>
    <t>有效期起始日</t>
    <phoneticPr fontId="3" type="noConversion"/>
  </si>
  <si>
    <t>暂不接</t>
    <phoneticPr fontId="3" type="noConversion"/>
  </si>
  <si>
    <r>
      <t>1</t>
    </r>
    <r>
      <rPr>
        <sz val="8"/>
        <color indexed="8"/>
        <rFont val="Arial"/>
        <family val="2"/>
      </rPr>
      <t>5</t>
    </r>
    <phoneticPr fontId="3" type="noConversion"/>
  </si>
  <si>
    <r>
      <t>1</t>
    </r>
    <r>
      <rPr>
        <sz val="8"/>
        <rFont val="Arial"/>
        <family val="2"/>
      </rPr>
      <t>5</t>
    </r>
    <phoneticPr fontId="3" type="noConversion"/>
  </si>
  <si>
    <r>
      <t>R</t>
    </r>
    <r>
      <rPr>
        <sz val="6"/>
        <color indexed="8"/>
        <rFont val="Arial"/>
        <family val="2"/>
      </rPr>
      <t>PM</t>
    </r>
    <phoneticPr fontId="3" type="noConversion"/>
  </si>
  <si>
    <r>
      <rPr>
        <sz val="10"/>
        <color theme="0" tint="-0.499984740745262"/>
        <rFont val="Arial"/>
        <family val="2"/>
      </rPr>
      <t>2</t>
    </r>
    <r>
      <rPr>
        <sz val="10"/>
        <rFont val="Arial"/>
        <family val="2"/>
      </rPr>
      <t>/7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</si>
  <si>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8.8T $300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17.8T $600</t>
    </r>
    <phoneticPr fontId="3" type="noConversion"/>
  </si>
  <si>
    <t>SOUTH</t>
    <phoneticPr fontId="3" type="noConversion"/>
  </si>
  <si>
    <t>13816961525</t>
    <phoneticPr fontId="3" type="noConversion"/>
  </si>
  <si>
    <t>20'&lt;22.7T 40'&lt;24T</t>
    <phoneticPr fontId="3" type="noConversion"/>
  </si>
  <si>
    <r>
      <t>A</t>
    </r>
    <r>
      <rPr>
        <sz val="6"/>
        <color indexed="8"/>
        <rFont val="Arial"/>
        <family val="2"/>
      </rPr>
      <t>PM</t>
    </r>
    <phoneticPr fontId="3" type="noConversion"/>
  </si>
  <si>
    <t>AIM/FAL1</t>
    <phoneticPr fontId="3" type="noConversion"/>
  </si>
  <si>
    <t>冷代干</t>
    <phoneticPr fontId="3" type="noConversion"/>
  </si>
  <si>
    <t>160</t>
    <phoneticPr fontId="3" type="noConversion"/>
  </si>
  <si>
    <t>1020</t>
    <phoneticPr fontId="3" type="noConversion"/>
  </si>
  <si>
    <r>
      <t>C</t>
    </r>
    <r>
      <rPr>
        <sz val="6"/>
        <color indexed="8"/>
        <rFont val="Arial"/>
        <family val="2"/>
      </rPr>
      <t>IX</t>
    </r>
    <phoneticPr fontId="3" type="noConversion"/>
  </si>
  <si>
    <t>20'RF</t>
    <phoneticPr fontId="3" type="noConversion"/>
  </si>
  <si>
    <t>40'RH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</si>
  <si>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14T CASE BY CASE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</si>
  <si>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NO ACCEPT</t>
    </r>
    <phoneticPr fontId="3" type="noConversion"/>
  </si>
  <si>
    <r>
      <t>14</t>
    </r>
    <r>
      <rPr>
        <sz val="8"/>
        <rFont val="宋体"/>
        <family val="3"/>
        <charset val="134"/>
      </rPr>
      <t>可显示</t>
    </r>
    <r>
      <rPr>
        <sz val="8"/>
        <rFont val="Arial"/>
        <family val="2"/>
      </rPr>
      <t xml:space="preserve"> 21+25/50</t>
    </r>
    <phoneticPr fontId="3" type="noConversion"/>
  </si>
  <si>
    <t>TERPORT</t>
    <phoneticPr fontId="3" type="noConversion"/>
  </si>
  <si>
    <t>CHARLOTTE NC</t>
    <phoneticPr fontId="3" type="noConversion"/>
  </si>
  <si>
    <t>HOUSTON TX</t>
    <phoneticPr fontId="3" type="noConversion"/>
  </si>
  <si>
    <t>HOUSTON TX</t>
    <phoneticPr fontId="3" type="noConversion"/>
  </si>
  <si>
    <t>JACKSONVILLE FL</t>
    <phoneticPr fontId="3" type="noConversion"/>
  </si>
  <si>
    <t>JACKSONVILLE FL</t>
    <phoneticPr fontId="3" type="noConversion"/>
  </si>
  <si>
    <t>NORFOLK VA</t>
    <phoneticPr fontId="3" type="noConversion"/>
  </si>
  <si>
    <t>NORFOLK VA</t>
    <phoneticPr fontId="3" type="noConversion"/>
  </si>
  <si>
    <t>SAVANNAH GA</t>
    <phoneticPr fontId="3" type="noConversion"/>
  </si>
  <si>
    <t>SAVANNAH GA</t>
    <phoneticPr fontId="3" type="noConversion"/>
  </si>
  <si>
    <t>CHARLESTON SC</t>
    <phoneticPr fontId="3" type="noConversion"/>
  </si>
  <si>
    <t>USMOB</t>
    <phoneticPr fontId="3" type="noConversion"/>
  </si>
  <si>
    <t>DTHC $450/500 PP</t>
    <phoneticPr fontId="3" type="noConversion"/>
  </si>
  <si>
    <t>南美东</t>
    <phoneticPr fontId="58" type="noConversion"/>
  </si>
  <si>
    <t>加勒比</t>
    <phoneticPr fontId="58" type="noConversion"/>
  </si>
  <si>
    <t>1050</t>
    <phoneticPr fontId="58" type="noConversion"/>
  </si>
  <si>
    <t>1500</t>
    <phoneticPr fontId="58" type="noConversion"/>
  </si>
  <si>
    <t>1500</t>
    <phoneticPr fontId="58" type="noConversion"/>
  </si>
  <si>
    <r>
      <t>2017</t>
    </r>
    <r>
      <rPr>
        <sz val="11"/>
        <color rgb="FFFF0000"/>
        <rFont val="宋体"/>
        <family val="2"/>
        <charset val="134"/>
      </rPr>
      <t>年</t>
    </r>
    <r>
      <rPr>
        <sz val="11"/>
        <color rgb="FFFF0000"/>
        <rFont val="Arial"/>
        <family val="2"/>
      </rPr>
      <t>12</t>
    </r>
    <r>
      <rPr>
        <sz val="11"/>
        <color rgb="FFFF0000"/>
        <rFont val="宋体"/>
        <family val="2"/>
        <charset val="134"/>
      </rPr>
      <t>月</t>
    </r>
    <r>
      <rPr>
        <sz val="11"/>
        <color rgb="FFFF0000"/>
        <rFont val="Arial"/>
        <family val="2"/>
      </rPr>
      <t>15</t>
    </r>
    <r>
      <rPr>
        <sz val="11"/>
        <color rgb="FFFF0000"/>
        <rFont val="宋体"/>
        <family val="2"/>
        <charset val="134"/>
      </rPr>
      <t>日船东涨价计划</t>
    </r>
    <phoneticPr fontId="58" type="noConversion"/>
  </si>
  <si>
    <t>NOV13/27</t>
    <phoneticPr fontId="3" type="noConversion"/>
  </si>
  <si>
    <t>60658312</t>
    <phoneticPr fontId="3" type="noConversion"/>
  </si>
  <si>
    <t>2355821957</t>
    <phoneticPr fontId="3" type="noConversion"/>
  </si>
  <si>
    <t>HASCO</t>
    <phoneticPr fontId="3" type="noConversion"/>
  </si>
  <si>
    <r>
      <t>YOKOHAMA/</t>
    </r>
    <r>
      <rPr>
        <sz val="8"/>
        <rFont val="宋体"/>
        <family val="3"/>
        <charset val="134"/>
      </rPr>
      <t>横滨</t>
    </r>
    <phoneticPr fontId="3" type="noConversion"/>
  </si>
  <si>
    <t>JAPAN</t>
    <phoneticPr fontId="3" type="noConversion"/>
  </si>
  <si>
    <r>
      <rPr>
        <sz val="8"/>
        <rFont val="Comic Sans MS"/>
        <family val="4"/>
      </rPr>
      <t>日本线</t>
    </r>
    <phoneticPr fontId="3" type="noConversion"/>
  </si>
  <si>
    <t>SKT7</t>
    <phoneticPr fontId="3" type="noConversion"/>
  </si>
  <si>
    <t>INCL BAF YAS</t>
    <phoneticPr fontId="3" type="noConversion"/>
  </si>
  <si>
    <t>AFR $30</t>
    <phoneticPr fontId="3" type="noConversion"/>
  </si>
  <si>
    <r>
      <t xml:space="preserve">BAF YAS </t>
    </r>
    <r>
      <rPr>
        <sz val="8"/>
        <color rgb="FFFF0000"/>
        <rFont val="宋体"/>
        <family val="3"/>
        <charset val="134"/>
      </rPr>
      <t>不可到付</t>
    </r>
    <phoneticPr fontId="3" type="noConversion"/>
  </si>
  <si>
    <t>CJV3</t>
    <phoneticPr fontId="3" type="noConversion"/>
  </si>
  <si>
    <t>SKT6</t>
    <phoneticPr fontId="3" type="noConversion"/>
  </si>
  <si>
    <t>SKT5</t>
    <phoneticPr fontId="3" type="noConversion"/>
  </si>
  <si>
    <t>N5</t>
    <phoneticPr fontId="3" type="noConversion"/>
  </si>
  <si>
    <t>T5</t>
    <phoneticPr fontId="3" type="noConversion"/>
  </si>
  <si>
    <t>SKT4</t>
    <phoneticPr fontId="3" type="noConversion"/>
  </si>
  <si>
    <t>SKT2</t>
    <phoneticPr fontId="3" type="noConversion"/>
  </si>
  <si>
    <t>T2</t>
    <phoneticPr fontId="3" type="noConversion"/>
  </si>
  <si>
    <t>VTX2</t>
    <phoneticPr fontId="3" type="noConversion"/>
  </si>
  <si>
    <t>SKT1</t>
    <phoneticPr fontId="3" type="noConversion"/>
  </si>
  <si>
    <r>
      <t>TOKYO/</t>
    </r>
    <r>
      <rPr>
        <sz val="8"/>
        <rFont val="宋体"/>
        <family val="3"/>
        <charset val="134"/>
      </rPr>
      <t>东京</t>
    </r>
    <phoneticPr fontId="3" type="noConversion"/>
  </si>
  <si>
    <t>PST2</t>
    <phoneticPr fontId="3" type="noConversion"/>
  </si>
  <si>
    <t>PN1</t>
    <phoneticPr fontId="3" type="noConversion"/>
  </si>
  <si>
    <t>AFR</t>
    <phoneticPr fontId="3" type="noConversion"/>
  </si>
  <si>
    <t>S7</t>
    <phoneticPr fontId="3" type="noConversion"/>
  </si>
  <si>
    <r>
      <t>OSAKA/</t>
    </r>
    <r>
      <rPr>
        <sz val="8"/>
        <rFont val="宋体"/>
        <family val="3"/>
        <charset val="134"/>
      </rPr>
      <t>大阪</t>
    </r>
    <phoneticPr fontId="3" type="noConversion"/>
  </si>
  <si>
    <t>SKS7</t>
    <phoneticPr fontId="3" type="noConversion"/>
  </si>
  <si>
    <t>SKS6</t>
    <phoneticPr fontId="3" type="noConversion"/>
  </si>
  <si>
    <t>S6</t>
    <phoneticPr fontId="3" type="noConversion"/>
  </si>
  <si>
    <t>VTX1</t>
    <phoneticPr fontId="3" type="noConversion"/>
  </si>
  <si>
    <t>SKS2</t>
    <phoneticPr fontId="3" type="noConversion"/>
  </si>
  <si>
    <t>S2</t>
    <phoneticPr fontId="3" type="noConversion"/>
  </si>
  <si>
    <r>
      <t>NAGOYA/</t>
    </r>
    <r>
      <rPr>
        <sz val="8"/>
        <rFont val="宋体"/>
        <family val="3"/>
        <charset val="134"/>
      </rPr>
      <t>名古屋</t>
    </r>
    <phoneticPr fontId="3" type="noConversion"/>
  </si>
  <si>
    <t>SNG7</t>
    <phoneticPr fontId="3" type="noConversion"/>
  </si>
  <si>
    <t>SNS</t>
    <phoneticPr fontId="3" type="noConversion"/>
  </si>
  <si>
    <t>SNG5</t>
    <phoneticPr fontId="3" type="noConversion"/>
  </si>
  <si>
    <t>SNG2</t>
    <phoneticPr fontId="3" type="noConversion"/>
  </si>
  <si>
    <r>
      <t>KOBE/</t>
    </r>
    <r>
      <rPr>
        <sz val="8"/>
        <rFont val="宋体"/>
        <family val="3"/>
        <charset val="134"/>
      </rPr>
      <t>神户</t>
    </r>
    <phoneticPr fontId="3" type="noConversion"/>
  </si>
  <si>
    <t>U7</t>
    <phoneticPr fontId="3" type="noConversion"/>
  </si>
  <si>
    <r>
      <t>HAKATA/</t>
    </r>
    <r>
      <rPr>
        <sz val="8"/>
        <rFont val="宋体"/>
        <family val="3"/>
        <charset val="134"/>
      </rPr>
      <t>博多</t>
    </r>
    <phoneticPr fontId="3" type="noConversion"/>
  </si>
  <si>
    <t>SKY1</t>
    <phoneticPr fontId="3" type="noConversion"/>
  </si>
  <si>
    <t>PSU/U6</t>
    <phoneticPr fontId="3" type="noConversion"/>
  </si>
  <si>
    <t>U5</t>
    <phoneticPr fontId="3" type="noConversion"/>
  </si>
  <si>
    <t>SKU</t>
    <phoneticPr fontId="3" type="noConversion"/>
  </si>
  <si>
    <r>
      <t>MOJI/</t>
    </r>
    <r>
      <rPr>
        <sz val="8"/>
        <rFont val="宋体"/>
        <family val="3"/>
        <charset val="134"/>
      </rPr>
      <t>门司</t>
    </r>
    <phoneticPr fontId="3" type="noConversion"/>
  </si>
  <si>
    <t>BYE $65/TEU CC</t>
    <phoneticPr fontId="3" type="noConversion"/>
  </si>
  <si>
    <t>3/4/5/6</t>
    <phoneticPr fontId="3" type="noConversion"/>
  </si>
  <si>
    <r>
      <t>YOKKAICHI/</t>
    </r>
    <r>
      <rPr>
        <sz val="8"/>
        <rFont val="宋体"/>
        <family val="3"/>
        <charset val="134"/>
      </rPr>
      <t>四日市</t>
    </r>
    <phoneticPr fontId="3" type="noConversion"/>
  </si>
  <si>
    <t>CRC $30/50 CC</t>
    <phoneticPr fontId="3" type="noConversion"/>
  </si>
  <si>
    <t>2/3/6</t>
    <phoneticPr fontId="3" type="noConversion"/>
  </si>
  <si>
    <t>STP/PCI</t>
    <phoneticPr fontId="3" type="noConversion"/>
  </si>
  <si>
    <t>CCS $30/50 CC</t>
    <phoneticPr fontId="3" type="noConversion"/>
  </si>
  <si>
    <t>7~14</t>
    <phoneticPr fontId="3" type="noConversion"/>
  </si>
  <si>
    <r>
      <rPr>
        <sz val="10"/>
        <color theme="0" tint="-0.34998626667073579"/>
        <rFont val="宋体"/>
        <family val="2"/>
        <charset val="134"/>
      </rPr>
      <t>2</t>
    </r>
    <r>
      <rPr>
        <sz val="10"/>
        <rFont val="宋体"/>
        <family val="2"/>
        <charset val="134"/>
      </rPr>
      <t>/4/</t>
    </r>
    <r>
      <rPr>
        <sz val="10"/>
        <color theme="0" tint="-0.34998626667073579"/>
        <rFont val="宋体"/>
        <family val="2"/>
        <charset val="134"/>
      </rPr>
      <t>6</t>
    </r>
    <r>
      <rPr>
        <sz val="10"/>
        <rFont val="宋体"/>
        <family val="2"/>
        <charset val="134"/>
      </rPr>
      <t>/7</t>
    </r>
    <phoneticPr fontId="3" type="noConversion"/>
  </si>
  <si>
    <r>
      <t>YATSUSHIRO/</t>
    </r>
    <r>
      <rPr>
        <sz val="8"/>
        <rFont val="宋体"/>
        <family val="3"/>
        <charset val="134"/>
      </rPr>
      <t>八代</t>
    </r>
    <phoneticPr fontId="3" type="noConversion"/>
  </si>
  <si>
    <t>EBS YAS $45/TEU CC</t>
    <phoneticPr fontId="3" type="noConversion"/>
  </si>
  <si>
    <t>2/3/4/5/6</t>
    <phoneticPr fontId="3" type="noConversion"/>
  </si>
  <si>
    <t>BAF YAS $45/TEU CRC $30/50 CC</t>
    <phoneticPr fontId="3" type="noConversion"/>
  </si>
  <si>
    <t>2/4/6</t>
    <phoneticPr fontId="3" type="noConversion"/>
  </si>
  <si>
    <r>
      <t>WAKAYAMA/</t>
    </r>
    <r>
      <rPr>
        <sz val="8"/>
        <rFont val="宋体"/>
        <family val="3"/>
        <charset val="134"/>
      </rPr>
      <t>和歌山</t>
    </r>
    <phoneticPr fontId="3" type="noConversion"/>
  </si>
  <si>
    <r>
      <t>UBE/</t>
    </r>
    <r>
      <rPr>
        <sz val="8"/>
        <rFont val="宋体"/>
        <family val="3"/>
        <charset val="134"/>
      </rPr>
      <t>宇部</t>
    </r>
    <phoneticPr fontId="3" type="noConversion"/>
  </si>
  <si>
    <r>
      <t>TOYAMA SHINKO/</t>
    </r>
    <r>
      <rPr>
        <sz val="8"/>
        <rFont val="宋体"/>
        <family val="3"/>
        <charset val="134"/>
      </rPr>
      <t>富山</t>
    </r>
    <phoneticPr fontId="3" type="noConversion"/>
  </si>
  <si>
    <r>
      <t>TOYOHASHI/</t>
    </r>
    <r>
      <rPr>
        <sz val="8"/>
        <rFont val="宋体"/>
        <family val="3"/>
        <charset val="134"/>
      </rPr>
      <t>丰桥</t>
    </r>
    <phoneticPr fontId="3" type="noConversion"/>
  </si>
  <si>
    <r>
      <t>TOMAKOMAI/</t>
    </r>
    <r>
      <rPr>
        <sz val="8"/>
        <rFont val="宋体"/>
        <family val="3"/>
        <charset val="134"/>
      </rPr>
      <t>占小牧</t>
    </r>
    <phoneticPr fontId="3" type="noConversion"/>
  </si>
  <si>
    <t>STP</t>
    <phoneticPr fontId="3" type="noConversion"/>
  </si>
  <si>
    <r>
      <t>TOKUYAMA/</t>
    </r>
    <r>
      <rPr>
        <sz val="8"/>
        <rFont val="宋体"/>
        <family val="3"/>
        <charset val="134"/>
      </rPr>
      <t>德山</t>
    </r>
    <phoneticPr fontId="3" type="noConversion"/>
  </si>
  <si>
    <r>
      <t>TOKUSHIMA/</t>
    </r>
    <r>
      <rPr>
        <sz val="8"/>
        <rFont val="宋体"/>
        <family val="3"/>
        <charset val="134"/>
      </rPr>
      <t>德岛</t>
    </r>
    <phoneticPr fontId="3" type="noConversion"/>
  </si>
  <si>
    <r>
      <t>TSURUGA/</t>
    </r>
    <r>
      <rPr>
        <sz val="8"/>
        <rFont val="宋体"/>
        <family val="3"/>
        <charset val="134"/>
      </rPr>
      <t>敦贺</t>
    </r>
    <phoneticPr fontId="3" type="noConversion"/>
  </si>
  <si>
    <r>
      <t>TAKAMAISU/</t>
    </r>
    <r>
      <rPr>
        <sz val="8"/>
        <rFont val="宋体"/>
        <family val="3"/>
        <charset val="134"/>
      </rPr>
      <t>高松</t>
    </r>
    <phoneticPr fontId="3" type="noConversion"/>
  </si>
  <si>
    <r>
      <t>SHIMONOSEKI/</t>
    </r>
    <r>
      <rPr>
        <sz val="8"/>
        <rFont val="宋体"/>
        <family val="3"/>
        <charset val="134"/>
      </rPr>
      <t>下关</t>
    </r>
    <phoneticPr fontId="3" type="noConversion"/>
  </si>
  <si>
    <r>
      <t>SHIMIZU/</t>
    </r>
    <r>
      <rPr>
        <sz val="8"/>
        <rFont val="宋体"/>
        <family val="3"/>
        <charset val="134"/>
      </rPr>
      <t>清水</t>
    </r>
    <phoneticPr fontId="3" type="noConversion"/>
  </si>
  <si>
    <t>CJT</t>
    <phoneticPr fontId="3" type="noConversion"/>
  </si>
  <si>
    <t>INCL BYE $65/TEU</t>
    <phoneticPr fontId="3" type="noConversion"/>
  </si>
  <si>
    <t>KJCS</t>
    <phoneticPr fontId="3" type="noConversion"/>
  </si>
  <si>
    <r>
      <t>SHIBUSHI/</t>
    </r>
    <r>
      <rPr>
        <sz val="8"/>
        <rFont val="宋体"/>
        <family val="3"/>
        <charset val="134"/>
      </rPr>
      <t>志布志</t>
    </r>
    <phoneticPr fontId="3" type="noConversion"/>
  </si>
  <si>
    <r>
      <t>SENDAI/</t>
    </r>
    <r>
      <rPr>
        <sz val="8"/>
        <rFont val="宋体"/>
        <family val="3"/>
        <charset val="134"/>
      </rPr>
      <t>仙台</t>
    </r>
    <phoneticPr fontId="3" type="noConversion"/>
  </si>
  <si>
    <t>2/4</t>
    <phoneticPr fontId="3" type="noConversion"/>
  </si>
  <si>
    <r>
      <t>SAKAIMINATO/</t>
    </r>
    <r>
      <rPr>
        <sz val="8"/>
        <rFont val="宋体"/>
        <family val="3"/>
        <charset val="134"/>
      </rPr>
      <t>境港</t>
    </r>
    <phoneticPr fontId="3" type="noConversion"/>
  </si>
  <si>
    <r>
      <t>SATSUMA SENDAI/</t>
    </r>
    <r>
      <rPr>
        <sz val="8"/>
        <rFont val="宋体"/>
        <family val="3"/>
        <charset val="134"/>
      </rPr>
      <t>川内</t>
    </r>
    <phoneticPr fontId="3" type="noConversion"/>
  </si>
  <si>
    <r>
      <t>SAKATA/</t>
    </r>
    <r>
      <rPr>
        <sz val="8"/>
        <rFont val="宋体"/>
        <family val="3"/>
        <charset val="134"/>
      </rPr>
      <t>酒田</t>
    </r>
    <phoneticPr fontId="3" type="noConversion"/>
  </si>
  <si>
    <r>
      <t>ONAHAMA/</t>
    </r>
    <r>
      <rPr>
        <sz val="8"/>
        <rFont val="宋体"/>
        <family val="3"/>
        <charset val="134"/>
      </rPr>
      <t>小名滨港</t>
    </r>
    <phoneticPr fontId="3" type="noConversion"/>
  </si>
  <si>
    <r>
      <t>OTAKE/</t>
    </r>
    <r>
      <rPr>
        <sz val="8"/>
        <rFont val="宋体"/>
        <family val="3"/>
        <charset val="134"/>
      </rPr>
      <t>大竹</t>
    </r>
    <phoneticPr fontId="3" type="noConversion"/>
  </si>
  <si>
    <r>
      <t>OITA/</t>
    </r>
    <r>
      <rPr>
        <sz val="8"/>
        <rFont val="宋体"/>
        <family val="3"/>
        <charset val="134"/>
      </rPr>
      <t>大分</t>
    </r>
    <phoneticPr fontId="3" type="noConversion"/>
  </si>
  <si>
    <r>
      <t>NIGATA/</t>
    </r>
    <r>
      <rPr>
        <sz val="8"/>
        <rFont val="宋体"/>
        <family val="3"/>
        <charset val="134"/>
      </rPr>
      <t>新泻</t>
    </r>
    <phoneticPr fontId="3" type="noConversion"/>
  </si>
  <si>
    <r>
      <t>NAONETSU/</t>
    </r>
    <r>
      <rPr>
        <sz val="8"/>
        <rFont val="宋体"/>
        <family val="3"/>
        <charset val="134"/>
      </rPr>
      <t>直江津</t>
    </r>
    <phoneticPr fontId="3" type="noConversion"/>
  </si>
  <si>
    <r>
      <t>NAKANOSEKI/</t>
    </r>
    <r>
      <rPr>
        <sz val="8"/>
        <rFont val="宋体"/>
        <family val="3"/>
        <charset val="134"/>
      </rPr>
      <t>中关</t>
    </r>
    <phoneticPr fontId="3" type="noConversion"/>
  </si>
  <si>
    <r>
      <t>NAGASAKI/</t>
    </r>
    <r>
      <rPr>
        <sz val="8"/>
        <rFont val="宋体"/>
        <family val="3"/>
        <charset val="134"/>
      </rPr>
      <t>长崎</t>
    </r>
    <phoneticPr fontId="3" type="noConversion"/>
  </si>
  <si>
    <r>
      <t xml:space="preserve">AFR $30 CAF </t>
    </r>
    <r>
      <rPr>
        <sz val="8"/>
        <rFont val="宋体"/>
        <family val="3"/>
        <charset val="134"/>
      </rPr>
      <t>￥</t>
    </r>
    <r>
      <rPr>
        <sz val="8"/>
        <rFont val="宋体"/>
        <family val="2"/>
        <charset val="134"/>
      </rPr>
      <t>500/TEU</t>
    </r>
    <phoneticPr fontId="3" type="noConversion"/>
  </si>
  <si>
    <r>
      <t>NAHA/</t>
    </r>
    <r>
      <rPr>
        <sz val="8"/>
        <rFont val="宋体"/>
        <family val="3"/>
        <charset val="134"/>
      </rPr>
      <t>那霸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</si>
  <si>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40'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25T NO ACCEPT</t>
    </r>
    <phoneticPr fontId="3" type="noConversion"/>
  </si>
  <si>
    <t>NP2/MAX/NP3</t>
    <phoneticPr fontId="3" type="noConversion"/>
  </si>
  <si>
    <t>8/7/7</t>
    <phoneticPr fontId="3" type="noConversion"/>
  </si>
  <si>
    <t>4/5/6</t>
    <phoneticPr fontId="3" type="noConversion"/>
  </si>
  <si>
    <t>STW1</t>
    <phoneticPr fontId="3" type="noConversion"/>
  </si>
  <si>
    <t>BAF $240/TEU YAS $35/TEU AFR $30</t>
    <phoneticPr fontId="3" type="noConversion"/>
  </si>
  <si>
    <r>
      <t>MURORAN/</t>
    </r>
    <r>
      <rPr>
        <sz val="8"/>
        <rFont val="宋体"/>
        <family val="3"/>
        <charset val="134"/>
      </rPr>
      <t>室兰</t>
    </r>
    <phoneticPr fontId="3" type="noConversion"/>
  </si>
  <si>
    <r>
      <t>MIZUSHIMA/</t>
    </r>
    <r>
      <rPr>
        <sz val="8"/>
        <rFont val="宋体"/>
        <family val="3"/>
        <charset val="134"/>
      </rPr>
      <t>水岛</t>
    </r>
    <phoneticPr fontId="3" type="noConversion"/>
  </si>
  <si>
    <r>
      <t>MIIKE/</t>
    </r>
    <r>
      <rPr>
        <sz val="8"/>
        <rFont val="宋体"/>
        <family val="3"/>
        <charset val="134"/>
      </rPr>
      <t>三池</t>
    </r>
    <phoneticPr fontId="3" type="noConversion"/>
  </si>
  <si>
    <r>
      <t>MAIZURU/</t>
    </r>
    <r>
      <rPr>
        <sz val="8"/>
        <rFont val="宋体"/>
        <family val="3"/>
        <charset val="134"/>
      </rPr>
      <t>舞鹤</t>
    </r>
    <phoneticPr fontId="3" type="noConversion"/>
  </si>
  <si>
    <r>
      <t>MATSUYAMA/</t>
    </r>
    <r>
      <rPr>
        <sz val="8"/>
        <rFont val="宋体"/>
        <family val="3"/>
        <charset val="134"/>
      </rPr>
      <t>松山</t>
    </r>
    <phoneticPr fontId="3" type="noConversion"/>
  </si>
  <si>
    <t>KJCS/KMSK</t>
    <phoneticPr fontId="3" type="noConversion"/>
  </si>
  <si>
    <r>
      <t>KUSHIRO/</t>
    </r>
    <r>
      <rPr>
        <sz val="8"/>
        <rFont val="宋体"/>
        <family val="3"/>
        <charset val="134"/>
      </rPr>
      <t>钏路</t>
    </r>
    <phoneticPr fontId="3" type="noConversion"/>
  </si>
  <si>
    <r>
      <t>KUMAMOTO/</t>
    </r>
    <r>
      <rPr>
        <sz val="8"/>
        <rFont val="宋体"/>
        <family val="3"/>
        <charset val="134"/>
      </rPr>
      <t>熊本</t>
    </r>
    <phoneticPr fontId="3" type="noConversion"/>
  </si>
  <si>
    <r>
      <t>KOCHI/</t>
    </r>
    <r>
      <rPr>
        <sz val="8"/>
        <rFont val="宋体"/>
        <family val="3"/>
        <charset val="134"/>
      </rPr>
      <t>高知</t>
    </r>
    <phoneticPr fontId="3" type="noConversion"/>
  </si>
  <si>
    <r>
      <t>KAWASAKI/</t>
    </r>
    <r>
      <rPr>
        <sz val="8"/>
        <rFont val="宋体"/>
        <family val="3"/>
        <charset val="134"/>
      </rPr>
      <t>川崎</t>
    </r>
    <phoneticPr fontId="3" type="noConversion"/>
  </si>
  <si>
    <r>
      <t>KASHIMA/</t>
    </r>
    <r>
      <rPr>
        <sz val="8"/>
        <rFont val="宋体"/>
        <family val="3"/>
        <charset val="134"/>
      </rPr>
      <t>鹿岛</t>
    </r>
    <phoneticPr fontId="3" type="noConversion"/>
  </si>
  <si>
    <t>日本线</t>
    <phoneticPr fontId="3" type="noConversion"/>
  </si>
  <si>
    <r>
      <t>KANAZAWA/</t>
    </r>
    <r>
      <rPr>
        <sz val="8"/>
        <rFont val="宋体"/>
        <family val="3"/>
        <charset val="134"/>
      </rPr>
      <t>金泽</t>
    </r>
    <phoneticPr fontId="3" type="noConversion"/>
  </si>
  <si>
    <r>
      <t>IYOISHIMA/</t>
    </r>
    <r>
      <rPr>
        <sz val="8"/>
        <rFont val="宋体"/>
        <family val="3"/>
        <charset val="134"/>
      </rPr>
      <t>伊予三岛</t>
    </r>
    <phoneticPr fontId="3" type="noConversion"/>
  </si>
  <si>
    <r>
      <t>IWAKUNI/</t>
    </r>
    <r>
      <rPr>
        <sz val="8"/>
        <rFont val="宋体"/>
        <family val="3"/>
        <charset val="134"/>
      </rPr>
      <t>岩国</t>
    </r>
    <phoneticPr fontId="3" type="noConversion"/>
  </si>
  <si>
    <r>
      <t>ISHIKARI/</t>
    </r>
    <r>
      <rPr>
        <sz val="8"/>
        <rFont val="宋体"/>
        <family val="3"/>
        <charset val="134"/>
      </rPr>
      <t>石狩</t>
    </r>
    <phoneticPr fontId="3" type="noConversion"/>
  </si>
  <si>
    <r>
      <t>IMARI/</t>
    </r>
    <r>
      <rPr>
        <sz val="8"/>
        <rFont val="宋体"/>
        <family val="3"/>
        <charset val="134"/>
      </rPr>
      <t>伊万里</t>
    </r>
    <phoneticPr fontId="3" type="noConversion"/>
  </si>
  <si>
    <r>
      <t>IMABARI/</t>
    </r>
    <r>
      <rPr>
        <sz val="8"/>
        <rFont val="宋体"/>
        <family val="3"/>
        <charset val="134"/>
      </rPr>
      <t>今治</t>
    </r>
    <phoneticPr fontId="3" type="noConversion"/>
  </si>
  <si>
    <r>
      <t>HOSOSHIMA/</t>
    </r>
    <r>
      <rPr>
        <sz val="8"/>
        <rFont val="宋体"/>
        <family val="3"/>
        <charset val="134"/>
      </rPr>
      <t>细岛</t>
    </r>
    <phoneticPr fontId="3" type="noConversion"/>
  </si>
  <si>
    <r>
      <t>HITACHINAKA/</t>
    </r>
    <r>
      <rPr>
        <sz val="8"/>
        <rFont val="宋体"/>
        <family val="3"/>
        <charset val="134"/>
      </rPr>
      <t>常路那珂</t>
    </r>
    <phoneticPr fontId="3" type="noConversion"/>
  </si>
  <si>
    <r>
      <t>HIROSHIMA/</t>
    </r>
    <r>
      <rPr>
        <sz val="8"/>
        <rFont val="宋体"/>
        <family val="3"/>
        <charset val="134"/>
      </rPr>
      <t>广岛</t>
    </r>
    <phoneticPr fontId="3" type="noConversion"/>
  </si>
  <si>
    <t>HIBIKI</t>
    <phoneticPr fontId="3" type="noConversion"/>
  </si>
  <si>
    <r>
      <t>HAMADA/</t>
    </r>
    <r>
      <rPr>
        <sz val="8"/>
        <rFont val="宋体"/>
        <family val="3"/>
        <charset val="134"/>
      </rPr>
      <t>滨田</t>
    </r>
    <phoneticPr fontId="3" type="noConversion"/>
  </si>
  <si>
    <r>
      <t>HAKODATE/</t>
    </r>
    <r>
      <rPr>
        <sz val="8"/>
        <rFont val="宋体"/>
        <family val="3"/>
        <charset val="134"/>
      </rPr>
      <t>函馆</t>
    </r>
    <phoneticPr fontId="3" type="noConversion"/>
  </si>
  <si>
    <r>
      <t>HACHINOHE/</t>
    </r>
    <r>
      <rPr>
        <sz val="8"/>
        <rFont val="宋体"/>
        <family val="3"/>
        <charset val="134"/>
      </rPr>
      <t>八户</t>
    </r>
    <phoneticPr fontId="3" type="noConversion"/>
  </si>
  <si>
    <r>
      <t>FUKUYAMA/</t>
    </r>
    <r>
      <rPr>
        <sz val="8"/>
        <rFont val="宋体"/>
        <family val="3"/>
        <charset val="134"/>
      </rPr>
      <t>福山</t>
    </r>
    <phoneticPr fontId="3" type="noConversion"/>
  </si>
  <si>
    <r>
      <t>CHIBA/</t>
    </r>
    <r>
      <rPr>
        <sz val="8"/>
        <rFont val="宋体"/>
        <family val="3"/>
        <charset val="134"/>
      </rPr>
      <t>千叶</t>
    </r>
    <phoneticPr fontId="3" type="noConversion"/>
  </si>
  <si>
    <r>
      <t>AKITA/</t>
    </r>
    <r>
      <rPr>
        <sz val="8"/>
        <rFont val="宋体"/>
        <family val="3"/>
        <charset val="134"/>
      </rPr>
      <t>秋田</t>
    </r>
    <phoneticPr fontId="3" type="noConversion"/>
  </si>
  <si>
    <r>
      <t>ABURATSU/</t>
    </r>
    <r>
      <rPr>
        <sz val="8"/>
        <rFont val="宋体"/>
        <family val="3"/>
        <charset val="134"/>
      </rPr>
      <t>油津</t>
    </r>
    <phoneticPr fontId="3" type="noConversion"/>
  </si>
  <si>
    <t>14+7</t>
    <phoneticPr fontId="3" type="noConversion"/>
  </si>
  <si>
    <t>ST2</t>
    <phoneticPr fontId="3" type="noConversion"/>
  </si>
  <si>
    <t>TWKEE</t>
    <phoneticPr fontId="3" type="noConversion"/>
  </si>
  <si>
    <t>TAOYUAN</t>
    <phoneticPr fontId="3" type="noConversion"/>
  </si>
  <si>
    <t>TAIWAN</t>
    <phoneticPr fontId="3" type="noConversion"/>
  </si>
  <si>
    <r>
      <rPr>
        <sz val="8"/>
        <rFont val="Comic Sans MS"/>
        <family val="4"/>
      </rPr>
      <t>台湾线</t>
    </r>
    <phoneticPr fontId="3" type="noConversion"/>
  </si>
  <si>
    <t>20'&lt;23.7T 40'&lt;24.9T</t>
    <phoneticPr fontId="3" type="noConversion"/>
  </si>
  <si>
    <t>SKII/NST</t>
    <phoneticPr fontId="3" type="noConversion"/>
  </si>
  <si>
    <t>NSK</t>
    <phoneticPr fontId="3" type="noConversion"/>
  </si>
  <si>
    <t>NT1</t>
    <phoneticPr fontId="3" type="noConversion"/>
  </si>
  <si>
    <t>TSL</t>
    <phoneticPr fontId="3" type="noConversion"/>
  </si>
  <si>
    <t>CTE</t>
    <phoneticPr fontId="3" type="noConversion"/>
  </si>
  <si>
    <t>STW2</t>
    <phoneticPr fontId="3" type="noConversion"/>
  </si>
  <si>
    <t>10+3</t>
    <phoneticPr fontId="3" type="noConversion"/>
  </si>
  <si>
    <t>SHA</t>
    <phoneticPr fontId="3" type="noConversion"/>
  </si>
  <si>
    <t>TAIPEI</t>
    <phoneticPr fontId="3" type="noConversion"/>
  </si>
  <si>
    <t>340</t>
    <phoneticPr fontId="3" type="noConversion"/>
  </si>
  <si>
    <t>170</t>
    <phoneticPr fontId="3" type="noConversion"/>
  </si>
  <si>
    <t>KAOHSIUNG</t>
    <phoneticPr fontId="3" type="noConversion"/>
  </si>
  <si>
    <t>NST</t>
    <phoneticPr fontId="3" type="noConversion"/>
  </si>
  <si>
    <t>SKII</t>
    <phoneticPr fontId="3" type="noConversion"/>
  </si>
  <si>
    <t>SHM</t>
    <phoneticPr fontId="3" type="noConversion"/>
  </si>
  <si>
    <t>TAICHUNG</t>
    <phoneticPr fontId="3" type="noConversion"/>
  </si>
  <si>
    <t>KEELUNG</t>
    <phoneticPr fontId="3" type="noConversion"/>
  </si>
  <si>
    <t>BAF $190/TEU CAF $30/TEU</t>
    <phoneticPr fontId="3" type="noConversion"/>
  </si>
  <si>
    <t>-40</t>
    <phoneticPr fontId="3" type="noConversion"/>
  </si>
  <si>
    <t>ULSAN</t>
    <phoneticPr fontId="3" type="noConversion"/>
  </si>
  <si>
    <t>SOUTH KOREA</t>
    <phoneticPr fontId="3" type="noConversion"/>
  </si>
  <si>
    <r>
      <rPr>
        <sz val="8"/>
        <rFont val="Comic Sans MS"/>
        <family val="4"/>
      </rPr>
      <t>韩国线</t>
    </r>
    <phoneticPr fontId="3" type="noConversion"/>
  </si>
  <si>
    <t>CKR</t>
    <phoneticPr fontId="3" type="noConversion"/>
  </si>
  <si>
    <t>CSH3</t>
    <phoneticPr fontId="3" type="noConversion"/>
  </si>
  <si>
    <t>-60</t>
    <phoneticPr fontId="3" type="noConversion"/>
  </si>
  <si>
    <t>-30</t>
    <phoneticPr fontId="3" type="noConversion"/>
  </si>
  <si>
    <t>KIS1</t>
    <phoneticPr fontId="3" type="noConversion"/>
  </si>
  <si>
    <t>KI1</t>
    <phoneticPr fontId="3" type="noConversion"/>
  </si>
  <si>
    <t>80</t>
    <phoneticPr fontId="3" type="noConversion"/>
  </si>
  <si>
    <t>POHANG</t>
    <phoneticPr fontId="3" type="noConversion"/>
  </si>
  <si>
    <t>PSS</t>
    <phoneticPr fontId="3" type="noConversion"/>
  </si>
  <si>
    <t>PYONGTAEK</t>
    <phoneticPr fontId="3" type="noConversion"/>
  </si>
  <si>
    <t>KUNSAN</t>
    <phoneticPr fontId="3" type="noConversion"/>
  </si>
  <si>
    <t>220</t>
    <phoneticPr fontId="3" type="noConversion"/>
  </si>
  <si>
    <t>KWANGYANG</t>
    <phoneticPr fontId="3" type="noConversion"/>
  </si>
  <si>
    <t>BS4</t>
    <phoneticPr fontId="3" type="noConversion"/>
  </si>
  <si>
    <r>
      <rPr>
        <sz val="8"/>
        <color rgb="FFFF0000"/>
        <rFont val="宋体"/>
        <family val="3"/>
        <charset val="134"/>
      </rPr>
      <t>如</t>
    </r>
    <r>
      <rPr>
        <sz val="8"/>
        <color rgb="FFFF0000"/>
        <rFont val="宋体"/>
        <family val="2"/>
        <charset val="134"/>
      </rPr>
      <t>BAF CAF</t>
    </r>
    <r>
      <rPr>
        <sz val="8"/>
        <color rgb="FFFF0000"/>
        <rFont val="宋体"/>
        <family val="3"/>
        <charset val="134"/>
      </rPr>
      <t>到付</t>
    </r>
    <r>
      <rPr>
        <sz val="8"/>
        <color rgb="FFFF0000"/>
        <rFont val="宋体"/>
        <family val="2"/>
        <charset val="134"/>
      </rPr>
      <t xml:space="preserve"> </t>
    </r>
    <r>
      <rPr>
        <sz val="8"/>
        <color rgb="FFFF0000"/>
        <rFont val="宋体"/>
        <family val="3"/>
        <charset val="134"/>
      </rPr>
      <t>运费需另外确认</t>
    </r>
    <phoneticPr fontId="3" type="noConversion"/>
  </si>
  <si>
    <t>ALL IN INCL BAF CAF</t>
    <phoneticPr fontId="3" type="noConversion"/>
  </si>
  <si>
    <t>KNS4</t>
    <phoneticPr fontId="3" type="noConversion"/>
  </si>
  <si>
    <t>PN2</t>
    <phoneticPr fontId="3" type="noConversion"/>
  </si>
  <si>
    <t>NBS</t>
    <phoneticPr fontId="3" type="noConversion"/>
  </si>
  <si>
    <t>CJK</t>
    <phoneticPr fontId="3" type="noConversion"/>
  </si>
  <si>
    <t>BS6</t>
    <phoneticPr fontId="3" type="noConversion"/>
  </si>
  <si>
    <t>CKI</t>
    <phoneticPr fontId="3" type="noConversion"/>
  </si>
  <si>
    <t>INCHON</t>
    <phoneticPr fontId="3" type="noConversion"/>
  </si>
  <si>
    <t>INS</t>
    <phoneticPr fontId="3" type="noConversion"/>
  </si>
  <si>
    <t>CIN</t>
    <phoneticPr fontId="3" type="noConversion"/>
  </si>
  <si>
    <t>BURN ASIA</t>
    <phoneticPr fontId="3" type="noConversion"/>
  </si>
  <si>
    <t>CJM2</t>
    <phoneticPr fontId="3" type="noConversion"/>
  </si>
  <si>
    <t>CSCL</t>
    <phoneticPr fontId="3" type="noConversion"/>
  </si>
  <si>
    <t>YZJ</t>
    <phoneticPr fontId="3" type="noConversion"/>
  </si>
  <si>
    <t>AK12</t>
    <phoneticPr fontId="3" type="noConversion"/>
  </si>
  <si>
    <t>120</t>
    <phoneticPr fontId="3" type="noConversion"/>
  </si>
  <si>
    <t>SKZC</t>
    <phoneticPr fontId="3" type="noConversion"/>
  </si>
  <si>
    <t>ISS2</t>
    <phoneticPr fontId="3" type="noConversion"/>
  </si>
  <si>
    <t>2/5</t>
    <phoneticPr fontId="3" type="noConversion"/>
  </si>
  <si>
    <t>CJM1</t>
    <phoneticPr fontId="3" type="noConversion"/>
  </si>
  <si>
    <t>ISS</t>
    <phoneticPr fontId="3" type="noConversion"/>
  </si>
  <si>
    <t>DAESAN</t>
    <phoneticPr fontId="3" type="noConversion"/>
  </si>
  <si>
    <t>BUSAN</t>
    <phoneticPr fontId="3" type="noConversion"/>
  </si>
  <si>
    <t>OLD</t>
    <phoneticPr fontId="3" type="noConversion"/>
  </si>
  <si>
    <t>TSJ1</t>
    <phoneticPr fontId="3" type="noConversion"/>
  </si>
  <si>
    <t>CSH1</t>
    <phoneticPr fontId="3" type="noConversion"/>
  </si>
  <si>
    <t>WGQ6</t>
    <phoneticPr fontId="3" type="noConversion"/>
  </si>
  <si>
    <t>NEW</t>
    <phoneticPr fontId="3" type="noConversion"/>
  </si>
  <si>
    <t>-300</t>
    <phoneticPr fontId="3" type="noConversion"/>
  </si>
  <si>
    <t>-175</t>
    <phoneticPr fontId="3" type="noConversion"/>
  </si>
  <si>
    <t>BS9</t>
    <phoneticPr fontId="3" type="noConversion"/>
  </si>
  <si>
    <t>2/3/4/5/6/7</t>
    <phoneticPr fontId="3" type="noConversion"/>
  </si>
  <si>
    <t>限重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</si>
  <si>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15.7T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19.7T $400</t>
    </r>
    <phoneticPr fontId="3" type="noConversion"/>
  </si>
  <si>
    <t>ISPS $6/BOX AMS $30</t>
    <phoneticPr fontId="3" type="noConversion"/>
  </si>
  <si>
    <t>ENS $25</t>
    <phoneticPr fontId="3" type="noConversion"/>
  </si>
  <si>
    <t>ESALG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</si>
  <si>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23T $400</t>
    </r>
    <phoneticPr fontId="3" type="noConversion"/>
  </si>
  <si>
    <t>DEHAM</t>
    <phoneticPr fontId="3" type="noConversion"/>
  </si>
  <si>
    <r>
      <rPr>
        <sz val="10"/>
        <color theme="0" tint="-0.499984740745262"/>
        <rFont val="Arial"/>
        <family val="2"/>
      </rPr>
      <t>3/</t>
    </r>
    <r>
      <rPr>
        <sz val="10"/>
        <color indexed="8"/>
        <rFont val="Arial"/>
        <family val="2"/>
      </rPr>
      <t>7</t>
    </r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</si>
  <si>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23T $200</t>
    </r>
    <phoneticPr fontId="3" type="noConversion"/>
  </si>
  <si>
    <t>欧地线内陆点</t>
    <phoneticPr fontId="3" type="noConversion"/>
  </si>
  <si>
    <t>CZECH</t>
    <phoneticPr fontId="3" type="noConversion"/>
  </si>
  <si>
    <t>LSS $55/TEU ISPS $12/BOX ENS $35</t>
    <phoneticPr fontId="3" type="noConversion"/>
  </si>
  <si>
    <r>
      <t>*20'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$500</t>
    </r>
    <phoneticPr fontId="3" type="noConversion"/>
  </si>
  <si>
    <t>LSS $59/TEU ENS $30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</si>
  <si>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17.7T $150</t>
    </r>
    <phoneticPr fontId="3" type="noConversion"/>
  </si>
  <si>
    <t>ESVAL</t>
    <phoneticPr fontId="3" type="noConversion"/>
  </si>
  <si>
    <t>FAL1</t>
    <phoneticPr fontId="3" type="noConversion"/>
  </si>
  <si>
    <t>AE2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</si>
  <si>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21T $200</t>
    </r>
    <phoneticPr fontId="3" type="noConversion"/>
  </si>
  <si>
    <t>FE4</t>
    <phoneticPr fontId="3" type="noConversion"/>
  </si>
  <si>
    <t>LION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</si>
  <si>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15.7T $200</t>
    </r>
    <phoneticPr fontId="3" type="noConversion"/>
  </si>
  <si>
    <t>AEJAL</t>
    <phoneticPr fontId="3" type="noConversion"/>
  </si>
  <si>
    <t>LAE</t>
    <phoneticPr fontId="3" type="noConversion"/>
  </si>
  <si>
    <t>26/33</t>
    <phoneticPr fontId="3" type="noConversion"/>
  </si>
  <si>
    <t>28/35</t>
    <phoneticPr fontId="3" type="noConversion"/>
  </si>
  <si>
    <t>13/20</t>
    <phoneticPr fontId="3" type="noConversion"/>
  </si>
  <si>
    <t>LAUTOKA</t>
    <phoneticPr fontId="3" type="noConversion"/>
  </si>
  <si>
    <t>FIJI</t>
    <phoneticPr fontId="3" type="noConversion"/>
  </si>
  <si>
    <r>
      <rPr>
        <sz val="10"/>
        <color theme="1"/>
        <rFont val="宋体"/>
        <family val="3"/>
        <charset val="134"/>
      </rPr>
      <t>运价</t>
    </r>
    <phoneticPr fontId="3" type="noConversion"/>
  </si>
  <si>
    <t>需确认接载</t>
    <phoneticPr fontId="3" type="noConversion"/>
  </si>
  <si>
    <t>1200</t>
    <phoneticPr fontId="3" type="noConversion"/>
  </si>
  <si>
    <t>PTSIE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</si>
  <si>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20T $150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$350</t>
    </r>
    <phoneticPr fontId="3" type="noConversion"/>
  </si>
  <si>
    <t>FEWA</t>
    <phoneticPr fontId="3" type="noConversion"/>
  </si>
  <si>
    <t>AOLUA</t>
    <phoneticPr fontId="3" type="noConversion"/>
  </si>
  <si>
    <t>52</t>
    <phoneticPr fontId="3" type="noConversion"/>
  </si>
  <si>
    <t>XOCHIMILCO</t>
    <phoneticPr fontId="3" type="noConversion"/>
  </si>
  <si>
    <t>XALAPA</t>
    <phoneticPr fontId="3" type="noConversion"/>
  </si>
  <si>
    <t>VISTA HERMOSA</t>
    <phoneticPr fontId="3" type="noConversion"/>
  </si>
  <si>
    <t>VILLAHERMOSA</t>
    <phoneticPr fontId="3" type="noConversion"/>
  </si>
  <si>
    <t>URUAPAN</t>
    <phoneticPr fontId="3" type="noConversion"/>
  </si>
  <si>
    <t>TUXTLA GUTIERREZ</t>
    <phoneticPr fontId="3" type="noConversion"/>
  </si>
  <si>
    <t>TORREON</t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</si>
  <si>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16T $100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$400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</si>
  <si>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15.7T $300</t>
    </r>
    <phoneticPr fontId="3" type="noConversion"/>
  </si>
  <si>
    <t>ISPS $10/BOX AMS $30</t>
    <phoneticPr fontId="3" type="noConversion"/>
  </si>
  <si>
    <t>WSA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</si>
  <si>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$250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23T $500</t>
    </r>
    <phoneticPr fontId="3" type="noConversion"/>
  </si>
  <si>
    <t>FSD $50/BOX PP</t>
    <phoneticPr fontId="3" type="noConversion"/>
  </si>
  <si>
    <t>AN1/AC2/AN2/AME/JCS</t>
    <phoneticPr fontId="3" type="noConversion"/>
  </si>
  <si>
    <r>
      <rPr>
        <sz val="10"/>
        <rFont val="宋体"/>
        <family val="3"/>
        <charset val="134"/>
      </rPr>
      <t>墨西哥内陆点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</si>
  <si>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$200</t>
    </r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</si>
  <si>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22T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22T TO DOOR</t>
    </r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</si>
  <si>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25T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34T TO DOOR</t>
    </r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</si>
  <si>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20T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20T TO DOOR</t>
    </r>
    <phoneticPr fontId="3" type="noConversion"/>
  </si>
  <si>
    <t>HEREDIA</t>
    <phoneticPr fontId="3" type="noConversion"/>
  </si>
  <si>
    <t>COSTA RICA</t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</si>
  <si>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21.5T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21.5T TO DOOR</t>
    </r>
    <phoneticPr fontId="3" type="noConversion"/>
  </si>
  <si>
    <t>CARTAGO</t>
    <phoneticPr fontId="3" type="noConversion"/>
  </si>
  <si>
    <t>ALAJUELA</t>
    <phoneticPr fontId="3" type="noConversion"/>
  </si>
  <si>
    <t>SAN JOSE</t>
    <phoneticPr fontId="3" type="noConversion"/>
  </si>
  <si>
    <t>AMATITLAN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</si>
  <si>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15T $100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$300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</si>
  <si>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16T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$400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$800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</si>
  <si>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$150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23T $300</t>
    </r>
    <phoneticPr fontId="3" type="noConversion"/>
  </si>
  <si>
    <t>ASAS2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</si>
  <si>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15.7T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17.7T $400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19.7T $600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21.7T $800</t>
    </r>
    <phoneticPr fontId="3" type="noConversion"/>
  </si>
  <si>
    <t>PUERTO SAN JOSE</t>
    <phoneticPr fontId="3" type="noConversion"/>
  </si>
  <si>
    <r>
      <t>3/</t>
    </r>
    <r>
      <rPr>
        <sz val="10"/>
        <color theme="0" tint="-0.499984740745262"/>
        <rFont val="Arial"/>
        <family val="2"/>
      </rPr>
      <t>7</t>
    </r>
    <phoneticPr fontId="3" type="noConversion"/>
  </si>
  <si>
    <t>南美东</t>
    <phoneticPr fontId="3" type="noConversion"/>
  </si>
  <si>
    <t>CAACUPE MI</t>
    <phoneticPr fontId="3" type="noConversion"/>
  </si>
  <si>
    <r>
      <rPr>
        <sz val="8"/>
        <rFont val="宋体"/>
        <family val="3"/>
        <charset val="134"/>
      </rPr>
      <t>正常申请</t>
    </r>
    <r>
      <rPr>
        <sz val="8"/>
        <rFont val="Arial"/>
        <family val="2"/>
      </rPr>
      <t>14</t>
    </r>
    <r>
      <rPr>
        <sz val="8"/>
        <rFont val="宋体"/>
        <family val="3"/>
        <charset val="134"/>
      </rPr>
      <t>天</t>
    </r>
    <r>
      <rPr>
        <sz val="8"/>
        <rFont val="Arial"/>
        <family val="2"/>
      </rPr>
      <t xml:space="preserve"> </t>
    </r>
    <r>
      <rPr>
        <sz val="8"/>
        <rFont val="宋体"/>
        <family val="3"/>
        <charset val="134"/>
      </rPr>
      <t>最多</t>
    </r>
    <r>
      <rPr>
        <sz val="8"/>
        <rFont val="Arial"/>
        <family val="2"/>
      </rPr>
      <t>21</t>
    </r>
    <r>
      <rPr>
        <sz val="8"/>
        <rFont val="宋体"/>
        <family val="3"/>
        <charset val="134"/>
      </rPr>
      <t>天</t>
    </r>
    <phoneticPr fontId="3" type="noConversion"/>
  </si>
  <si>
    <t>PAMAN</t>
    <phoneticPr fontId="3" type="noConversion"/>
  </si>
  <si>
    <t>SEPETIBA/ITAGUAI</t>
    <phoneticPr fontId="3" type="noConversion"/>
  </si>
  <si>
    <t>ITAPOA</t>
    <phoneticPr fontId="3" type="noConversion"/>
  </si>
  <si>
    <t>SANTOS</t>
    <phoneticPr fontId="3" type="noConversion"/>
  </si>
  <si>
    <t>RIO DE JANEIRO</t>
    <phoneticPr fontId="3" type="noConversion"/>
  </si>
  <si>
    <t>ZARATE</t>
    <phoneticPr fontId="3" type="noConversion"/>
  </si>
  <si>
    <t>BRRIG</t>
    <phoneticPr fontId="3" type="noConversion"/>
  </si>
  <si>
    <t>USHUAIA</t>
    <phoneticPr fontId="3" type="noConversion"/>
  </si>
  <si>
    <t>SANTA FE</t>
    <phoneticPr fontId="3" type="noConversion"/>
  </si>
  <si>
    <t>ROSARIO</t>
    <phoneticPr fontId="3" type="noConversion"/>
  </si>
  <si>
    <t>PUERTO MADRYN</t>
    <phoneticPr fontId="3" type="noConversion"/>
  </si>
  <si>
    <t>PUERTO DESEADO</t>
    <phoneticPr fontId="3" type="noConversion"/>
  </si>
  <si>
    <t>MAR DEL PLATA</t>
    <phoneticPr fontId="3" type="noConversion"/>
  </si>
  <si>
    <t>ISPS $15/BOX MAF $20/TEU AMS $35</t>
    <phoneticPr fontId="3" type="noConversion"/>
  </si>
  <si>
    <t>BERMUDA</t>
    <phoneticPr fontId="3" type="noConversion"/>
  </si>
  <si>
    <t>加勒比线</t>
    <phoneticPr fontId="3" type="noConversion"/>
  </si>
  <si>
    <t>BSFRP</t>
    <phoneticPr fontId="3" type="noConversion"/>
  </si>
  <si>
    <r>
      <t>1/</t>
    </r>
    <r>
      <rPr>
        <sz val="10"/>
        <color theme="0" tint="-0.499984740745262"/>
        <rFont val="Arial"/>
        <family val="2"/>
      </rPr>
      <t>7</t>
    </r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</si>
  <si>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26T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26T TO DOOR</t>
    </r>
    <phoneticPr fontId="3" type="noConversion"/>
  </si>
  <si>
    <t>20'&lt;22.7T $180 40'&lt;24T</t>
    <phoneticPr fontId="3" type="noConversion"/>
  </si>
  <si>
    <t>20'&lt;22.7T $230</t>
    <phoneticPr fontId="3" type="noConversion"/>
  </si>
  <si>
    <t>20'&lt;22.7T $230 40'&lt;24T</t>
    <phoneticPr fontId="3" type="noConversion"/>
  </si>
  <si>
    <t>500</t>
    <phoneticPr fontId="58" type="noConversion"/>
  </si>
  <si>
    <t>需自营船接载</t>
    <phoneticPr fontId="3" type="noConversion"/>
  </si>
  <si>
    <r>
      <t>2</t>
    </r>
    <r>
      <rPr>
        <sz val="8"/>
        <color indexed="8"/>
        <rFont val="Arial"/>
        <family val="2"/>
      </rPr>
      <t>0</t>
    </r>
    <phoneticPr fontId="3" type="noConversion"/>
  </si>
  <si>
    <t>GCX</t>
    <phoneticPr fontId="3" type="noConversion"/>
  </si>
  <si>
    <r>
      <t>JKN</t>
    </r>
    <r>
      <rPr>
        <sz val="6"/>
        <rFont val="Arial"/>
        <family val="2"/>
      </rPr>
      <t>/AEU7</t>
    </r>
    <phoneticPr fontId="3" type="noConversion"/>
  </si>
  <si>
    <t>暂停接载</t>
    <phoneticPr fontId="3" type="noConversion"/>
  </si>
  <si>
    <t>2355821987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</si>
  <si>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8.8T $300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17.8T $600</t>
    </r>
    <phoneticPr fontId="3" type="noConversion"/>
  </si>
  <si>
    <t>MEXICALI</t>
    <phoneticPr fontId="3" type="noConversion"/>
  </si>
  <si>
    <t>MERIDA</t>
    <phoneticPr fontId="3" type="noConversion"/>
  </si>
  <si>
    <t>MATAMOROS</t>
    <phoneticPr fontId="3" type="noConversion"/>
  </si>
  <si>
    <t>MARTINEZ DE LA TORRE</t>
    <phoneticPr fontId="3" type="noConversion"/>
  </si>
  <si>
    <t>MAGDALENA CONTRERAS</t>
    <phoneticPr fontId="3" type="noConversion"/>
  </si>
  <si>
    <t>2/3</t>
    <phoneticPr fontId="3" type="noConversion"/>
  </si>
  <si>
    <t>ZCP</t>
    <phoneticPr fontId="3" type="noConversion"/>
  </si>
  <si>
    <t>WSC $108/TEU CC</t>
    <phoneticPr fontId="3" type="noConversion"/>
  </si>
  <si>
    <t>ISPS $25/BOX</t>
    <phoneticPr fontId="3" type="noConversion"/>
  </si>
  <si>
    <t>AMS $40 ISPS $25/BOX</t>
    <phoneticPr fontId="3" type="noConversion"/>
  </si>
  <si>
    <t>OMAN</t>
    <phoneticPr fontId="3" type="noConversion"/>
  </si>
  <si>
    <t>OMAN</t>
    <phoneticPr fontId="3" type="noConversion"/>
  </si>
  <si>
    <t>中东线</t>
    <phoneticPr fontId="3" type="noConversion"/>
  </si>
  <si>
    <r>
      <t>D</t>
    </r>
    <r>
      <rPr>
        <sz val="8"/>
        <color theme="1"/>
        <rFont val="Arial"/>
        <family val="2"/>
      </rPr>
      <t>UQM</t>
    </r>
    <phoneticPr fontId="3" type="noConversion"/>
  </si>
  <si>
    <t>INMUN</t>
    <phoneticPr fontId="3" type="noConversion"/>
  </si>
  <si>
    <t>DUBAI/JEBEL ALI</t>
    <phoneticPr fontId="3" type="noConversion"/>
  </si>
  <si>
    <t>东南亚线</t>
    <phoneticPr fontId="3" type="noConversion"/>
  </si>
  <si>
    <t>PHILIPPINE</t>
    <phoneticPr fontId="3" type="noConversion"/>
  </si>
  <si>
    <t>PHILIPPINE</t>
    <phoneticPr fontId="3" type="noConversion"/>
  </si>
  <si>
    <t>BACOLOD</t>
    <phoneticPr fontId="3" type="noConversion"/>
  </si>
  <si>
    <t>BOHOL</t>
    <phoneticPr fontId="3" type="noConversion"/>
  </si>
  <si>
    <t>CATBALOGAN</t>
    <phoneticPr fontId="3" type="noConversion"/>
  </si>
  <si>
    <t>ILOILO</t>
    <phoneticPr fontId="3" type="noConversion"/>
  </si>
  <si>
    <t>ORMOC</t>
    <phoneticPr fontId="3" type="noConversion"/>
  </si>
  <si>
    <t>TACLOBAN</t>
    <phoneticPr fontId="3" type="noConversion"/>
  </si>
  <si>
    <r>
      <t>P</t>
    </r>
    <r>
      <rPr>
        <sz val="8"/>
        <color indexed="8"/>
        <rFont val="Arial"/>
        <family val="2"/>
      </rPr>
      <t>HCEB</t>
    </r>
    <phoneticPr fontId="3" type="noConversion"/>
  </si>
  <si>
    <t>KUWAIT</t>
    <phoneticPr fontId="3" type="noConversion"/>
  </si>
  <si>
    <t>KHORAMSHAHR</t>
    <phoneticPr fontId="3" type="noConversion"/>
  </si>
  <si>
    <t>IRAN</t>
    <phoneticPr fontId="3" type="noConversion"/>
  </si>
  <si>
    <r>
      <t>2</t>
    </r>
    <r>
      <rPr>
        <sz val="8"/>
        <rFont val="Arial"/>
        <family val="2"/>
      </rPr>
      <t>8</t>
    </r>
    <phoneticPr fontId="3" type="noConversion"/>
  </si>
  <si>
    <t>2/3/4/7</t>
    <phoneticPr fontId="3" type="noConversion"/>
  </si>
  <si>
    <r>
      <t xml:space="preserve">20' 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$250</t>
    </r>
    <phoneticPr fontId="3" type="noConversion"/>
  </si>
  <si>
    <t>AEU7/AEM3/AEM1/AEU3/AEM5</t>
    <phoneticPr fontId="3" type="noConversion"/>
  </si>
  <si>
    <t>2/3/4/7/7</t>
    <phoneticPr fontId="3" type="noConversion"/>
  </si>
  <si>
    <t>1950</t>
    <phoneticPr fontId="3" type="noConversion"/>
  </si>
  <si>
    <t>AEM2/1</t>
    <phoneticPr fontId="3" type="noConversion"/>
  </si>
  <si>
    <t>FE2/FE4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</si>
  <si>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$300</t>
    </r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</si>
  <si>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20T $50</t>
    </r>
    <phoneticPr fontId="3" type="noConversion"/>
  </si>
  <si>
    <r>
      <t>21</t>
    </r>
    <r>
      <rPr>
        <sz val="8"/>
        <rFont val="宋体"/>
        <family val="3"/>
        <charset val="134"/>
      </rPr>
      <t>天</t>
    </r>
    <phoneticPr fontId="3" type="noConversion"/>
  </si>
  <si>
    <t>MATAN</t>
    <phoneticPr fontId="3" type="noConversion"/>
  </si>
  <si>
    <t>CONCOR</t>
    <phoneticPr fontId="3" type="noConversion"/>
  </si>
  <si>
    <t>LUDHIANA</t>
    <phoneticPr fontId="3" type="noConversion"/>
  </si>
  <si>
    <t>CRRS</t>
    <phoneticPr fontId="3" type="noConversion"/>
  </si>
  <si>
    <t>IILPL</t>
    <phoneticPr fontId="3" type="noConversion"/>
  </si>
  <si>
    <t>GRFL</t>
    <phoneticPr fontId="3" type="noConversion"/>
  </si>
  <si>
    <t>CIC $100/TEU CC</t>
    <phoneticPr fontId="3" type="noConversion"/>
  </si>
  <si>
    <t>CNC</t>
    <phoneticPr fontId="3" type="noConversion"/>
  </si>
  <si>
    <t>1</t>
    <phoneticPr fontId="3" type="noConversion"/>
  </si>
  <si>
    <t>8</t>
    <phoneticPr fontId="3" type="noConversion"/>
  </si>
  <si>
    <r>
      <t>K</t>
    </r>
    <r>
      <rPr>
        <sz val="6"/>
        <rFont val="Arial"/>
        <family val="2"/>
      </rPr>
      <t>CS</t>
    </r>
    <phoneticPr fontId="3" type="noConversion"/>
  </si>
  <si>
    <t>SINGAPORE</t>
    <phoneticPr fontId="3" type="noConversion"/>
  </si>
  <si>
    <t>9</t>
    <phoneticPr fontId="3" type="noConversion"/>
  </si>
  <si>
    <r>
      <t>1</t>
    </r>
    <r>
      <rPr>
        <sz val="8"/>
        <color indexed="8"/>
        <rFont val="Arial"/>
        <family val="2"/>
      </rPr>
      <t>2</t>
    </r>
    <phoneticPr fontId="3" type="noConversion"/>
  </si>
  <si>
    <r>
      <t>1</t>
    </r>
    <r>
      <rPr>
        <sz val="8"/>
        <color indexed="8"/>
        <rFont val="Arial"/>
        <family val="2"/>
      </rPr>
      <t>5</t>
    </r>
    <phoneticPr fontId="3" type="noConversion"/>
  </si>
  <si>
    <t>SURABAYA</t>
    <phoneticPr fontId="3" type="noConversion"/>
  </si>
  <si>
    <t>ZIM</t>
    <phoneticPr fontId="3" type="noConversion"/>
  </si>
  <si>
    <r>
      <t>I</t>
    </r>
    <r>
      <rPr>
        <sz val="8"/>
        <color indexed="8"/>
        <rFont val="Arial"/>
        <family val="2"/>
      </rPr>
      <t>NCL DTHC</t>
    </r>
    <phoneticPr fontId="3" type="noConversion"/>
  </si>
  <si>
    <t>FENIX</t>
    <phoneticPr fontId="3" type="noConversion"/>
  </si>
  <si>
    <t>CONCRET-MIX S.A.</t>
    <phoneticPr fontId="3" type="noConversion"/>
  </si>
  <si>
    <t>ISPS $17/BOX</t>
    <phoneticPr fontId="3" type="noConversion"/>
  </si>
  <si>
    <t>YS/WGQ4</t>
    <phoneticPr fontId="3" type="noConversion"/>
  </si>
  <si>
    <t>CONGO DR</t>
    <phoneticPr fontId="3" type="noConversion"/>
  </si>
  <si>
    <t>ZAX1</t>
    <phoneticPr fontId="3" type="noConversion"/>
  </si>
  <si>
    <t>ZADUR</t>
    <phoneticPr fontId="3" type="noConversion"/>
  </si>
  <si>
    <t>SHAKA2</t>
    <phoneticPr fontId="3" type="noConversion"/>
  </si>
  <si>
    <t>ASAF</t>
    <phoneticPr fontId="3" type="noConversion"/>
  </si>
  <si>
    <r>
      <t xml:space="preserve">ISPS $12/BOX </t>
    </r>
    <r>
      <rPr>
        <sz val="8"/>
        <color rgb="FF0000FF"/>
        <rFont val="Arial"/>
        <family val="2"/>
      </rPr>
      <t>ENS</t>
    </r>
    <phoneticPr fontId="3" type="noConversion"/>
  </si>
  <si>
    <t>SAFARI</t>
    <phoneticPr fontId="3" type="noConversion"/>
  </si>
  <si>
    <t>INGWE</t>
    <phoneticPr fontId="3" type="noConversion"/>
  </si>
  <si>
    <t>ZAZBA</t>
    <phoneticPr fontId="3" type="noConversion"/>
  </si>
  <si>
    <t>FEW3</t>
    <phoneticPr fontId="3" type="noConversion"/>
  </si>
  <si>
    <t>2350</t>
    <phoneticPr fontId="3" type="noConversion"/>
  </si>
  <si>
    <t>1600</t>
    <phoneticPr fontId="3" type="noConversion"/>
  </si>
  <si>
    <t>FEW1</t>
    <phoneticPr fontId="3" type="noConversion"/>
  </si>
  <si>
    <t>WAX3</t>
    <phoneticPr fontId="3" type="noConversion"/>
  </si>
  <si>
    <t>SW2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</si>
  <si>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16T $150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$250</t>
    </r>
    <phoneticPr fontId="3" type="noConversion"/>
  </si>
  <si>
    <t>SA1</t>
    <phoneticPr fontId="3" type="noConversion"/>
  </si>
  <si>
    <t>FEW2</t>
    <phoneticPr fontId="3" type="noConversion"/>
  </si>
  <si>
    <t>SWS</t>
    <phoneticPr fontId="3" type="noConversion"/>
  </si>
  <si>
    <t>2250</t>
    <phoneticPr fontId="3" type="noConversion"/>
  </si>
  <si>
    <t>2900</t>
    <phoneticPr fontId="3" type="noConversion"/>
  </si>
  <si>
    <t>2200</t>
    <phoneticPr fontId="3" type="noConversion"/>
  </si>
  <si>
    <t>1375</t>
    <phoneticPr fontId="3" type="noConversion"/>
  </si>
  <si>
    <t>INCL ECRS $150/TEU</t>
    <phoneticPr fontId="3" type="noConversion"/>
  </si>
  <si>
    <r>
      <t>F</t>
    </r>
    <r>
      <rPr>
        <sz val="6"/>
        <color theme="1"/>
        <rFont val="Arial"/>
        <family val="2"/>
      </rPr>
      <t>ME/</t>
    </r>
    <r>
      <rPr>
        <sz val="6"/>
        <color theme="1"/>
        <rFont val="Arial"/>
        <family val="2"/>
      </rPr>
      <t>KCM/KMSK</t>
    </r>
    <phoneticPr fontId="3" type="noConversion"/>
  </si>
  <si>
    <r>
      <t>P</t>
    </r>
    <r>
      <rPr>
        <sz val="6"/>
        <color indexed="8"/>
        <rFont val="Arial"/>
        <family val="2"/>
      </rPr>
      <t>MX</t>
    </r>
    <phoneticPr fontId="3" type="noConversion"/>
  </si>
  <si>
    <r>
      <rPr>
        <sz val="10"/>
        <rFont val="宋体"/>
        <family val="3"/>
        <charset val="134"/>
      </rPr>
      <t>目的港</t>
    </r>
    <phoneticPr fontId="3" type="noConversion"/>
  </si>
  <si>
    <r>
      <rPr>
        <sz val="10"/>
        <rFont val="宋体"/>
        <family val="3"/>
        <charset val="134"/>
      </rPr>
      <t>国家</t>
    </r>
    <phoneticPr fontId="3" type="noConversion"/>
  </si>
  <si>
    <r>
      <rPr>
        <sz val="10"/>
        <rFont val="宋体"/>
        <family val="3"/>
        <charset val="134"/>
      </rPr>
      <t>航线</t>
    </r>
    <phoneticPr fontId="3" type="noConversion"/>
  </si>
  <si>
    <r>
      <t>T</t>
    </r>
    <r>
      <rPr>
        <sz val="8"/>
        <color indexed="8"/>
        <rFont val="Arial"/>
        <family val="2"/>
      </rPr>
      <t>AN VU</t>
    </r>
    <phoneticPr fontId="3" type="noConversion"/>
  </si>
  <si>
    <r>
      <t>H</t>
    </r>
    <r>
      <rPr>
        <sz val="6"/>
        <rFont val="Arial"/>
        <family val="2"/>
      </rPr>
      <t>P3</t>
    </r>
    <phoneticPr fontId="3" type="noConversion"/>
  </si>
  <si>
    <r>
      <t>2/</t>
    </r>
    <r>
      <rPr>
        <sz val="10"/>
        <color theme="0" tint="-0.499984740745262"/>
        <rFont val="Arial"/>
        <family val="2"/>
      </rPr>
      <t>7</t>
    </r>
    <phoneticPr fontId="3" type="noConversion"/>
  </si>
  <si>
    <t>BURNIE</t>
    <phoneticPr fontId="3" type="noConversion"/>
  </si>
  <si>
    <t>VILLETA</t>
    <phoneticPr fontId="3" type="noConversion"/>
  </si>
  <si>
    <t>57</t>
    <phoneticPr fontId="3" type="noConversion"/>
  </si>
  <si>
    <t>PRAGUE</t>
    <phoneticPr fontId="3" type="noConversion"/>
  </si>
  <si>
    <t>2550</t>
    <phoneticPr fontId="3" type="noConversion"/>
  </si>
  <si>
    <t>1750</t>
    <phoneticPr fontId="3" type="noConversion"/>
  </si>
  <si>
    <r>
      <t>1</t>
    </r>
    <r>
      <rPr>
        <sz val="8"/>
        <color indexed="8"/>
        <rFont val="Arial"/>
        <family val="2"/>
      </rPr>
      <t>7</t>
    </r>
    <phoneticPr fontId="3" type="noConversion"/>
  </si>
  <si>
    <t>-130</t>
    <phoneticPr fontId="3" type="noConversion"/>
  </si>
  <si>
    <t>-260</t>
    <phoneticPr fontId="3" type="noConversion"/>
  </si>
  <si>
    <t>480</t>
    <phoneticPr fontId="58" type="noConversion"/>
  </si>
  <si>
    <t>600</t>
    <phoneticPr fontId="58" type="noConversion"/>
  </si>
  <si>
    <t>675</t>
    <phoneticPr fontId="58" type="noConversion"/>
  </si>
  <si>
    <r>
      <t>14</t>
    </r>
    <r>
      <rPr>
        <sz val="8"/>
        <rFont val="宋体"/>
        <family val="3"/>
        <charset val="134"/>
      </rPr>
      <t>可显示</t>
    </r>
    <r>
      <rPr>
        <sz val="8"/>
        <rFont val="Arial"/>
        <family val="2"/>
      </rPr>
      <t xml:space="preserve"> 21+75/150</t>
    </r>
    <phoneticPr fontId="3" type="noConversion"/>
  </si>
  <si>
    <t>2355822005</t>
    <phoneticPr fontId="3" type="noConversion"/>
  </si>
  <si>
    <t>TLAJOMULCO</t>
    <phoneticPr fontId="3" type="noConversion"/>
  </si>
  <si>
    <t>TLAHUAC</t>
    <phoneticPr fontId="3" type="noConversion"/>
  </si>
  <si>
    <t>TIZAYUCA</t>
    <phoneticPr fontId="3" type="noConversion"/>
  </si>
  <si>
    <t>TIJUANA</t>
    <phoneticPr fontId="3" type="noConversion"/>
  </si>
  <si>
    <t>TIERRA BLANCA</t>
    <phoneticPr fontId="3" type="noConversion"/>
  </si>
  <si>
    <t>TIANGUISTENGO</t>
    <phoneticPr fontId="3" type="noConversion"/>
  </si>
  <si>
    <t>TEZIUTLAN</t>
    <phoneticPr fontId="3" type="noConversion"/>
  </si>
  <si>
    <t>TEQUILA</t>
    <phoneticPr fontId="3" type="noConversion"/>
  </si>
  <si>
    <t>TEPOZTLAN</t>
    <phoneticPr fontId="3" type="noConversion"/>
  </si>
  <si>
    <t>TEPIC</t>
    <phoneticPr fontId="3" type="noConversion"/>
  </si>
  <si>
    <t>TEPEJI</t>
    <phoneticPr fontId="3" type="noConversion"/>
  </si>
  <si>
    <t>TEPATITLAN</t>
    <phoneticPr fontId="3" type="noConversion"/>
  </si>
  <si>
    <t>TEOLOYUCAN</t>
    <phoneticPr fontId="3" type="noConversion"/>
  </si>
  <si>
    <t>TEHUACAN</t>
    <phoneticPr fontId="3" type="noConversion"/>
  </si>
  <si>
    <t>TECOMAN</t>
    <phoneticPr fontId="3" type="noConversion"/>
  </si>
  <si>
    <t>TECATE</t>
    <phoneticPr fontId="3" type="noConversion"/>
  </si>
  <si>
    <t>TAMUIN</t>
    <phoneticPr fontId="3" type="noConversion"/>
  </si>
  <si>
    <t>SN JUAN CACAHUATEPEC</t>
    <phoneticPr fontId="3" type="noConversion"/>
  </si>
  <si>
    <t>SILAO</t>
    <phoneticPr fontId="3" type="noConversion"/>
  </si>
  <si>
    <t>SANTA ROSALIA</t>
    <phoneticPr fontId="3" type="noConversion"/>
  </si>
  <si>
    <t>SANTA CATARINA</t>
    <phoneticPr fontId="3" type="noConversion"/>
  </si>
  <si>
    <t>SAN QUINTIN</t>
    <phoneticPr fontId="3" type="noConversion"/>
  </si>
  <si>
    <t>SAN NICOLAS DE LOS GARZA</t>
    <phoneticPr fontId="3" type="noConversion"/>
  </si>
  <si>
    <t>SAN LUIS RIO COLORADO</t>
    <phoneticPr fontId="3" type="noConversion"/>
  </si>
  <si>
    <t>SAN LUIS POTOSI</t>
    <phoneticPr fontId="3" type="noConversion"/>
  </si>
  <si>
    <t>GUAYMAS</t>
    <phoneticPr fontId="3" type="noConversion"/>
  </si>
  <si>
    <t>GUANAJUATO</t>
    <phoneticPr fontId="3" type="noConversion"/>
  </si>
  <si>
    <t>GOMEZ PALACIOS</t>
    <phoneticPr fontId="3" type="noConversion"/>
  </si>
  <si>
    <t>GARCIA</t>
    <phoneticPr fontId="3" type="noConversion"/>
  </si>
  <si>
    <t>FRESNILLO</t>
    <phoneticPr fontId="3" type="noConversion"/>
  </si>
  <si>
    <t>ESCOBEDO</t>
    <phoneticPr fontId="3" type="noConversion"/>
  </si>
  <si>
    <t>EL SALTO</t>
    <phoneticPr fontId="3" type="noConversion"/>
  </si>
  <si>
    <t>ECATEPEC</t>
    <phoneticPr fontId="3" type="noConversion"/>
  </si>
  <si>
    <t>20'&lt;22.7T $260 40'&lt;24T</t>
    <phoneticPr fontId="3" type="noConversion"/>
  </si>
  <si>
    <t>20'&lt;22.7T $260</t>
    <phoneticPr fontId="3" type="noConversion"/>
  </si>
  <si>
    <t>CHIHUAHUA</t>
    <phoneticPr fontId="3" type="noConversion"/>
  </si>
  <si>
    <t>CHETUMAL</t>
    <phoneticPr fontId="3" type="noConversion"/>
  </si>
  <si>
    <t>CHALCO</t>
    <phoneticPr fontId="3" type="noConversion"/>
  </si>
  <si>
    <t>CELAYA</t>
    <phoneticPr fontId="3" type="noConversion"/>
  </si>
  <si>
    <t>CD VICTORIA</t>
    <phoneticPr fontId="3" type="noConversion"/>
  </si>
  <si>
    <t>CD SAHAGUN</t>
    <phoneticPr fontId="3" type="noConversion"/>
  </si>
  <si>
    <t>CD OBREGON</t>
    <phoneticPr fontId="3" type="noConversion"/>
  </si>
  <si>
    <t>CD GUZMAN</t>
    <phoneticPr fontId="3" type="noConversion"/>
  </si>
  <si>
    <t>CD CUAUHTEMOC</t>
    <phoneticPr fontId="3" type="noConversion"/>
  </si>
  <si>
    <t>CD ACUNA</t>
    <phoneticPr fontId="3" type="noConversion"/>
  </si>
  <si>
    <t>BENITO JUAREZ</t>
    <phoneticPr fontId="3" type="noConversion"/>
  </si>
  <si>
    <t>AZCAPOTZALCO</t>
    <phoneticPr fontId="3" type="noConversion"/>
  </si>
  <si>
    <t>ATOYAC</t>
    <phoneticPr fontId="3" type="noConversion"/>
  </si>
  <si>
    <t>ATOTONILCO</t>
    <phoneticPr fontId="3" type="noConversion"/>
  </si>
  <si>
    <t>ATLACOMULCO</t>
    <phoneticPr fontId="3" type="noConversion"/>
  </si>
  <si>
    <t>ATIZAPAN</t>
    <phoneticPr fontId="3" type="noConversion"/>
  </si>
  <si>
    <t>ARANDAS</t>
    <phoneticPr fontId="3" type="noConversion"/>
  </si>
  <si>
    <t>APODACA</t>
    <phoneticPr fontId="3" type="noConversion"/>
  </si>
  <si>
    <t>APATZINGAN</t>
    <phoneticPr fontId="3" type="noConversion"/>
  </si>
  <si>
    <t>ALVARO OBREGON</t>
    <phoneticPr fontId="3" type="noConversion"/>
  </si>
  <si>
    <t>ALAMOS</t>
    <phoneticPr fontId="3" type="noConversion"/>
  </si>
  <si>
    <t>AGUASCALIENTES</t>
    <phoneticPr fontId="3" type="noConversion"/>
  </si>
  <si>
    <t>ACAPULCO</t>
    <phoneticPr fontId="3" type="noConversion"/>
  </si>
  <si>
    <t>SA6/4</t>
    <phoneticPr fontId="3" type="noConversion"/>
  </si>
  <si>
    <t>ISPS $10/BOX AMS $35</t>
    <phoneticPr fontId="3" type="noConversion"/>
  </si>
  <si>
    <t>GUADALAJARA</t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</si>
  <si>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19T $100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$200</t>
    </r>
    <phoneticPr fontId="3" type="noConversion"/>
  </si>
  <si>
    <t>ASA</t>
    <phoneticPr fontId="3" type="noConversion"/>
  </si>
  <si>
    <t>AZTEC</t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</si>
  <si>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21T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20T</t>
    </r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</si>
  <si>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26T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26T</t>
    </r>
    <phoneticPr fontId="3" type="noConversion"/>
  </si>
  <si>
    <t>20'&lt;22.7T $12040'&lt;24T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</si>
  <si>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24T $400</t>
    </r>
    <phoneticPr fontId="3" type="noConversion"/>
  </si>
  <si>
    <t>ANDES</t>
    <phoneticPr fontId="3" type="noConversion"/>
  </si>
  <si>
    <t>20'&lt;22.7T $120</t>
    <phoneticPr fontId="3" type="noConversion"/>
  </si>
  <si>
    <t>MONTERRY</t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</si>
  <si>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23T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23T</t>
    </r>
    <phoneticPr fontId="3" type="noConversion"/>
  </si>
  <si>
    <t>MEXICO CITY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</si>
  <si>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15T $100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$300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$500</t>
    </r>
    <phoneticPr fontId="3" type="noConversion"/>
  </si>
  <si>
    <t>NW1/2/3</t>
    <phoneticPr fontId="3" type="noConversion"/>
  </si>
  <si>
    <t>20'&lt;22.7T $180</t>
    <phoneticPr fontId="3" type="noConversion"/>
  </si>
  <si>
    <t>ASPA1</t>
    <phoneticPr fontId="3" type="noConversion"/>
  </si>
  <si>
    <t>PECAL</t>
    <phoneticPr fontId="3" type="noConversion"/>
  </si>
  <si>
    <r>
      <rPr>
        <sz val="10"/>
        <rFont val="Comic Sans MS"/>
        <family val="4"/>
      </rPr>
      <t>南美西</t>
    </r>
    <phoneticPr fontId="3" type="noConversion"/>
  </si>
  <si>
    <t>ACSA2</t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</si>
  <si>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26T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27T TO DOOR</t>
    </r>
    <phoneticPr fontId="3" type="noConversion"/>
  </si>
  <si>
    <t>CLARI</t>
    <phoneticPr fontId="3" type="noConversion"/>
  </si>
  <si>
    <t>BOLIVIA</t>
    <phoneticPr fontId="3" type="noConversion"/>
  </si>
  <si>
    <r>
      <rPr>
        <sz val="10"/>
        <color theme="1"/>
        <rFont val="宋体"/>
        <family val="3"/>
        <charset val="134"/>
      </rPr>
      <t>南美西</t>
    </r>
    <phoneticPr fontId="3" type="noConversion"/>
  </si>
  <si>
    <t>AN1</t>
    <phoneticPr fontId="3" type="noConversion"/>
  </si>
  <si>
    <t>LA PAZ BO</t>
    <phoneticPr fontId="3" type="noConversion"/>
  </si>
  <si>
    <t>COCHABAMBA</t>
    <phoneticPr fontId="3" type="noConversion"/>
  </si>
  <si>
    <t>ZOFRATACNA</t>
    <phoneticPr fontId="3" type="noConversion"/>
  </si>
  <si>
    <t>CHILE</t>
    <phoneticPr fontId="3" type="noConversion"/>
  </si>
  <si>
    <t>TACNA</t>
    <phoneticPr fontId="3" type="noConversion"/>
  </si>
  <si>
    <t>ASPA2</t>
    <phoneticPr fontId="3" type="noConversion"/>
  </si>
  <si>
    <t>CLLIR</t>
    <phoneticPr fontId="3" type="noConversion"/>
  </si>
  <si>
    <t>TALCAHUANO</t>
    <phoneticPr fontId="3" type="noConversion"/>
  </si>
  <si>
    <t>CWL</t>
    <phoneticPr fontId="3" type="noConversion"/>
  </si>
  <si>
    <t>CLSAN</t>
    <phoneticPr fontId="3" type="noConversion"/>
  </si>
  <si>
    <t>ACSA1</t>
    <phoneticPr fontId="3" type="noConversion"/>
  </si>
  <si>
    <t>AN2</t>
    <phoneticPr fontId="3" type="noConversion"/>
  </si>
  <si>
    <t>SANTIAGO</t>
    <phoneticPr fontId="3" type="noConversion"/>
  </si>
  <si>
    <t>CLVPL</t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</si>
  <si>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25T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25T TO DOOR</t>
    </r>
    <phoneticPr fontId="3" type="noConversion"/>
  </si>
  <si>
    <t>QUILICURA</t>
    <phoneticPr fontId="3" type="noConversion"/>
  </si>
  <si>
    <t>PUNTA ARENAS</t>
    <phoneticPr fontId="3" type="noConversion"/>
  </si>
  <si>
    <t>LAMPA</t>
    <phoneticPr fontId="3" type="noConversion"/>
  </si>
  <si>
    <t>COLINA</t>
    <phoneticPr fontId="3" type="noConversion"/>
  </si>
  <si>
    <t>ARICA MUELLE 7</t>
    <phoneticPr fontId="3" type="noConversion"/>
  </si>
  <si>
    <t>ANTOFAGASTA</t>
    <phoneticPr fontId="3" type="noConversion"/>
  </si>
  <si>
    <t>INCA</t>
    <phoneticPr fontId="3" type="noConversion"/>
  </si>
  <si>
    <t>ASPA4</t>
    <phoneticPr fontId="3" type="noConversion"/>
  </si>
  <si>
    <t>VALPARAISO</t>
    <phoneticPr fontId="3" type="noConversion"/>
  </si>
  <si>
    <t>NW1</t>
    <phoneticPr fontId="3" type="noConversion"/>
  </si>
  <si>
    <r>
      <t>DG</t>
    </r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14</t>
    </r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</si>
  <si>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15</t>
    </r>
    <phoneticPr fontId="3" type="noConversion"/>
  </si>
  <si>
    <t>WSA3</t>
    <phoneticPr fontId="3" type="noConversion"/>
  </si>
  <si>
    <t>SAN VICENTE</t>
    <phoneticPr fontId="3" type="noConversion"/>
  </si>
  <si>
    <t>WSA3/WSA</t>
    <phoneticPr fontId="3" type="noConversion"/>
  </si>
  <si>
    <t>SAN ANTONIO</t>
    <phoneticPr fontId="3" type="noConversion"/>
  </si>
  <si>
    <t>SA4</t>
    <phoneticPr fontId="3" type="noConversion"/>
  </si>
  <si>
    <t>NW2</t>
    <phoneticPr fontId="3" type="noConversion"/>
  </si>
  <si>
    <t>WSA4</t>
    <phoneticPr fontId="3" type="noConversion"/>
  </si>
  <si>
    <t>LIRQUEN</t>
    <phoneticPr fontId="3" type="noConversion"/>
  </si>
  <si>
    <t>IQUIQUE</t>
    <phoneticPr fontId="3" type="noConversion"/>
  </si>
  <si>
    <t>PCS $100/TUE PP</t>
    <phoneticPr fontId="3" type="noConversion"/>
  </si>
  <si>
    <t>CORONEL</t>
    <phoneticPr fontId="3" type="noConversion"/>
  </si>
  <si>
    <t>ARICA</t>
    <phoneticPr fontId="3" type="noConversion"/>
  </si>
  <si>
    <t>ASPA1/2</t>
    <phoneticPr fontId="3" type="noConversion"/>
  </si>
  <si>
    <t>WSA3/4/2/1</t>
    <phoneticPr fontId="3" type="noConversion"/>
  </si>
  <si>
    <t>2/3/5/6</t>
    <phoneticPr fontId="3" type="noConversion"/>
  </si>
  <si>
    <t>ACSA1/2</t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</si>
  <si>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28T 40'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28T TO DOOR</t>
    </r>
    <phoneticPr fontId="3" type="noConversion"/>
  </si>
  <si>
    <t>TRUJILLO</t>
    <phoneticPr fontId="3" type="noConversion"/>
  </si>
  <si>
    <t>PERU</t>
    <phoneticPr fontId="3" type="noConversion"/>
  </si>
  <si>
    <t>SUPE</t>
    <phoneticPr fontId="3" type="noConversion"/>
  </si>
  <si>
    <t>PIURA</t>
    <phoneticPr fontId="3" type="noConversion"/>
  </si>
  <si>
    <t>PISCO</t>
    <phoneticPr fontId="3" type="noConversion"/>
  </si>
  <si>
    <t>ASPA3</t>
    <phoneticPr fontId="3" type="noConversion"/>
  </si>
  <si>
    <t>ECGYL</t>
    <phoneticPr fontId="3" type="noConversion"/>
  </si>
  <si>
    <t>COBUE</t>
    <phoneticPr fontId="3" type="noConversion"/>
  </si>
  <si>
    <t>AME</t>
    <phoneticPr fontId="3" type="noConversion"/>
  </si>
  <si>
    <t>HUARAL</t>
    <phoneticPr fontId="3" type="noConversion"/>
  </si>
  <si>
    <t>HUACHO</t>
    <phoneticPr fontId="3" type="noConversion"/>
  </si>
  <si>
    <t>CHINCHA</t>
    <phoneticPr fontId="3" type="noConversion"/>
  </si>
  <si>
    <t>CHICLAYO</t>
    <phoneticPr fontId="3" type="noConversion"/>
  </si>
  <si>
    <t>CHIMBOTE</t>
    <phoneticPr fontId="3" type="noConversion"/>
  </si>
  <si>
    <t>CHANCAY</t>
    <phoneticPr fontId="3" type="noConversion"/>
  </si>
  <si>
    <t>CASMA</t>
    <phoneticPr fontId="3" type="noConversion"/>
  </si>
  <si>
    <t>CANETE</t>
    <phoneticPr fontId="3" type="noConversion"/>
  </si>
  <si>
    <t>BARRANCA</t>
    <phoneticPr fontId="3" type="noConversion"/>
  </si>
  <si>
    <t>AREQUIPA</t>
    <phoneticPr fontId="3" type="noConversion"/>
  </si>
  <si>
    <t>CALLAO</t>
    <phoneticPr fontId="3" type="noConversion"/>
  </si>
  <si>
    <t>SA6</t>
    <phoneticPr fontId="3" type="noConversion"/>
  </si>
  <si>
    <t>QUITO</t>
    <phoneticPr fontId="3" type="noConversion"/>
  </si>
  <si>
    <t>ECUADOR</t>
    <phoneticPr fontId="3" type="noConversion"/>
  </si>
  <si>
    <t>ACSA3</t>
    <phoneticPr fontId="3" type="noConversion"/>
  </si>
  <si>
    <t>MANTA</t>
    <phoneticPr fontId="3" type="noConversion"/>
  </si>
  <si>
    <t>ESMERALDAS</t>
    <phoneticPr fontId="3" type="noConversion"/>
  </si>
  <si>
    <t>GUAYAQUIL</t>
    <phoneticPr fontId="3" type="noConversion"/>
  </si>
  <si>
    <t>NW3</t>
    <phoneticPr fontId="3" type="noConversion"/>
  </si>
  <si>
    <t>WSA5</t>
    <phoneticPr fontId="3" type="noConversion"/>
  </si>
  <si>
    <t>MEDELIIN</t>
    <phoneticPr fontId="3" type="noConversion"/>
  </si>
  <si>
    <t>ACSA2/3</t>
    <phoneticPr fontId="3" type="noConversion"/>
  </si>
  <si>
    <t>BUENAVENTURA</t>
    <phoneticPr fontId="3" type="noConversion"/>
  </si>
  <si>
    <t>ANDES-S2</t>
    <phoneticPr fontId="3" type="noConversion"/>
  </si>
  <si>
    <t>HNSLO</t>
    <phoneticPr fontId="3" type="noConversion"/>
  </si>
  <si>
    <t>中美洲</t>
    <phoneticPr fontId="3" type="noConversion"/>
  </si>
  <si>
    <r>
      <t>2/2/3/</t>
    </r>
    <r>
      <rPr>
        <sz val="10"/>
        <color theme="1"/>
        <rFont val="Arial"/>
        <family val="2"/>
      </rPr>
      <t>5</t>
    </r>
    <r>
      <rPr>
        <sz val="10"/>
        <rFont val="Arial"/>
        <family val="2"/>
      </rPr>
      <t>/7</t>
    </r>
    <phoneticPr fontId="3" type="noConversion"/>
  </si>
  <si>
    <t>ACSA1/2/3</t>
    <phoneticPr fontId="3" type="noConversion"/>
  </si>
  <si>
    <r>
      <rPr>
        <sz val="10"/>
        <color theme="0" tint="-0.499984740745262"/>
        <rFont val="Arial"/>
        <family val="2"/>
      </rPr>
      <t>2</t>
    </r>
    <r>
      <rPr>
        <sz val="10"/>
        <rFont val="Arial"/>
        <family val="2"/>
      </rPr>
      <t>/3/5</t>
    </r>
    <phoneticPr fontId="3" type="noConversion"/>
  </si>
  <si>
    <t>WSA3/4/2/5/1/CAX1</t>
    <phoneticPr fontId="3" type="noConversion"/>
  </si>
  <si>
    <r>
      <rPr>
        <sz val="10"/>
        <color theme="0" tint="-0.499984740745262"/>
        <rFont val="Arial"/>
        <family val="2"/>
      </rPr>
      <t>2/3/</t>
    </r>
    <r>
      <rPr>
        <sz val="10"/>
        <rFont val="Arial"/>
        <family val="2"/>
      </rPr>
      <t>5/6/7</t>
    </r>
    <phoneticPr fontId="3" type="noConversion"/>
  </si>
  <si>
    <t>NICARAGUA</t>
    <phoneticPr fontId="3" type="noConversion"/>
  </si>
  <si>
    <t>CORINTO</t>
    <phoneticPr fontId="3" type="noConversion"/>
  </si>
  <si>
    <t>DOC $25/BL PP</t>
    <phoneticPr fontId="3" type="noConversion"/>
  </si>
  <si>
    <t>SVACA</t>
    <phoneticPr fontId="3" type="noConversion"/>
  </si>
  <si>
    <t>GTPQL</t>
    <phoneticPr fontId="3" type="noConversion"/>
  </si>
  <si>
    <t xml:space="preserve">  </t>
    <phoneticPr fontId="3" type="noConversion"/>
  </si>
  <si>
    <t>ACAJUTLA</t>
    <phoneticPr fontId="3" type="noConversion"/>
  </si>
  <si>
    <t>WHA $45/TEU AMS $30</t>
    <phoneticPr fontId="3" type="noConversion"/>
  </si>
  <si>
    <t>CRCAL</t>
    <phoneticPr fontId="3" type="noConversion"/>
  </si>
  <si>
    <r>
      <rPr>
        <sz val="10"/>
        <rFont val="宋体"/>
        <family val="3"/>
        <charset val="134"/>
      </rPr>
      <t>中美洲</t>
    </r>
    <phoneticPr fontId="3" type="noConversion"/>
  </si>
  <si>
    <t>PUERTO CALDERA</t>
    <phoneticPr fontId="3" type="noConversion"/>
  </si>
  <si>
    <t>POINT LISAS</t>
    <phoneticPr fontId="3" type="noConversion"/>
  </si>
  <si>
    <t>TRINIDAD AND TOBAGO</t>
    <phoneticPr fontId="3" type="noConversion"/>
  </si>
  <si>
    <t>INCL DTHC $189/229 MAF $20/TEU CC</t>
    <phoneticPr fontId="3" type="noConversion"/>
  </si>
  <si>
    <t>PORT OF SPAIN</t>
    <phoneticPr fontId="3" type="noConversion"/>
  </si>
  <si>
    <t>MONTEGO BAY</t>
    <phoneticPr fontId="3" type="noConversion"/>
  </si>
  <si>
    <t>JAMAICA</t>
    <phoneticPr fontId="3" type="noConversion"/>
  </si>
  <si>
    <t>KINGSTON</t>
    <phoneticPr fontId="3" type="noConversion"/>
  </si>
  <si>
    <t>SANTIAGO DE CUBA</t>
    <phoneticPr fontId="3" type="noConversion"/>
  </si>
  <si>
    <t>CUBA</t>
    <phoneticPr fontId="3" type="noConversion"/>
  </si>
  <si>
    <t>MARIEL/HAVANA</t>
    <phoneticPr fontId="3" type="noConversion"/>
  </si>
  <si>
    <t>DTHC $276/BOX PP</t>
    <phoneticPr fontId="3" type="noConversion"/>
  </si>
  <si>
    <t>INCL DTHC EUR72/BOX</t>
    <phoneticPr fontId="3" type="noConversion"/>
  </si>
  <si>
    <t>24/26</t>
    <phoneticPr fontId="3" type="noConversion"/>
  </si>
  <si>
    <t>PANAMA CITY</t>
    <phoneticPr fontId="3" type="noConversion"/>
  </si>
  <si>
    <t>PANAMA</t>
    <phoneticPr fontId="3" type="noConversion"/>
  </si>
  <si>
    <r>
      <rPr>
        <sz val="10"/>
        <rFont val="Comic Sans MS"/>
        <family val="4"/>
      </rPr>
      <t>巴拿马线</t>
    </r>
    <phoneticPr fontId="3" type="noConversion"/>
  </si>
  <si>
    <t>AC2/AN2/AME/EC3</t>
    <phoneticPr fontId="3" type="noConversion"/>
  </si>
  <si>
    <t>2/3/5/5</t>
    <phoneticPr fontId="3" type="noConversion"/>
  </si>
  <si>
    <t>CRISTOBAL</t>
    <phoneticPr fontId="3" type="noConversion"/>
  </si>
  <si>
    <t>COLON FREE ZONE</t>
    <phoneticPr fontId="3" type="noConversion"/>
  </si>
  <si>
    <t>ISPS $15/BOX MAF $20/TEU AMS $30</t>
    <phoneticPr fontId="3" type="noConversion"/>
  </si>
  <si>
    <r>
      <rPr>
        <sz val="10"/>
        <rFont val="Comic Sans MS"/>
        <family val="4"/>
      </rPr>
      <t>墨西哥线</t>
    </r>
    <phoneticPr fontId="3" type="noConversion"/>
  </si>
  <si>
    <t>LAZARO CARDENAS</t>
    <phoneticPr fontId="3" type="noConversion"/>
  </si>
  <si>
    <t>MANZANILLO MX</t>
    <phoneticPr fontId="3" type="noConversion"/>
  </si>
  <si>
    <t>SLOVENIA</t>
    <phoneticPr fontId="3" type="noConversion"/>
  </si>
  <si>
    <t>LSS $15/TEU ENS $25</t>
    <phoneticPr fontId="3" type="noConversion"/>
  </si>
  <si>
    <t>LSS $20/TEU ISPS $13/BOX ENS $35</t>
    <phoneticPr fontId="3" type="noConversion"/>
  </si>
  <si>
    <t>TIGER</t>
    <phoneticPr fontId="3" type="noConversion"/>
  </si>
  <si>
    <t>GREECE</t>
    <phoneticPr fontId="3" type="noConversion"/>
  </si>
  <si>
    <t>AEM6</t>
    <phoneticPr fontId="3" type="noConversion"/>
  </si>
  <si>
    <t>TO RAMP</t>
    <phoneticPr fontId="3" type="noConversion"/>
  </si>
  <si>
    <t>LSS $20/TEU ENS</t>
    <phoneticPr fontId="3" type="noConversion"/>
  </si>
  <si>
    <t>BELGIUM</t>
    <phoneticPr fontId="3" type="noConversion"/>
  </si>
  <si>
    <t>2450</t>
    <phoneticPr fontId="3" type="noConversion"/>
  </si>
  <si>
    <t>SERA 1/SERA 2</t>
    <phoneticPr fontId="3" type="noConversion"/>
  </si>
  <si>
    <t>ISPS $12/BOX ENS $35</t>
    <phoneticPr fontId="3" type="noConversion"/>
  </si>
  <si>
    <t>ITSPE</t>
    <phoneticPr fontId="3" type="noConversion"/>
  </si>
  <si>
    <t>HOLLAND</t>
    <phoneticPr fontId="3" type="noConversion"/>
  </si>
  <si>
    <t>LSS $15/TEU ISPS $12/BOX ENS $35</t>
    <phoneticPr fontId="3" type="noConversion"/>
  </si>
  <si>
    <t>MEX2</t>
    <phoneticPr fontId="3" type="noConversion"/>
  </si>
  <si>
    <t>FRANCE</t>
    <phoneticPr fontId="3" type="noConversion"/>
  </si>
  <si>
    <t>LSS $15/TEU ENS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</si>
  <si>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$500</t>
    </r>
    <phoneticPr fontId="3" type="noConversion"/>
  </si>
  <si>
    <t>DUNKERQUE</t>
    <phoneticPr fontId="3" type="noConversion"/>
  </si>
  <si>
    <t>MTMAL</t>
    <phoneticPr fontId="3" type="noConversion"/>
  </si>
  <si>
    <t>ITALY</t>
    <phoneticPr fontId="3" type="noConversion"/>
  </si>
  <si>
    <t>DRAGON</t>
    <phoneticPr fontId="3" type="noConversion"/>
  </si>
  <si>
    <t>ITGIT</t>
    <phoneticPr fontId="3" type="noConversion"/>
  </si>
  <si>
    <t>SERA 1</t>
    <phoneticPr fontId="3" type="noConversion"/>
  </si>
  <si>
    <t>DRAGON/JADE</t>
    <phoneticPr fontId="3" type="noConversion"/>
  </si>
  <si>
    <t>AEM2/AEM6</t>
    <phoneticPr fontId="3" type="noConversion"/>
  </si>
  <si>
    <t>AEM2</t>
    <phoneticPr fontId="3" type="noConversion"/>
  </si>
  <si>
    <t>ESBAR</t>
    <phoneticPr fontId="3" type="noConversion"/>
  </si>
  <si>
    <t>SPAIN</t>
    <phoneticPr fontId="3" type="noConversion"/>
  </si>
  <si>
    <t>LSS $25/TEU ENS $30</t>
    <phoneticPr fontId="3" type="noConversion"/>
  </si>
  <si>
    <t>LSS $20/TEU BAF $0/TEU ENS $35</t>
    <phoneticPr fontId="3" type="noConversion"/>
  </si>
  <si>
    <t>MD1/MD2</t>
    <phoneticPr fontId="3" type="noConversion"/>
  </si>
  <si>
    <t>MD1</t>
    <phoneticPr fontId="3" type="noConversion"/>
  </si>
  <si>
    <t>BLANTYRE</t>
    <phoneticPr fontId="3" type="noConversion"/>
  </si>
  <si>
    <t>MALAWI</t>
    <phoneticPr fontId="3" type="noConversion"/>
  </si>
  <si>
    <r>
      <rPr>
        <sz val="8"/>
        <color theme="1"/>
        <rFont val="Comic Sans MS"/>
        <family val="4"/>
      </rPr>
      <t>东非线</t>
    </r>
    <phoneticPr fontId="3" type="noConversion"/>
  </si>
  <si>
    <t>SHAKA2/AFEX</t>
    <phoneticPr fontId="3" type="noConversion"/>
  </si>
  <si>
    <t>MZBRA</t>
    <phoneticPr fontId="3" type="noConversion"/>
  </si>
  <si>
    <r>
      <t>3/</t>
    </r>
    <r>
      <rPr>
        <sz val="10"/>
        <color theme="0" tint="-0.499984740745262"/>
        <rFont val="Arial"/>
        <family val="2"/>
      </rPr>
      <t>5</t>
    </r>
    <phoneticPr fontId="3" type="noConversion"/>
  </si>
  <si>
    <t>20'&lt;13.5T</t>
    <phoneticPr fontId="3" type="noConversion"/>
  </si>
  <si>
    <t>TZDAR</t>
    <phoneticPr fontId="3" type="noConversion"/>
  </si>
  <si>
    <t>20'&lt;12.5T</t>
    <phoneticPr fontId="3" type="noConversion"/>
  </si>
  <si>
    <t>MZNAC</t>
    <phoneticPr fontId="3" type="noConversion"/>
  </si>
  <si>
    <t>LILONGWE</t>
    <phoneticPr fontId="3" type="noConversion"/>
  </si>
  <si>
    <t>WAX/FAL1</t>
    <phoneticPr fontId="3" type="noConversion"/>
  </si>
  <si>
    <t>LIKASI</t>
    <phoneticPr fontId="3" type="noConversion"/>
  </si>
  <si>
    <t>GOMA</t>
    <phoneticPr fontId="3" type="noConversion"/>
  </si>
  <si>
    <t>BUKAVU</t>
    <phoneticPr fontId="3" type="noConversion"/>
  </si>
  <si>
    <t>LUBUMBASHI</t>
    <phoneticPr fontId="3" type="noConversion"/>
  </si>
  <si>
    <t>BUJUMBURA</t>
    <phoneticPr fontId="3" type="noConversion"/>
  </si>
  <si>
    <t>BURUNDI</t>
    <phoneticPr fontId="3" type="noConversion"/>
  </si>
  <si>
    <r>
      <rPr>
        <sz val="8"/>
        <color theme="1"/>
        <rFont val="宋体"/>
        <family val="3"/>
        <charset val="134"/>
      </rPr>
      <t>东非线</t>
    </r>
    <phoneticPr fontId="3" type="noConversion"/>
  </si>
  <si>
    <t>KEMOM</t>
    <phoneticPr fontId="3" type="noConversion"/>
  </si>
  <si>
    <t>KIGALI</t>
    <phoneticPr fontId="3" type="noConversion"/>
  </si>
  <si>
    <t>RWANDA</t>
    <phoneticPr fontId="3" type="noConversion"/>
  </si>
  <si>
    <t>20'&lt;15.6T TO DOOR</t>
    <phoneticPr fontId="3" type="noConversion"/>
  </si>
  <si>
    <t>KAMPALA</t>
    <phoneticPr fontId="3" type="noConversion"/>
  </si>
  <si>
    <t>UGANDA</t>
    <phoneticPr fontId="3" type="noConversion"/>
  </si>
  <si>
    <t>20'&lt;15.6T</t>
    <phoneticPr fontId="3" type="noConversion"/>
  </si>
  <si>
    <t>NAIROBI/ICD EMBAKASI</t>
    <phoneticPr fontId="3" type="noConversion"/>
  </si>
  <si>
    <t>KENYA</t>
    <phoneticPr fontId="3" type="noConversion"/>
  </si>
  <si>
    <t>20'&lt;19.6T TO RAMP</t>
    <phoneticPr fontId="3" type="noConversion"/>
  </si>
  <si>
    <t>20'&lt;14T</t>
    <phoneticPr fontId="3" type="noConversion"/>
  </si>
  <si>
    <t>JUBA</t>
    <phoneticPr fontId="3" type="noConversion"/>
  </si>
  <si>
    <t>SOUTH SUDAN</t>
    <phoneticPr fontId="3" type="noConversion"/>
  </si>
  <si>
    <t>NDOLA</t>
    <phoneticPr fontId="3" type="noConversion"/>
  </si>
  <si>
    <t>ZAMBIA</t>
    <phoneticPr fontId="3" type="noConversion"/>
  </si>
  <si>
    <t>20'&lt;28T 40'&lt;28T</t>
    <phoneticPr fontId="3" type="noConversion"/>
  </si>
  <si>
    <t>RBF $85/BOX AQF $70/BOX RSA $80/BOX IPC $70/BL</t>
    <phoneticPr fontId="3" type="noConversion"/>
  </si>
  <si>
    <t>CHINGOLA</t>
    <phoneticPr fontId="3" type="noConversion"/>
  </si>
  <si>
    <t>LUSAKA</t>
    <phoneticPr fontId="3" type="noConversion"/>
  </si>
  <si>
    <t>KITWE</t>
    <phoneticPr fontId="3" type="noConversion"/>
  </si>
  <si>
    <t>SOLWEZI</t>
    <phoneticPr fontId="3" type="noConversion"/>
  </si>
  <si>
    <t>MUTARE</t>
    <phoneticPr fontId="3" type="noConversion"/>
  </si>
  <si>
    <t>ZIMBABWE</t>
    <phoneticPr fontId="3" type="noConversion"/>
  </si>
  <si>
    <t>GWERU</t>
    <phoneticPr fontId="3" type="noConversion"/>
  </si>
  <si>
    <t>东非线</t>
    <phoneticPr fontId="3" type="noConversion"/>
  </si>
  <si>
    <t>BULAWAYO</t>
    <phoneticPr fontId="3" type="noConversion"/>
  </si>
  <si>
    <t>HARARE</t>
    <phoneticPr fontId="3" type="noConversion"/>
  </si>
  <si>
    <t>SHAKA2/WAX</t>
    <phoneticPr fontId="3" type="noConversion"/>
  </si>
  <si>
    <t xml:space="preserve"> 40'&lt;19.5T TO RAMP</t>
    <phoneticPr fontId="3" type="noConversion"/>
  </si>
  <si>
    <t>MZMAP</t>
    <phoneticPr fontId="3" type="noConversion"/>
  </si>
  <si>
    <t>20'&lt;10.5T 40'&lt;21.5T</t>
    <phoneticPr fontId="3" type="noConversion"/>
  </si>
  <si>
    <t>MASERU</t>
    <phoneticPr fontId="3" type="noConversion"/>
  </si>
  <si>
    <t>LESOTHO</t>
    <phoneticPr fontId="3" type="noConversion"/>
  </si>
  <si>
    <t>GRI $150/TEU ISPS $17/BOX</t>
    <phoneticPr fontId="3" type="noConversion"/>
  </si>
  <si>
    <t>MUTSAMUDU</t>
    <phoneticPr fontId="3" type="noConversion"/>
  </si>
  <si>
    <t>COMOROS</t>
    <phoneticPr fontId="3" type="noConversion"/>
  </si>
  <si>
    <t>REPDG</t>
    <phoneticPr fontId="3" type="noConversion"/>
  </si>
  <si>
    <t>LOC EUR173/283 PP</t>
    <phoneticPr fontId="3" type="noConversion"/>
  </si>
  <si>
    <t>MORONI</t>
    <phoneticPr fontId="3" type="noConversion"/>
  </si>
  <si>
    <t>PETRA</t>
    <phoneticPr fontId="3" type="noConversion"/>
  </si>
  <si>
    <t>OMSLL</t>
    <phoneticPr fontId="3" type="noConversion"/>
  </si>
  <si>
    <t>LONGONI</t>
    <phoneticPr fontId="3" type="noConversion"/>
  </si>
  <si>
    <t>MAYOTTE</t>
    <phoneticPr fontId="3" type="noConversion"/>
  </si>
  <si>
    <t>ISPS $12/BOX ENS</t>
    <phoneticPr fontId="3" type="noConversion"/>
  </si>
  <si>
    <t>MOGADISHU</t>
    <phoneticPr fontId="3" type="noConversion"/>
  </si>
  <si>
    <t>SOMALIA</t>
    <phoneticPr fontId="3" type="noConversion"/>
  </si>
  <si>
    <t>SGSGP/MYPKL</t>
    <phoneticPr fontId="3" type="noConversion"/>
  </si>
  <si>
    <r>
      <t>4/</t>
    </r>
    <r>
      <rPr>
        <sz val="10"/>
        <color theme="0" tint="-0.499984740745262"/>
        <rFont val="Arial"/>
        <family val="2"/>
      </rPr>
      <t>6</t>
    </r>
    <phoneticPr fontId="3" type="noConversion"/>
  </si>
  <si>
    <t>INCL DTHC $400/600</t>
    <phoneticPr fontId="3" type="noConversion"/>
  </si>
  <si>
    <r>
      <t>*20'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15.5T $150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19.5T $300</t>
    </r>
    <phoneticPr fontId="3" type="noConversion"/>
  </si>
  <si>
    <t>CHEETAH</t>
    <phoneticPr fontId="3" type="noConversion"/>
  </si>
  <si>
    <t>KISMAYU</t>
    <phoneticPr fontId="3" type="noConversion"/>
  </si>
  <si>
    <t>BERBERA</t>
    <phoneticPr fontId="3" type="noConversion"/>
  </si>
  <si>
    <t>MALE</t>
    <phoneticPr fontId="3" type="noConversion"/>
  </si>
  <si>
    <t>MALDIVES</t>
    <phoneticPr fontId="3" type="noConversion"/>
  </si>
  <si>
    <t>MAHE/VICTORIA</t>
    <phoneticPr fontId="3" type="noConversion"/>
  </si>
  <si>
    <t>SEYCHELLES</t>
    <phoneticPr fontId="3" type="noConversion"/>
  </si>
  <si>
    <t>MUPLU</t>
    <phoneticPr fontId="3" type="noConversion"/>
  </si>
  <si>
    <t>WALVIS BAY</t>
    <phoneticPr fontId="3" type="noConversion"/>
  </si>
  <si>
    <t>NAMIBIA</t>
    <phoneticPr fontId="3" type="noConversion"/>
  </si>
  <si>
    <t>LUDERITZ</t>
    <phoneticPr fontId="3" type="noConversion"/>
  </si>
  <si>
    <t>PEMBA</t>
    <phoneticPr fontId="3" type="noConversion"/>
  </si>
  <si>
    <r>
      <t>*20'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20T $150</t>
    </r>
    <phoneticPr fontId="3" type="noConversion"/>
  </si>
  <si>
    <t>MADAGASCAR</t>
    <phoneticPr fontId="3" type="noConversion"/>
  </si>
  <si>
    <t>MAHAJANGA/MAJUNGA</t>
    <phoneticPr fontId="3" type="noConversion"/>
  </si>
  <si>
    <t>ACD FEE EUR100/BOX PP</t>
    <phoneticPr fontId="3" type="noConversion"/>
  </si>
  <si>
    <t>64</t>
    <phoneticPr fontId="3" type="noConversion"/>
  </si>
  <si>
    <t>TOLIARA/TUELAR</t>
    <phoneticPr fontId="3" type="noConversion"/>
  </si>
  <si>
    <t>NOSE BE/NOSSI BE</t>
    <phoneticPr fontId="3" type="noConversion"/>
  </si>
  <si>
    <t>DIEGO SUAREZ/ANTSIRANANA</t>
    <phoneticPr fontId="3" type="noConversion"/>
  </si>
  <si>
    <t>67</t>
    <phoneticPr fontId="3" type="noConversion"/>
  </si>
  <si>
    <t>EHOALA</t>
    <phoneticPr fontId="3" type="noConversion"/>
  </si>
  <si>
    <t>TAMATAVE/TOAMASINA</t>
    <phoneticPr fontId="3" type="noConversion"/>
  </si>
  <si>
    <t>PORT LOUIS</t>
    <phoneticPr fontId="3" type="noConversion"/>
  </si>
  <si>
    <t>TANZANIA</t>
    <phoneticPr fontId="3" type="noConversion"/>
  </si>
  <si>
    <t>TANGA</t>
    <phoneticPr fontId="3" type="noConversion"/>
  </si>
  <si>
    <t>DEC09/30</t>
    <phoneticPr fontId="3" type="noConversion"/>
  </si>
  <si>
    <t>DEC26</t>
    <phoneticPr fontId="3" type="noConversion"/>
  </si>
  <si>
    <t>CIC $250/TEU CC</t>
    <phoneticPr fontId="3" type="noConversion"/>
  </si>
  <si>
    <t>-70</t>
    <phoneticPr fontId="3" type="noConversion"/>
  </si>
  <si>
    <t>-140</t>
    <phoneticPr fontId="3" type="noConversion"/>
  </si>
  <si>
    <t>PUERTOS Y ESTIBAJES S.A.</t>
    <phoneticPr fontId="3" type="noConversion"/>
  </si>
  <si>
    <t>ITAJAI</t>
    <phoneticPr fontId="3" type="noConversion"/>
  </si>
  <si>
    <t>NAVEGANTES</t>
    <phoneticPr fontId="3" type="noConversion"/>
  </si>
  <si>
    <t>PARANAGUA</t>
    <phoneticPr fontId="3" type="noConversion"/>
  </si>
  <si>
    <t>RIO GRANDE</t>
    <phoneticPr fontId="3" type="noConversion"/>
  </si>
  <si>
    <t>LITTLE BAY</t>
    <phoneticPr fontId="3" type="noConversion"/>
  </si>
  <si>
    <t>MONTSERRAT</t>
    <phoneticPr fontId="3" type="noConversion"/>
  </si>
  <si>
    <t>PLYMOUTH</t>
    <phoneticPr fontId="3" type="noConversion"/>
  </si>
  <si>
    <t>20/24</t>
    <phoneticPr fontId="3" type="noConversion"/>
  </si>
  <si>
    <t>SARAJEVO</t>
    <phoneticPr fontId="3" type="noConversion"/>
  </si>
  <si>
    <t>DAR ES SALAAM</t>
    <phoneticPr fontId="3" type="noConversion"/>
  </si>
  <si>
    <r>
      <t>WGQ</t>
    </r>
    <r>
      <rPr>
        <sz val="8"/>
        <rFont val="Arial"/>
        <family val="2"/>
      </rPr>
      <t>2</t>
    </r>
    <phoneticPr fontId="3" type="noConversion"/>
  </si>
  <si>
    <t>MUMBAI/BOMBAY</t>
    <phoneticPr fontId="3" type="noConversion"/>
  </si>
  <si>
    <t>COLOMBO</t>
    <phoneticPr fontId="3" type="noConversion"/>
  </si>
  <si>
    <t>1060</t>
    <phoneticPr fontId="3" type="noConversion"/>
  </si>
  <si>
    <t>600</t>
    <phoneticPr fontId="3" type="noConversion"/>
  </si>
  <si>
    <t>操作主管</t>
    <phoneticPr fontId="3" type="noConversion"/>
  </si>
  <si>
    <t>拼箱（除HONGKONG)</t>
    <phoneticPr fontId="3" type="noConversion"/>
  </si>
  <si>
    <t>章海静</t>
    <phoneticPr fontId="3" type="noConversion"/>
  </si>
  <si>
    <t>张薇</t>
    <phoneticPr fontId="3" type="noConversion"/>
  </si>
  <si>
    <t>hellen@safety-sh.com</t>
    <phoneticPr fontId="3" type="noConversion"/>
  </si>
  <si>
    <t>15801833846</t>
    <phoneticPr fontId="3" type="noConversion"/>
  </si>
  <si>
    <t>危险品</t>
    <phoneticPr fontId="3" type="noConversion"/>
  </si>
  <si>
    <t>危险品操作主管</t>
    <phoneticPr fontId="3" type="noConversion"/>
  </si>
  <si>
    <t>60658359</t>
    <phoneticPr fontId="3" type="noConversion"/>
  </si>
  <si>
    <t>2355923728</t>
    <phoneticPr fontId="3" type="noConversion"/>
  </si>
  <si>
    <t>13918204118</t>
    <phoneticPr fontId="3" type="noConversion"/>
  </si>
  <si>
    <t>8359</t>
    <phoneticPr fontId="3" type="noConversion"/>
  </si>
  <si>
    <t>op07@hm-safety.com</t>
    <phoneticPr fontId="3" type="noConversion"/>
  </si>
  <si>
    <t>直客</t>
    <phoneticPr fontId="3" type="noConversion"/>
  </si>
  <si>
    <t>cw003@safety-sh.com</t>
    <phoneticPr fontId="3" type="noConversion"/>
  </si>
  <si>
    <t>孙园</t>
    <phoneticPr fontId="3" type="noConversion"/>
  </si>
  <si>
    <t>杨燕青</t>
    <phoneticPr fontId="3" type="noConversion"/>
  </si>
  <si>
    <t>拼箱（HONGKONG)、空运、进口</t>
    <phoneticPr fontId="3" type="noConversion"/>
  </si>
  <si>
    <r>
      <rPr>
        <sz val="10"/>
        <rFont val="宋体"/>
        <family val="3"/>
        <charset val="134"/>
      </rPr>
      <t>杨莉</t>
    </r>
    <phoneticPr fontId="3" type="noConversion"/>
  </si>
  <si>
    <r>
      <rPr>
        <sz val="10"/>
        <rFont val="宋体"/>
        <family val="3"/>
        <charset val="134"/>
      </rPr>
      <t>丁莉芳</t>
    </r>
    <phoneticPr fontId="3" type="noConversion"/>
  </si>
  <si>
    <r>
      <rPr>
        <sz val="10"/>
        <rFont val="宋体"/>
        <family val="3"/>
        <charset val="134"/>
      </rPr>
      <t>朱伟</t>
    </r>
    <phoneticPr fontId="3" type="noConversion"/>
  </si>
  <si>
    <r>
      <rPr>
        <sz val="10"/>
        <rFont val="宋体"/>
        <family val="3"/>
        <charset val="134"/>
      </rPr>
      <t>施鑫尧</t>
    </r>
    <phoneticPr fontId="3" type="noConversion"/>
  </si>
  <si>
    <t>GLORYSEA</t>
    <phoneticPr fontId="3" type="noConversion"/>
  </si>
  <si>
    <t>GLORYSEA</t>
    <phoneticPr fontId="3" type="noConversion"/>
  </si>
  <si>
    <t>RVT</t>
    <phoneticPr fontId="3" type="noConversion"/>
  </si>
  <si>
    <t>ERS</t>
    <phoneticPr fontId="3" type="noConversion"/>
  </si>
  <si>
    <t>SINGAPORE</t>
    <phoneticPr fontId="3" type="noConversion"/>
  </si>
  <si>
    <t>MZS</t>
    <phoneticPr fontId="3" type="noConversion"/>
  </si>
  <si>
    <t>UNITED ARAB EMIRATES</t>
    <phoneticPr fontId="3" type="noConversion"/>
  </si>
  <si>
    <t>14</t>
    <phoneticPr fontId="3" type="noConversion"/>
  </si>
  <si>
    <t>GLORYSEA</t>
    <phoneticPr fontId="3" type="noConversion"/>
  </si>
  <si>
    <t>270</t>
    <phoneticPr fontId="3" type="noConversion"/>
  </si>
  <si>
    <t>420</t>
    <phoneticPr fontId="3" type="noConversion"/>
  </si>
  <si>
    <t>420</t>
    <phoneticPr fontId="3" type="noConversion"/>
  </si>
  <si>
    <t>775</t>
    <phoneticPr fontId="3" type="noConversion"/>
  </si>
  <si>
    <t>1162</t>
    <phoneticPr fontId="3" type="noConversion"/>
  </si>
  <si>
    <t>450</t>
    <phoneticPr fontId="3" type="noConversion"/>
  </si>
  <si>
    <t>100</t>
    <phoneticPr fontId="3" type="noConversion"/>
  </si>
  <si>
    <r>
      <t>1</t>
    </r>
    <r>
      <rPr>
        <sz val="8"/>
        <color indexed="8"/>
        <rFont val="Arial"/>
        <family val="2"/>
      </rPr>
      <t>2</t>
    </r>
    <phoneticPr fontId="3" type="noConversion"/>
  </si>
  <si>
    <t>PERMA</t>
    <phoneticPr fontId="3" type="noConversion"/>
  </si>
  <si>
    <t>PERMA</t>
    <phoneticPr fontId="3" type="noConversion"/>
  </si>
  <si>
    <t>CTR $125/TEU CC</t>
    <phoneticPr fontId="3" type="noConversion"/>
  </si>
  <si>
    <t>PERMA</t>
    <phoneticPr fontId="3" type="noConversion"/>
  </si>
  <si>
    <t>300</t>
    <phoneticPr fontId="3" type="noConversion"/>
  </si>
  <si>
    <t>430</t>
    <phoneticPr fontId="3" type="noConversion"/>
  </si>
  <si>
    <t>500</t>
    <phoneticPr fontId="3" type="noConversion"/>
  </si>
  <si>
    <t>MYPKL</t>
    <phoneticPr fontId="3" type="noConversion"/>
  </si>
  <si>
    <t>BOSNIA</t>
    <phoneticPr fontId="3" type="noConversion"/>
  </si>
  <si>
    <t>SENEC</t>
    <phoneticPr fontId="3" type="noConversion"/>
  </si>
  <si>
    <t>SLOVAK</t>
    <phoneticPr fontId="3" type="noConversion"/>
  </si>
  <si>
    <t>NITRA</t>
    <phoneticPr fontId="3" type="noConversion"/>
  </si>
  <si>
    <r>
      <t>1</t>
    </r>
    <r>
      <rPr>
        <sz val="8"/>
        <color indexed="8"/>
        <rFont val="Arial"/>
        <family val="2"/>
      </rPr>
      <t>5</t>
    </r>
    <phoneticPr fontId="3" type="noConversion"/>
  </si>
  <si>
    <r>
      <t>2</t>
    </r>
    <r>
      <rPr>
        <sz val="8"/>
        <color indexed="8"/>
        <rFont val="Arial"/>
        <family val="2"/>
      </rPr>
      <t>0</t>
    </r>
    <phoneticPr fontId="3" type="noConversion"/>
  </si>
  <si>
    <t>BELGRADE</t>
    <phoneticPr fontId="3" type="noConversion"/>
  </si>
  <si>
    <t>SERBIA</t>
    <phoneticPr fontId="3" type="noConversion"/>
  </si>
  <si>
    <t>BY RAILWAY</t>
    <phoneticPr fontId="3" type="noConversion"/>
  </si>
  <si>
    <t>PARDUBICE</t>
    <phoneticPr fontId="3" type="noConversion"/>
  </si>
  <si>
    <t>20'&lt;11.7T 40'&lt;22.4T TO DOOR</t>
    <phoneticPr fontId="3" type="noConversion"/>
  </si>
  <si>
    <t>20'&lt;11.7T 40'&lt;22.4T TO RAMP</t>
    <phoneticPr fontId="3" type="noConversion"/>
  </si>
  <si>
    <t>LSS $50/TEU ISPS EUR14/BOX DOC EUR40/BL ENS</t>
    <phoneticPr fontId="3" type="noConversion"/>
  </si>
  <si>
    <t>1XXXX</t>
    <phoneticPr fontId="3" type="noConversion"/>
  </si>
  <si>
    <t>OSTRAVA</t>
    <phoneticPr fontId="3" type="noConversion"/>
  </si>
  <si>
    <t>LUXEMBOURG</t>
    <phoneticPr fontId="3" type="noConversion"/>
  </si>
  <si>
    <t>REYKJAVIK</t>
    <phoneticPr fontId="3" type="noConversion"/>
  </si>
  <si>
    <t>ICELAND</t>
    <phoneticPr fontId="3" type="noConversion"/>
  </si>
  <si>
    <r>
      <rPr>
        <sz val="8"/>
        <rFont val="Comic Sans MS"/>
        <family val="4"/>
      </rPr>
      <t>欧地线内陆点</t>
    </r>
    <phoneticPr fontId="3" type="noConversion"/>
  </si>
  <si>
    <t>LSS $50/TEU ENS</t>
    <phoneticPr fontId="3" type="noConversion"/>
  </si>
  <si>
    <t>20'&lt;15.7T $150</t>
    <phoneticPr fontId="3" type="noConversion"/>
  </si>
  <si>
    <t>VOLOS</t>
    <phoneticPr fontId="3" type="noConversion"/>
  </si>
  <si>
    <t>GRTHE</t>
    <phoneticPr fontId="3" type="noConversion"/>
  </si>
  <si>
    <t>HERAKLION/IRAKLION</t>
    <phoneticPr fontId="3" type="noConversion"/>
  </si>
  <si>
    <t>ATHENS</t>
    <phoneticPr fontId="3" type="noConversion"/>
  </si>
  <si>
    <t>VIENNA</t>
    <phoneticPr fontId="3" type="noConversion"/>
  </si>
  <si>
    <t>AUSTRIA</t>
    <phoneticPr fontId="3" type="noConversion"/>
  </si>
  <si>
    <t>ISPS EUR14/BOX DOC EUR40/BL ENS</t>
    <phoneticPr fontId="3" type="noConversion"/>
  </si>
  <si>
    <t>EXTRA SURCHARGE EUR110/BOX CC</t>
    <phoneticPr fontId="3" type="noConversion"/>
  </si>
  <si>
    <t>20'&lt;14.2T 40'&lt;11.9T TO DOOR</t>
    <phoneticPr fontId="3" type="noConversion"/>
  </si>
  <si>
    <t>SALZBURG</t>
    <phoneticPr fontId="3" type="noConversion"/>
  </si>
  <si>
    <t>LINZ</t>
    <phoneticPr fontId="3" type="noConversion"/>
  </si>
  <si>
    <t>INNSBRUCK</t>
    <phoneticPr fontId="3" type="noConversion"/>
  </si>
  <si>
    <r>
      <rPr>
        <sz val="8"/>
        <color theme="1"/>
        <rFont val="Comic Sans MS"/>
        <family val="4"/>
      </rPr>
      <t>欧地线内陆点</t>
    </r>
    <phoneticPr fontId="3" type="noConversion"/>
  </si>
  <si>
    <t>GRAZ</t>
    <phoneticPr fontId="3" type="noConversion"/>
  </si>
  <si>
    <t>4470</t>
    <phoneticPr fontId="3" type="noConversion"/>
  </si>
  <si>
    <t>ENNS</t>
    <phoneticPr fontId="3" type="noConversion"/>
  </si>
  <si>
    <r>
      <rPr>
        <sz val="8"/>
        <color indexed="8"/>
        <rFont val="宋体"/>
        <family val="3"/>
        <charset val="134"/>
      </rPr>
      <t>欧地线内陆点</t>
    </r>
    <phoneticPr fontId="3" type="noConversion"/>
  </si>
  <si>
    <t>2830</t>
    <phoneticPr fontId="3" type="noConversion"/>
  </si>
  <si>
    <t>BEANT</t>
    <phoneticPr fontId="3" type="noConversion"/>
  </si>
  <si>
    <t>2/5/7</t>
    <phoneticPr fontId="3" type="noConversion"/>
  </si>
  <si>
    <t>WILLEBROEK</t>
    <phoneticPr fontId="3" type="noConversion"/>
  </si>
  <si>
    <t>MEERHOUT</t>
    <phoneticPr fontId="3" type="noConversion"/>
  </si>
  <si>
    <t>BRUSSEL</t>
    <phoneticPr fontId="3" type="noConversion"/>
  </si>
  <si>
    <t>SZEKESFEHERVAR</t>
    <phoneticPr fontId="3" type="noConversion"/>
  </si>
  <si>
    <t>HUNGARY</t>
    <phoneticPr fontId="3" type="noConversion"/>
  </si>
  <si>
    <t>JASZFENYSZARU</t>
    <phoneticPr fontId="3" type="noConversion"/>
  </si>
  <si>
    <t>JASZBERENY</t>
    <phoneticPr fontId="3" type="noConversion"/>
  </si>
  <si>
    <t>BUDAPEST</t>
    <phoneticPr fontId="3" type="noConversion"/>
  </si>
  <si>
    <t>8000</t>
    <phoneticPr fontId="3" type="noConversion"/>
  </si>
  <si>
    <t>2/3/7</t>
    <phoneticPr fontId="3" type="noConversion"/>
  </si>
  <si>
    <t>ZURICH</t>
    <phoneticPr fontId="3" type="noConversion"/>
  </si>
  <si>
    <t>SWITZER LAND</t>
    <phoneticPr fontId="3" type="noConversion"/>
  </si>
  <si>
    <t>9000</t>
    <phoneticPr fontId="3" type="noConversion"/>
  </si>
  <si>
    <t>ST GALLEN</t>
    <phoneticPr fontId="3" type="noConversion"/>
  </si>
  <si>
    <t>SION</t>
    <phoneticPr fontId="3" type="noConversion"/>
  </si>
  <si>
    <t>6000</t>
    <phoneticPr fontId="3" type="noConversion"/>
  </si>
  <si>
    <t>LUZERN</t>
    <phoneticPr fontId="3" type="noConversion"/>
  </si>
  <si>
    <t>6900</t>
    <phoneticPr fontId="3" type="noConversion"/>
  </si>
  <si>
    <t>LUGANO</t>
    <phoneticPr fontId="3" type="noConversion"/>
  </si>
  <si>
    <t>1000</t>
    <phoneticPr fontId="3" type="noConversion"/>
  </si>
  <si>
    <t>LAUSANNE</t>
    <phoneticPr fontId="3" type="noConversion"/>
  </si>
  <si>
    <t>GENEVA</t>
    <phoneticPr fontId="3" type="noConversion"/>
  </si>
  <si>
    <t>FRENKENDORF</t>
    <phoneticPr fontId="3" type="noConversion"/>
  </si>
  <si>
    <t>3000</t>
    <phoneticPr fontId="3" type="noConversion"/>
  </si>
  <si>
    <t>BERN</t>
    <phoneticPr fontId="3" type="noConversion"/>
  </si>
  <si>
    <t>BASEL</t>
    <phoneticPr fontId="3" type="noConversion"/>
  </si>
  <si>
    <t>4000</t>
    <phoneticPr fontId="3" type="noConversion"/>
  </si>
  <si>
    <t>UTRECHT</t>
    <phoneticPr fontId="3" type="noConversion"/>
  </si>
  <si>
    <r>
      <rPr>
        <sz val="10"/>
        <color theme="0" tint="-0.499984740745262"/>
        <rFont val="Arial"/>
        <family val="2"/>
      </rPr>
      <t>1/3/6</t>
    </r>
    <r>
      <rPr>
        <sz val="10"/>
        <color indexed="8"/>
        <rFont val="Arial"/>
        <family val="2"/>
      </rPr>
      <t>/7</t>
    </r>
    <phoneticPr fontId="3" type="noConversion"/>
  </si>
  <si>
    <t>TILBURG</t>
    <phoneticPr fontId="3" type="noConversion"/>
  </si>
  <si>
    <t>MOERDIJK</t>
    <phoneticPr fontId="3" type="noConversion"/>
  </si>
  <si>
    <t>GRONINGEN</t>
    <phoneticPr fontId="3" type="noConversion"/>
  </si>
  <si>
    <t>EINDHOVEN</t>
    <phoneticPr fontId="3" type="noConversion"/>
  </si>
  <si>
    <t>BREDA</t>
    <phoneticPr fontId="3" type="noConversion"/>
  </si>
  <si>
    <t>AMSTERDAM</t>
    <phoneticPr fontId="3" type="noConversion"/>
  </si>
  <si>
    <t>FRFOS</t>
    <phoneticPr fontId="3" type="noConversion"/>
  </si>
  <si>
    <t>VITROLLES</t>
    <phoneticPr fontId="3" type="noConversion"/>
  </si>
  <si>
    <t>TOULOUSE</t>
    <phoneticPr fontId="3" type="noConversion"/>
  </si>
  <si>
    <t>31038</t>
    <phoneticPr fontId="3" type="noConversion"/>
  </si>
  <si>
    <t>STRASBOURG</t>
    <phoneticPr fontId="3" type="noConversion"/>
  </si>
  <si>
    <t>ROUEN</t>
    <phoneticPr fontId="3" type="noConversion"/>
  </si>
  <si>
    <t>76036</t>
    <phoneticPr fontId="3" type="noConversion"/>
  </si>
  <si>
    <t>REIMS</t>
    <phoneticPr fontId="3" type="noConversion"/>
  </si>
  <si>
    <t>75004</t>
    <phoneticPr fontId="3" type="noConversion"/>
  </si>
  <si>
    <t>PARIS</t>
    <phoneticPr fontId="3" type="noConversion"/>
  </si>
  <si>
    <t>54038</t>
    <phoneticPr fontId="3" type="noConversion"/>
  </si>
  <si>
    <t>NANCY</t>
    <phoneticPr fontId="3" type="noConversion"/>
  </si>
  <si>
    <t>MONTOIR</t>
    <phoneticPr fontId="3" type="noConversion"/>
  </si>
  <si>
    <t>57034</t>
    <phoneticPr fontId="3" type="noConversion"/>
  </si>
  <si>
    <t>METZ</t>
    <phoneticPr fontId="3" type="noConversion"/>
  </si>
  <si>
    <t>WM2/WM1</t>
    <phoneticPr fontId="3" type="noConversion"/>
  </si>
  <si>
    <t>MARSEILLE</t>
    <phoneticPr fontId="3" type="noConversion"/>
  </si>
  <si>
    <t>13282</t>
    <phoneticPr fontId="3" type="noConversion"/>
  </si>
  <si>
    <t>LYON/PORT EDOUARD HERRIOT</t>
    <phoneticPr fontId="3" type="noConversion"/>
  </si>
  <si>
    <t>69419</t>
    <phoneticPr fontId="3" type="noConversion"/>
  </si>
  <si>
    <t>59039</t>
    <phoneticPr fontId="3" type="noConversion"/>
  </si>
  <si>
    <t>LILLE</t>
    <phoneticPr fontId="3" type="noConversion"/>
  </si>
  <si>
    <t>17017</t>
    <phoneticPr fontId="3" type="noConversion"/>
  </si>
  <si>
    <t>LA ROCHELLE</t>
    <phoneticPr fontId="3" type="noConversion"/>
  </si>
  <si>
    <t>GENNEVILLIERS</t>
    <phoneticPr fontId="3" type="noConversion"/>
  </si>
  <si>
    <t>FRDKK</t>
    <phoneticPr fontId="3" type="noConversion"/>
  </si>
  <si>
    <t>DOURGES</t>
    <phoneticPr fontId="3" type="noConversion"/>
  </si>
  <si>
    <t>BORDEAUX/BASSENS</t>
    <phoneticPr fontId="3" type="noConversion"/>
  </si>
  <si>
    <t>33077</t>
    <phoneticPr fontId="3" type="noConversion"/>
  </si>
  <si>
    <t>BREST</t>
    <phoneticPr fontId="3" type="noConversion"/>
  </si>
  <si>
    <t>TRAPANI</t>
    <phoneticPr fontId="3" type="noConversion"/>
  </si>
  <si>
    <t>ITLIV</t>
    <phoneticPr fontId="3" type="noConversion"/>
  </si>
  <si>
    <t>ROMA</t>
    <phoneticPr fontId="3" type="noConversion"/>
  </si>
  <si>
    <t>POZZALLO</t>
    <phoneticPr fontId="3" type="noConversion"/>
  </si>
  <si>
    <t>PALERMO</t>
    <phoneticPr fontId="3" type="noConversion"/>
  </si>
  <si>
    <t>PADOVA</t>
    <phoneticPr fontId="3" type="noConversion"/>
  </si>
  <si>
    <t>NOLA</t>
    <phoneticPr fontId="3" type="noConversion"/>
  </si>
  <si>
    <t>MODENA</t>
    <phoneticPr fontId="3" type="noConversion"/>
  </si>
  <si>
    <t>ADR EUR100/BOX PP</t>
    <phoneticPr fontId="3" type="noConversion"/>
  </si>
  <si>
    <t>41100</t>
    <phoneticPr fontId="3" type="noConversion"/>
  </si>
  <si>
    <t>DTHC EUR155/TEU DOC EUR43 PP</t>
    <phoneticPr fontId="3" type="noConversion"/>
  </si>
  <si>
    <t>ENS ISPS EUR15/BOX</t>
    <phoneticPr fontId="3" type="noConversion"/>
  </si>
  <si>
    <t>MILANO</t>
    <phoneticPr fontId="3" type="noConversion"/>
  </si>
  <si>
    <t>AEM2/AEM1</t>
    <phoneticPr fontId="3" type="noConversion"/>
  </si>
  <si>
    <t>20100</t>
    <phoneticPr fontId="3" type="noConversion"/>
  </si>
  <si>
    <t>22100</t>
    <phoneticPr fontId="3" type="noConversion"/>
  </si>
  <si>
    <t>COMO</t>
    <phoneticPr fontId="3" type="noConversion"/>
  </si>
  <si>
    <t>CATANIA</t>
    <phoneticPr fontId="3" type="noConversion"/>
  </si>
  <si>
    <t>50001</t>
    <phoneticPr fontId="3" type="noConversion"/>
  </si>
  <si>
    <t>ZARAGOZA</t>
    <phoneticPr fontId="3" type="noConversion"/>
  </si>
  <si>
    <t>ESZAR</t>
    <phoneticPr fontId="3" type="noConversion"/>
  </si>
  <si>
    <t>VIGO</t>
    <phoneticPr fontId="3" type="noConversion"/>
  </si>
  <si>
    <t>CY CY</t>
    <phoneticPr fontId="3" type="noConversion"/>
  </si>
  <si>
    <t>41002</t>
    <phoneticPr fontId="3" type="noConversion"/>
  </si>
  <si>
    <t>SEVILLA</t>
    <phoneticPr fontId="3" type="noConversion"/>
  </si>
  <si>
    <t>SANTA CRUZ DE TENERIFE</t>
    <phoneticPr fontId="3" type="noConversion"/>
  </si>
  <si>
    <t>PALMA</t>
    <phoneticPr fontId="3" type="noConversion"/>
  </si>
  <si>
    <t>MELILLA</t>
    <phoneticPr fontId="3" type="noConversion"/>
  </si>
  <si>
    <t>MENORCA</t>
    <phoneticPr fontId="3" type="noConversion"/>
  </si>
  <si>
    <t>MARIN</t>
    <phoneticPr fontId="3" type="noConversion"/>
  </si>
  <si>
    <t>7001</t>
    <phoneticPr fontId="3" type="noConversion"/>
  </si>
  <si>
    <t>ESMAL</t>
    <phoneticPr fontId="3" type="noConversion"/>
  </si>
  <si>
    <t>MALLORCA</t>
    <phoneticPr fontId="3" type="noConversion"/>
  </si>
  <si>
    <t>MALAGA</t>
    <phoneticPr fontId="3" type="noConversion"/>
  </si>
  <si>
    <t>29001</t>
    <phoneticPr fontId="3" type="noConversion"/>
  </si>
  <si>
    <t>MADRID</t>
    <phoneticPr fontId="3" type="noConversion"/>
  </si>
  <si>
    <t>28001</t>
    <phoneticPr fontId="3" type="noConversion"/>
  </si>
  <si>
    <t>ESMAD</t>
    <phoneticPr fontId="3" type="noConversion"/>
  </si>
  <si>
    <t>LAS PALMAS/GRAN CANARIA</t>
    <phoneticPr fontId="3" type="noConversion"/>
  </si>
  <si>
    <t>AEM2/AEU2</t>
    <phoneticPr fontId="3" type="noConversion"/>
  </si>
  <si>
    <t>ESBCN/ESALG</t>
    <phoneticPr fontId="3" type="noConversion"/>
  </si>
  <si>
    <t>IBIZA</t>
    <phoneticPr fontId="3" type="noConversion"/>
  </si>
  <si>
    <t>GIJON</t>
    <phoneticPr fontId="3" type="noConversion"/>
  </si>
  <si>
    <t>FUERTEVENTURA</t>
    <phoneticPr fontId="3" type="noConversion"/>
  </si>
  <si>
    <t>DEL ROSARIO</t>
    <phoneticPr fontId="3" type="noConversion"/>
  </si>
  <si>
    <t>51000</t>
    <phoneticPr fontId="3" type="noConversion"/>
  </si>
  <si>
    <t>CARTAGENA ES</t>
    <phoneticPr fontId="3" type="noConversion"/>
  </si>
  <si>
    <t>30200</t>
    <phoneticPr fontId="3" type="noConversion"/>
  </si>
  <si>
    <t>CADIZ</t>
    <phoneticPr fontId="3" type="noConversion"/>
  </si>
  <si>
    <t>11001</t>
    <phoneticPr fontId="3" type="noConversion"/>
  </si>
  <si>
    <t>LSS $42/TEU ENS $30</t>
    <phoneticPr fontId="3" type="noConversion"/>
  </si>
  <si>
    <t>40/39/38/37</t>
    <phoneticPr fontId="3" type="noConversion"/>
  </si>
  <si>
    <t>TINCAN FIVE STAR TERMINAL (LOS05)</t>
  </si>
  <si>
    <t>NIGERIA</t>
  </si>
  <si>
    <t>-100</t>
    <phoneticPr fontId="3" type="noConversion"/>
  </si>
  <si>
    <t>-200</t>
    <phoneticPr fontId="3" type="noConversion"/>
  </si>
  <si>
    <t>NO WSC PCS</t>
    <phoneticPr fontId="3" type="noConversion"/>
  </si>
  <si>
    <r>
      <t>1</t>
    </r>
    <r>
      <rPr>
        <sz val="8"/>
        <color indexed="8"/>
        <rFont val="Arial"/>
        <family val="2"/>
      </rPr>
      <t>8</t>
    </r>
    <phoneticPr fontId="3" type="noConversion"/>
  </si>
  <si>
    <r>
      <t>1</t>
    </r>
    <r>
      <rPr>
        <sz val="8"/>
        <color indexed="8"/>
        <rFont val="Arial"/>
        <family val="2"/>
      </rPr>
      <t>0</t>
    </r>
    <phoneticPr fontId="3" type="noConversion"/>
  </si>
  <si>
    <t>HOCHIMINH</t>
    <phoneticPr fontId="3" type="noConversion"/>
  </si>
  <si>
    <t>6</t>
    <phoneticPr fontId="3" type="noConversion"/>
  </si>
  <si>
    <r>
      <t>A</t>
    </r>
    <r>
      <rPr>
        <sz val="8"/>
        <color indexed="8"/>
        <rFont val="Arial"/>
        <family val="2"/>
      </rPr>
      <t>LL IN</t>
    </r>
    <phoneticPr fontId="3" type="noConversion"/>
  </si>
  <si>
    <t>2</t>
    <phoneticPr fontId="3" type="noConversion"/>
  </si>
  <si>
    <t>9</t>
    <phoneticPr fontId="3" type="noConversion"/>
  </si>
  <si>
    <r>
      <t>1</t>
    </r>
    <r>
      <rPr>
        <sz val="8"/>
        <rFont val="Arial"/>
        <family val="2"/>
      </rPr>
      <t>0</t>
    </r>
    <phoneticPr fontId="3" type="noConversion"/>
  </si>
  <si>
    <r>
      <t>12</t>
    </r>
    <r>
      <rPr>
        <sz val="8"/>
        <color rgb="FFFF0000"/>
        <rFont val="宋体"/>
        <family val="3"/>
        <charset val="134"/>
      </rPr>
      <t>月</t>
    </r>
    <r>
      <rPr>
        <sz val="8"/>
        <color rgb="FFFF0000"/>
        <rFont val="Arial"/>
        <family val="2"/>
      </rPr>
      <t>22</t>
    </r>
    <r>
      <rPr>
        <sz val="8"/>
        <color rgb="FFFF0000"/>
        <rFont val="宋体"/>
        <family val="3"/>
        <charset val="134"/>
      </rPr>
      <t>日空班</t>
    </r>
    <phoneticPr fontId="3" type="noConversion"/>
  </si>
  <si>
    <t>INCL THD $154.4/205.9</t>
    <phoneticPr fontId="3" type="noConversion"/>
  </si>
  <si>
    <t>1100</t>
    <phoneticPr fontId="3" type="noConversion"/>
  </si>
  <si>
    <t>1400</t>
    <phoneticPr fontId="3" type="noConversion"/>
  </si>
  <si>
    <t>525</t>
    <phoneticPr fontId="3" type="noConversion"/>
  </si>
  <si>
    <t>PCS $50/TEU CC</t>
    <phoneticPr fontId="3" type="noConversion"/>
  </si>
  <si>
    <r>
      <t>C</t>
    </r>
    <r>
      <rPr>
        <sz val="8"/>
        <rFont val="Arial"/>
        <family val="2"/>
      </rPr>
      <t>IS $40/TEU CC</t>
    </r>
    <phoneticPr fontId="3" type="noConversion"/>
  </si>
  <si>
    <t>WELLINGTON</t>
    <phoneticPr fontId="3" type="noConversion"/>
  </si>
  <si>
    <t>暂不接</t>
    <phoneticPr fontId="3" type="noConversion"/>
  </si>
  <si>
    <r>
      <t>POS $2</t>
    </r>
    <r>
      <rPr>
        <sz val="8"/>
        <color indexed="8"/>
        <rFont val="Arial"/>
        <family val="2"/>
      </rPr>
      <t>75</t>
    </r>
    <r>
      <rPr>
        <sz val="8"/>
        <color indexed="8"/>
        <rFont val="Arial"/>
        <family val="2"/>
      </rPr>
      <t>/</t>
    </r>
    <r>
      <rPr>
        <sz val="8"/>
        <color indexed="8"/>
        <rFont val="Arial"/>
        <family val="2"/>
      </rPr>
      <t>525</t>
    </r>
    <r>
      <rPr>
        <sz val="8"/>
        <color indexed="8"/>
        <rFont val="Arial"/>
        <family val="2"/>
      </rPr>
      <t>/</t>
    </r>
    <r>
      <rPr>
        <sz val="8"/>
        <color indexed="8"/>
        <rFont val="Arial"/>
        <family val="2"/>
      </rPr>
      <t>575</t>
    </r>
    <r>
      <rPr>
        <sz val="8"/>
        <color indexed="8"/>
        <rFont val="Arial"/>
        <family val="2"/>
      </rPr>
      <t xml:space="preserve"> CC</t>
    </r>
    <phoneticPr fontId="3" type="noConversion"/>
  </si>
  <si>
    <t>CSD $300/TEU CC</t>
    <phoneticPr fontId="3" type="noConversion"/>
  </si>
  <si>
    <t>425</t>
    <phoneticPr fontId="3" type="noConversion"/>
  </si>
  <si>
    <t>575</t>
    <phoneticPr fontId="3" type="noConversion"/>
  </si>
  <si>
    <t>HOCHIMINH</t>
    <phoneticPr fontId="3" type="noConversion"/>
  </si>
  <si>
    <r>
      <t>H</t>
    </r>
    <r>
      <rPr>
        <sz val="8"/>
        <color indexed="8"/>
        <rFont val="Arial"/>
        <family val="2"/>
      </rPr>
      <t>IT</t>
    </r>
    <phoneticPr fontId="3" type="noConversion"/>
  </si>
  <si>
    <r>
      <t>CIC $</t>
    </r>
    <r>
      <rPr>
        <sz val="8"/>
        <rFont val="Arial"/>
        <family val="2"/>
      </rPr>
      <t>2</t>
    </r>
    <r>
      <rPr>
        <sz val="8"/>
        <rFont val="Arial"/>
        <family val="2"/>
      </rPr>
      <t>50/TEU CC</t>
    </r>
    <phoneticPr fontId="3" type="noConversion"/>
  </si>
  <si>
    <t>2853996220</t>
    <phoneticPr fontId="3" type="noConversion"/>
  </si>
  <si>
    <t>CPX3</t>
    <phoneticPr fontId="3" type="noConversion"/>
  </si>
  <si>
    <t>4</t>
    <phoneticPr fontId="3" type="noConversion"/>
  </si>
  <si>
    <t>2</t>
    <phoneticPr fontId="3" type="noConversion"/>
  </si>
  <si>
    <t>17</t>
    <phoneticPr fontId="3" type="noConversion"/>
  </si>
  <si>
    <r>
      <t>CPX</t>
    </r>
    <r>
      <rPr>
        <sz val="6"/>
        <color indexed="8"/>
        <rFont val="Arial"/>
        <family val="2"/>
      </rPr>
      <t>2</t>
    </r>
    <phoneticPr fontId="3" type="noConversion"/>
  </si>
  <si>
    <r>
      <t>12</t>
    </r>
    <r>
      <rPr>
        <sz val="8"/>
        <color rgb="FFFF0000"/>
        <rFont val="宋体"/>
        <family val="3"/>
        <charset val="134"/>
      </rPr>
      <t>月</t>
    </r>
    <r>
      <rPr>
        <sz val="8"/>
        <color rgb="FFFF0000"/>
        <rFont val="Arial"/>
        <family val="2"/>
      </rPr>
      <t>25</t>
    </r>
    <r>
      <rPr>
        <sz val="8"/>
        <color rgb="FFFF0000"/>
        <rFont val="宋体"/>
        <family val="3"/>
        <charset val="134"/>
      </rPr>
      <t>日空班</t>
    </r>
    <phoneticPr fontId="3" type="noConversion"/>
  </si>
  <si>
    <t>300</t>
    <phoneticPr fontId="3" type="noConversion"/>
  </si>
  <si>
    <t>440</t>
    <phoneticPr fontId="3" type="noConversion"/>
  </si>
  <si>
    <t>200</t>
    <phoneticPr fontId="3" type="noConversion"/>
  </si>
  <si>
    <t>300</t>
    <phoneticPr fontId="3" type="noConversion"/>
  </si>
  <si>
    <t>30</t>
    <phoneticPr fontId="3" type="noConversion"/>
  </si>
  <si>
    <t>45</t>
    <phoneticPr fontId="3" type="noConversion"/>
  </si>
  <si>
    <t>695</t>
    <phoneticPr fontId="3" type="noConversion"/>
  </si>
  <si>
    <t>1040</t>
    <phoneticPr fontId="3" type="noConversion"/>
  </si>
  <si>
    <t>300</t>
    <phoneticPr fontId="3" type="noConversion"/>
  </si>
  <si>
    <t>698</t>
    <phoneticPr fontId="3" type="noConversion"/>
  </si>
  <si>
    <r>
      <t>14</t>
    </r>
    <r>
      <rPr>
        <sz val="8"/>
        <rFont val="宋体"/>
        <family val="3"/>
        <charset val="134"/>
      </rPr>
      <t>天显示提单</t>
    </r>
    <phoneticPr fontId="3" type="noConversion"/>
  </si>
  <si>
    <t>BRATISLAVA</t>
    <phoneticPr fontId="3" type="noConversion"/>
  </si>
  <si>
    <t>ISPS $12/BOX ENS $25</t>
    <phoneticPr fontId="3" type="noConversion"/>
  </si>
  <si>
    <t>BASE PORT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</si>
  <si>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$150</t>
    </r>
    <phoneticPr fontId="3" type="noConversion"/>
  </si>
  <si>
    <t>REX1/2</t>
    <phoneticPr fontId="3" type="noConversion"/>
  </si>
  <si>
    <t>1/2/4/6</t>
    <phoneticPr fontId="3" type="noConversion"/>
  </si>
  <si>
    <t>MOZAMBIQUE</t>
    <phoneticPr fontId="3" type="noConversion"/>
  </si>
  <si>
    <t>QUELIMANE</t>
    <phoneticPr fontId="3" type="noConversion"/>
  </si>
  <si>
    <t>INCL PRS $230/TEU DRT $25/TEU</t>
    <phoneticPr fontId="3" type="noConversion"/>
  </si>
  <si>
    <t>NACALA</t>
    <phoneticPr fontId="3" type="noConversion"/>
  </si>
  <si>
    <t>1525</t>
    <phoneticPr fontId="3" type="noConversion"/>
  </si>
  <si>
    <t>BEIRA</t>
    <phoneticPr fontId="3" type="noConversion"/>
  </si>
  <si>
    <t>INCL DRT $25/TEU</t>
    <phoneticPr fontId="3" type="noConversion"/>
  </si>
  <si>
    <t>ISPS $10/BOX CHFD $25/TEU</t>
    <phoneticPr fontId="3" type="noConversion"/>
  </si>
  <si>
    <t>MAPUTO</t>
    <phoneticPr fontId="3" type="noConversion"/>
  </si>
  <si>
    <t>POINTE DES GALETS</t>
    <phoneticPr fontId="3" type="noConversion"/>
  </si>
  <si>
    <t>REUNION</t>
    <phoneticPr fontId="3" type="noConversion"/>
  </si>
  <si>
    <t>IMP EUR9/BOX DDF EUR30/BOX PP</t>
    <phoneticPr fontId="3" type="noConversion"/>
  </si>
  <si>
    <t>ISPS $10/BOX ENS</t>
    <phoneticPr fontId="3" type="noConversion"/>
  </si>
  <si>
    <t>VOHEMAR</t>
    <phoneticPr fontId="3" type="noConversion"/>
  </si>
  <si>
    <t>MAURITIUS</t>
    <phoneticPr fontId="3" type="noConversion"/>
  </si>
  <si>
    <t>ISPS $12/BOX PSS$150/TEU</t>
    <phoneticPr fontId="3" type="noConversion"/>
  </si>
  <si>
    <t>MTWARA</t>
    <phoneticPr fontId="3" type="noConversion"/>
  </si>
  <si>
    <t>ZANZIBAR</t>
    <phoneticPr fontId="3" type="noConversion"/>
  </si>
  <si>
    <t>3400</t>
    <phoneticPr fontId="3" type="noConversion"/>
  </si>
  <si>
    <t>ASUNCION</t>
    <phoneticPr fontId="3" type="noConversion"/>
  </si>
  <si>
    <t>61</t>
    <phoneticPr fontId="3" type="noConversion"/>
  </si>
  <si>
    <t>TTPOS</t>
    <phoneticPr fontId="3" type="noConversion"/>
  </si>
  <si>
    <t>VILA DO CONDE</t>
    <phoneticPr fontId="3" type="noConversion"/>
  </si>
  <si>
    <t>NATAL</t>
    <phoneticPr fontId="3" type="noConversion"/>
  </si>
  <si>
    <t>62</t>
    <phoneticPr fontId="3" type="noConversion"/>
  </si>
  <si>
    <t>ITAQUI</t>
    <phoneticPr fontId="3" type="noConversion"/>
  </si>
  <si>
    <t>BRSEP</t>
    <phoneticPr fontId="3" type="noConversion"/>
  </si>
  <si>
    <t>FORTALEZA</t>
    <phoneticPr fontId="3" type="noConversion"/>
  </si>
  <si>
    <t>BELEM</t>
    <phoneticPr fontId="3" type="noConversion"/>
  </si>
  <si>
    <t>MANAUS</t>
    <phoneticPr fontId="3" type="noConversion"/>
  </si>
  <si>
    <t>PECEM</t>
    <phoneticPr fontId="3" type="noConversion"/>
  </si>
  <si>
    <t>SUAPE</t>
    <phoneticPr fontId="3" type="noConversion"/>
  </si>
  <si>
    <t>SALVADOR</t>
    <phoneticPr fontId="3" type="noConversion"/>
  </si>
  <si>
    <t>ENS</t>
    <phoneticPr fontId="3" type="noConversion"/>
  </si>
  <si>
    <t>VITORIA</t>
    <phoneticPr fontId="3" type="noConversion"/>
  </si>
  <si>
    <t>IMBITUBA</t>
    <phoneticPr fontId="3" type="noConversion"/>
  </si>
  <si>
    <t>SAO FRANCISCO DO SUL</t>
    <phoneticPr fontId="3" type="noConversion"/>
  </si>
  <si>
    <t>ASAS2/1</t>
    <phoneticPr fontId="3" type="noConversion"/>
  </si>
  <si>
    <t>WHA $92/TEU CC</t>
    <phoneticPr fontId="3" type="noConversion"/>
  </si>
  <si>
    <t>MANZANILLO PA</t>
    <phoneticPr fontId="3" type="noConversion"/>
  </si>
  <si>
    <t>EC3</t>
    <phoneticPr fontId="3" type="noConversion"/>
  </si>
  <si>
    <t>BALBOA</t>
    <phoneticPr fontId="3" type="noConversion"/>
  </si>
  <si>
    <t>VERACRUZ</t>
    <phoneticPr fontId="3" type="noConversion"/>
  </si>
  <si>
    <r>
      <rPr>
        <sz val="8"/>
        <color rgb="FFFF0000"/>
        <rFont val="宋体"/>
        <family val="3"/>
        <charset val="134"/>
      </rPr>
      <t>单票只接双数箱量</t>
    </r>
    <r>
      <rPr>
        <sz val="8"/>
        <color rgb="FFFF0000"/>
        <rFont val="Arial"/>
        <family val="2"/>
      </rPr>
      <t xml:space="preserve"> 20'&lt;21T 40'&lt;21T</t>
    </r>
    <phoneticPr fontId="3" type="noConversion"/>
  </si>
  <si>
    <t>单票只接双数箱量</t>
    <phoneticPr fontId="3" type="noConversion"/>
  </si>
  <si>
    <t>FEEDER</t>
    <phoneticPr fontId="3" type="noConversion"/>
  </si>
  <si>
    <t>ALPACA</t>
    <phoneticPr fontId="3" type="noConversion"/>
  </si>
  <si>
    <t>ALTAMIRA</t>
    <phoneticPr fontId="3" type="noConversion"/>
  </si>
  <si>
    <t>MXALT</t>
    <phoneticPr fontId="3" type="noConversion"/>
  </si>
  <si>
    <r>
      <t>2</t>
    </r>
    <r>
      <rPr>
        <sz val="8"/>
        <rFont val="Arial"/>
        <family val="2"/>
      </rPr>
      <t>0</t>
    </r>
    <phoneticPr fontId="3" type="noConversion"/>
  </si>
  <si>
    <t>RIYADH</t>
    <phoneticPr fontId="3" type="noConversion"/>
  </si>
  <si>
    <t>SINGAPORE</t>
    <phoneticPr fontId="3" type="noConversion"/>
  </si>
  <si>
    <r>
      <t>W</t>
    </r>
    <r>
      <rPr>
        <sz val="6"/>
        <rFont val="Arial"/>
        <family val="2"/>
      </rPr>
      <t>IN</t>
    </r>
    <phoneticPr fontId="3" type="noConversion"/>
  </si>
  <si>
    <t xml:space="preserve"> ECR $250/TEU CIS $220/TEU CC</t>
    <phoneticPr fontId="3" type="noConversion"/>
  </si>
  <si>
    <t>AS1</t>
    <phoneticPr fontId="3" type="noConversion"/>
  </si>
  <si>
    <r>
      <t>12</t>
    </r>
    <r>
      <rPr>
        <sz val="8"/>
        <color rgb="FFFF0000"/>
        <rFont val="宋体"/>
        <family val="3"/>
        <charset val="134"/>
      </rPr>
      <t>月</t>
    </r>
    <r>
      <rPr>
        <sz val="8"/>
        <color rgb="FFFF0000"/>
        <rFont val="Arial"/>
        <family val="2"/>
      </rPr>
      <t>15</t>
    </r>
    <r>
      <rPr>
        <sz val="8"/>
        <color rgb="FFFF0000"/>
        <rFont val="宋体"/>
        <family val="3"/>
        <charset val="134"/>
      </rPr>
      <t>日首航</t>
    </r>
    <phoneticPr fontId="3" type="noConversion"/>
  </si>
  <si>
    <r>
      <t>1</t>
    </r>
    <r>
      <rPr>
        <sz val="8"/>
        <rFont val="Arial"/>
        <family val="2"/>
      </rPr>
      <t>7</t>
    </r>
    <phoneticPr fontId="3" type="noConversion"/>
  </si>
  <si>
    <r>
      <t>AS</t>
    </r>
    <r>
      <rPr>
        <sz val="6"/>
        <rFont val="Arial"/>
        <family val="2"/>
      </rPr>
      <t>3</t>
    </r>
    <phoneticPr fontId="3" type="noConversion"/>
  </si>
  <si>
    <t>4</t>
    <phoneticPr fontId="3" type="noConversion"/>
  </si>
  <si>
    <r>
      <t>2</t>
    </r>
    <r>
      <rPr>
        <sz val="8"/>
        <rFont val="Arial"/>
        <family val="2"/>
      </rPr>
      <t>1</t>
    </r>
    <phoneticPr fontId="3" type="noConversion"/>
  </si>
  <si>
    <r>
      <t>2</t>
    </r>
    <r>
      <rPr>
        <sz val="8"/>
        <rFont val="Arial"/>
        <family val="2"/>
      </rPr>
      <t>3</t>
    </r>
    <phoneticPr fontId="3" type="noConversion"/>
  </si>
  <si>
    <r>
      <t>12</t>
    </r>
    <r>
      <rPr>
        <sz val="8"/>
        <color indexed="10"/>
        <rFont val="宋体"/>
        <family val="3"/>
        <charset val="134"/>
      </rPr>
      <t>月</t>
    </r>
    <r>
      <rPr>
        <sz val="8"/>
        <color indexed="10"/>
        <rFont val="Arial"/>
        <family val="2"/>
      </rPr>
      <t>15</t>
    </r>
    <r>
      <rPr>
        <sz val="8"/>
        <color indexed="10"/>
        <rFont val="宋体"/>
        <family val="3"/>
        <charset val="134"/>
      </rPr>
      <t>日空班</t>
    </r>
    <phoneticPr fontId="3" type="noConversion"/>
  </si>
  <si>
    <r>
      <t>2018</t>
    </r>
    <r>
      <rPr>
        <sz val="11"/>
        <color rgb="FFFF0000"/>
        <rFont val="宋体"/>
        <family val="2"/>
        <charset val="134"/>
      </rPr>
      <t>年</t>
    </r>
    <r>
      <rPr>
        <sz val="11"/>
        <color rgb="FFFF0000"/>
        <rFont val="Arial"/>
        <family val="2"/>
      </rPr>
      <t>1</t>
    </r>
    <r>
      <rPr>
        <sz val="11"/>
        <color rgb="FFFF0000"/>
        <rFont val="宋体"/>
        <family val="2"/>
        <charset val="134"/>
      </rPr>
      <t>月</t>
    </r>
    <r>
      <rPr>
        <sz val="11"/>
        <color rgb="FFFF0000"/>
        <rFont val="Arial"/>
        <family val="2"/>
      </rPr>
      <t>1</t>
    </r>
    <r>
      <rPr>
        <sz val="11"/>
        <color rgb="FFFF0000"/>
        <rFont val="宋体"/>
        <family val="2"/>
        <charset val="134"/>
      </rPr>
      <t>日船东涨价计划</t>
    </r>
    <phoneticPr fontId="58" type="noConversion"/>
  </si>
  <si>
    <t>960</t>
    <phoneticPr fontId="58" type="noConversion"/>
  </si>
  <si>
    <t>1200</t>
    <phoneticPr fontId="58" type="noConversion"/>
  </si>
  <si>
    <t>1350</t>
    <phoneticPr fontId="58" type="noConversion"/>
  </si>
  <si>
    <t>ELIZABETH SA</t>
    <phoneticPr fontId="3" type="noConversion"/>
  </si>
  <si>
    <t>DARRA QL</t>
    <phoneticPr fontId="3" type="noConversion"/>
  </si>
  <si>
    <t>NARANGBA QL</t>
    <phoneticPr fontId="3" type="noConversion"/>
  </si>
  <si>
    <t>WACOL QLD</t>
    <phoneticPr fontId="3" type="noConversion"/>
  </si>
  <si>
    <t>WELSHPOOL WA</t>
    <phoneticPr fontId="3" type="noConversion"/>
  </si>
  <si>
    <t>ALEXANDRIA NSW</t>
    <phoneticPr fontId="3" type="noConversion"/>
  </si>
  <si>
    <t>70</t>
    <phoneticPr fontId="3" type="noConversion"/>
  </si>
  <si>
    <t>20'&lt;21T 40'&lt;21T TO DOOR</t>
    <phoneticPr fontId="3" type="noConversion"/>
  </si>
  <si>
    <t>CEUTA</t>
    <phoneticPr fontId="3" type="noConversion"/>
  </si>
  <si>
    <t>2400</t>
    <phoneticPr fontId="3" type="noConversion"/>
  </si>
  <si>
    <t>2017/12/4</t>
    <phoneticPr fontId="3" type="noConversion"/>
  </si>
  <si>
    <t>CIMEX2K2</t>
    <phoneticPr fontId="3" type="noConversion"/>
  </si>
  <si>
    <r>
      <t>12</t>
    </r>
    <r>
      <rPr>
        <sz val="8"/>
        <color rgb="FFFF0000"/>
        <rFont val="宋体"/>
        <family val="3"/>
        <charset val="134"/>
      </rPr>
      <t>月</t>
    </r>
    <r>
      <rPr>
        <sz val="8"/>
        <color rgb="FFFF0000"/>
        <rFont val="Arial"/>
        <family val="2"/>
      </rPr>
      <t>28</t>
    </r>
    <r>
      <rPr>
        <sz val="8"/>
        <color rgb="FFFF0000"/>
        <rFont val="宋体"/>
        <family val="3"/>
        <charset val="134"/>
      </rPr>
      <t>日起新增挂靠</t>
    </r>
    <phoneticPr fontId="3" type="noConversion"/>
  </si>
  <si>
    <t>SHUWAIKH</t>
    <phoneticPr fontId="3" type="noConversion"/>
  </si>
  <si>
    <t>2355892055</t>
    <phoneticPr fontId="3" type="noConversion"/>
  </si>
  <si>
    <t>WSC $100/TEU CC</t>
    <phoneticPr fontId="3" type="noConversion"/>
  </si>
  <si>
    <t>CAP HAITIEN</t>
    <phoneticPr fontId="3" type="noConversion"/>
  </si>
  <si>
    <t>2340</t>
    <phoneticPr fontId="3" type="noConversion"/>
  </si>
  <si>
    <t>2975</t>
    <phoneticPr fontId="3" type="noConversion"/>
  </si>
  <si>
    <t>DEC03/25</t>
    <phoneticPr fontId="3" type="noConversion"/>
  </si>
  <si>
    <t>COLOMBO</t>
    <phoneticPr fontId="3" type="noConversion"/>
  </si>
  <si>
    <t>VCS $177/TEU CC</t>
    <phoneticPr fontId="3" type="noConversion"/>
  </si>
  <si>
    <t>130</t>
    <phoneticPr fontId="3" type="noConversion"/>
  </si>
  <si>
    <t>13818740301</t>
    <phoneticPr fontId="3" type="noConversion"/>
  </si>
  <si>
    <r>
      <rPr>
        <sz val="10"/>
        <color theme="1"/>
        <rFont val="宋体"/>
        <family val="3"/>
        <charset val="134"/>
      </rPr>
      <t>海运费</t>
    </r>
    <phoneticPr fontId="3" type="noConversion"/>
  </si>
  <si>
    <t>BIRGUNJ</t>
    <phoneticPr fontId="3" type="noConversion"/>
  </si>
  <si>
    <t>SWIRE</t>
    <phoneticPr fontId="3" type="noConversion"/>
  </si>
  <si>
    <t>DJIBOUTI</t>
    <phoneticPr fontId="3" type="noConversion"/>
  </si>
  <si>
    <t>60658330</t>
    <phoneticPr fontId="3" type="noConversion"/>
  </si>
  <si>
    <t>ZIRANDARO</t>
    <phoneticPr fontId="3" type="noConversion"/>
  </si>
  <si>
    <t>ZAMORA</t>
    <phoneticPr fontId="3" type="noConversion"/>
  </si>
  <si>
    <t>TLAXCALA</t>
    <phoneticPr fontId="3" type="noConversion"/>
  </si>
  <si>
    <t>TLAQUEPAQUE</t>
    <phoneticPr fontId="3" type="noConversion"/>
  </si>
  <si>
    <t>TLALPAN</t>
    <phoneticPr fontId="3" type="noConversion"/>
  </si>
  <si>
    <t>LIMA</t>
    <phoneticPr fontId="3" type="noConversion"/>
  </si>
  <si>
    <t>AN1/2</t>
    <phoneticPr fontId="3" type="noConversion"/>
  </si>
  <si>
    <t>ILO</t>
    <phoneticPr fontId="3" type="noConversion"/>
  </si>
  <si>
    <t>ICA</t>
    <phoneticPr fontId="3" type="noConversion"/>
  </si>
  <si>
    <t>7280</t>
    <phoneticPr fontId="3" type="noConversion"/>
  </si>
  <si>
    <t>5325</t>
    <phoneticPr fontId="3" type="noConversion"/>
  </si>
  <si>
    <t>6130</t>
    <phoneticPr fontId="3" type="noConversion"/>
  </si>
  <si>
    <t>4505</t>
    <phoneticPr fontId="3" type="noConversion"/>
  </si>
  <si>
    <t>6057</t>
    <phoneticPr fontId="3" type="noConversion"/>
  </si>
  <si>
    <t>4375</t>
    <phoneticPr fontId="3" type="noConversion"/>
  </si>
  <si>
    <t>6110</t>
    <phoneticPr fontId="3" type="noConversion"/>
  </si>
  <si>
    <t>4405</t>
    <phoneticPr fontId="3" type="noConversion"/>
  </si>
  <si>
    <t>5720</t>
    <phoneticPr fontId="3" type="noConversion"/>
  </si>
  <si>
    <t>4315</t>
    <phoneticPr fontId="3" type="noConversion"/>
  </si>
  <si>
    <t>7360</t>
    <phoneticPr fontId="3" type="noConversion"/>
  </si>
  <si>
    <t>5170</t>
    <phoneticPr fontId="3" type="noConversion"/>
  </si>
  <si>
    <t>7160</t>
    <phoneticPr fontId="3" type="noConversion"/>
  </si>
  <si>
    <t>5070</t>
    <phoneticPr fontId="3" type="noConversion"/>
  </si>
  <si>
    <t>9190</t>
    <phoneticPr fontId="3" type="noConversion"/>
  </si>
  <si>
    <t>6180</t>
    <phoneticPr fontId="3" type="noConversion"/>
  </si>
  <si>
    <t>5770</t>
    <phoneticPr fontId="3" type="noConversion"/>
  </si>
  <si>
    <t>4275</t>
    <phoneticPr fontId="3" type="noConversion"/>
  </si>
  <si>
    <t>5700</t>
    <phoneticPr fontId="3" type="noConversion"/>
  </si>
  <si>
    <t>5880</t>
    <phoneticPr fontId="3" type="noConversion"/>
  </si>
  <si>
    <t>4325</t>
    <phoneticPr fontId="3" type="noConversion"/>
  </si>
  <si>
    <t>4345</t>
    <phoneticPr fontId="3" type="noConversion"/>
  </si>
  <si>
    <t>5990</t>
    <phoneticPr fontId="3" type="noConversion"/>
  </si>
  <si>
    <t>5620</t>
    <phoneticPr fontId="3" type="noConversion"/>
  </si>
  <si>
    <t>4205</t>
    <phoneticPr fontId="3" type="noConversion"/>
  </si>
  <si>
    <t>ST VINCENT</t>
    <phoneticPr fontId="3" type="noConversion"/>
  </si>
  <si>
    <t>CAMPDEN PARK</t>
    <phoneticPr fontId="3" type="noConversion"/>
  </si>
  <si>
    <t>6090</t>
    <phoneticPr fontId="3" type="noConversion"/>
  </si>
  <si>
    <t>4525</t>
    <phoneticPr fontId="3" type="noConversion"/>
  </si>
  <si>
    <t>5580</t>
    <phoneticPr fontId="3" type="noConversion"/>
  </si>
  <si>
    <t>4245</t>
    <phoneticPr fontId="3" type="noConversion"/>
  </si>
  <si>
    <t>5330</t>
    <phoneticPr fontId="3" type="noConversion"/>
  </si>
  <si>
    <t>4190</t>
    <phoneticPr fontId="3" type="noConversion"/>
  </si>
  <si>
    <t>6080</t>
    <phoneticPr fontId="3" type="noConversion"/>
  </si>
  <si>
    <t>4480</t>
    <phoneticPr fontId="3" type="noConversion"/>
  </si>
  <si>
    <t>5530</t>
    <phoneticPr fontId="3" type="noConversion"/>
  </si>
  <si>
    <t>4360</t>
    <phoneticPr fontId="3" type="noConversion"/>
  </si>
  <si>
    <t>8730</t>
    <phoneticPr fontId="3" type="noConversion"/>
  </si>
  <si>
    <t>LITTLE CAYMAN</t>
    <phoneticPr fontId="3" type="noConversion"/>
  </si>
  <si>
    <t>8540</t>
    <phoneticPr fontId="3" type="noConversion"/>
  </si>
  <si>
    <t>5740</t>
    <phoneticPr fontId="3" type="noConversion"/>
  </si>
  <si>
    <t>8100</t>
    <phoneticPr fontId="3" type="noConversion"/>
  </si>
  <si>
    <t>5540</t>
    <phoneticPr fontId="3" type="noConversion"/>
  </si>
  <si>
    <t>8300</t>
    <phoneticPr fontId="3" type="noConversion"/>
  </si>
  <si>
    <t>5010</t>
    <phoneticPr fontId="3" type="noConversion"/>
  </si>
  <si>
    <t>3895</t>
    <phoneticPr fontId="3" type="noConversion"/>
  </si>
  <si>
    <t>6070</t>
    <phoneticPr fontId="3" type="noConversion"/>
  </si>
  <si>
    <t>4555</t>
    <phoneticPr fontId="3" type="noConversion"/>
  </si>
  <si>
    <t>6420</t>
    <phoneticPr fontId="3" type="noConversion"/>
  </si>
  <si>
    <t>4615</t>
    <phoneticPr fontId="3" type="noConversion"/>
  </si>
  <si>
    <t>2155</t>
    <phoneticPr fontId="3" type="noConversion"/>
  </si>
  <si>
    <t>3810</t>
    <phoneticPr fontId="3" type="noConversion"/>
  </si>
  <si>
    <t>2935</t>
    <phoneticPr fontId="3" type="noConversion"/>
  </si>
  <si>
    <t>PROGRESO</t>
    <phoneticPr fontId="3" type="noConversion"/>
  </si>
  <si>
    <t>ENSENADA</t>
    <phoneticPr fontId="3" type="noConversion"/>
  </si>
  <si>
    <t>PORT KELANG</t>
    <phoneticPr fontId="3" type="noConversion"/>
  </si>
  <si>
    <t>MALAYSIA</t>
    <phoneticPr fontId="3" type="noConversion"/>
  </si>
  <si>
    <t>1/2/3/5/6</t>
    <phoneticPr fontId="3" type="noConversion"/>
  </si>
  <si>
    <r>
      <t>CIX3/</t>
    </r>
    <r>
      <rPr>
        <sz val="6"/>
        <color indexed="8"/>
        <rFont val="Arial"/>
        <family val="2"/>
      </rPr>
      <t>CPX2/</t>
    </r>
    <r>
      <rPr>
        <sz val="6"/>
        <color indexed="8"/>
        <rFont val="Arial"/>
        <family val="2"/>
      </rPr>
      <t>RS2/CPX/ME5</t>
    </r>
    <phoneticPr fontId="3" type="noConversion"/>
  </si>
  <si>
    <t>8</t>
    <phoneticPr fontId="3" type="noConversion"/>
  </si>
  <si>
    <t>欧地线</t>
    <phoneticPr fontId="58" type="noConversion"/>
  </si>
  <si>
    <t>200</t>
    <phoneticPr fontId="58" type="noConversion"/>
  </si>
  <si>
    <t>400</t>
    <phoneticPr fontId="58" type="noConversion"/>
  </si>
  <si>
    <t>400</t>
    <phoneticPr fontId="58" type="noConversion"/>
  </si>
  <si>
    <t>ABU DHABI</t>
    <phoneticPr fontId="3" type="noConversion"/>
  </si>
  <si>
    <t>AJMAN</t>
    <phoneticPr fontId="3" type="noConversion"/>
  </si>
  <si>
    <t>SHARJAH</t>
    <phoneticPr fontId="3" type="noConversion"/>
  </si>
  <si>
    <t>DAMMAM</t>
    <phoneticPr fontId="3" type="noConversion"/>
  </si>
  <si>
    <t>RIYADH</t>
    <phoneticPr fontId="3" type="noConversion"/>
  </si>
  <si>
    <t>BANDAR IMAM KHOMEINI</t>
    <phoneticPr fontId="3" type="noConversion"/>
  </si>
  <si>
    <t>KUWAIT</t>
    <phoneticPr fontId="3" type="noConversion"/>
  </si>
  <si>
    <t>BAHRAIN</t>
    <phoneticPr fontId="3" type="noConversion"/>
  </si>
  <si>
    <t>UMM QASR</t>
    <phoneticPr fontId="3" type="noConversion"/>
  </si>
  <si>
    <t>SOHAR</t>
    <phoneticPr fontId="3" type="noConversion"/>
  </si>
  <si>
    <t>CHENNAI/MADRAS</t>
    <phoneticPr fontId="3" type="noConversion"/>
  </si>
  <si>
    <t>MUNDRA</t>
    <phoneticPr fontId="3" type="noConversion"/>
  </si>
  <si>
    <t>2881827777</t>
    <phoneticPr fontId="3" type="noConversion"/>
  </si>
  <si>
    <r>
      <t xml:space="preserve"> </t>
    </r>
    <r>
      <rPr>
        <sz val="8"/>
        <color indexed="8"/>
        <rFont val="宋体"/>
        <family val="3"/>
        <charset val="134"/>
      </rPr>
      <t>拥堵费</t>
    </r>
    <r>
      <rPr>
        <sz val="8"/>
        <color indexed="8"/>
        <rFont val="Arial"/>
        <family val="2"/>
      </rPr>
      <t>USD100/TEU</t>
    </r>
  </si>
  <si>
    <t>MOROLEON</t>
    <phoneticPr fontId="3" type="noConversion"/>
  </si>
  <si>
    <t>MORELIA</t>
    <phoneticPr fontId="3" type="noConversion"/>
  </si>
  <si>
    <t>MONCLOVA</t>
    <phoneticPr fontId="3" type="noConversion"/>
  </si>
  <si>
    <t>MONTEMORELOS</t>
    <phoneticPr fontId="3" type="noConversion"/>
  </si>
  <si>
    <t>MINATITLAN</t>
    <phoneticPr fontId="3" type="noConversion"/>
  </si>
  <si>
    <t>MIGUEL HIDALGO</t>
    <phoneticPr fontId="3" type="noConversion"/>
  </si>
  <si>
    <t>CANCUN</t>
    <phoneticPr fontId="3" type="noConversion"/>
  </si>
  <si>
    <t>CAMPECHE</t>
    <phoneticPr fontId="3" type="noConversion"/>
  </si>
  <si>
    <t>CADEREYTA</t>
    <phoneticPr fontId="3" type="noConversion"/>
  </si>
  <si>
    <t>CABORCA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</si>
  <si>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15T $300</t>
    </r>
    <phoneticPr fontId="3" type="noConversion"/>
  </si>
  <si>
    <t>1325</t>
    <phoneticPr fontId="3" type="noConversion"/>
  </si>
  <si>
    <t>2020</t>
    <phoneticPr fontId="3" type="noConversion"/>
  </si>
  <si>
    <t>2575</t>
    <phoneticPr fontId="3" type="noConversion"/>
  </si>
  <si>
    <t>2820</t>
    <phoneticPr fontId="3" type="noConversion"/>
  </si>
  <si>
    <t>3575</t>
    <phoneticPr fontId="3" type="noConversion"/>
  </si>
  <si>
    <t>1500</t>
    <phoneticPr fontId="3" type="noConversion"/>
  </si>
  <si>
    <t>1925</t>
    <phoneticPr fontId="3" type="noConversion"/>
  </si>
  <si>
    <t>2260</t>
    <phoneticPr fontId="3" type="noConversion"/>
  </si>
  <si>
    <t>2875</t>
    <phoneticPr fontId="3" type="noConversion"/>
  </si>
  <si>
    <t>只接批量货</t>
    <phoneticPr fontId="3" type="noConversion"/>
  </si>
  <si>
    <t>115</t>
    <phoneticPr fontId="3" type="noConversion"/>
  </si>
  <si>
    <t>230</t>
    <phoneticPr fontId="3" type="noConversion"/>
  </si>
  <si>
    <t>-90</t>
    <phoneticPr fontId="3" type="noConversion"/>
  </si>
  <si>
    <t>-180</t>
    <phoneticPr fontId="3" type="noConversion"/>
  </si>
  <si>
    <r>
      <t>12</t>
    </r>
    <r>
      <rPr>
        <sz val="8"/>
        <color rgb="FFFF0000"/>
        <rFont val="宋体"/>
        <family val="3"/>
        <charset val="134"/>
      </rPr>
      <t>月</t>
    </r>
    <r>
      <rPr>
        <sz val="8"/>
        <color rgb="FFFF0000"/>
        <rFont val="Arial"/>
        <family val="2"/>
      </rPr>
      <t>19</t>
    </r>
    <r>
      <rPr>
        <sz val="8"/>
        <color rgb="FFFF0000"/>
        <rFont val="宋体"/>
        <family val="3"/>
        <charset val="134"/>
      </rPr>
      <t>日空班</t>
    </r>
    <phoneticPr fontId="3" type="noConversion"/>
  </si>
  <si>
    <t>CALCUTTA/KOLKATA</t>
    <phoneticPr fontId="3" type="noConversion"/>
  </si>
  <si>
    <r>
      <t>1</t>
    </r>
    <r>
      <rPr>
        <sz val="10"/>
        <rFont val="Arial"/>
        <family val="2"/>
      </rPr>
      <t>/3</t>
    </r>
    <phoneticPr fontId="3" type="noConversion"/>
  </si>
  <si>
    <r>
      <t>1</t>
    </r>
    <r>
      <rPr>
        <sz val="8"/>
        <color indexed="8"/>
        <rFont val="Arial"/>
        <family val="2"/>
      </rPr>
      <t>7</t>
    </r>
    <phoneticPr fontId="3" type="noConversion"/>
  </si>
  <si>
    <r>
      <t>CI2</t>
    </r>
    <r>
      <rPr>
        <sz val="6"/>
        <color indexed="8"/>
        <rFont val="Arial"/>
        <family val="2"/>
      </rPr>
      <t>/CMS</t>
    </r>
    <phoneticPr fontId="3" type="noConversion"/>
  </si>
  <si>
    <t>110</t>
    <phoneticPr fontId="3" type="noConversion"/>
  </si>
  <si>
    <r>
      <rPr>
        <sz val="8"/>
        <color rgb="FF0000FF"/>
        <rFont val="Arial"/>
        <family val="2"/>
      </rPr>
      <t>ISPS EUR15/BOX</t>
    </r>
    <r>
      <rPr>
        <sz val="8"/>
        <color indexed="8"/>
        <rFont val="Arial"/>
        <family val="2"/>
      </rPr>
      <t xml:space="preserve"> ENS $25</t>
    </r>
    <phoneticPr fontId="3" type="noConversion"/>
  </si>
  <si>
    <t>MARIBOR</t>
    <phoneticPr fontId="3" type="noConversion"/>
  </si>
  <si>
    <t>1350</t>
    <phoneticPr fontId="3" type="noConversion"/>
  </si>
  <si>
    <t>1650</t>
    <phoneticPr fontId="3" type="noConversion"/>
  </si>
  <si>
    <t>950</t>
    <phoneticPr fontId="3" type="noConversion"/>
  </si>
  <si>
    <t>APG/FRS</t>
    <phoneticPr fontId="3" type="noConversion"/>
  </si>
  <si>
    <t>34/30</t>
    <phoneticPr fontId="3" type="noConversion"/>
  </si>
  <si>
    <t>12月20日空班</t>
    <phoneticPr fontId="3" type="noConversion"/>
  </si>
  <si>
    <t>ISPS $9/BOX</t>
    <phoneticPr fontId="3" type="noConversion"/>
  </si>
  <si>
    <t>MOMBASA</t>
    <phoneticPr fontId="3" type="noConversion"/>
  </si>
  <si>
    <r>
      <rPr>
        <sz val="8"/>
        <color rgb="FF000000"/>
        <rFont val="Comic Sans MS"/>
        <family val="4"/>
      </rPr>
      <t>东非线</t>
    </r>
    <phoneticPr fontId="3" type="noConversion"/>
  </si>
  <si>
    <t>INCL PRS $150/TEU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</si>
  <si>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18.7T $50</t>
    </r>
    <phoneticPr fontId="3" type="noConversion"/>
  </si>
  <si>
    <t>28/31</t>
    <phoneticPr fontId="3" type="noConversion"/>
  </si>
  <si>
    <t>20'&lt;13T 40'&lt;19.4T</t>
    <phoneticPr fontId="3" type="noConversion"/>
  </si>
  <si>
    <t>ZAJNB</t>
    <phoneticPr fontId="3" type="noConversion"/>
  </si>
  <si>
    <t>JET PART</t>
    <phoneticPr fontId="3" type="noConversion"/>
  </si>
  <si>
    <t>MIDRAND</t>
    <phoneticPr fontId="3" type="noConversion"/>
  </si>
  <si>
    <t>INDUSTRIA</t>
    <phoneticPr fontId="3" type="noConversion"/>
  </si>
  <si>
    <t>EDENVALE</t>
    <phoneticPr fontId="3" type="noConversion"/>
  </si>
  <si>
    <t>BENROSE</t>
    <phoneticPr fontId="3" type="noConversion"/>
  </si>
  <si>
    <t>WAX2</t>
    <phoneticPr fontId="3" type="noConversion"/>
  </si>
  <si>
    <t>20'&lt;21.7T 40'&lt;19.4T</t>
    <phoneticPr fontId="3" type="noConversion"/>
  </si>
  <si>
    <t>ZACPT</t>
    <phoneticPr fontId="3" type="noConversion"/>
  </si>
  <si>
    <t>SOMERSET WEST</t>
    <phoneticPr fontId="3" type="noConversion"/>
  </si>
  <si>
    <t>PAROW INDUSTRIA</t>
    <phoneticPr fontId="3" type="noConversion"/>
  </si>
  <si>
    <t>PAARDEN EILAND</t>
    <phoneticPr fontId="3" type="noConversion"/>
  </si>
  <si>
    <t>EPPING</t>
    <phoneticPr fontId="3" type="noConversion"/>
  </si>
  <si>
    <t>ATHLONE</t>
    <phoneticPr fontId="3" type="noConversion"/>
  </si>
  <si>
    <t>ROSSBURGH</t>
    <phoneticPr fontId="3" type="noConversion"/>
  </si>
  <si>
    <t>PIETERMARITZBURG</t>
    <phoneticPr fontId="3" type="noConversion"/>
  </si>
  <si>
    <t>SOUTH AFRICA</t>
    <phoneticPr fontId="3" type="noConversion"/>
  </si>
  <si>
    <t>DURBAN NORTH</t>
    <phoneticPr fontId="3" type="noConversion"/>
  </si>
  <si>
    <t>南非线</t>
    <phoneticPr fontId="3" type="noConversion"/>
  </si>
  <si>
    <t>DURBAN CITY CENTER</t>
    <phoneticPr fontId="3" type="noConversion"/>
  </si>
  <si>
    <t>AMANZIMTOTI</t>
    <phoneticPr fontId="3" type="noConversion"/>
  </si>
  <si>
    <t>南非内陆点</t>
    <phoneticPr fontId="3" type="noConversion"/>
  </si>
  <si>
    <t>20'&lt;13T 40'&lt;26T</t>
    <phoneticPr fontId="3" type="noConversion"/>
  </si>
  <si>
    <t>PRETORIA</t>
    <phoneticPr fontId="3" type="noConversion"/>
  </si>
  <si>
    <r>
      <rPr>
        <sz val="8"/>
        <color theme="1"/>
        <rFont val="Comic Sans MS"/>
        <family val="4"/>
      </rPr>
      <t>南非线</t>
    </r>
    <phoneticPr fontId="3" type="noConversion"/>
  </si>
  <si>
    <t xml:space="preserve">ISPS $12/BOX 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</si>
  <si>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15T $50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$100</t>
    </r>
    <phoneticPr fontId="3" type="noConversion"/>
  </si>
  <si>
    <t>ASAF2</t>
    <phoneticPr fontId="3" type="noConversion"/>
  </si>
  <si>
    <t>TURN-IN FEE ZAR1575/4375 PP</t>
    <phoneticPr fontId="3" type="noConversion"/>
  </si>
  <si>
    <t>RICHARDS BAY</t>
    <phoneticPr fontId="3" type="noConversion"/>
  </si>
  <si>
    <t>ZAPEL</t>
    <phoneticPr fontId="3" type="noConversion"/>
  </si>
  <si>
    <t>2850</t>
    <phoneticPr fontId="3" type="noConversion"/>
  </si>
  <si>
    <t>EAST LONDON</t>
    <phoneticPr fontId="3" type="noConversion"/>
  </si>
  <si>
    <t>DTHC $171/252 CC</t>
    <phoneticPr fontId="3" type="noConversion"/>
  </si>
  <si>
    <t>JOHANNESBURG</t>
    <phoneticPr fontId="3" type="noConversion"/>
  </si>
  <si>
    <r>
      <t>20'</t>
    </r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>20T  $100</t>
    </r>
    <phoneticPr fontId="3" type="noConversion"/>
  </si>
  <si>
    <t>COEGA</t>
    <phoneticPr fontId="3" type="noConversion"/>
  </si>
  <si>
    <t>1550</t>
    <phoneticPr fontId="3" type="noConversion"/>
  </si>
  <si>
    <t>PORT ELIZABETH/NGQURA</t>
    <phoneticPr fontId="3" type="noConversion"/>
  </si>
  <si>
    <t>CAPETOWN</t>
    <phoneticPr fontId="3" type="noConversion"/>
  </si>
  <si>
    <t>ASA-C</t>
    <phoneticPr fontId="3" type="noConversion"/>
  </si>
  <si>
    <t>ISPS $14/BOX</t>
    <phoneticPr fontId="3" type="noConversion"/>
  </si>
  <si>
    <t>1900</t>
    <phoneticPr fontId="3" type="noConversion"/>
  </si>
  <si>
    <t>1850</t>
    <phoneticPr fontId="3" type="noConversion"/>
  </si>
  <si>
    <t>1125</t>
    <phoneticPr fontId="3" type="noConversion"/>
  </si>
  <si>
    <t>FW6</t>
    <phoneticPr fontId="3" type="noConversion"/>
  </si>
  <si>
    <t>2000</t>
    <phoneticPr fontId="3" type="noConversion"/>
  </si>
  <si>
    <t>WAX4</t>
    <phoneticPr fontId="3" type="noConversion"/>
  </si>
  <si>
    <t>DURBAN</t>
    <phoneticPr fontId="3" type="noConversion"/>
  </si>
  <si>
    <t>AOLAD</t>
    <phoneticPr fontId="3" type="noConversion"/>
  </si>
  <si>
    <t>8450</t>
    <phoneticPr fontId="3" type="noConversion"/>
  </si>
  <si>
    <t>4825</t>
    <phoneticPr fontId="3" type="noConversion"/>
  </si>
  <si>
    <t>SAO TOME</t>
    <phoneticPr fontId="3" type="noConversion"/>
  </si>
  <si>
    <t>SAO TOME AND PRINCIPE</t>
    <phoneticPr fontId="3" type="noConversion"/>
  </si>
  <si>
    <r>
      <rPr>
        <sz val="8"/>
        <color theme="1"/>
        <rFont val="宋体"/>
        <family val="3"/>
        <charset val="134"/>
      </rPr>
      <t>西非线</t>
    </r>
    <phoneticPr fontId="3" type="noConversion"/>
  </si>
  <si>
    <t>PTLEX</t>
    <phoneticPr fontId="3" type="noConversion"/>
  </si>
  <si>
    <t>SAL</t>
    <phoneticPr fontId="3" type="noConversion"/>
  </si>
  <si>
    <t>CAPE VERDE ISLAND</t>
    <phoneticPr fontId="3" type="noConversion"/>
  </si>
  <si>
    <t>西非线</t>
    <phoneticPr fontId="3" type="noConversion"/>
  </si>
  <si>
    <t>BOA VISTA</t>
    <phoneticPr fontId="3" type="noConversion"/>
  </si>
  <si>
    <t>MINDELO</t>
    <phoneticPr fontId="3" type="noConversion"/>
  </si>
  <si>
    <r>
      <rPr>
        <sz val="8"/>
        <color theme="1"/>
        <rFont val="Comic Sans MS"/>
        <family val="4"/>
      </rPr>
      <t>西非线</t>
    </r>
    <phoneticPr fontId="3" type="noConversion"/>
  </si>
  <si>
    <t>AFRICA</t>
    <phoneticPr fontId="3" type="noConversion"/>
  </si>
  <si>
    <t>PRAIA</t>
    <phoneticPr fontId="3" type="noConversion"/>
  </si>
  <si>
    <t>NOUADHIBOU</t>
    <phoneticPr fontId="3" type="noConversion"/>
  </si>
  <si>
    <t>MAURITANIA</t>
    <phoneticPr fontId="3" type="noConversion"/>
  </si>
  <si>
    <t>ESBCN/ESVAL</t>
    <phoneticPr fontId="3" type="noConversion"/>
  </si>
  <si>
    <t>NOUAKCHOTT</t>
    <phoneticPr fontId="3" type="noConversion"/>
  </si>
  <si>
    <t>MONROVIA</t>
    <phoneticPr fontId="3" type="noConversion"/>
  </si>
  <si>
    <t>LIBERIA</t>
    <phoneticPr fontId="3" type="noConversion"/>
  </si>
  <si>
    <t>3750</t>
    <phoneticPr fontId="3" type="noConversion"/>
  </si>
  <si>
    <t>SWS/SW2</t>
    <phoneticPr fontId="3" type="noConversion"/>
  </si>
  <si>
    <t>TGLFW</t>
    <phoneticPr fontId="3" type="noConversion"/>
  </si>
  <si>
    <t>FREETOWN</t>
    <phoneticPr fontId="3" type="noConversion"/>
  </si>
  <si>
    <t>SIERRA LEONE</t>
    <phoneticPr fontId="3" type="noConversion"/>
  </si>
  <si>
    <t>BANJUL</t>
    <phoneticPr fontId="3" type="noConversion"/>
  </si>
  <si>
    <t>GAMBIAN</t>
    <phoneticPr fontId="3" type="noConversion"/>
  </si>
  <si>
    <t>INCL DTHC EUR60/BOX</t>
    <phoneticPr fontId="3" type="noConversion"/>
  </si>
  <si>
    <t>5400</t>
    <phoneticPr fontId="3" type="noConversion"/>
  </si>
  <si>
    <t>BATA</t>
    <phoneticPr fontId="3" type="noConversion"/>
  </si>
  <si>
    <t>EQUATORIAL GUINEA</t>
    <phoneticPr fontId="3" type="noConversion"/>
  </si>
  <si>
    <t>FW6/FEW1</t>
    <phoneticPr fontId="3" type="noConversion"/>
  </si>
  <si>
    <t>CGPNO</t>
    <phoneticPr fontId="3" type="noConversion"/>
  </si>
  <si>
    <t>SW3</t>
    <phoneticPr fontId="3" type="noConversion"/>
  </si>
  <si>
    <t>MALABO</t>
    <phoneticPr fontId="3" type="noConversion"/>
  </si>
  <si>
    <t>69</t>
    <phoneticPr fontId="3" type="noConversion"/>
  </si>
  <si>
    <t>CONAKRY</t>
    <phoneticPr fontId="3" type="noConversion"/>
  </si>
  <si>
    <t>GUINEA</t>
    <phoneticPr fontId="3" type="noConversion"/>
  </si>
  <si>
    <t>INCL CUS EUR90/BOX</t>
    <phoneticPr fontId="3" type="noConversion"/>
  </si>
  <si>
    <t>FEW1/FEW3</t>
    <phoneticPr fontId="3" type="noConversion"/>
  </si>
  <si>
    <t>INCL CER100/BOX</t>
    <phoneticPr fontId="3" type="noConversion"/>
  </si>
  <si>
    <t>NAWVB</t>
    <phoneticPr fontId="3" type="noConversion"/>
  </si>
  <si>
    <t>BISSAU</t>
    <phoneticPr fontId="3" type="noConversion"/>
  </si>
  <si>
    <t>GUINEA BISSAU</t>
    <phoneticPr fontId="3" type="noConversion"/>
  </si>
  <si>
    <t>INCL DTHC EUR330/BOX TAX $40/BOX</t>
    <phoneticPr fontId="3" type="noConversion"/>
  </si>
  <si>
    <t>MATADI</t>
    <phoneticPr fontId="3" type="noConversion"/>
  </si>
  <si>
    <t>KINSHASA</t>
    <phoneticPr fontId="3" type="noConversion"/>
  </si>
  <si>
    <t>BOMA</t>
    <phoneticPr fontId="3" type="noConversion"/>
  </si>
  <si>
    <t>BANANA</t>
    <phoneticPr fontId="3" type="noConversion"/>
  </si>
  <si>
    <t>POINTE NOIRE</t>
    <phoneticPr fontId="3" type="noConversion"/>
  </si>
  <si>
    <t>CONGO</t>
    <phoneticPr fontId="3" type="noConversion"/>
  </si>
  <si>
    <t>1575</t>
    <phoneticPr fontId="3" type="noConversion"/>
  </si>
  <si>
    <t>AFEX</t>
    <phoneticPr fontId="3" type="noConversion"/>
  </si>
  <si>
    <t>INCL PCS $130/TEU</t>
    <phoneticPr fontId="3" type="noConversion"/>
  </si>
  <si>
    <t>PORT GENTIL</t>
    <phoneticPr fontId="3" type="noConversion"/>
  </si>
  <si>
    <t>GABON</t>
    <phoneticPr fontId="3" type="noConversion"/>
  </si>
  <si>
    <t>LIBREVILLE</t>
    <phoneticPr fontId="3" type="noConversion"/>
  </si>
  <si>
    <r>
      <t>14</t>
    </r>
    <r>
      <rPr>
        <sz val="8"/>
        <color rgb="FFFF0000"/>
        <rFont val="宋体"/>
        <family val="3"/>
        <charset val="134"/>
      </rPr>
      <t>天</t>
    </r>
    <phoneticPr fontId="3" type="noConversion"/>
  </si>
  <si>
    <t>INCL CGS EUR300/BOX</t>
    <phoneticPr fontId="3" type="noConversion"/>
  </si>
  <si>
    <t>DOUALA</t>
    <phoneticPr fontId="3" type="noConversion"/>
  </si>
  <si>
    <t>CAMEROON</t>
    <phoneticPr fontId="3" type="noConversion"/>
  </si>
  <si>
    <r>
      <rPr>
        <sz val="8"/>
        <color theme="1"/>
        <rFont val="宋体"/>
        <family val="3"/>
        <charset val="134"/>
      </rPr>
      <t>默认</t>
    </r>
    <r>
      <rPr>
        <sz val="8"/>
        <color theme="1"/>
        <rFont val="Arial"/>
        <family val="2"/>
      </rPr>
      <t>11</t>
    </r>
    <r>
      <rPr>
        <sz val="8"/>
        <color theme="1"/>
        <rFont val="宋体"/>
        <family val="3"/>
        <charset val="134"/>
      </rPr>
      <t>申请</t>
    </r>
    <r>
      <rPr>
        <sz val="8"/>
        <color theme="1"/>
        <rFont val="Arial"/>
        <family val="2"/>
      </rPr>
      <t>14</t>
    </r>
    <r>
      <rPr>
        <sz val="8"/>
        <color theme="1"/>
        <rFont val="宋体"/>
        <family val="3"/>
        <charset val="134"/>
      </rPr>
      <t>天</t>
    </r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</si>
  <si>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 xml:space="preserve">16.7T $250 </t>
    </r>
    <phoneticPr fontId="3" type="noConversion"/>
  </si>
  <si>
    <r>
      <rPr>
        <sz val="8"/>
        <color rgb="FFFF0000"/>
        <rFont val="宋体"/>
        <family val="3"/>
        <charset val="134"/>
      </rPr>
      <t>默认</t>
    </r>
    <r>
      <rPr>
        <sz val="8"/>
        <color rgb="FFFF0000"/>
        <rFont val="Arial"/>
        <family val="2"/>
      </rPr>
      <t>12</t>
    </r>
    <r>
      <rPr>
        <sz val="8"/>
        <color rgb="FFFF0000"/>
        <rFont val="宋体"/>
        <family val="3"/>
        <charset val="134"/>
      </rPr>
      <t>天</t>
    </r>
    <phoneticPr fontId="3" type="noConversion"/>
  </si>
  <si>
    <t>3225</t>
    <phoneticPr fontId="3" type="noConversion"/>
  </si>
  <si>
    <t>SONILS</t>
    <phoneticPr fontId="3" type="noConversion"/>
  </si>
  <si>
    <t>7250</t>
    <phoneticPr fontId="3" type="noConversion"/>
  </si>
  <si>
    <t>4025</t>
    <phoneticPr fontId="3" type="noConversion"/>
  </si>
  <si>
    <t>SOYO</t>
    <phoneticPr fontId="3" type="noConversion"/>
  </si>
  <si>
    <t>ANGOLA</t>
    <phoneticPr fontId="3" type="noConversion"/>
  </si>
  <si>
    <t>CRPNG</t>
    <phoneticPr fontId="3" type="noConversion"/>
  </si>
  <si>
    <t>5300</t>
    <phoneticPr fontId="3" type="noConversion"/>
  </si>
  <si>
    <t>3275</t>
    <phoneticPr fontId="3" type="noConversion"/>
  </si>
  <si>
    <t>CABINDA</t>
    <phoneticPr fontId="3" type="noConversion"/>
  </si>
  <si>
    <t>2355892057</t>
    <phoneticPr fontId="3" type="noConversion"/>
  </si>
  <si>
    <t>ZAPOPAN</t>
    <phoneticPr fontId="3" type="noConversion"/>
  </si>
  <si>
    <t>SAN JUAN DEL RIO</t>
    <phoneticPr fontId="3" type="noConversion"/>
  </si>
  <si>
    <t>SAN JUAN DE LOS LAGOS</t>
    <phoneticPr fontId="3" type="noConversion"/>
  </si>
  <si>
    <t>SAN JOSE ITURBIDE</t>
    <phoneticPr fontId="3" type="noConversion"/>
  </si>
  <si>
    <t>SAN FRANCISCO DEL RINCON</t>
    <phoneticPr fontId="3" type="noConversion"/>
  </si>
  <si>
    <t>SAN FRANCISCO DE LOS ROMO</t>
    <phoneticPr fontId="3" type="noConversion"/>
  </si>
  <si>
    <t>SAN BLAS</t>
    <phoneticPr fontId="3" type="noConversion"/>
  </si>
  <si>
    <t>SALTILLO</t>
    <phoneticPr fontId="3" type="noConversion"/>
  </si>
  <si>
    <t>SALINAS VICTORIA</t>
    <phoneticPr fontId="3" type="noConversion"/>
  </si>
  <si>
    <t>SALAMANCA</t>
    <phoneticPr fontId="3" type="noConversion"/>
  </si>
  <si>
    <t>SABINAS</t>
    <phoneticPr fontId="3" type="noConversion"/>
  </si>
  <si>
    <t>DURANGO</t>
    <phoneticPr fontId="3" type="noConversion"/>
  </si>
  <si>
    <t>CULIACAN</t>
    <phoneticPr fontId="3" type="noConversion"/>
  </si>
  <si>
    <t>CUERNAVACA</t>
    <phoneticPr fontId="3" type="noConversion"/>
  </si>
  <si>
    <t>CUAUTITLAN</t>
    <phoneticPr fontId="3" type="noConversion"/>
  </si>
  <si>
    <t>CUAJIMALPA</t>
    <phoneticPr fontId="3" type="noConversion"/>
  </si>
  <si>
    <t>COYOACAN</t>
    <phoneticPr fontId="3" type="noConversion"/>
  </si>
  <si>
    <t>COLIMA</t>
    <phoneticPr fontId="3" type="noConversion"/>
  </si>
  <si>
    <t>COATZACOALCOS</t>
    <phoneticPr fontId="3" type="noConversion"/>
  </si>
  <si>
    <t>COACALCO</t>
    <phoneticPr fontId="3" type="noConversion"/>
  </si>
  <si>
    <t>CIUDAD JUAREZ</t>
    <phoneticPr fontId="3" type="noConversion"/>
  </si>
  <si>
    <t>MATARANI</t>
    <phoneticPr fontId="3" type="noConversion"/>
  </si>
  <si>
    <t>NICOR</t>
    <phoneticPr fontId="3" type="noConversion"/>
  </si>
  <si>
    <t>TIPITAPA</t>
    <phoneticPr fontId="3" type="noConversion"/>
  </si>
  <si>
    <t>NIQUINOHOMO</t>
    <phoneticPr fontId="3" type="noConversion"/>
  </si>
  <si>
    <t>MASAYA</t>
    <phoneticPr fontId="3" type="noConversion"/>
  </si>
  <si>
    <t>MANAGUA</t>
    <phoneticPr fontId="3" type="noConversion"/>
  </si>
  <si>
    <t>20'&lt;20.5T 40'&lt;20.5T TO DOOR</t>
    <phoneticPr fontId="3" type="noConversion"/>
  </si>
  <si>
    <t>PUERTO QUETZAL</t>
    <phoneticPr fontId="3" type="noConversion"/>
  </si>
  <si>
    <t>SANTANA</t>
    <phoneticPr fontId="3" type="noConversion"/>
  </si>
  <si>
    <t>COLON CNTR TERMINAL</t>
    <phoneticPr fontId="3" type="noConversion"/>
  </si>
  <si>
    <t>AME/JCS</t>
    <phoneticPr fontId="3" type="noConversion"/>
  </si>
  <si>
    <t>MAZATLAN</t>
    <phoneticPr fontId="3" type="noConversion"/>
  </si>
  <si>
    <t>32/36</t>
    <phoneticPr fontId="3" type="noConversion"/>
  </si>
  <si>
    <t>MXVER</t>
    <phoneticPr fontId="3" type="noConversion"/>
  </si>
  <si>
    <t>PUERTO MORELOS</t>
    <phoneticPr fontId="3" type="noConversion"/>
  </si>
  <si>
    <t>MXPRO</t>
    <phoneticPr fontId="3" type="noConversion"/>
  </si>
  <si>
    <r>
      <t>R</t>
    </r>
    <r>
      <rPr>
        <sz val="6"/>
        <rFont val="Arial"/>
        <family val="2"/>
      </rPr>
      <t>KI</t>
    </r>
    <phoneticPr fontId="3" type="noConversion"/>
  </si>
  <si>
    <t>RIM</t>
    <phoneticPr fontId="3" type="noConversion"/>
  </si>
  <si>
    <r>
      <t>C</t>
    </r>
    <r>
      <rPr>
        <sz val="6"/>
        <rFont val="Arial"/>
        <family val="2"/>
      </rPr>
      <t>IX</t>
    </r>
    <phoneticPr fontId="3" type="noConversion"/>
  </si>
  <si>
    <r>
      <t>12</t>
    </r>
    <r>
      <rPr>
        <sz val="8"/>
        <color rgb="FFFF0000"/>
        <rFont val="宋体"/>
        <family val="3"/>
        <charset val="134"/>
      </rPr>
      <t>月</t>
    </r>
    <r>
      <rPr>
        <sz val="8"/>
        <color rgb="FFFF0000"/>
        <rFont val="Arial"/>
        <family val="2"/>
      </rPr>
      <t>13</t>
    </r>
    <r>
      <rPr>
        <sz val="8"/>
        <color rgb="FFFF0000"/>
        <rFont val="宋体"/>
        <family val="3"/>
        <charset val="134"/>
      </rPr>
      <t>日</t>
    </r>
    <r>
      <rPr>
        <sz val="8"/>
        <color rgb="FFFF0000"/>
        <rFont val="Arial"/>
        <family val="2"/>
      </rPr>
      <t>20</t>
    </r>
    <r>
      <rPr>
        <sz val="8"/>
        <color rgb="FFFF0000"/>
        <rFont val="宋体"/>
        <family val="3"/>
        <charset val="134"/>
      </rPr>
      <t>日</t>
    </r>
    <r>
      <rPr>
        <sz val="8"/>
        <color rgb="FFFF0000"/>
        <rFont val="Arial"/>
        <family val="2"/>
      </rPr>
      <t>27</t>
    </r>
    <r>
      <rPr>
        <sz val="8"/>
        <color rgb="FFFF0000"/>
        <rFont val="宋体"/>
        <family val="3"/>
        <charset val="134"/>
      </rPr>
      <t>日跳港</t>
    </r>
    <phoneticPr fontId="3" type="noConversion"/>
  </si>
  <si>
    <t>525</t>
    <phoneticPr fontId="3" type="noConversion"/>
  </si>
  <si>
    <t>650</t>
    <phoneticPr fontId="3" type="noConversion"/>
  </si>
  <si>
    <t>675</t>
    <phoneticPr fontId="3" type="noConversion"/>
  </si>
  <si>
    <t>783</t>
    <phoneticPr fontId="3" type="noConversion"/>
  </si>
  <si>
    <t>983</t>
    <phoneticPr fontId="3" type="noConversion"/>
  </si>
  <si>
    <t>500</t>
    <phoneticPr fontId="3" type="noConversion"/>
  </si>
  <si>
    <t>475</t>
    <phoneticPr fontId="3" type="noConversion"/>
  </si>
  <si>
    <t>375</t>
    <phoneticPr fontId="3" type="noConversion"/>
  </si>
  <si>
    <t>400</t>
    <phoneticPr fontId="3" type="noConversion"/>
  </si>
  <si>
    <t>325</t>
    <phoneticPr fontId="3" type="noConversion"/>
  </si>
  <si>
    <t>350</t>
    <phoneticPr fontId="3" type="noConversion"/>
  </si>
  <si>
    <t>850</t>
    <phoneticPr fontId="3" type="noConversion"/>
  </si>
  <si>
    <t>675</t>
    <phoneticPr fontId="3" type="noConversion"/>
  </si>
  <si>
    <t>800</t>
    <phoneticPr fontId="3" type="noConversion"/>
  </si>
  <si>
    <t>1175</t>
    <phoneticPr fontId="3" type="noConversion"/>
  </si>
  <si>
    <t>180</t>
    <phoneticPr fontId="3" type="noConversion"/>
  </si>
  <si>
    <t>360</t>
    <phoneticPr fontId="3" type="noConversion"/>
  </si>
  <si>
    <t>MELBOURNE</t>
    <phoneticPr fontId="3" type="noConversion"/>
  </si>
  <si>
    <r>
      <t>12</t>
    </r>
    <r>
      <rPr>
        <sz val="8"/>
        <color indexed="10"/>
        <rFont val="宋体"/>
        <family val="3"/>
        <charset val="134"/>
      </rPr>
      <t>月</t>
    </r>
    <r>
      <rPr>
        <sz val="8"/>
        <color indexed="10"/>
        <rFont val="Arial"/>
        <family val="2"/>
      </rPr>
      <t>17</t>
    </r>
    <r>
      <rPr>
        <sz val="8"/>
        <color indexed="10"/>
        <rFont val="宋体"/>
        <family val="3"/>
        <charset val="134"/>
      </rPr>
      <t>日空班</t>
    </r>
    <phoneticPr fontId="3" type="noConversion"/>
  </si>
  <si>
    <r>
      <rPr>
        <sz val="10"/>
        <color theme="1"/>
        <rFont val="宋体"/>
        <family val="3"/>
        <charset val="134"/>
      </rPr>
      <t>海运费</t>
    </r>
    <phoneticPr fontId="3" type="noConversion"/>
  </si>
  <si>
    <r>
      <rPr>
        <sz val="10"/>
        <color theme="1"/>
        <rFont val="宋体"/>
        <family val="3"/>
        <charset val="134"/>
      </rPr>
      <t>运价</t>
    </r>
    <phoneticPr fontId="3" type="noConversion"/>
  </si>
  <si>
    <r>
      <t>I</t>
    </r>
    <r>
      <rPr>
        <sz val="6"/>
        <rFont val="Arial"/>
        <family val="2"/>
      </rPr>
      <t>CS</t>
    </r>
    <phoneticPr fontId="3" type="noConversion"/>
  </si>
  <si>
    <r>
      <rPr>
        <sz val="8"/>
        <color rgb="FFFF0000"/>
        <rFont val="宋体"/>
        <family val="3"/>
        <charset val="134"/>
      </rPr>
      <t>可申请</t>
    </r>
    <r>
      <rPr>
        <sz val="8"/>
        <color rgb="FFFF0000"/>
        <rFont val="Arial"/>
        <family val="2"/>
      </rPr>
      <t>25</t>
    </r>
    <phoneticPr fontId="3" type="noConversion"/>
  </si>
  <si>
    <t>LJUBLJANA</t>
    <phoneticPr fontId="3" type="noConversion"/>
  </si>
  <si>
    <t>CELJE</t>
    <phoneticPr fontId="3" type="noConversion"/>
  </si>
  <si>
    <t>DUNAJSKA STREDA</t>
    <phoneticPr fontId="3" type="noConversion"/>
  </si>
  <si>
    <t>ZLIN</t>
    <phoneticPr fontId="3" type="noConversion"/>
  </si>
  <si>
    <t>PRAHA</t>
    <phoneticPr fontId="3" type="noConversion"/>
  </si>
  <si>
    <t>BILBAO</t>
    <phoneticPr fontId="3" type="noConversion"/>
  </si>
  <si>
    <t>SPAIN</t>
    <phoneticPr fontId="3" type="noConversion"/>
  </si>
  <si>
    <r>
      <rPr>
        <sz val="8"/>
        <color indexed="8"/>
        <rFont val="Comic Sans MS"/>
        <family val="4"/>
      </rPr>
      <t>欧地线内陆点</t>
    </r>
    <phoneticPr fontId="3" type="noConversion"/>
  </si>
  <si>
    <r>
      <t>*20'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$500</t>
    </r>
    <phoneticPr fontId="3" type="noConversion"/>
  </si>
  <si>
    <t>LSS $59/TEU ENS $30</t>
    <phoneticPr fontId="3" type="noConversion"/>
  </si>
  <si>
    <t>YS</t>
    <phoneticPr fontId="3" type="noConversion"/>
  </si>
  <si>
    <t>NLROT</t>
    <phoneticPr fontId="3" type="noConversion"/>
  </si>
  <si>
    <t>2/3/5/6/7</t>
    <phoneticPr fontId="3" type="noConversion"/>
  </si>
  <si>
    <t>OOCL</t>
    <phoneticPr fontId="3" type="noConversion"/>
  </si>
  <si>
    <t>NO OWS</t>
    <phoneticPr fontId="3" type="noConversion"/>
  </si>
  <si>
    <t>AE2</t>
    <phoneticPr fontId="3" type="noConversion"/>
  </si>
  <si>
    <t>ENS $25</t>
    <phoneticPr fontId="3" type="noConversion"/>
  </si>
  <si>
    <t>37</t>
    <phoneticPr fontId="3" type="noConversion"/>
  </si>
  <si>
    <t>ESALG</t>
    <phoneticPr fontId="3" type="noConversion"/>
  </si>
  <si>
    <t>6</t>
    <phoneticPr fontId="3" type="noConversion"/>
  </si>
  <si>
    <t>MSK</t>
    <phoneticPr fontId="3" type="noConversion"/>
  </si>
  <si>
    <t>LION</t>
    <phoneticPr fontId="3" type="noConversion"/>
  </si>
  <si>
    <t>PTSIE</t>
    <phoneticPr fontId="3" type="noConversion"/>
  </si>
  <si>
    <t>1</t>
    <phoneticPr fontId="3" type="noConversion"/>
  </si>
  <si>
    <t>MSC</t>
    <phoneticPr fontId="3" type="noConversion"/>
  </si>
  <si>
    <t>FE2/FE4</t>
    <phoneticPr fontId="3" type="noConversion"/>
  </si>
  <si>
    <t>LSS $25/TEU ENS $30</t>
    <phoneticPr fontId="3" type="noConversion"/>
  </si>
  <si>
    <t>2/6</t>
    <phoneticPr fontId="3" type="noConversion"/>
  </si>
  <si>
    <t>MOL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</si>
  <si>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$300</t>
    </r>
    <phoneticPr fontId="3" type="noConversion"/>
  </si>
  <si>
    <t>LSS $20/TEU BAF $0/TEU ENS $35</t>
    <phoneticPr fontId="3" type="noConversion"/>
  </si>
  <si>
    <t>KLINE</t>
    <phoneticPr fontId="3" type="noConversion"/>
  </si>
  <si>
    <r>
      <t xml:space="preserve">20' 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$250</t>
    </r>
    <phoneticPr fontId="3" type="noConversion"/>
  </si>
  <si>
    <t>MD1/MD2</t>
    <phoneticPr fontId="3" type="noConversion"/>
  </si>
  <si>
    <t>ISPS $13/BOX ENS $35</t>
    <phoneticPr fontId="3" type="noConversion"/>
  </si>
  <si>
    <t>ESVAL</t>
    <phoneticPr fontId="3" type="noConversion"/>
  </si>
  <si>
    <t>4/7</t>
    <phoneticPr fontId="3" type="noConversion"/>
  </si>
  <si>
    <t>HPL</t>
    <phoneticPr fontId="3" type="noConversion"/>
  </si>
  <si>
    <t>LSS $15/TEU ISPS $12/BOX ENS $35</t>
    <phoneticPr fontId="3" type="noConversion"/>
  </si>
  <si>
    <r>
      <rPr>
        <sz val="10"/>
        <color theme="0" tint="-0.499984740745262"/>
        <rFont val="Arial"/>
        <family val="2"/>
      </rPr>
      <t>1/3/6</t>
    </r>
    <r>
      <rPr>
        <sz val="10"/>
        <color indexed="8"/>
        <rFont val="Arial"/>
        <family val="2"/>
      </rPr>
      <t>/7</t>
    </r>
    <phoneticPr fontId="3" type="noConversion"/>
  </si>
  <si>
    <t>HSD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</si>
  <si>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17.7T $150</t>
    </r>
    <phoneticPr fontId="3" type="noConversion"/>
  </si>
  <si>
    <t>LSS $15/TEU ENS $25</t>
    <phoneticPr fontId="3" type="noConversion"/>
  </si>
  <si>
    <t>CMA</t>
    <phoneticPr fontId="3" type="noConversion"/>
  </si>
  <si>
    <t>LSS $50/TEU ENS</t>
    <phoneticPr fontId="3" type="noConversion"/>
  </si>
  <si>
    <t>2/3/7</t>
    <phoneticPr fontId="3" type="noConversion"/>
  </si>
  <si>
    <t>COSCO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</si>
  <si>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23T $200</t>
    </r>
    <phoneticPr fontId="3" type="noConversion"/>
  </si>
  <si>
    <t>AEU2</t>
    <phoneticPr fontId="3" type="noConversion"/>
  </si>
  <si>
    <t>MD1</t>
    <phoneticPr fontId="3" type="noConversion"/>
  </si>
  <si>
    <t>ESBAR</t>
    <phoneticPr fontId="3" type="noConversion"/>
  </si>
  <si>
    <t>4</t>
    <phoneticPr fontId="3" type="noConversion"/>
  </si>
  <si>
    <t>ARRECIFE DE LANZAROTE</t>
    <phoneticPr fontId="3" type="noConversion"/>
  </si>
  <si>
    <r>
      <rPr>
        <sz val="8"/>
        <rFont val="Comic Sans MS"/>
        <family val="4"/>
      </rPr>
      <t>欧地线内陆点</t>
    </r>
    <phoneticPr fontId="3" type="noConversion"/>
  </si>
  <si>
    <t>AEM2</t>
    <phoneticPr fontId="3" type="noConversion"/>
  </si>
  <si>
    <t>MEX1</t>
    <phoneticPr fontId="3" type="noConversion"/>
  </si>
  <si>
    <t>TO DOOR</t>
    <phoneticPr fontId="3" type="noConversion"/>
  </si>
  <si>
    <t>4001</t>
    <phoneticPr fontId="3" type="noConversion"/>
  </si>
  <si>
    <t>ALMERIA</t>
    <phoneticPr fontId="3" type="noConversion"/>
  </si>
  <si>
    <t>DRAGON/JADE</t>
    <phoneticPr fontId="3" type="noConversion"/>
  </si>
  <si>
    <t>4/6</t>
    <phoneticPr fontId="3" type="noConversion"/>
  </si>
  <si>
    <t>ALICANTE</t>
    <phoneticPr fontId="3" type="noConversion"/>
  </si>
  <si>
    <t>WUPPERTAL</t>
    <phoneticPr fontId="3" type="noConversion"/>
  </si>
  <si>
    <t>GERMANY</t>
    <phoneticPr fontId="3" type="noConversion"/>
  </si>
  <si>
    <t>ULM</t>
    <phoneticPr fontId="3" type="noConversion"/>
  </si>
  <si>
    <t>20'&lt;16.5T TO RAMP</t>
    <phoneticPr fontId="3" type="noConversion"/>
  </si>
  <si>
    <t>DEHAM</t>
    <phoneticPr fontId="3" type="noConversion"/>
  </si>
  <si>
    <t>STUTTGART</t>
    <phoneticPr fontId="3" type="noConversion"/>
  </si>
  <si>
    <t>20'&lt;25.7T TO DOOR</t>
    <phoneticPr fontId="3" type="noConversion"/>
  </si>
  <si>
    <t>INCL DTHC</t>
    <phoneticPr fontId="3" type="noConversion"/>
  </si>
  <si>
    <t>SOLINGEN</t>
    <phoneticPr fontId="3" type="noConversion"/>
  </si>
  <si>
    <t>REMSCHEID</t>
    <phoneticPr fontId="3" type="noConversion"/>
  </si>
  <si>
    <t>35</t>
    <phoneticPr fontId="3" type="noConversion"/>
  </si>
  <si>
    <r>
      <rPr>
        <sz val="10"/>
        <color theme="0" tint="-0.499984740745262"/>
        <rFont val="Arial"/>
        <family val="2"/>
      </rPr>
      <t>3/</t>
    </r>
    <r>
      <rPr>
        <sz val="10"/>
        <color indexed="8"/>
        <rFont val="Arial"/>
        <family val="2"/>
      </rPr>
      <t>7</t>
    </r>
    <phoneticPr fontId="3" type="noConversion"/>
  </si>
  <si>
    <t>REGENSBURG</t>
    <phoneticPr fontId="3" type="noConversion"/>
  </si>
  <si>
    <t>OFFENBACH</t>
    <phoneticPr fontId="3" type="noConversion"/>
  </si>
  <si>
    <t>20'&lt;14.2T 40'&lt;23.4T TO DOOR</t>
    <phoneticPr fontId="3" type="noConversion"/>
  </si>
  <si>
    <t>NUERNBERG</t>
    <phoneticPr fontId="3" type="noConversion"/>
  </si>
  <si>
    <t>NEUSS</t>
    <phoneticPr fontId="3" type="noConversion"/>
  </si>
  <si>
    <t>MUNICH</t>
    <phoneticPr fontId="3" type="noConversion"/>
  </si>
  <si>
    <t>20'&lt;13.7T TO DOOR</t>
    <phoneticPr fontId="3" type="noConversion"/>
  </si>
  <si>
    <t>PHEX</t>
    <phoneticPr fontId="3" type="noConversion"/>
  </si>
  <si>
    <t>ITTRS</t>
    <phoneticPr fontId="3" type="noConversion"/>
  </si>
  <si>
    <t>DURRELDORF</t>
    <phoneticPr fontId="3" type="noConversion"/>
  </si>
  <si>
    <t>MANNHEIM</t>
    <phoneticPr fontId="3" type="noConversion"/>
  </si>
  <si>
    <t>欧地线内陆点</t>
    <phoneticPr fontId="3" type="noConversion"/>
  </si>
  <si>
    <t>MAINZ</t>
    <phoneticPr fontId="3" type="noConversion"/>
  </si>
  <si>
    <t>LUDWIGSHAFEN</t>
    <phoneticPr fontId="3" type="noConversion"/>
  </si>
  <si>
    <t>LEIPZIG</t>
    <phoneticPr fontId="3" type="noConversion"/>
  </si>
  <si>
    <t>KREFELD</t>
    <phoneticPr fontId="3" type="noConversion"/>
  </si>
  <si>
    <t>KORNWESTHEIM</t>
    <phoneticPr fontId="3" type="noConversion"/>
  </si>
  <si>
    <t>KOBLENZ</t>
    <phoneticPr fontId="3" type="noConversion"/>
  </si>
  <si>
    <t>KARLSRUHE</t>
    <phoneticPr fontId="3" type="noConversion"/>
  </si>
  <si>
    <t>INGOLSTADT</t>
    <phoneticPr fontId="3" type="noConversion"/>
  </si>
  <si>
    <t>HANNOVER</t>
    <phoneticPr fontId="3" type="noConversion"/>
  </si>
  <si>
    <t>FRANKFURT</t>
    <phoneticPr fontId="3" type="noConversion"/>
  </si>
  <si>
    <t>ESSEN</t>
    <phoneticPr fontId="3" type="noConversion"/>
  </si>
  <si>
    <t>DUISBURG</t>
    <phoneticPr fontId="3" type="noConversion"/>
  </si>
  <si>
    <t>DUESSELDORF</t>
    <phoneticPr fontId="3" type="noConversion"/>
  </si>
  <si>
    <t>DRESDEN</t>
    <phoneticPr fontId="3" type="noConversion"/>
  </si>
  <si>
    <t>DORTMUND</t>
    <phoneticPr fontId="3" type="noConversion"/>
  </si>
  <si>
    <t>DARMSTADT</t>
    <phoneticPr fontId="3" type="noConversion"/>
  </si>
  <si>
    <t>COLOGNE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</si>
  <si>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$200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21.8T $400</t>
    </r>
    <phoneticPr fontId="3" type="noConversion"/>
  </si>
  <si>
    <t>LSS $75/TEU ENS $30</t>
    <phoneticPr fontId="3" type="noConversion"/>
  </si>
  <si>
    <t>33/34</t>
    <phoneticPr fontId="3" type="noConversion"/>
  </si>
  <si>
    <t>3</t>
    <phoneticPr fontId="3" type="noConversion"/>
  </si>
  <si>
    <t>HMM</t>
    <phoneticPr fontId="3" type="noConversion"/>
  </si>
  <si>
    <t>BREMERHAVEN</t>
    <phoneticPr fontId="3" type="noConversion"/>
  </si>
  <si>
    <t>LSS $20/TEU ISPS $13/BOX ENS $35</t>
    <phoneticPr fontId="3" type="noConversion"/>
  </si>
  <si>
    <t>BEANT</t>
    <phoneticPr fontId="3" type="noConversion"/>
  </si>
  <si>
    <r>
      <rPr>
        <sz val="8"/>
        <color indexed="8"/>
        <rFont val="宋体"/>
        <family val="3"/>
        <charset val="134"/>
      </rPr>
      <t>欧地线内陆点</t>
    </r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</si>
  <si>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20T $150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$350</t>
    </r>
    <phoneticPr fontId="3" type="noConversion"/>
  </si>
  <si>
    <t>TO RAMP</t>
    <phoneticPr fontId="3" type="noConversion"/>
  </si>
  <si>
    <t>LSS $42/TEU ENS $30</t>
    <phoneticPr fontId="3" type="noConversion"/>
  </si>
  <si>
    <t>31/32/31/39</t>
    <phoneticPr fontId="3" type="noConversion"/>
  </si>
  <si>
    <t>YML</t>
    <phoneticPr fontId="3" type="noConversion"/>
  </si>
  <si>
    <t>BREMEN</t>
    <phoneticPr fontId="3" type="noConversion"/>
  </si>
  <si>
    <t>DEWIL/DEHAM</t>
    <phoneticPr fontId="3" type="noConversion"/>
  </si>
  <si>
    <t>DEWIL</t>
    <phoneticPr fontId="3" type="noConversion"/>
  </si>
  <si>
    <t>2</t>
    <phoneticPr fontId="3" type="noConversion"/>
  </si>
  <si>
    <t>DTHCEUR230</t>
    <phoneticPr fontId="3" type="noConversion"/>
  </si>
  <si>
    <t>BONN</t>
    <phoneticPr fontId="3" type="noConversion"/>
  </si>
  <si>
    <t>BOCHUM</t>
    <phoneticPr fontId="3" type="noConversion"/>
  </si>
  <si>
    <t>BERLIN</t>
    <phoneticPr fontId="3" type="noConversion"/>
  </si>
  <si>
    <t>20'&lt;11.7T 40'&lt;9.4T TO DOOR</t>
    <phoneticPr fontId="3" type="noConversion"/>
  </si>
  <si>
    <t>LSS $30/TEU ENS $25</t>
    <phoneticPr fontId="3" type="noConversion"/>
  </si>
  <si>
    <t>WROCLAW</t>
    <phoneticPr fontId="3" type="noConversion"/>
  </si>
  <si>
    <t>POLAND</t>
    <phoneticPr fontId="3" type="noConversion"/>
  </si>
  <si>
    <t>WARSZAWA</t>
    <phoneticPr fontId="3" type="noConversion"/>
  </si>
  <si>
    <t>POZNAN</t>
    <phoneticPr fontId="3" type="noConversion"/>
  </si>
  <si>
    <t>SZCZECIN</t>
    <phoneticPr fontId="3" type="noConversion"/>
  </si>
  <si>
    <t>40/39/33/33</t>
    <phoneticPr fontId="3" type="noConversion"/>
  </si>
  <si>
    <t>GDYNIA</t>
    <phoneticPr fontId="3" type="noConversion"/>
  </si>
  <si>
    <t>LSS $15/TEU ENS</t>
    <phoneticPr fontId="3" type="noConversion"/>
  </si>
  <si>
    <t>LSS $55/TEU ISPS $12/BOX ENS $35</t>
    <phoneticPr fontId="3" type="noConversion"/>
  </si>
  <si>
    <t>36</t>
    <phoneticPr fontId="3" type="noConversion"/>
  </si>
  <si>
    <t>DEBRV</t>
    <phoneticPr fontId="3" type="noConversion"/>
  </si>
  <si>
    <t>1/3/7</t>
    <phoneticPr fontId="3" type="noConversion"/>
  </si>
  <si>
    <t>41/40/34/38</t>
    <phoneticPr fontId="3" type="noConversion"/>
  </si>
  <si>
    <t>GDANSK</t>
    <phoneticPr fontId="3" type="noConversion"/>
  </si>
  <si>
    <t>45/44/38/35</t>
    <phoneticPr fontId="3" type="noConversion"/>
  </si>
  <si>
    <t>KLAIPEDA</t>
    <phoneticPr fontId="3" type="noConversion"/>
  </si>
  <si>
    <t>LITHUANIA</t>
    <phoneticPr fontId="3" type="noConversion"/>
  </si>
  <si>
    <t>LSS $52/TEU ENS</t>
    <phoneticPr fontId="3" type="noConversion"/>
  </si>
  <si>
    <t>LSS $50/TEU ISPS $13/BOX ENS $35</t>
    <phoneticPr fontId="3" type="noConversion"/>
  </si>
  <si>
    <t>2/3/6/7</t>
    <phoneticPr fontId="3" type="noConversion"/>
  </si>
  <si>
    <t>38/37/36/35</t>
    <phoneticPr fontId="3" type="noConversion"/>
  </si>
  <si>
    <t>RIGA</t>
    <phoneticPr fontId="3" type="noConversion"/>
  </si>
  <si>
    <t>LATVIA</t>
    <phoneticPr fontId="3" type="noConversion"/>
  </si>
  <si>
    <t>THD EUR75/BOX PP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</si>
  <si>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20T $50</t>
    </r>
    <phoneticPr fontId="3" type="noConversion"/>
  </si>
  <si>
    <t>35/34/33/39</t>
    <phoneticPr fontId="3" type="noConversion"/>
  </si>
  <si>
    <t>TALLINN/MUUGA</t>
    <phoneticPr fontId="3" type="noConversion"/>
  </si>
  <si>
    <t>ESTONIA</t>
    <phoneticPr fontId="3" type="noConversion"/>
  </si>
  <si>
    <t>UST LUGA</t>
    <phoneticPr fontId="3" type="noConversion"/>
  </si>
  <si>
    <t>RUSSIA</t>
    <phoneticPr fontId="3" type="noConversion"/>
  </si>
  <si>
    <t>LSS $50/TEU ISPS $13/BOX ENS $35 NOV01~APR30 WCS $100/TEU</t>
    <phoneticPr fontId="3" type="noConversion"/>
  </si>
  <si>
    <t>LSS $30/TEU ENS $25 DEC01~FEB30 WCS $100/TEU</t>
    <phoneticPr fontId="3" type="noConversion"/>
  </si>
  <si>
    <t>LSS $59/TEU ENS $30 DEC01~APR30 WCS $100/TEU</t>
    <phoneticPr fontId="3" type="noConversion"/>
  </si>
  <si>
    <t>NORTHERN WHARF/NEVA METAL</t>
    <phoneticPr fontId="3" type="noConversion"/>
  </si>
  <si>
    <t>ST PETERSBURG</t>
    <phoneticPr fontId="3" type="noConversion"/>
  </si>
  <si>
    <t>PLP/FCT</t>
    <phoneticPr fontId="3" type="noConversion"/>
  </si>
  <si>
    <t>FCT/PLP/CTSP</t>
    <phoneticPr fontId="3" type="noConversion"/>
  </si>
  <si>
    <r>
      <t xml:space="preserve">LSS $52/TEU </t>
    </r>
    <r>
      <rPr>
        <sz val="8"/>
        <color rgb="FF0000FF"/>
        <rFont val="Arial"/>
        <family val="2"/>
      </rPr>
      <t xml:space="preserve">ENS </t>
    </r>
    <r>
      <rPr>
        <sz val="8"/>
        <color theme="1"/>
        <rFont val="Arial"/>
        <family val="2"/>
      </rPr>
      <t>DEC01~APR30 WCS $100/TEU</t>
    </r>
    <phoneticPr fontId="3" type="noConversion"/>
  </si>
  <si>
    <t>LSS $75/TEU ENS $30 DEC01~APR30 WCS $100/TEU</t>
    <phoneticPr fontId="3" type="noConversion"/>
  </si>
  <si>
    <t>FCT/PET/NVW/AR2/AR4/SFP</t>
    <phoneticPr fontId="3" type="noConversion"/>
  </si>
  <si>
    <t>1/3/6/7</t>
    <phoneticPr fontId="3" type="noConversion"/>
  </si>
  <si>
    <t>LSS $55/TEU ISPS $12/BOX ENS $35 DEC01~APR30 WCS $100/TEU</t>
    <phoneticPr fontId="3" type="noConversion"/>
  </si>
  <si>
    <t>LSS $50/TEU ENS DEC01~FEB30 WCS $100/TEU</t>
    <phoneticPr fontId="3" type="noConversion"/>
  </si>
  <si>
    <t>FCT/CTSP</t>
    <phoneticPr fontId="3" type="noConversion"/>
  </si>
  <si>
    <t>PLGDA/NLROT</t>
    <phoneticPr fontId="3" type="noConversion"/>
  </si>
  <si>
    <r>
      <t>FCT</t>
    </r>
    <r>
      <rPr>
        <sz val="8"/>
        <color rgb="FFFF0000"/>
        <rFont val="宋体"/>
        <family val="3"/>
        <charset val="134"/>
      </rPr>
      <t>码头加收</t>
    </r>
    <r>
      <rPr>
        <sz val="8"/>
        <color rgb="FFFF0000"/>
        <rFont val="Arial"/>
        <family val="2"/>
      </rPr>
      <t>PLTC $50/BOX</t>
    </r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</si>
  <si>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NO ACCEPT</t>
    </r>
    <r>
      <rPr>
        <sz val="11"/>
        <color theme="1"/>
        <rFont val="宋体"/>
        <family val="2"/>
        <charset val="134"/>
        <scheme val="minor"/>
      </rPr>
      <t/>
    </r>
    <phoneticPr fontId="3" type="noConversion"/>
  </si>
  <si>
    <t>BOUNDED TRUCK</t>
    <phoneticPr fontId="3" type="noConversion"/>
  </si>
  <si>
    <t>SURCHARGES CASE BY CASE</t>
    <phoneticPr fontId="3" type="noConversion"/>
  </si>
  <si>
    <t>RULED</t>
    <phoneticPr fontId="3" type="noConversion"/>
  </si>
  <si>
    <t>SAMARA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</si>
  <si>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20T NO ACCEPT</t>
    </r>
    <phoneticPr fontId="3" type="noConversion"/>
  </si>
  <si>
    <t>UNBOUNDED TRUCK</t>
    <phoneticPr fontId="3" type="noConversion"/>
  </si>
  <si>
    <t>RYAZAN</t>
    <phoneticPr fontId="3" type="noConversion"/>
  </si>
  <si>
    <t>MOSCOW</t>
    <phoneticPr fontId="3" type="noConversion"/>
  </si>
  <si>
    <t>LIPETSK</t>
    <phoneticPr fontId="3" type="noConversion"/>
  </si>
  <si>
    <t>KRONSTADT</t>
    <phoneticPr fontId="3" type="noConversion"/>
  </si>
  <si>
    <t>KALUGA</t>
    <phoneticPr fontId="3" type="noConversion"/>
  </si>
  <si>
    <r>
      <t xml:space="preserve">LSS $52/TEU </t>
    </r>
    <r>
      <rPr>
        <sz val="8"/>
        <color rgb="FF0000FF"/>
        <rFont val="Arial"/>
        <family val="2"/>
      </rPr>
      <t>ENS</t>
    </r>
    <phoneticPr fontId="3" type="noConversion"/>
  </si>
  <si>
    <t>KALININGRAD</t>
    <phoneticPr fontId="3" type="noConversion"/>
  </si>
  <si>
    <t>THD PP</t>
    <phoneticPr fontId="3" type="noConversion"/>
  </si>
  <si>
    <t>3/5/6</t>
    <phoneticPr fontId="3" type="noConversion"/>
  </si>
  <si>
    <t>CHELYABINSK</t>
    <phoneticPr fontId="3" type="noConversion"/>
  </si>
  <si>
    <t>BRONKA</t>
    <phoneticPr fontId="3" type="noConversion"/>
  </si>
  <si>
    <t>ARKHANGELSK</t>
    <phoneticPr fontId="3" type="noConversion"/>
  </si>
  <si>
    <t>VALONGO</t>
    <phoneticPr fontId="3" type="noConversion"/>
  </si>
  <si>
    <t>PORTUGAL</t>
    <phoneticPr fontId="3" type="noConversion"/>
  </si>
  <si>
    <t>AE6</t>
    <phoneticPr fontId="3" type="noConversion"/>
  </si>
  <si>
    <t>24</t>
    <phoneticPr fontId="3" type="noConversion"/>
  </si>
  <si>
    <t>DIR</t>
    <phoneticPr fontId="3" type="noConversion"/>
  </si>
  <si>
    <t>SINES</t>
    <phoneticPr fontId="3" type="noConversion"/>
  </si>
  <si>
    <t>SETUBAL</t>
    <phoneticPr fontId="3" type="noConversion"/>
  </si>
  <si>
    <t>LSS $0/TEU ENS $25</t>
    <phoneticPr fontId="3" type="noConversion"/>
  </si>
  <si>
    <t>FUNCHAL/MADEIRA</t>
    <phoneticPr fontId="3" type="noConversion"/>
  </si>
  <si>
    <t>ENTRONCAMENTO</t>
    <phoneticPr fontId="3" type="noConversion"/>
  </si>
  <si>
    <t>BOBADELA</t>
    <phoneticPr fontId="3" type="noConversion"/>
  </si>
  <si>
    <t>AVEIRO</t>
    <phoneticPr fontId="3" type="noConversion"/>
  </si>
  <si>
    <t>41/40/46/38</t>
    <phoneticPr fontId="3" type="noConversion"/>
  </si>
  <si>
    <r>
      <t>LISBON</t>
    </r>
    <r>
      <rPr>
        <sz val="10"/>
        <color indexed="8"/>
        <rFont val="宋体"/>
        <family val="3"/>
        <charset val="134"/>
      </rPr>
      <t/>
    </r>
    <phoneticPr fontId="3" type="noConversion"/>
  </si>
  <si>
    <t>39</t>
    <phoneticPr fontId="3" type="noConversion"/>
  </si>
  <si>
    <t>FAL1</t>
    <phoneticPr fontId="3" type="noConversion"/>
  </si>
  <si>
    <t>40/39/45/37</t>
    <phoneticPr fontId="3" type="noConversion"/>
  </si>
  <si>
    <t>LEIXOES/OPORTO</t>
    <phoneticPr fontId="3" type="noConversion"/>
  </si>
  <si>
    <t>33</t>
    <phoneticPr fontId="3" type="noConversion"/>
  </si>
  <si>
    <t>36/35/38/30</t>
    <phoneticPr fontId="3" type="noConversion"/>
  </si>
  <si>
    <t>DUBLIN</t>
    <phoneticPr fontId="3" type="noConversion"/>
  </si>
  <si>
    <t>IRELAND</t>
    <phoneticPr fontId="3" type="noConversion"/>
  </si>
  <si>
    <t>GBSOU</t>
    <phoneticPr fontId="3" type="noConversion"/>
  </si>
  <si>
    <t>LSS $40/TEU ENS</t>
    <phoneticPr fontId="3" type="noConversion"/>
  </si>
  <si>
    <t>1/3/5</t>
    <phoneticPr fontId="3" type="noConversion"/>
  </si>
  <si>
    <t>36/35/37/33</t>
    <phoneticPr fontId="3" type="noConversion"/>
  </si>
  <si>
    <t>CORK</t>
    <phoneticPr fontId="3" type="noConversion"/>
  </si>
  <si>
    <t>TILBURY</t>
    <phoneticPr fontId="3" type="noConversion"/>
  </si>
  <si>
    <t>UNITED KINGDOM</t>
    <phoneticPr fontId="3" type="noConversion"/>
  </si>
  <si>
    <t>20'&lt;14T 40'&lt;26.5T TO DOOR</t>
    <phoneticPr fontId="3" type="noConversion"/>
  </si>
  <si>
    <t>LSS $20/TEU UKS $50/TEU ENS</t>
    <phoneticPr fontId="3" type="noConversion"/>
  </si>
  <si>
    <t>GBFEL</t>
    <phoneticPr fontId="3" type="noConversion"/>
  </si>
  <si>
    <t>2/3</t>
    <phoneticPr fontId="3" type="noConversion"/>
  </si>
  <si>
    <t>FRDKK</t>
    <phoneticPr fontId="3" type="noConversion"/>
  </si>
  <si>
    <t>TEESPORT</t>
    <phoneticPr fontId="3" type="noConversion"/>
  </si>
  <si>
    <t>THAMES PORT</t>
    <phoneticPr fontId="3" type="noConversion"/>
  </si>
  <si>
    <t>SOUTH SHIELDS</t>
    <phoneticPr fontId="3" type="noConversion"/>
  </si>
  <si>
    <t>LSS $50/TEU UKS $50/TEU ENS</t>
    <phoneticPr fontId="3" type="noConversion"/>
  </si>
  <si>
    <t>GBSSH</t>
    <phoneticPr fontId="3" type="noConversion"/>
  </si>
  <si>
    <t>MANCHESTER</t>
    <phoneticPr fontId="3" type="noConversion"/>
  </si>
  <si>
    <t xml:space="preserve">20'&lt;17T 40'&lt;26.5T BY RAIL </t>
    <phoneticPr fontId="3" type="noConversion"/>
  </si>
  <si>
    <t>LONDON</t>
    <phoneticPr fontId="3" type="noConversion"/>
  </si>
  <si>
    <t>20'&lt;17T 40'&lt;16.5T TO DOOR</t>
    <phoneticPr fontId="3" type="noConversion"/>
  </si>
  <si>
    <t>LIVERPOOL</t>
    <phoneticPr fontId="3" type="noConversion"/>
  </si>
  <si>
    <t>LEEDS</t>
    <phoneticPr fontId="3" type="noConversion"/>
  </si>
  <si>
    <t>IMMINGHAM</t>
    <phoneticPr fontId="3" type="noConversion"/>
  </si>
  <si>
    <t>HULL</t>
    <phoneticPr fontId="3" type="noConversion"/>
  </si>
  <si>
    <t>FRLEH</t>
    <phoneticPr fontId="3" type="noConversion"/>
  </si>
  <si>
    <t>GREENOCK</t>
    <phoneticPr fontId="3" type="noConversion"/>
  </si>
  <si>
    <t>37/36/37/34</t>
    <phoneticPr fontId="3" type="noConversion"/>
  </si>
  <si>
    <t>GRANGEMOUTH</t>
    <phoneticPr fontId="3" type="noConversion"/>
  </si>
  <si>
    <t>32</t>
    <phoneticPr fontId="3" type="noConversion"/>
  </si>
  <si>
    <t>1/1/6/7</t>
    <phoneticPr fontId="3" type="noConversion"/>
  </si>
  <si>
    <t>GLASGOW</t>
    <phoneticPr fontId="3" type="noConversion"/>
  </si>
  <si>
    <t>GBGRA</t>
    <phoneticPr fontId="3" type="noConversion"/>
  </si>
  <si>
    <t>BRISTOL/PORTBURY</t>
    <phoneticPr fontId="3" type="noConversion"/>
  </si>
  <si>
    <t>BRADFORD</t>
    <phoneticPr fontId="3" type="noConversion"/>
  </si>
  <si>
    <t>BIRMINGHAM</t>
    <phoneticPr fontId="3" type="noConversion"/>
  </si>
  <si>
    <t>BELFAST</t>
    <phoneticPr fontId="3" type="noConversion"/>
  </si>
  <si>
    <t>VANTAA</t>
    <phoneticPr fontId="3" type="noConversion"/>
  </si>
  <si>
    <t>FINLAND</t>
    <phoneticPr fontId="3" type="noConversion"/>
  </si>
  <si>
    <t>TURKU</t>
    <phoneticPr fontId="3" type="noConversion"/>
  </si>
  <si>
    <t>TORNIO</t>
    <phoneticPr fontId="3" type="noConversion"/>
  </si>
  <si>
    <t>43/35/41/40</t>
    <phoneticPr fontId="3" type="noConversion"/>
  </si>
  <si>
    <t>RAUMA</t>
    <phoneticPr fontId="3" type="noConversion"/>
  </si>
  <si>
    <t>OULU</t>
    <phoneticPr fontId="3" type="noConversion"/>
  </si>
  <si>
    <t>40/39/38/44</t>
    <phoneticPr fontId="3" type="noConversion"/>
  </si>
  <si>
    <t>MANTYLUOTO</t>
    <phoneticPr fontId="3" type="noConversion"/>
  </si>
  <si>
    <t>40/39</t>
    <phoneticPr fontId="3" type="noConversion"/>
  </si>
  <si>
    <t>38/41/36/39</t>
    <phoneticPr fontId="3" type="noConversion"/>
  </si>
  <si>
    <t>KOTKA</t>
    <phoneticPr fontId="3" type="noConversion"/>
  </si>
  <si>
    <t>KOKKOLA/KARLEBY</t>
    <phoneticPr fontId="3" type="noConversion"/>
  </si>
  <si>
    <t>KEMI</t>
    <phoneticPr fontId="3" type="noConversion"/>
  </si>
  <si>
    <t>39/38/34/32</t>
    <phoneticPr fontId="3" type="noConversion"/>
  </si>
  <si>
    <t>HELSINKI</t>
    <phoneticPr fontId="3" type="noConversion"/>
  </si>
  <si>
    <t>HAMINA</t>
    <phoneticPr fontId="3" type="noConversion"/>
  </si>
  <si>
    <t>SEGOT</t>
    <phoneticPr fontId="3" type="noConversion"/>
  </si>
  <si>
    <t>VASTERAS</t>
    <phoneticPr fontId="3" type="noConversion"/>
  </si>
  <si>
    <t>SWEDEN</t>
    <phoneticPr fontId="3" type="noConversion"/>
  </si>
  <si>
    <t>VARBERG</t>
    <phoneticPr fontId="3" type="noConversion"/>
  </si>
  <si>
    <t>UMEA</t>
    <phoneticPr fontId="3" type="noConversion"/>
  </si>
  <si>
    <t>SUNDSVALL</t>
    <phoneticPr fontId="3" type="noConversion"/>
  </si>
  <si>
    <t>34/33/32/38</t>
    <phoneticPr fontId="3" type="noConversion"/>
  </si>
  <si>
    <t>STOCKHOLM</t>
    <phoneticPr fontId="3" type="noConversion"/>
  </si>
  <si>
    <t>39/38/37/43</t>
    <phoneticPr fontId="3" type="noConversion"/>
  </si>
  <si>
    <t>SODERTALJE</t>
    <phoneticPr fontId="3" type="noConversion"/>
  </si>
  <si>
    <t>PITEA</t>
    <phoneticPr fontId="3" type="noConversion"/>
  </si>
  <si>
    <t>33/32/38/37</t>
    <phoneticPr fontId="3" type="noConversion"/>
  </si>
  <si>
    <t>OXELOESUND</t>
    <phoneticPr fontId="3" type="noConversion"/>
  </si>
  <si>
    <t>36/35/34/40</t>
    <phoneticPr fontId="3" type="noConversion"/>
  </si>
  <si>
    <t>NORRKOPING</t>
    <phoneticPr fontId="3" type="noConversion"/>
  </si>
  <si>
    <t>2/3/5/6</t>
    <phoneticPr fontId="3" type="noConversion"/>
  </si>
  <si>
    <t>39/38/37/36</t>
    <phoneticPr fontId="3" type="noConversion"/>
  </si>
  <si>
    <t>MALMO</t>
    <phoneticPr fontId="3" type="noConversion"/>
  </si>
  <si>
    <t>KARLSHAMN</t>
    <phoneticPr fontId="3" type="noConversion"/>
  </si>
  <si>
    <t>40/39/34/30</t>
    <phoneticPr fontId="3" type="noConversion"/>
  </si>
  <si>
    <t>HELSINGBORG</t>
    <phoneticPr fontId="3" type="noConversion"/>
  </si>
  <si>
    <t>HALMSTAD</t>
    <phoneticPr fontId="3" type="noConversion"/>
  </si>
  <si>
    <t>40/35/33/30</t>
    <phoneticPr fontId="3" type="noConversion"/>
  </si>
  <si>
    <t>GOTHENBERG</t>
    <phoneticPr fontId="3" type="noConversion"/>
  </si>
  <si>
    <t>LSS $25/TEU ENS $30/CND EUR135/TEU</t>
    <phoneticPr fontId="3" type="noConversion"/>
  </si>
  <si>
    <t>GAEVLE</t>
    <phoneticPr fontId="3" type="noConversion"/>
  </si>
  <si>
    <t>AHUS</t>
    <phoneticPr fontId="3" type="noConversion"/>
  </si>
  <si>
    <t>LSS $30/TEU NOX $30/TEU ENS $25</t>
    <phoneticPr fontId="3" type="noConversion"/>
  </si>
  <si>
    <t>TRONDHEIM</t>
    <phoneticPr fontId="3" type="noConversion"/>
  </si>
  <si>
    <t>NORWAY</t>
    <phoneticPr fontId="3" type="noConversion"/>
  </si>
  <si>
    <r>
      <t xml:space="preserve">LSS $52/TEU NOX $20/TEU </t>
    </r>
    <r>
      <rPr>
        <sz val="8"/>
        <color rgb="FF0000FF"/>
        <rFont val="Arial"/>
        <family val="2"/>
      </rPr>
      <t>ENS</t>
    </r>
    <phoneticPr fontId="3" type="noConversion"/>
  </si>
  <si>
    <t>STAVANGER/TANANGER</t>
    <phoneticPr fontId="3" type="noConversion"/>
  </si>
  <si>
    <t>35/38</t>
    <phoneticPr fontId="3" type="noConversion"/>
  </si>
  <si>
    <t>SALTEN</t>
    <phoneticPr fontId="3" type="noConversion"/>
  </si>
  <si>
    <t>39/34/32/32</t>
    <phoneticPr fontId="3" type="noConversion"/>
  </si>
  <si>
    <t>OSLO</t>
    <phoneticPr fontId="3" type="noConversion"/>
  </si>
  <si>
    <t>ORKANGER</t>
    <phoneticPr fontId="3" type="noConversion"/>
  </si>
  <si>
    <t>MO I RANA</t>
    <phoneticPr fontId="3" type="noConversion"/>
  </si>
  <si>
    <t>40/39/38/37</t>
    <phoneticPr fontId="3" type="noConversion"/>
  </si>
  <si>
    <t>MOSS</t>
    <phoneticPr fontId="3" type="noConversion"/>
  </si>
  <si>
    <t>MAALOEY</t>
    <phoneticPr fontId="3" type="noConversion"/>
  </si>
  <si>
    <t>40/39/34/37</t>
    <phoneticPr fontId="3" type="noConversion"/>
  </si>
  <si>
    <t>LARVIK</t>
    <phoneticPr fontId="3" type="noConversion"/>
  </si>
  <si>
    <t>41/36/39/34</t>
    <phoneticPr fontId="3" type="noConversion"/>
  </si>
  <si>
    <t>KRISTIANSAND</t>
    <phoneticPr fontId="3" type="noConversion"/>
  </si>
  <si>
    <t>DEHAM/NLROT</t>
    <phoneticPr fontId="3" type="noConversion"/>
  </si>
  <si>
    <t>44/43</t>
    <phoneticPr fontId="3" type="noConversion"/>
  </si>
  <si>
    <t>IKORNNES</t>
    <phoneticPr fontId="3" type="noConversion"/>
  </si>
  <si>
    <t>33/38/30</t>
    <phoneticPr fontId="3" type="noConversion"/>
  </si>
  <si>
    <t>HOEGSET</t>
    <phoneticPr fontId="3" type="noConversion"/>
  </si>
  <si>
    <t>HAUGESUND</t>
    <phoneticPr fontId="3" type="noConversion"/>
  </si>
  <si>
    <t>34/37/29</t>
    <phoneticPr fontId="3" type="noConversion"/>
  </si>
  <si>
    <t>GJEMNES</t>
    <phoneticPr fontId="3" type="noConversion"/>
  </si>
  <si>
    <t>43/35/33/33</t>
    <phoneticPr fontId="3" type="noConversion"/>
  </si>
  <si>
    <t>FREDRIKSTAD</t>
    <phoneticPr fontId="3" type="noConversion"/>
  </si>
  <si>
    <t>3/7</t>
    <phoneticPr fontId="3" type="noConversion"/>
  </si>
  <si>
    <t>42/41</t>
    <phoneticPr fontId="3" type="noConversion"/>
  </si>
  <si>
    <t>FLOROE</t>
    <phoneticPr fontId="3" type="noConversion"/>
  </si>
  <si>
    <t>DRAMMEN</t>
    <phoneticPr fontId="3" type="noConversion"/>
  </si>
  <si>
    <t>BREVIK</t>
    <phoneticPr fontId="3" type="noConversion"/>
  </si>
  <si>
    <t>35/41/34</t>
    <phoneticPr fontId="3" type="noConversion"/>
  </si>
  <si>
    <r>
      <rPr>
        <sz val="8"/>
        <rFont val="宋体"/>
        <family val="3"/>
        <charset val="134"/>
      </rPr>
      <t>欧地线内陆点</t>
    </r>
    <phoneticPr fontId="3" type="noConversion"/>
  </si>
  <si>
    <t>BODOE</t>
    <phoneticPr fontId="3" type="noConversion"/>
  </si>
  <si>
    <t>40/41/34/37</t>
    <phoneticPr fontId="3" type="noConversion"/>
  </si>
  <si>
    <t>BERGEN</t>
    <phoneticPr fontId="3" type="noConversion"/>
  </si>
  <si>
    <t>43/42</t>
    <phoneticPr fontId="3" type="noConversion"/>
  </si>
  <si>
    <t>33/38/38</t>
    <phoneticPr fontId="3" type="noConversion"/>
  </si>
  <si>
    <t>AALESUND</t>
    <phoneticPr fontId="3" type="noConversion"/>
  </si>
  <si>
    <t>34/33/34</t>
    <phoneticPr fontId="3" type="noConversion"/>
  </si>
  <si>
    <t>34/40/39</t>
    <phoneticPr fontId="3" type="noConversion"/>
  </si>
  <si>
    <t>KALUNDBORG</t>
    <phoneticPr fontId="3" type="noConversion"/>
  </si>
  <si>
    <t>DENMARK</t>
    <phoneticPr fontId="3" type="noConversion"/>
  </si>
  <si>
    <t>35/37/36/35</t>
    <phoneticPr fontId="3" type="noConversion"/>
  </si>
  <si>
    <t>FREDERICIA</t>
    <phoneticPr fontId="3" type="noConversion"/>
  </si>
  <si>
    <t>40/39/32/36</t>
    <phoneticPr fontId="3" type="noConversion"/>
  </si>
  <si>
    <t>COPENHAGEN</t>
    <phoneticPr fontId="3" type="noConversion"/>
  </si>
  <si>
    <t>38/30</t>
    <phoneticPr fontId="3" type="noConversion"/>
  </si>
  <si>
    <t>AALBORG</t>
    <phoneticPr fontId="3" type="noConversion"/>
  </si>
  <si>
    <t>41/40/34/37</t>
    <phoneticPr fontId="3" type="noConversion"/>
  </si>
  <si>
    <t>AARHUS</t>
    <phoneticPr fontId="3" type="noConversion"/>
  </si>
  <si>
    <t>40/39/32</t>
    <phoneticPr fontId="3" type="noConversion"/>
  </si>
  <si>
    <t>DRAGON</t>
    <phoneticPr fontId="3" type="noConversion"/>
  </si>
  <si>
    <t>ITGIT</t>
    <phoneticPr fontId="3" type="noConversion"/>
  </si>
  <si>
    <t>BENGHAZI</t>
    <phoneticPr fontId="3" type="noConversion"/>
  </si>
  <si>
    <t>EGDAM</t>
    <phoneticPr fontId="3" type="noConversion"/>
  </si>
  <si>
    <t>AEM3</t>
    <phoneticPr fontId="3" type="noConversion"/>
  </si>
  <si>
    <r>
      <rPr>
        <sz val="8"/>
        <color rgb="FF0000FF"/>
        <rFont val="Arial"/>
        <family val="2"/>
      </rPr>
      <t>ISPS $8/BOX</t>
    </r>
    <r>
      <rPr>
        <sz val="8"/>
        <rFont val="Arial"/>
        <family val="2"/>
      </rPr>
      <t xml:space="preserve"> ENS $25</t>
    </r>
    <phoneticPr fontId="3" type="noConversion"/>
  </si>
  <si>
    <t>EGPSA</t>
    <phoneticPr fontId="3" type="noConversion"/>
  </si>
  <si>
    <t>MTMAL</t>
    <phoneticPr fontId="3" type="noConversion"/>
  </si>
  <si>
    <t>TOBRUK</t>
    <phoneticPr fontId="3" type="noConversion"/>
  </si>
  <si>
    <t>LIBYA</t>
    <phoneticPr fontId="3" type="noConversion"/>
  </si>
  <si>
    <r>
      <rPr>
        <sz val="8"/>
        <color theme="1"/>
        <rFont val="Comic Sans MS"/>
        <family val="4"/>
      </rPr>
      <t>北非线</t>
    </r>
    <phoneticPr fontId="3" type="noConversion"/>
  </si>
  <si>
    <t>AEM3/AEM6</t>
    <phoneticPr fontId="3" type="noConversion"/>
  </si>
  <si>
    <t>3/4</t>
    <phoneticPr fontId="3" type="noConversion"/>
  </si>
  <si>
    <t>北非线</t>
    <phoneticPr fontId="3" type="noConversion"/>
  </si>
  <si>
    <t>INCL PAD $160/TEU</t>
    <phoneticPr fontId="3" type="noConversion"/>
  </si>
  <si>
    <t>TRIPOLI</t>
    <phoneticPr fontId="3" type="noConversion"/>
  </si>
  <si>
    <t>AE20/AE11</t>
    <phoneticPr fontId="3" type="noConversion"/>
  </si>
  <si>
    <t>26</t>
    <phoneticPr fontId="3" type="noConversion"/>
  </si>
  <si>
    <t>AL KHOMS</t>
    <phoneticPr fontId="3" type="noConversion"/>
  </si>
  <si>
    <t>INCL PAD $50/TEU</t>
    <phoneticPr fontId="3" type="noConversion"/>
  </si>
  <si>
    <t>MISURATA</t>
    <phoneticPr fontId="3" type="noConversion"/>
  </si>
  <si>
    <t>NEU3/MED1/MED4</t>
    <phoneticPr fontId="3" type="noConversion"/>
  </si>
  <si>
    <t>ISPS $10/BOX ENS $30</t>
    <phoneticPr fontId="3" type="noConversion"/>
  </si>
  <si>
    <t>34/32</t>
    <phoneticPr fontId="3" type="noConversion"/>
  </si>
  <si>
    <t>GRPIR</t>
    <phoneticPr fontId="3" type="noConversion"/>
  </si>
  <si>
    <t>2/4/7</t>
    <phoneticPr fontId="3" type="noConversion"/>
  </si>
  <si>
    <t>EMC</t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</si>
  <si>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10</t>
    </r>
    <r>
      <rPr>
        <sz val="8"/>
        <rFont val="宋体"/>
        <family val="3"/>
        <charset val="134"/>
      </rPr>
      <t>天</t>
    </r>
    <phoneticPr fontId="3" type="noConversion"/>
  </si>
  <si>
    <r>
      <rPr>
        <sz val="8"/>
        <color theme="1"/>
        <rFont val="Arial"/>
        <family val="2"/>
      </rPr>
      <t>ISPS $12/BOX</t>
    </r>
    <r>
      <rPr>
        <sz val="8"/>
        <color rgb="FF0000FF"/>
        <rFont val="Arial"/>
        <family val="2"/>
      </rPr>
      <t xml:space="preserve"> ENS $25</t>
    </r>
    <phoneticPr fontId="3" type="noConversion"/>
  </si>
  <si>
    <r>
      <t>21</t>
    </r>
    <r>
      <rPr>
        <sz val="8"/>
        <rFont val="宋体"/>
        <family val="3"/>
        <charset val="134"/>
      </rPr>
      <t>天</t>
    </r>
    <phoneticPr fontId="3" type="noConversion"/>
  </si>
  <si>
    <t>SFAX</t>
    <phoneticPr fontId="3" type="noConversion"/>
  </si>
  <si>
    <t>TUNISIA</t>
    <phoneticPr fontId="3" type="noConversion"/>
  </si>
  <si>
    <r>
      <t xml:space="preserve">ENS $25 </t>
    </r>
    <r>
      <rPr>
        <sz val="8"/>
        <color theme="1"/>
        <rFont val="Arial"/>
        <family val="2"/>
      </rPr>
      <t>SPS$25/TEU</t>
    </r>
    <phoneticPr fontId="3" type="noConversion"/>
  </si>
  <si>
    <t>AEM2/AEM6</t>
    <phoneticPr fontId="3" type="noConversion"/>
  </si>
  <si>
    <t>1/4</t>
    <phoneticPr fontId="3" type="noConversion"/>
  </si>
  <si>
    <t>SOUSSE</t>
    <phoneticPr fontId="3" type="noConversion"/>
  </si>
  <si>
    <r>
      <t>CGD$175/350</t>
    </r>
    <r>
      <rPr>
        <sz val="8"/>
        <color theme="1" tint="4.9989318521683403E-2"/>
        <rFont val="宋体"/>
        <family val="3"/>
        <charset val="134"/>
      </rPr>
      <t xml:space="preserve">
</t>
    </r>
    <phoneticPr fontId="3" type="noConversion"/>
  </si>
  <si>
    <t>48</t>
    <phoneticPr fontId="3" type="noConversion"/>
  </si>
  <si>
    <t>RADES</t>
    <phoneticPr fontId="3" type="noConversion"/>
  </si>
  <si>
    <t>TUNIS/RADES</t>
    <phoneticPr fontId="3" type="noConversion"/>
  </si>
  <si>
    <t>AEM2/AEM1</t>
    <phoneticPr fontId="3" type="noConversion"/>
  </si>
  <si>
    <t>40</t>
    <phoneticPr fontId="3" type="noConversion"/>
  </si>
  <si>
    <t>SERA 1/SERA 2</t>
    <phoneticPr fontId="3" type="noConversion"/>
  </si>
  <si>
    <t>ISPS $12/BOX ENS $35</t>
    <phoneticPr fontId="3" type="noConversion"/>
  </si>
  <si>
    <t>目的港压港暂时不接</t>
    <phoneticPr fontId="3" type="noConversion"/>
  </si>
  <si>
    <t>INCL CGS $50/TEU</t>
    <phoneticPr fontId="3" type="noConversion"/>
  </si>
  <si>
    <t>BIZERTE</t>
    <phoneticPr fontId="3" type="noConversion"/>
  </si>
  <si>
    <t>MD3/MD1</t>
    <phoneticPr fontId="3" type="noConversion"/>
  </si>
  <si>
    <t>CG $500/TEU CC</t>
    <phoneticPr fontId="3" type="noConversion"/>
  </si>
  <si>
    <t>ISPS EUR5/BOX ENS $30</t>
    <phoneticPr fontId="3" type="noConversion"/>
  </si>
  <si>
    <t>BIZERTE/RADES</t>
    <phoneticPr fontId="3" type="noConversion"/>
  </si>
  <si>
    <t>GRPIR/ESVAL</t>
    <phoneticPr fontId="3" type="noConversion"/>
  </si>
  <si>
    <t>2/4</t>
    <phoneticPr fontId="3" type="noConversion"/>
  </si>
  <si>
    <t xml:space="preserve">INCL PCS $125/TEU </t>
    <phoneticPr fontId="3" type="noConversion"/>
  </si>
  <si>
    <t>MOSTAGANEM</t>
    <phoneticPr fontId="3" type="noConversion"/>
  </si>
  <si>
    <t>ALGERIA</t>
    <phoneticPr fontId="3" type="noConversion"/>
  </si>
  <si>
    <t>GHAZAOUET</t>
    <phoneticPr fontId="3" type="noConversion"/>
  </si>
  <si>
    <t>DJEN DJEN</t>
    <phoneticPr fontId="3" type="noConversion"/>
  </si>
  <si>
    <t>SKIKDA</t>
    <phoneticPr fontId="3" type="noConversion"/>
  </si>
  <si>
    <t>35/37</t>
    <phoneticPr fontId="3" type="noConversion"/>
  </si>
  <si>
    <t>ISPS $8/BOX ENS $25</t>
    <phoneticPr fontId="3" type="noConversion"/>
  </si>
  <si>
    <t>45</t>
    <phoneticPr fontId="3" type="noConversion"/>
  </si>
  <si>
    <t>34</t>
    <phoneticPr fontId="3" type="noConversion"/>
  </si>
  <si>
    <t>BEJAIA</t>
    <phoneticPr fontId="3" type="noConversion"/>
  </si>
  <si>
    <t>INCL CGS $80/TEU</t>
    <phoneticPr fontId="3" type="noConversion"/>
  </si>
  <si>
    <t>INCL PCS $100/TEU</t>
    <phoneticPr fontId="3" type="noConversion"/>
  </si>
  <si>
    <t>DRY PORT</t>
    <phoneticPr fontId="3" type="noConversion"/>
  </si>
  <si>
    <t>ORAN</t>
    <phoneticPr fontId="3" type="noConversion"/>
  </si>
  <si>
    <t>PCS $100/$140</t>
    <phoneticPr fontId="3" type="noConversion"/>
  </si>
  <si>
    <t>AE5</t>
    <phoneticPr fontId="3" type="noConversion"/>
  </si>
  <si>
    <t>MATAN</t>
    <phoneticPr fontId="3" type="noConversion"/>
  </si>
  <si>
    <t>SEA PORT</t>
    <phoneticPr fontId="3" type="noConversion"/>
  </si>
  <si>
    <t>ARZEW</t>
    <phoneticPr fontId="3" type="noConversion"/>
  </si>
  <si>
    <t>42</t>
    <phoneticPr fontId="3" type="noConversion"/>
  </si>
  <si>
    <t>ANNABA</t>
    <phoneticPr fontId="3" type="noConversion"/>
  </si>
  <si>
    <t>44</t>
    <phoneticPr fontId="3" type="noConversion"/>
  </si>
  <si>
    <t>SEA PORT/DRY PORT</t>
    <phoneticPr fontId="3" type="noConversion"/>
  </si>
  <si>
    <t>ALGIERS</t>
    <phoneticPr fontId="3" type="noConversion"/>
  </si>
  <si>
    <t>GRPIR/ESBAR</t>
    <phoneticPr fontId="3" type="noConversion"/>
  </si>
  <si>
    <t>ISPS EUR8/BOX ENS $30</t>
    <phoneticPr fontId="3" type="noConversion"/>
  </si>
  <si>
    <r>
      <rPr>
        <sz val="8"/>
        <color indexed="8"/>
        <rFont val="宋体"/>
        <family val="3"/>
        <charset val="134"/>
      </rPr>
      <t>默认</t>
    </r>
    <r>
      <rPr>
        <sz val="8"/>
        <color indexed="8"/>
        <rFont val="Arial"/>
        <family val="2"/>
      </rPr>
      <t>DRY PORT</t>
    </r>
    <r>
      <rPr>
        <sz val="8"/>
        <color indexed="8"/>
        <rFont val="宋体"/>
        <family val="3"/>
        <charset val="134"/>
      </rPr>
      <t>可申请</t>
    </r>
    <r>
      <rPr>
        <sz val="8"/>
        <color indexed="8"/>
        <rFont val="Arial"/>
        <family val="2"/>
      </rPr>
      <t>SEA PORT</t>
    </r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</si>
  <si>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$200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$500</t>
    </r>
    <phoneticPr fontId="3" type="noConversion"/>
  </si>
  <si>
    <t>WM2/WM1</t>
    <phoneticPr fontId="3" type="noConversion"/>
  </si>
  <si>
    <t>ENS $30</t>
    <phoneticPr fontId="3" type="noConversion"/>
  </si>
  <si>
    <t>AEM2/AEM1/AEM5</t>
    <phoneticPr fontId="3" type="noConversion"/>
  </si>
  <si>
    <t>ESVAL/GRPIR</t>
    <phoneticPr fontId="3" type="noConversion"/>
  </si>
  <si>
    <t>1/4/7</t>
    <phoneticPr fontId="3" type="noConversion"/>
  </si>
  <si>
    <t>DAKHLA</t>
    <phoneticPr fontId="3" type="noConversion"/>
  </si>
  <si>
    <t>MOROCCO</t>
    <phoneticPr fontId="3" type="noConversion"/>
  </si>
  <si>
    <t>AGADIR</t>
    <phoneticPr fontId="3" type="noConversion"/>
  </si>
  <si>
    <t>28</t>
    <phoneticPr fontId="3" type="noConversion"/>
  </si>
  <si>
    <t>FE2</t>
    <phoneticPr fontId="3" type="noConversion"/>
  </si>
  <si>
    <t>23</t>
    <phoneticPr fontId="3" type="noConversion"/>
  </si>
  <si>
    <t>TANGIER</t>
    <phoneticPr fontId="3" type="noConversion"/>
  </si>
  <si>
    <t>NERA 5</t>
    <phoneticPr fontId="3" type="noConversion"/>
  </si>
  <si>
    <r>
      <t>*20'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15T $100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$250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21T $500</t>
    </r>
    <phoneticPr fontId="3" type="noConversion"/>
  </si>
  <si>
    <t>ENS $30 ISPS $15/BOX</t>
    <phoneticPr fontId="3" type="noConversion"/>
  </si>
  <si>
    <t>27</t>
    <phoneticPr fontId="3" type="noConversion"/>
  </si>
  <si>
    <t>AEM2/AEM1/AEU2</t>
    <phoneticPr fontId="3" type="noConversion"/>
  </si>
  <si>
    <t>ESVAL/ESBCN/ESALG</t>
    <phoneticPr fontId="3" type="noConversion"/>
  </si>
  <si>
    <t>1/4/6</t>
    <phoneticPr fontId="3" type="noConversion"/>
  </si>
  <si>
    <t>CASABLANCA</t>
    <phoneticPr fontId="3" type="noConversion"/>
  </si>
  <si>
    <r>
      <rPr>
        <sz val="8"/>
        <rFont val="宋体"/>
        <family val="3"/>
        <charset val="134"/>
      </rPr>
      <t>可尝试申请</t>
    </r>
    <r>
      <rPr>
        <sz val="8"/>
        <rFont val="Arial"/>
        <family val="2"/>
      </rPr>
      <t>21</t>
    </r>
    <r>
      <rPr>
        <sz val="8"/>
        <rFont val="宋体"/>
        <family val="3"/>
        <charset val="134"/>
      </rPr>
      <t>天</t>
    </r>
    <phoneticPr fontId="3" type="noConversion"/>
  </si>
  <si>
    <t>29/33</t>
    <phoneticPr fontId="3" type="noConversion"/>
  </si>
  <si>
    <t>ESBAR/ESVAL</t>
    <phoneticPr fontId="3" type="noConversion"/>
  </si>
  <si>
    <t>ROCON</t>
    <phoneticPr fontId="3" type="noConversion"/>
  </si>
  <si>
    <t>GIURGIULESTI</t>
    <phoneticPr fontId="3" type="noConversion"/>
  </si>
  <si>
    <t>MOLDOVA</t>
    <phoneticPr fontId="3" type="noConversion"/>
  </si>
  <si>
    <r>
      <rPr>
        <sz val="8"/>
        <color theme="1"/>
        <rFont val="Comic Sans MS"/>
        <family val="4"/>
      </rPr>
      <t>黑海线</t>
    </r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</si>
  <si>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15T $150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21T $500</t>
    </r>
    <phoneticPr fontId="3" type="noConversion"/>
  </si>
  <si>
    <t>TIGER</t>
    <phoneticPr fontId="3" type="noConversion"/>
  </si>
  <si>
    <t>TRTEK</t>
    <phoneticPr fontId="3" type="noConversion"/>
  </si>
  <si>
    <t>AEM5</t>
    <phoneticPr fontId="3" type="noConversion"/>
  </si>
  <si>
    <t>BGVAR</t>
    <phoneticPr fontId="3" type="noConversion"/>
  </si>
  <si>
    <t>7</t>
    <phoneticPr fontId="3" type="noConversion"/>
  </si>
  <si>
    <t>SOFIA</t>
    <phoneticPr fontId="3" type="noConversion"/>
  </si>
  <si>
    <t>BULGARIA</t>
    <phoneticPr fontId="3" type="noConversion"/>
  </si>
  <si>
    <r>
      <rPr>
        <sz val="8"/>
        <color theme="1"/>
        <rFont val="宋体"/>
        <family val="3"/>
        <charset val="134"/>
      </rPr>
      <t>黑海线</t>
    </r>
    <phoneticPr fontId="3" type="noConversion"/>
  </si>
  <si>
    <t>BURGAS</t>
    <phoneticPr fontId="3" type="noConversion"/>
  </si>
  <si>
    <t>BEX</t>
    <phoneticPr fontId="3" type="noConversion"/>
  </si>
  <si>
    <t>MD3</t>
    <phoneticPr fontId="3" type="noConversion"/>
  </si>
  <si>
    <t>TRIST</t>
    <phoneticPr fontId="3" type="noConversion"/>
  </si>
  <si>
    <t>AE15</t>
    <phoneticPr fontId="3" type="noConversion"/>
  </si>
  <si>
    <t>AE15</t>
    <phoneticPr fontId="3" type="noConversion"/>
  </si>
  <si>
    <t>MEX2</t>
    <phoneticPr fontId="3" type="noConversion"/>
  </si>
  <si>
    <t>VARNA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</si>
  <si>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23T $300</t>
    </r>
    <phoneticPr fontId="3" type="noConversion"/>
  </si>
  <si>
    <t>BAF $0/TEU ENS $35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</si>
  <si>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21T $100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23T $200</t>
    </r>
    <phoneticPr fontId="3" type="noConversion"/>
  </si>
  <si>
    <t>ZMP</t>
    <phoneticPr fontId="3" type="noConversion"/>
  </si>
  <si>
    <t>ISPS $15/BOX ENS $25</t>
    <phoneticPr fontId="3" type="noConversion"/>
  </si>
  <si>
    <t>TRIKU</t>
    <phoneticPr fontId="3" type="noConversion"/>
  </si>
  <si>
    <t>ZIM</t>
    <phoneticPr fontId="3" type="noConversion"/>
  </si>
  <si>
    <t>BATUMI</t>
    <phoneticPr fontId="3" type="noConversion"/>
  </si>
  <si>
    <t>GEORGIA</t>
    <phoneticPr fontId="3" type="noConversion"/>
  </si>
  <si>
    <t>POTI</t>
    <phoneticPr fontId="3" type="noConversion"/>
  </si>
  <si>
    <t>YUZHNY</t>
    <phoneticPr fontId="3" type="noConversion"/>
  </si>
  <si>
    <t>UKRAINE</t>
    <phoneticPr fontId="3" type="noConversion"/>
  </si>
  <si>
    <t>黑海线</t>
    <phoneticPr fontId="3" type="noConversion"/>
  </si>
  <si>
    <t>CHORNOMORSK</t>
    <phoneticPr fontId="3" type="noConversion"/>
  </si>
  <si>
    <t>ILLYCHEVSK</t>
    <phoneticPr fontId="3" type="noConversion"/>
  </si>
  <si>
    <t>ODESSA</t>
    <phoneticPr fontId="3" type="noConversion"/>
  </si>
  <si>
    <t>EM1</t>
    <phoneticPr fontId="3" type="noConversion"/>
  </si>
  <si>
    <t>MED3(BEX)</t>
    <phoneticPr fontId="3" type="noConversion"/>
  </si>
  <si>
    <t>APL</t>
    <phoneticPr fontId="3" type="noConversion"/>
  </si>
  <si>
    <t>29</t>
    <phoneticPr fontId="3" type="noConversion"/>
  </si>
  <si>
    <r>
      <t xml:space="preserve">ISPS $15/BOX </t>
    </r>
    <r>
      <rPr>
        <sz val="8"/>
        <color rgb="FF0000FF"/>
        <rFont val="Arial"/>
        <family val="2"/>
      </rPr>
      <t>ENS $25</t>
    </r>
    <phoneticPr fontId="3" type="noConversion"/>
  </si>
  <si>
    <t>31</t>
    <phoneticPr fontId="3" type="noConversion"/>
  </si>
  <si>
    <t>ROSTOV ON DON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</si>
  <si>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21T $200</t>
    </r>
    <phoneticPr fontId="3" type="noConversion"/>
  </si>
  <si>
    <t>WM1/EM2</t>
    <phoneticPr fontId="3" type="noConversion"/>
  </si>
  <si>
    <t>NOVOROSSIYSK</t>
    <phoneticPr fontId="3" type="noConversion"/>
  </si>
  <si>
    <t>41</t>
    <phoneticPr fontId="3" type="noConversion"/>
  </si>
  <si>
    <t>LBBEY</t>
    <phoneticPr fontId="3" type="noConversion"/>
  </si>
  <si>
    <t>AEU7/AEM1/AEM5</t>
    <phoneticPr fontId="3" type="noConversion"/>
  </si>
  <si>
    <t>TRBKS</t>
    <phoneticPr fontId="3" type="noConversion"/>
  </si>
  <si>
    <t>BUCHAREST</t>
    <phoneticPr fontId="3" type="noConversion"/>
  </si>
  <si>
    <t>ROMANIA</t>
    <phoneticPr fontId="3" type="noConversion"/>
  </si>
  <si>
    <t>CONSTANTZA</t>
    <phoneticPr fontId="3" type="noConversion"/>
  </si>
  <si>
    <t>TRABZON</t>
    <phoneticPr fontId="3" type="noConversion"/>
  </si>
  <si>
    <t>TURKEY</t>
    <phoneticPr fontId="3" type="noConversion"/>
  </si>
  <si>
    <r>
      <rPr>
        <sz val="8"/>
        <color theme="1"/>
        <rFont val="宋体"/>
        <family val="3"/>
        <charset val="134"/>
      </rPr>
      <t>地东线</t>
    </r>
    <phoneticPr fontId="3" type="noConversion"/>
  </si>
  <si>
    <r>
      <rPr>
        <sz val="8"/>
        <color theme="1"/>
        <rFont val="Comic Sans MS"/>
        <family val="4"/>
      </rPr>
      <t>地东线</t>
    </r>
    <phoneticPr fontId="3" type="noConversion"/>
  </si>
  <si>
    <t>SAKAC</t>
    <phoneticPr fontId="3" type="noConversion"/>
  </si>
  <si>
    <t>ANTALYA</t>
    <phoneticPr fontId="3" type="noConversion"/>
  </si>
  <si>
    <t>AEU7/AEM3/AEM1/AEU3</t>
    <phoneticPr fontId="3" type="noConversion"/>
  </si>
  <si>
    <t>2/3/4/7</t>
    <phoneticPr fontId="3" type="noConversion"/>
  </si>
  <si>
    <t>ILHFA</t>
    <phoneticPr fontId="3" type="noConversion"/>
  </si>
  <si>
    <t>TRAVC</t>
    <phoneticPr fontId="3" type="noConversion"/>
  </si>
  <si>
    <t>SAMSUN</t>
    <phoneticPr fontId="3" type="noConversion"/>
  </si>
  <si>
    <t>TEKIRDAG/ASYAPORT</t>
    <phoneticPr fontId="3" type="noConversion"/>
  </si>
  <si>
    <t>ISKENDERUN</t>
    <phoneticPr fontId="3" type="noConversion"/>
  </si>
  <si>
    <t>AE12/AE20</t>
    <phoneticPr fontId="3" type="noConversion"/>
  </si>
  <si>
    <t>42/35</t>
    <phoneticPr fontId="3" type="noConversion"/>
  </si>
  <si>
    <t>AEU7/AEM3/AEM1/AEU3/AEM5</t>
    <phoneticPr fontId="3" type="noConversion"/>
  </si>
  <si>
    <t>2/3/4/7/7</t>
    <phoneticPr fontId="3" type="noConversion"/>
  </si>
  <si>
    <t>31/30</t>
    <phoneticPr fontId="3" type="noConversion"/>
  </si>
  <si>
    <t>30</t>
    <phoneticPr fontId="3" type="noConversion"/>
  </si>
  <si>
    <t>GEBZE</t>
    <phoneticPr fontId="3" type="noConversion"/>
  </si>
  <si>
    <t>34/37</t>
    <phoneticPr fontId="3" type="noConversion"/>
  </si>
  <si>
    <t>YILPORT</t>
    <phoneticPr fontId="3" type="noConversion"/>
  </si>
  <si>
    <t>GEMLIK</t>
    <phoneticPr fontId="3" type="noConversion"/>
  </si>
  <si>
    <t>30/42</t>
    <phoneticPr fontId="3" type="noConversion"/>
  </si>
  <si>
    <t>29/28</t>
    <phoneticPr fontId="3" type="noConversion"/>
  </si>
  <si>
    <t>MERSIN</t>
    <phoneticPr fontId="3" type="noConversion"/>
  </si>
  <si>
    <t>MX2</t>
    <phoneticPr fontId="3" type="noConversion"/>
  </si>
  <si>
    <t>25/30</t>
    <phoneticPr fontId="3" type="noConversion"/>
  </si>
  <si>
    <t>38</t>
    <phoneticPr fontId="3" type="noConversion"/>
  </si>
  <si>
    <t>IZMIT/EVYAP PORT</t>
    <phoneticPr fontId="3" type="noConversion"/>
  </si>
  <si>
    <t>33/25</t>
    <phoneticPr fontId="3" type="noConversion"/>
  </si>
  <si>
    <t>GRPIR/EGDAM</t>
    <phoneticPr fontId="3" type="noConversion"/>
  </si>
  <si>
    <t>25</t>
    <phoneticPr fontId="3" type="noConversion"/>
  </si>
  <si>
    <t>YARIMCA</t>
    <phoneticPr fontId="3" type="noConversion"/>
  </si>
  <si>
    <t>IZMIR</t>
    <phoneticPr fontId="3" type="noConversion"/>
  </si>
  <si>
    <t>ALSANCAK</t>
    <phoneticPr fontId="3" type="noConversion"/>
  </si>
  <si>
    <t>ALIAGA</t>
    <phoneticPr fontId="3" type="noConversion"/>
  </si>
  <si>
    <t>31/43</t>
    <phoneticPr fontId="3" type="noConversion"/>
  </si>
  <si>
    <t>HAYDARPASA</t>
    <phoneticPr fontId="3" type="noConversion"/>
  </si>
  <si>
    <t>29/41</t>
    <phoneticPr fontId="3" type="noConversion"/>
  </si>
  <si>
    <t>MARDAS</t>
    <phoneticPr fontId="3" type="noConversion"/>
  </si>
  <si>
    <t>ISTANBUL/AMBARLI</t>
    <phoneticPr fontId="3" type="noConversion"/>
  </si>
  <si>
    <t>KUMPORT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</si>
  <si>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$400</t>
    </r>
    <phoneticPr fontId="3" type="noConversion"/>
  </si>
  <si>
    <t>37/40</t>
    <phoneticPr fontId="3" type="noConversion"/>
  </si>
  <si>
    <t>KUMPORT/MARPORT</t>
    <phoneticPr fontId="3" type="noConversion"/>
  </si>
  <si>
    <t>MARPORT/MARDAS</t>
    <phoneticPr fontId="3" type="noConversion"/>
  </si>
  <si>
    <t>MARPORT</t>
    <phoneticPr fontId="3" type="noConversion"/>
  </si>
  <si>
    <t>MARDAS/KUMPORT</t>
    <phoneticPr fontId="3" type="noConversion"/>
  </si>
  <si>
    <t>LIMASSOL</t>
    <phoneticPr fontId="3" type="noConversion"/>
  </si>
  <si>
    <t>CYPRUS</t>
    <phoneticPr fontId="3" type="noConversion"/>
  </si>
  <si>
    <t>AE12</t>
    <phoneticPr fontId="3" type="noConversion"/>
  </si>
  <si>
    <r>
      <rPr>
        <sz val="8"/>
        <color rgb="FFFF0000"/>
        <rFont val="宋体"/>
        <family val="3"/>
        <charset val="134"/>
      </rPr>
      <t>海运费按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3"/>
        <charset val="134"/>
      </rPr>
      <t>折算</t>
    </r>
    <phoneticPr fontId="3" type="noConversion"/>
  </si>
  <si>
    <t>TARTOUS</t>
    <phoneticPr fontId="3" type="noConversion"/>
  </si>
  <si>
    <t>SYRIA</t>
    <phoneticPr fontId="3" type="noConversion"/>
  </si>
  <si>
    <t>LATTAKIA</t>
    <phoneticPr fontId="3" type="noConversion"/>
  </si>
  <si>
    <t>WRS $48/TEU/ISPS $15/BOX ENS $25</t>
    <phoneticPr fontId="3" type="noConversion"/>
  </si>
  <si>
    <t>LEBANON</t>
    <phoneticPr fontId="3" type="noConversion"/>
  </si>
  <si>
    <t>SERA 1</t>
    <phoneticPr fontId="3" type="noConversion"/>
  </si>
  <si>
    <t>21</t>
    <phoneticPr fontId="3" type="noConversion"/>
  </si>
  <si>
    <t>BEIRUT</t>
    <phoneticPr fontId="3" type="noConversion"/>
  </si>
  <si>
    <r>
      <t xml:space="preserve">WRS $30/TEU </t>
    </r>
    <r>
      <rPr>
        <sz val="8"/>
        <color rgb="FF0000FF"/>
        <rFont val="Arial"/>
        <family val="2"/>
      </rPr>
      <t>ENS</t>
    </r>
    <phoneticPr fontId="3" type="noConversion"/>
  </si>
  <si>
    <t>AE20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</si>
  <si>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15T $250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20T $450</t>
    </r>
    <phoneticPr fontId="3" type="noConversion"/>
  </si>
  <si>
    <t>WRS $30/TEU ENS $30</t>
    <phoneticPr fontId="3" type="noConversion"/>
  </si>
  <si>
    <t>22</t>
    <phoneticPr fontId="3" type="noConversion"/>
  </si>
  <si>
    <t>WRS $30/TEU BAF $50/TEU ENS $35</t>
    <phoneticPr fontId="3" type="noConversion"/>
  </si>
  <si>
    <t>MED2(MEX1)</t>
    <phoneticPr fontId="3" type="noConversion"/>
  </si>
  <si>
    <t>43</t>
    <phoneticPr fontId="3" type="noConversion"/>
  </si>
  <si>
    <t>地东线</t>
    <phoneticPr fontId="3" type="noConversion"/>
  </si>
  <si>
    <t>THESSALONIKI/SALONIKA</t>
    <phoneticPr fontId="3" type="noConversion"/>
  </si>
  <si>
    <t>GREECE</t>
    <phoneticPr fontId="3" type="noConversion"/>
  </si>
  <si>
    <t>EM1/WM1/EM2</t>
    <phoneticPr fontId="3" type="noConversion"/>
  </si>
  <si>
    <t>3/4/7</t>
    <phoneticPr fontId="3" type="noConversion"/>
  </si>
  <si>
    <t xml:space="preserve">OOCL </t>
    <phoneticPr fontId="3" type="noConversion"/>
  </si>
  <si>
    <t>MED4(FEM)</t>
    <phoneticPr fontId="3" type="noConversion"/>
  </si>
  <si>
    <t>20</t>
    <phoneticPr fontId="3" type="noConversion"/>
  </si>
  <si>
    <t>PIRAEUS</t>
    <phoneticPr fontId="3" type="noConversion"/>
  </si>
  <si>
    <t>AEU3</t>
    <phoneticPr fontId="3" type="noConversion"/>
  </si>
  <si>
    <t>EM2</t>
    <phoneticPr fontId="3" type="noConversion"/>
  </si>
  <si>
    <t>AE11</t>
    <phoneticPr fontId="3" type="noConversion"/>
  </si>
  <si>
    <t>WM1</t>
    <phoneticPr fontId="3" type="noConversion"/>
  </si>
  <si>
    <t>MED1(MD2)</t>
    <phoneticPr fontId="3" type="noConversion"/>
  </si>
  <si>
    <t>AEM1</t>
    <phoneticPr fontId="3" type="noConversion"/>
  </si>
  <si>
    <t>NEU3(NE7)</t>
    <phoneticPr fontId="3" type="noConversion"/>
  </si>
  <si>
    <t>LL3</t>
    <phoneticPr fontId="3" type="noConversion"/>
  </si>
  <si>
    <t>AEU7</t>
    <phoneticPr fontId="3" type="noConversion"/>
  </si>
  <si>
    <t>MD2</t>
    <phoneticPr fontId="3" type="noConversion"/>
  </si>
  <si>
    <t>OLD PORT</t>
    <phoneticPr fontId="3" type="noConversion"/>
  </si>
  <si>
    <t>ITGOA</t>
    <phoneticPr fontId="3" type="noConversion"/>
  </si>
  <si>
    <t>ALEXANDRIA</t>
    <phoneticPr fontId="3" type="noConversion"/>
  </si>
  <si>
    <t>EGYPT</t>
    <phoneticPr fontId="3" type="noConversion"/>
  </si>
  <si>
    <t>DEKHEILA</t>
    <phoneticPr fontId="3" type="noConversion"/>
  </si>
  <si>
    <r>
      <t xml:space="preserve">ISPS $12/BOX </t>
    </r>
    <r>
      <rPr>
        <sz val="8"/>
        <color rgb="FF0000FF"/>
        <rFont val="Arial"/>
        <family val="2"/>
      </rPr>
      <t>ENS $35</t>
    </r>
    <phoneticPr fontId="3" type="noConversion"/>
  </si>
  <si>
    <t>DAMIETTA</t>
    <phoneticPr fontId="3" type="noConversion"/>
  </si>
  <si>
    <t>AAS</t>
    <phoneticPr fontId="3" type="noConversion"/>
  </si>
  <si>
    <r>
      <rPr>
        <sz val="8"/>
        <color theme="1" tint="4.9989318521683403E-2"/>
        <rFont val="宋体"/>
        <family val="3"/>
        <charset val="134"/>
      </rPr>
      <t>申请</t>
    </r>
    <r>
      <rPr>
        <sz val="8"/>
        <color theme="1" tint="4.9989318521683403E-2"/>
        <rFont val="Arial"/>
        <family val="2"/>
      </rPr>
      <t>21</t>
    </r>
    <r>
      <rPr>
        <sz val="8"/>
        <color theme="1" tint="4.9989318521683403E-2"/>
        <rFont val="宋体"/>
        <family val="3"/>
        <charset val="134"/>
      </rPr>
      <t>天</t>
    </r>
    <r>
      <rPr>
        <sz val="8"/>
        <color theme="1" tint="4.9989318521683403E-2"/>
        <rFont val="Arial"/>
        <family val="2"/>
      </rPr>
      <t>+50/100</t>
    </r>
    <phoneticPr fontId="3" type="noConversion"/>
  </si>
  <si>
    <t>WEST</t>
    <phoneticPr fontId="3" type="noConversion"/>
  </si>
  <si>
    <t>PORT SAID</t>
    <phoneticPr fontId="3" type="noConversion"/>
  </si>
  <si>
    <r>
      <rPr>
        <sz val="8"/>
        <rFont val="宋体"/>
        <family val="3"/>
        <charset val="134"/>
      </rPr>
      <t>申请</t>
    </r>
    <r>
      <rPr>
        <sz val="8"/>
        <rFont val="Arial"/>
        <family val="2"/>
      </rPr>
      <t>21</t>
    </r>
    <r>
      <rPr>
        <sz val="8"/>
        <rFont val="宋体"/>
        <family val="3"/>
        <charset val="134"/>
      </rPr>
      <t>天</t>
    </r>
    <phoneticPr fontId="3" type="noConversion"/>
  </si>
  <si>
    <t>EAST</t>
    <phoneticPr fontId="3" type="noConversion"/>
  </si>
  <si>
    <t>MED5(BEX2)</t>
    <phoneticPr fontId="3" type="noConversion"/>
  </si>
  <si>
    <t>AEM6</t>
    <phoneticPr fontId="3" type="noConversion"/>
  </si>
  <si>
    <t>ADX</t>
    <phoneticPr fontId="3" type="noConversion"/>
  </si>
  <si>
    <t>19</t>
    <phoneticPr fontId="3" type="noConversion"/>
  </si>
  <si>
    <r>
      <t>ISPS $12/BOX</t>
    </r>
    <r>
      <rPr>
        <sz val="8"/>
        <color rgb="FF0000FF"/>
        <rFont val="Arial"/>
        <family val="2"/>
      </rPr>
      <t xml:space="preserve"> ENS $35</t>
    </r>
    <phoneticPr fontId="3" type="noConversion"/>
  </si>
  <si>
    <t>PHOENIX</t>
    <phoneticPr fontId="3" type="noConversion"/>
  </si>
  <si>
    <t>JADE</t>
    <phoneticPr fontId="3" type="noConversion"/>
  </si>
  <si>
    <t>MALTA/MARSAXLOKK</t>
    <phoneticPr fontId="3" type="noConversion"/>
  </si>
  <si>
    <t>MALTA</t>
    <phoneticPr fontId="3" type="noConversion"/>
  </si>
  <si>
    <t>SERA 2</t>
    <phoneticPr fontId="3" type="noConversion"/>
  </si>
  <si>
    <t>NEU5(FAL3)</t>
    <phoneticPr fontId="3" type="noConversion"/>
  </si>
  <si>
    <r>
      <t xml:space="preserve">WRS $9/TEU </t>
    </r>
    <r>
      <rPr>
        <sz val="8"/>
        <color rgb="FF0000FF"/>
        <rFont val="Arial"/>
        <family val="2"/>
      </rPr>
      <t>ENS $30</t>
    </r>
    <phoneticPr fontId="3" type="noConversion"/>
  </si>
  <si>
    <t>5</t>
    <phoneticPr fontId="3" type="noConversion"/>
  </si>
  <si>
    <t>ISPS EUR15/BOX ENS $25</t>
    <phoneticPr fontId="3" type="noConversion"/>
  </si>
  <si>
    <t>SGSGP</t>
    <phoneticPr fontId="3" type="noConversion"/>
  </si>
  <si>
    <t>MX1</t>
    <phoneticPr fontId="3" type="noConversion"/>
  </si>
  <si>
    <t>WRS $9/TEU ENS $30</t>
    <phoneticPr fontId="3" type="noConversion"/>
  </si>
  <si>
    <t>ASHDOD</t>
    <phoneticPr fontId="3" type="noConversion"/>
  </si>
  <si>
    <t>ISRAEL</t>
    <phoneticPr fontId="3" type="noConversion"/>
  </si>
  <si>
    <r>
      <t xml:space="preserve">WRS $9/TEU </t>
    </r>
    <r>
      <rPr>
        <sz val="8"/>
        <color rgb="FF0000FF"/>
        <rFont val="Arial"/>
        <family val="2"/>
      </rPr>
      <t>ENS</t>
    </r>
    <phoneticPr fontId="3" type="noConversion"/>
  </si>
  <si>
    <r>
      <t xml:space="preserve">WRS $9/TEU BAF $0/TEU </t>
    </r>
    <r>
      <rPr>
        <sz val="8"/>
        <color rgb="FF0000FF"/>
        <rFont val="Arial"/>
        <family val="2"/>
      </rPr>
      <t>ENS $35</t>
    </r>
    <phoneticPr fontId="3" type="noConversion"/>
  </si>
  <si>
    <t>HAIFA</t>
    <phoneticPr fontId="3" type="noConversion"/>
  </si>
  <si>
    <t>24/27</t>
    <phoneticPr fontId="3" type="noConversion"/>
  </si>
  <si>
    <t>ILASD/EGDAM</t>
    <phoneticPr fontId="3" type="noConversion"/>
  </si>
  <si>
    <t>ILASD</t>
    <phoneticPr fontId="3" type="noConversion"/>
  </si>
  <si>
    <t>TRMER</t>
    <phoneticPr fontId="3" type="noConversion"/>
  </si>
  <si>
    <t>BAR</t>
    <phoneticPr fontId="3" type="noConversion"/>
  </si>
  <si>
    <t>MONTENEGRO</t>
    <phoneticPr fontId="3" type="noConversion"/>
  </si>
  <si>
    <r>
      <rPr>
        <sz val="8"/>
        <color theme="1"/>
        <rFont val="Comic Sans MS"/>
        <family val="4"/>
      </rPr>
      <t>亚得里亚海</t>
    </r>
    <phoneticPr fontId="3" type="noConversion"/>
  </si>
  <si>
    <t>MTMAR</t>
    <phoneticPr fontId="3" type="noConversion"/>
  </si>
  <si>
    <t>DURRES</t>
    <phoneticPr fontId="3" type="noConversion"/>
  </si>
  <si>
    <t>ALBANIA</t>
    <phoneticPr fontId="3" type="noConversion"/>
  </si>
  <si>
    <t>BY TRUCK</t>
    <phoneticPr fontId="3" type="noConversion"/>
  </si>
  <si>
    <t>SPLIT</t>
    <phoneticPr fontId="3" type="noConversion"/>
  </si>
  <si>
    <t>CROATIA</t>
    <phoneticPr fontId="3" type="noConversion"/>
  </si>
  <si>
    <t>PLOCE</t>
    <phoneticPr fontId="3" type="noConversion"/>
  </si>
  <si>
    <t>HRRIJ</t>
    <phoneticPr fontId="3" type="noConversion"/>
  </si>
  <si>
    <t>ZAGREB</t>
    <phoneticPr fontId="3" type="noConversion"/>
  </si>
  <si>
    <r>
      <rPr>
        <sz val="8"/>
        <color theme="1"/>
        <rFont val="宋体"/>
        <family val="3"/>
        <charset val="134"/>
      </rPr>
      <t>亚得里亚海</t>
    </r>
    <phoneticPr fontId="3" type="noConversion"/>
  </si>
  <si>
    <t>RIJEKA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</si>
  <si>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$100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21.8T $200</t>
    </r>
    <phoneticPr fontId="3" type="noConversion"/>
  </si>
  <si>
    <t>KOPER</t>
    <phoneticPr fontId="3" type="noConversion"/>
  </si>
  <si>
    <t>SLOVENIA</t>
    <phoneticPr fontId="3" type="noConversion"/>
  </si>
  <si>
    <t>ANCONA</t>
    <phoneticPr fontId="3" type="noConversion"/>
  </si>
  <si>
    <t>ITALY</t>
    <phoneticPr fontId="3" type="noConversion"/>
  </si>
  <si>
    <t>NEU3/MED1/MED5/MED4</t>
    <phoneticPr fontId="3" type="noConversion"/>
  </si>
  <si>
    <t>35/40</t>
    <phoneticPr fontId="3" type="noConversion"/>
  </si>
  <si>
    <t>RAVENNA</t>
    <phoneticPr fontId="3" type="noConversion"/>
  </si>
  <si>
    <t>34/39</t>
    <phoneticPr fontId="3" type="noConversion"/>
  </si>
  <si>
    <t>VENICE</t>
    <phoneticPr fontId="3" type="noConversion"/>
  </si>
  <si>
    <t>TRIESTE</t>
    <phoneticPr fontId="3" type="noConversion"/>
  </si>
  <si>
    <t>FOS SUR MER</t>
    <phoneticPr fontId="3" type="noConversion"/>
  </si>
  <si>
    <t>FRANCE</t>
    <phoneticPr fontId="3" type="noConversion"/>
  </si>
  <si>
    <r>
      <rPr>
        <sz val="8"/>
        <color theme="1"/>
        <rFont val="Comic Sans MS"/>
        <family val="4"/>
      </rPr>
      <t>地西线</t>
    </r>
    <phoneticPr fontId="3" type="noConversion"/>
  </si>
  <si>
    <r>
      <t>*20'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 xml:space="preserve">18T $250 </t>
    </r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</si>
  <si>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$500</t>
    </r>
    <phoneticPr fontId="3" type="noConversion"/>
  </si>
  <si>
    <t>AM1</t>
    <phoneticPr fontId="3" type="noConversion"/>
  </si>
  <si>
    <t>WM2</t>
    <phoneticPr fontId="3" type="noConversion"/>
  </si>
  <si>
    <t>34/33</t>
    <phoneticPr fontId="3" type="noConversion"/>
  </si>
  <si>
    <t>SALERNO</t>
    <phoneticPr fontId="3" type="noConversion"/>
  </si>
  <si>
    <t>地西线</t>
    <phoneticPr fontId="3" type="noConversion"/>
  </si>
  <si>
    <t>ITNAP</t>
    <phoneticPr fontId="3" type="noConversion"/>
  </si>
  <si>
    <t>28/26</t>
    <phoneticPr fontId="3" type="noConversion"/>
  </si>
  <si>
    <t>ITSPE/ITGOA</t>
    <phoneticPr fontId="3" type="noConversion"/>
  </si>
  <si>
    <t>RUBIERA</t>
    <phoneticPr fontId="3" type="noConversion"/>
  </si>
  <si>
    <t>GIOIA TAURO</t>
    <phoneticPr fontId="3" type="noConversion"/>
  </si>
  <si>
    <t>CIVITAVECCHIA</t>
    <phoneticPr fontId="3" type="noConversion"/>
  </si>
  <si>
    <t>CAGLIARI</t>
    <phoneticPr fontId="3" type="noConversion"/>
  </si>
  <si>
    <t>ITSPE</t>
    <phoneticPr fontId="3" type="noConversion"/>
  </si>
  <si>
    <t>BOLOGNA</t>
    <phoneticPr fontId="3" type="noConversion"/>
  </si>
  <si>
    <t>BARI</t>
    <phoneticPr fontId="3" type="noConversion"/>
  </si>
  <si>
    <t>31/36</t>
    <phoneticPr fontId="3" type="noConversion"/>
  </si>
  <si>
    <t>LIVORNO/LEGHORN</t>
    <phoneticPr fontId="3" type="noConversion"/>
  </si>
  <si>
    <t>37/32</t>
    <phoneticPr fontId="3" type="noConversion"/>
  </si>
  <si>
    <r>
      <rPr>
        <sz val="10"/>
        <color theme="0" tint="-0.499984740745262"/>
        <rFont val="Arial"/>
        <family val="2"/>
      </rPr>
      <t>4</t>
    </r>
    <r>
      <rPr>
        <sz val="10"/>
        <color theme="1"/>
        <rFont val="Arial"/>
        <family val="2"/>
      </rPr>
      <t>/7</t>
    </r>
    <phoneticPr fontId="3" type="noConversion"/>
  </si>
  <si>
    <t>ISPS $12/BOX ENS $25</t>
    <phoneticPr fontId="3" type="noConversion"/>
  </si>
  <si>
    <t>NAPLES/NAPOLI</t>
    <phoneticPr fontId="3" type="noConversion"/>
  </si>
  <si>
    <t>39/34</t>
    <phoneticPr fontId="3" type="noConversion"/>
  </si>
  <si>
    <t>31/31</t>
    <phoneticPr fontId="3" type="noConversion"/>
  </si>
  <si>
    <t>MD3/MD1/MD2</t>
    <phoneticPr fontId="3" type="noConversion"/>
  </si>
  <si>
    <t>33/34/33</t>
    <phoneticPr fontId="3" type="noConversion"/>
  </si>
  <si>
    <t>GRPIR/ITGOA</t>
    <phoneticPr fontId="3" type="noConversion"/>
  </si>
  <si>
    <t>LA SPEZIA</t>
    <phoneticPr fontId="3" type="noConversion"/>
  </si>
  <si>
    <t>GENOVA</t>
    <phoneticPr fontId="3" type="noConversion"/>
  </si>
  <si>
    <t>TARRAGONA</t>
    <phoneticPr fontId="3" type="noConversion"/>
  </si>
  <si>
    <t>NEU4(FAL1)</t>
    <phoneticPr fontId="3" type="noConversion"/>
  </si>
  <si>
    <t>ALGECIRAS</t>
    <phoneticPr fontId="3" type="noConversion"/>
  </si>
  <si>
    <t>NERA 2</t>
    <phoneticPr fontId="3" type="noConversion"/>
  </si>
  <si>
    <t>CONDOR</t>
    <phoneticPr fontId="3" type="noConversion"/>
  </si>
  <si>
    <t>MYTPP</t>
    <phoneticPr fontId="3" type="noConversion"/>
  </si>
  <si>
    <t>EU4</t>
    <phoneticPr fontId="3" type="noConversion"/>
  </si>
  <si>
    <t>EU3</t>
    <phoneticPr fontId="3" type="noConversion"/>
  </si>
  <si>
    <t>BARCELONA</t>
    <phoneticPr fontId="3" type="noConversion"/>
  </si>
  <si>
    <t>VALENCIA</t>
    <phoneticPr fontId="3" type="noConversion"/>
  </si>
  <si>
    <t>BASE PORT</t>
    <phoneticPr fontId="3" type="noConversion"/>
  </si>
  <si>
    <t>欧洲线</t>
    <phoneticPr fontId="3" type="noConversion"/>
  </si>
  <si>
    <t>ALBATROSS</t>
    <phoneticPr fontId="3" type="noConversion"/>
  </si>
  <si>
    <t>SILK</t>
    <phoneticPr fontId="3" type="noConversion"/>
  </si>
  <si>
    <t>EU2</t>
    <phoneticPr fontId="3" type="noConversion"/>
  </si>
  <si>
    <t>LL1</t>
    <phoneticPr fontId="3" type="noConversion"/>
  </si>
  <si>
    <t>LSS $17/TEU ENS $30</t>
    <phoneticPr fontId="3" type="noConversion"/>
  </si>
  <si>
    <r>
      <rPr>
        <sz val="8"/>
        <color theme="1"/>
        <rFont val="Comic Sans MS"/>
        <family val="4"/>
      </rPr>
      <t>欧洲线</t>
    </r>
    <phoneticPr fontId="3" type="noConversion"/>
  </si>
  <si>
    <t>NEU1(NE1)</t>
    <phoneticPr fontId="3" type="noConversion"/>
  </si>
  <si>
    <t>LSS $20/TEU ENS30</t>
    <phoneticPr fontId="3" type="noConversion"/>
  </si>
  <si>
    <t>AEU1</t>
    <phoneticPr fontId="3" type="noConversion"/>
  </si>
  <si>
    <t>LSS $20/TEU ENS</t>
    <phoneticPr fontId="3" type="noConversion"/>
  </si>
  <si>
    <t>FAL5</t>
    <phoneticPr fontId="3" type="noConversion"/>
  </si>
  <si>
    <t>LSS $15/TEU CGS USD60/TEU ENS</t>
    <phoneticPr fontId="3" type="noConversion"/>
  </si>
  <si>
    <t>EU1</t>
    <phoneticPr fontId="3" type="noConversion"/>
  </si>
  <si>
    <r>
      <t>LSS $25/TEU</t>
    </r>
    <r>
      <rPr>
        <sz val="8"/>
        <color indexed="8"/>
        <rFont val="Arial"/>
        <family val="2"/>
      </rPr>
      <t xml:space="preserve"> ENS $30</t>
    </r>
    <phoneticPr fontId="3" type="noConversion"/>
  </si>
  <si>
    <t>FE4</t>
    <phoneticPr fontId="3" type="noConversion"/>
  </si>
  <si>
    <t>LSS $14/TEU ENS $30</t>
    <phoneticPr fontId="3" type="noConversion"/>
  </si>
  <si>
    <t>SOUTHAMPTON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</si>
  <si>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18T $75 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24T $150</t>
    </r>
    <phoneticPr fontId="3" type="noConversion"/>
  </si>
  <si>
    <t>LL4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</si>
  <si>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12T $100</t>
    </r>
    <phoneticPr fontId="3" type="noConversion"/>
  </si>
  <si>
    <t>LSS $25/TEU ENS $25</t>
    <phoneticPr fontId="3" type="noConversion"/>
  </si>
  <si>
    <t>BENLINE</t>
    <phoneticPr fontId="3" type="noConversion"/>
  </si>
  <si>
    <t>FAL7</t>
    <phoneticPr fontId="3" type="noConversion"/>
  </si>
  <si>
    <t>SHOGUN</t>
    <phoneticPr fontId="3" type="noConversion"/>
  </si>
  <si>
    <t>NERA 1</t>
    <phoneticPr fontId="3" type="noConversion"/>
  </si>
  <si>
    <t>EU5</t>
    <phoneticPr fontId="3" type="noConversion"/>
  </si>
  <si>
    <t>FELIXSTOWE</t>
    <phoneticPr fontId="3" type="noConversion"/>
  </si>
  <si>
    <t>NERA 4</t>
    <phoneticPr fontId="3" type="noConversion"/>
  </si>
  <si>
    <t>SWAN</t>
    <phoneticPr fontId="3" type="noConversion"/>
  </si>
  <si>
    <t>12月23日起停航</t>
    <phoneticPr fontId="3" type="noConversion"/>
  </si>
  <si>
    <t>LL6</t>
    <phoneticPr fontId="3" type="noConversion"/>
  </si>
  <si>
    <t>NEU6(CEM)</t>
    <phoneticPr fontId="3" type="noConversion"/>
  </si>
  <si>
    <t>AEU5</t>
    <phoneticPr fontId="3" type="noConversion"/>
  </si>
  <si>
    <t>FAL6</t>
    <phoneticPr fontId="3" type="noConversion"/>
  </si>
  <si>
    <t>DUNKERQUE</t>
    <phoneticPr fontId="3" type="noConversion"/>
  </si>
  <si>
    <t>LE HAVRE</t>
    <phoneticPr fontId="3" type="noConversion"/>
  </si>
  <si>
    <t>LL5</t>
    <phoneticPr fontId="3" type="noConversion"/>
  </si>
  <si>
    <t>AEU6</t>
    <phoneticPr fontId="3" type="noConversion"/>
  </si>
  <si>
    <t>FAL3</t>
    <phoneticPr fontId="3" type="noConversion"/>
  </si>
  <si>
    <t>NERA 3</t>
    <phoneticPr fontId="3" type="noConversion"/>
  </si>
  <si>
    <t>ANTWERP</t>
    <phoneticPr fontId="3" type="noConversion"/>
  </si>
  <si>
    <t>BELGIUM</t>
    <phoneticPr fontId="3" type="noConversion"/>
  </si>
  <si>
    <t>LL2</t>
    <phoneticPr fontId="3" type="noConversion"/>
  </si>
  <si>
    <t>NEU2(NE3)</t>
    <phoneticPr fontId="3" type="noConversion"/>
  </si>
  <si>
    <t>FAL2</t>
    <phoneticPr fontId="3" type="noConversion"/>
  </si>
  <si>
    <r>
      <t>20'</t>
    </r>
    <r>
      <rPr>
        <sz val="8"/>
        <color indexed="8"/>
        <rFont val="宋体"/>
        <family val="3"/>
        <charset val="134"/>
      </rPr>
      <t>≥</t>
    </r>
    <r>
      <rPr>
        <sz val="8"/>
        <color indexed="8"/>
        <rFont val="Arial"/>
        <family val="2"/>
      </rPr>
      <t>14T CASE BY CASE</t>
    </r>
    <phoneticPr fontId="3" type="noConversion"/>
  </si>
  <si>
    <t>FES</t>
    <phoneticPr fontId="3" type="noConversion"/>
  </si>
  <si>
    <t>PIL</t>
    <phoneticPr fontId="3" type="noConversion"/>
  </si>
  <si>
    <t>ZEEBRUGGE</t>
    <phoneticPr fontId="3" type="noConversion"/>
  </si>
  <si>
    <t>ROTTERDAM</t>
    <phoneticPr fontId="3" type="noConversion"/>
  </si>
  <si>
    <t>HOLLAND</t>
    <phoneticPr fontId="3" type="noConversion"/>
  </si>
  <si>
    <t xml:space="preserve">NERA 5 </t>
    <phoneticPr fontId="3" type="noConversion"/>
  </si>
  <si>
    <t>WILLHELMSHAVEN</t>
    <phoneticPr fontId="3" type="noConversion"/>
  </si>
  <si>
    <t>HAMBURG</t>
    <phoneticPr fontId="3" type="noConversion"/>
  </si>
  <si>
    <t>40HC</t>
    <phoneticPr fontId="3" type="noConversion"/>
  </si>
  <si>
    <t>40GP</t>
    <phoneticPr fontId="3" type="noConversion"/>
  </si>
  <si>
    <t>20GP</t>
    <phoneticPr fontId="3" type="noConversion"/>
  </si>
  <si>
    <r>
      <rPr>
        <sz val="10"/>
        <rFont val="宋体"/>
        <family val="3"/>
        <charset val="134"/>
      </rPr>
      <t>其他</t>
    </r>
    <phoneticPr fontId="3" type="noConversion"/>
  </si>
  <si>
    <r>
      <rPr>
        <sz val="10"/>
        <rFont val="宋体"/>
        <family val="3"/>
        <charset val="134"/>
      </rPr>
      <t>限重</t>
    </r>
    <phoneticPr fontId="3" type="noConversion"/>
  </si>
  <si>
    <r>
      <rPr>
        <sz val="10"/>
        <rFont val="宋体"/>
        <family val="3"/>
        <charset val="134"/>
      </rPr>
      <t>航线代码</t>
    </r>
    <phoneticPr fontId="3" type="noConversion"/>
  </si>
  <si>
    <r>
      <rPr>
        <sz val="10"/>
        <rFont val="宋体"/>
        <family val="3"/>
        <charset val="134"/>
      </rPr>
      <t>备注</t>
    </r>
    <phoneticPr fontId="3" type="noConversion"/>
  </si>
  <si>
    <r>
      <rPr>
        <sz val="10"/>
        <rFont val="宋体"/>
        <family val="3"/>
        <charset val="134"/>
      </rPr>
      <t>目的港附加费</t>
    </r>
    <phoneticPr fontId="3" type="noConversion"/>
  </si>
  <si>
    <r>
      <rPr>
        <sz val="10"/>
        <rFont val="宋体"/>
        <family val="3"/>
        <charset val="134"/>
      </rPr>
      <t>附加费</t>
    </r>
    <phoneticPr fontId="3" type="noConversion"/>
  </si>
  <si>
    <r>
      <rPr>
        <sz val="10"/>
        <rFont val="宋体"/>
        <family val="3"/>
        <charset val="134"/>
      </rPr>
      <t>有效期截止日</t>
    </r>
    <phoneticPr fontId="3" type="noConversion"/>
  </si>
  <si>
    <t>有效期起始日</t>
    <phoneticPr fontId="3" type="noConversion"/>
  </si>
  <si>
    <r>
      <rPr>
        <sz val="10"/>
        <rFont val="宋体"/>
        <family val="3"/>
        <charset val="134"/>
      </rPr>
      <t>港区</t>
    </r>
    <phoneticPr fontId="3" type="noConversion"/>
  </si>
  <si>
    <r>
      <rPr>
        <sz val="10"/>
        <rFont val="宋体"/>
        <family val="3"/>
        <charset val="134"/>
      </rPr>
      <t>航程</t>
    </r>
    <phoneticPr fontId="3" type="noConversion"/>
  </si>
  <si>
    <r>
      <rPr>
        <sz val="10"/>
        <rFont val="宋体"/>
        <family val="3"/>
        <charset val="134"/>
      </rPr>
      <t>码头</t>
    </r>
    <phoneticPr fontId="3" type="noConversion"/>
  </si>
  <si>
    <r>
      <rPr>
        <sz val="10"/>
        <rFont val="宋体"/>
        <family val="3"/>
        <charset val="134"/>
      </rPr>
      <t>中转</t>
    </r>
    <phoneticPr fontId="3" type="noConversion"/>
  </si>
  <si>
    <r>
      <rPr>
        <sz val="10"/>
        <rFont val="宋体"/>
        <family val="3"/>
        <charset val="134"/>
      </rPr>
      <t>船期</t>
    </r>
    <phoneticPr fontId="3" type="noConversion"/>
  </si>
  <si>
    <r>
      <rPr>
        <sz val="10"/>
        <rFont val="宋体"/>
        <family val="3"/>
        <charset val="134"/>
      </rPr>
      <t>船公司</t>
    </r>
    <phoneticPr fontId="3" type="noConversion"/>
  </si>
  <si>
    <r>
      <rPr>
        <sz val="10"/>
        <color theme="1"/>
        <rFont val="宋体"/>
        <family val="3"/>
        <charset val="134"/>
      </rPr>
      <t>运价</t>
    </r>
    <phoneticPr fontId="3" type="noConversion"/>
  </si>
  <si>
    <r>
      <rPr>
        <sz val="10"/>
        <rFont val="宋体"/>
        <family val="3"/>
        <charset val="134"/>
      </rPr>
      <t>目的港</t>
    </r>
    <phoneticPr fontId="3" type="noConversion"/>
  </si>
  <si>
    <r>
      <rPr>
        <sz val="10"/>
        <rFont val="宋体"/>
        <family val="3"/>
        <charset val="134"/>
      </rPr>
      <t>国家</t>
    </r>
    <phoneticPr fontId="3" type="noConversion"/>
  </si>
  <si>
    <r>
      <rPr>
        <sz val="10"/>
        <rFont val="宋体"/>
        <family val="3"/>
        <charset val="134"/>
      </rPr>
      <t>航线</t>
    </r>
    <phoneticPr fontId="3" type="noConversion"/>
  </si>
  <si>
    <t>1700</t>
    <phoneticPr fontId="3" type="noConversion"/>
  </si>
  <si>
    <t>3150</t>
    <phoneticPr fontId="3" type="noConversion"/>
  </si>
  <si>
    <t>1300</t>
    <phoneticPr fontId="3" type="noConversion"/>
  </si>
  <si>
    <t>10950</t>
    <phoneticPr fontId="3" type="noConversion"/>
  </si>
  <si>
    <t>5800</t>
    <phoneticPr fontId="3" type="noConversion"/>
  </si>
  <si>
    <t>6450</t>
    <phoneticPr fontId="3" type="noConversion"/>
  </si>
  <si>
    <t>3950</t>
    <phoneticPr fontId="3" type="noConversion"/>
  </si>
  <si>
    <t>4950</t>
    <phoneticPr fontId="3" type="noConversion"/>
  </si>
  <si>
    <t>2750</t>
    <phoneticPr fontId="3" type="noConversion"/>
  </si>
  <si>
    <t>2300</t>
    <phoneticPr fontId="3" type="noConversion"/>
  </si>
  <si>
    <t>3800</t>
    <phoneticPr fontId="3" type="noConversion"/>
  </si>
  <si>
    <t>3550</t>
    <phoneticPr fontId="3" type="noConversion"/>
  </si>
  <si>
    <t>2050</t>
    <phoneticPr fontId="3" type="noConversion"/>
  </si>
  <si>
    <t>3650</t>
    <phoneticPr fontId="3" type="noConversion"/>
  </si>
  <si>
    <t>2100</t>
    <phoneticPr fontId="3" type="noConversion"/>
  </si>
  <si>
    <t>4040</t>
    <phoneticPr fontId="3" type="noConversion"/>
  </si>
  <si>
    <t>2320</t>
    <phoneticPr fontId="3" type="noConversion"/>
  </si>
  <si>
    <t>3760</t>
    <phoneticPr fontId="3" type="noConversion"/>
  </si>
  <si>
    <t>4200</t>
    <phoneticPr fontId="3" type="noConversion"/>
  </si>
  <si>
    <t>4300</t>
    <phoneticPr fontId="3" type="noConversion"/>
  </si>
  <si>
    <t>1775</t>
    <phoneticPr fontId="3" type="noConversion"/>
  </si>
  <si>
    <t>4250</t>
    <phoneticPr fontId="3" type="noConversion"/>
  </si>
  <si>
    <t>3995</t>
    <phoneticPr fontId="3" type="noConversion"/>
  </si>
  <si>
    <t>2360</t>
    <phoneticPr fontId="3" type="noConversion"/>
  </si>
  <si>
    <t>4050</t>
    <phoneticPr fontId="3" type="noConversion"/>
  </si>
  <si>
    <t>5934</t>
    <phoneticPr fontId="3" type="noConversion"/>
  </si>
  <si>
    <t>3419</t>
    <phoneticPr fontId="3" type="noConversion"/>
  </si>
  <si>
    <t>3300</t>
    <phoneticPr fontId="3" type="noConversion"/>
  </si>
  <si>
    <t>2125</t>
    <phoneticPr fontId="3" type="noConversion"/>
  </si>
  <si>
    <t>1450</t>
    <phoneticPr fontId="3" type="noConversion"/>
  </si>
  <si>
    <t>1475</t>
    <phoneticPr fontId="3" type="noConversion"/>
  </si>
  <si>
    <t>1725</t>
    <phoneticPr fontId="3" type="noConversion"/>
  </si>
  <si>
    <t>1275</t>
    <phoneticPr fontId="3" type="noConversion"/>
  </si>
  <si>
    <t>3050</t>
    <phoneticPr fontId="3" type="noConversion"/>
  </si>
  <si>
    <t>4450</t>
    <phoneticPr fontId="3" type="noConversion"/>
  </si>
  <si>
    <t>8700</t>
    <phoneticPr fontId="3" type="noConversion"/>
  </si>
  <si>
    <t>5000</t>
    <phoneticPr fontId="3" type="noConversion"/>
  </si>
  <si>
    <t>NAMIBE</t>
    <phoneticPr fontId="3" type="noConversion"/>
  </si>
  <si>
    <t>LUANDA</t>
    <phoneticPr fontId="3" type="noConversion"/>
  </si>
  <si>
    <t>LOBITO</t>
    <phoneticPr fontId="3" type="noConversion"/>
  </si>
  <si>
    <t>INCL PCS $80/TEU</t>
    <phoneticPr fontId="3" type="noConversion"/>
  </si>
  <si>
    <t>DAKAR</t>
    <phoneticPr fontId="3" type="noConversion"/>
  </si>
  <si>
    <t>SENEGAL</t>
    <phoneticPr fontId="3" type="noConversion"/>
  </si>
  <si>
    <t>DRAGON/AFRICA</t>
    <phoneticPr fontId="3" type="noConversion"/>
  </si>
  <si>
    <t>INCL ISPS $20/BOX</t>
    <phoneticPr fontId="3" type="noConversion"/>
  </si>
  <si>
    <t>ESVAL/SGSGP</t>
    <phoneticPr fontId="3" type="noConversion"/>
  </si>
  <si>
    <t>4090</t>
    <phoneticPr fontId="3" type="noConversion"/>
  </si>
  <si>
    <t>2405</t>
    <phoneticPr fontId="3" type="noConversion"/>
  </si>
  <si>
    <t>3967</t>
    <phoneticPr fontId="3" type="noConversion"/>
  </si>
  <si>
    <t>2267</t>
    <phoneticPr fontId="3" type="noConversion"/>
  </si>
  <si>
    <t>EMS $150/TEU PP</t>
    <phoneticPr fontId="3" type="noConversion"/>
  </si>
  <si>
    <t>MATAN/DEHAM</t>
    <phoneticPr fontId="3" type="noConversion"/>
  </si>
  <si>
    <t>ISPS $15/BOX ENS $30</t>
    <phoneticPr fontId="3" type="noConversion"/>
  </si>
  <si>
    <t>SAN PEDRO</t>
    <phoneticPr fontId="3" type="noConversion"/>
  </si>
  <si>
    <t>IVORY COAST</t>
    <phoneticPr fontId="3" type="noConversion"/>
  </si>
  <si>
    <t>ABIDJAN</t>
    <phoneticPr fontId="3" type="noConversion"/>
  </si>
  <si>
    <t>FA2</t>
    <phoneticPr fontId="3" type="noConversion"/>
  </si>
  <si>
    <t>COTONOU</t>
    <phoneticPr fontId="3" type="noConversion"/>
  </si>
  <si>
    <t>BENIN</t>
    <phoneticPr fontId="3" type="noConversion"/>
  </si>
  <si>
    <t>WA1</t>
    <phoneticPr fontId="3" type="noConversion"/>
  </si>
  <si>
    <t>WAX1</t>
    <phoneticPr fontId="3" type="noConversion"/>
  </si>
  <si>
    <t>ONNE/HARCOURT</t>
    <phoneticPr fontId="3" type="noConversion"/>
  </si>
  <si>
    <t>NIGERIA</t>
    <phoneticPr fontId="3" type="noConversion"/>
  </si>
  <si>
    <t>1250</t>
    <phoneticPr fontId="3" type="noConversion"/>
  </si>
  <si>
    <t>APAPA/LAGOS</t>
    <phoneticPr fontId="3" type="noConversion"/>
  </si>
  <si>
    <t>WAX2/WAX3</t>
    <phoneticPr fontId="3" type="noConversion"/>
  </si>
  <si>
    <t>TGLOM</t>
    <phoneticPr fontId="3" type="noConversion"/>
  </si>
  <si>
    <t>TINCAN/LAGOS</t>
    <phoneticPr fontId="3" type="noConversion"/>
  </si>
  <si>
    <t>LOME</t>
    <phoneticPr fontId="3" type="noConversion"/>
  </si>
  <si>
    <t>TOGO</t>
    <phoneticPr fontId="3" type="noConversion"/>
  </si>
  <si>
    <t>TAKORADI</t>
    <phoneticPr fontId="3" type="noConversion"/>
  </si>
  <si>
    <t>GHANA</t>
    <phoneticPr fontId="3" type="noConversion"/>
  </si>
  <si>
    <t>3450</t>
    <phoneticPr fontId="3" type="noConversion"/>
  </si>
  <si>
    <t>1975</t>
    <phoneticPr fontId="3" type="noConversion"/>
  </si>
  <si>
    <t>TEMA</t>
    <phoneticPr fontId="3" type="noConversion"/>
  </si>
  <si>
    <t>1800</t>
    <phoneticPr fontId="3" type="noConversion"/>
  </si>
  <si>
    <t>21天</t>
    <phoneticPr fontId="3" type="noConversion"/>
  </si>
  <si>
    <r>
      <rPr>
        <sz val="10"/>
        <color theme="1" tint="4.9989318521683403E-2"/>
        <rFont val="宋体"/>
        <family val="3"/>
        <charset val="134"/>
      </rPr>
      <t>运价</t>
    </r>
    <phoneticPr fontId="3" type="noConversion"/>
  </si>
  <si>
    <t>MXLCS</t>
    <phoneticPr fontId="3" type="noConversion"/>
  </si>
  <si>
    <t>2</t>
    <phoneticPr fontId="3" type="noConversion"/>
  </si>
  <si>
    <t>ZITACUARO</t>
    <phoneticPr fontId="3" type="noConversion"/>
  </si>
  <si>
    <t>MEXICO</t>
    <phoneticPr fontId="3" type="noConversion"/>
  </si>
  <si>
    <r>
      <rPr>
        <sz val="10"/>
        <rFont val="Comic Sans MS"/>
        <family val="4"/>
      </rPr>
      <t>墨西哥内陆点</t>
    </r>
    <phoneticPr fontId="3" type="noConversion"/>
  </si>
  <si>
    <t>NO OWS</t>
    <phoneticPr fontId="3" type="noConversion"/>
  </si>
  <si>
    <t>AM2</t>
    <phoneticPr fontId="3" type="noConversion"/>
  </si>
  <si>
    <t>TULTEPEC</t>
    <phoneticPr fontId="3" type="noConversion"/>
  </si>
  <si>
    <r>
      <t>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15.7T $200 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19.7T $400</t>
    </r>
    <phoneticPr fontId="3" type="noConversion"/>
  </si>
  <si>
    <t>IRAPUATO</t>
    <phoneticPr fontId="3" type="noConversion"/>
  </si>
  <si>
    <t>HUIXQUILUCAN</t>
    <phoneticPr fontId="3" type="noConversion"/>
  </si>
  <si>
    <t>HUEJOTZINGO</t>
    <phoneticPr fontId="3" type="noConversion"/>
  </si>
  <si>
    <t>HUEHUETOCA</t>
    <phoneticPr fontId="3" type="noConversion"/>
  </si>
  <si>
    <t>HUAZULCO</t>
    <phoneticPr fontId="3" type="noConversion"/>
  </si>
  <si>
    <t>HUAMANTLA</t>
    <phoneticPr fontId="3" type="noConversion"/>
  </si>
  <si>
    <t>HERMOSILLO</t>
    <phoneticPr fontId="3" type="noConversion"/>
  </si>
  <si>
    <t>GUSTAVO A  MADERO</t>
    <phoneticPr fontId="3" type="noConversion"/>
  </si>
  <si>
    <t>BAHIA BLANCA</t>
    <phoneticPr fontId="3" type="noConversion"/>
  </si>
  <si>
    <t>TARIJA</t>
    <phoneticPr fontId="3" type="noConversion"/>
  </si>
  <si>
    <t>SUCRE</t>
    <phoneticPr fontId="3" type="noConversion"/>
  </si>
  <si>
    <t>SANTA CRUZ</t>
    <phoneticPr fontId="3" type="noConversion"/>
  </si>
  <si>
    <t>POTOSI</t>
    <phoneticPr fontId="3" type="noConversion"/>
  </si>
  <si>
    <t>ORURO</t>
    <phoneticPr fontId="3" type="noConversion"/>
  </si>
  <si>
    <t>PAITA</t>
    <phoneticPr fontId="3" type="noConversion"/>
  </si>
  <si>
    <t>PUERTO ANGAMOS</t>
    <phoneticPr fontId="3" type="noConversion"/>
  </si>
  <si>
    <t>SAN LORENZO</t>
    <phoneticPr fontId="3" type="noConversion"/>
  </si>
  <si>
    <r>
      <rPr>
        <sz val="8"/>
        <rFont val="宋体"/>
        <family val="3"/>
        <charset val="134"/>
      </rPr>
      <t>默认</t>
    </r>
    <r>
      <rPr>
        <sz val="8"/>
        <rFont val="Arial"/>
        <family val="2"/>
      </rPr>
      <t>9</t>
    </r>
    <phoneticPr fontId="3" type="noConversion"/>
  </si>
  <si>
    <t>GUATEMALA CITY</t>
    <phoneticPr fontId="3" type="noConversion"/>
  </si>
  <si>
    <t>GUATAMELA</t>
    <phoneticPr fontId="3" type="noConversion"/>
  </si>
  <si>
    <r>
      <rPr>
        <sz val="10"/>
        <rFont val="Comic Sans MS"/>
        <family val="4"/>
      </rPr>
      <t>中美洲</t>
    </r>
    <phoneticPr fontId="3" type="noConversion"/>
  </si>
  <si>
    <r>
      <t>*20'</t>
    </r>
    <r>
      <rPr>
        <sz val="8"/>
        <rFont val="宋体"/>
        <family val="3"/>
        <charset val="134"/>
      </rPr>
      <t>≥</t>
    </r>
    <r>
      <rPr>
        <sz val="8"/>
        <rFont val="Arial"/>
        <family val="2"/>
      </rPr>
      <t>18T $150</t>
    </r>
    <phoneticPr fontId="3" type="noConversion"/>
  </si>
  <si>
    <t>3210</t>
    <phoneticPr fontId="3" type="noConversion"/>
  </si>
  <si>
    <t>2005</t>
    <phoneticPr fontId="3" type="noConversion"/>
  </si>
  <si>
    <t>3410</t>
    <phoneticPr fontId="3" type="noConversion"/>
  </si>
  <si>
    <t>2885</t>
    <phoneticPr fontId="3" type="noConversion"/>
  </si>
  <si>
    <t>4210</t>
    <phoneticPr fontId="3" type="noConversion"/>
  </si>
  <si>
    <t>3255</t>
    <phoneticPr fontId="3" type="noConversion"/>
  </si>
  <si>
    <t>2705</t>
    <phoneticPr fontId="3" type="noConversion"/>
  </si>
  <si>
    <t>4310</t>
    <phoneticPr fontId="3" type="noConversion"/>
  </si>
  <si>
    <t>3335</t>
    <phoneticPr fontId="3" type="noConversion"/>
  </si>
  <si>
    <t>2410</t>
    <phoneticPr fontId="3" type="noConversion"/>
  </si>
  <si>
    <t>2055</t>
    <phoneticPr fontId="3" type="noConversion"/>
  </si>
  <si>
    <r>
      <rPr>
        <sz val="10"/>
        <rFont val="宋体"/>
        <family val="3"/>
        <charset val="134"/>
      </rPr>
      <t>有效期起始日</t>
    </r>
    <phoneticPr fontId="3" type="noConversion"/>
  </si>
  <si>
    <r>
      <rPr>
        <sz val="10"/>
        <rFont val="宋体"/>
        <family val="3"/>
        <charset val="134"/>
      </rPr>
      <t>运价</t>
    </r>
    <phoneticPr fontId="3" type="noConversion"/>
  </si>
  <si>
    <r>
      <rPr>
        <sz val="10"/>
        <color rgb="FFFF0000"/>
        <rFont val="宋体"/>
        <family val="3"/>
        <charset val="134"/>
      </rPr>
      <t>阿鲁巴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巴哈马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巴巴多斯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巴西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哥斯达黎加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多米尼加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多明尼加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圭亚那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特克斯和凯科斯群岛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危地马拉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洪都拉斯需显示运费；哥伦比亚</t>
    </r>
    <r>
      <rPr>
        <sz val="10"/>
        <color rgb="FFFF0000"/>
        <rFont val="Arial"/>
        <family val="3"/>
        <charset val="134"/>
      </rPr>
      <t>/</t>
    </r>
    <r>
      <rPr>
        <sz val="10"/>
        <color rgb="FFFF0000"/>
        <rFont val="宋体"/>
        <family val="3"/>
        <charset val="134"/>
      </rPr>
      <t>智利可显示运费</t>
    </r>
    <phoneticPr fontId="3" type="noConversion"/>
  </si>
  <si>
    <r>
      <t>12</t>
    </r>
    <r>
      <rPr>
        <sz val="8"/>
        <color indexed="10"/>
        <rFont val="宋体"/>
        <family val="3"/>
        <charset val="134"/>
      </rPr>
      <t>月</t>
    </r>
    <r>
      <rPr>
        <sz val="8"/>
        <color indexed="10"/>
        <rFont val="Arial"/>
        <family val="2"/>
      </rPr>
      <t>29</t>
    </r>
    <r>
      <rPr>
        <sz val="8"/>
        <color indexed="10"/>
        <rFont val="宋体"/>
        <family val="3"/>
        <charset val="134"/>
      </rPr>
      <t>日跳港</t>
    </r>
    <phoneticPr fontId="3" type="noConversion"/>
  </si>
  <si>
    <r>
      <t>12</t>
    </r>
    <r>
      <rPr>
        <sz val="8"/>
        <color indexed="10"/>
        <rFont val="宋体"/>
        <family val="3"/>
        <charset val="134"/>
      </rPr>
      <t>月</t>
    </r>
    <r>
      <rPr>
        <sz val="8"/>
        <color indexed="10"/>
        <rFont val="Arial"/>
        <family val="2"/>
      </rPr>
      <t>27</t>
    </r>
    <r>
      <rPr>
        <sz val="8"/>
        <color indexed="10"/>
        <rFont val="宋体"/>
        <family val="3"/>
        <charset val="134"/>
      </rPr>
      <t>日空班</t>
    </r>
    <phoneticPr fontId="3" type="noConversion"/>
  </si>
  <si>
    <t>ZADUR</t>
    <phoneticPr fontId="3" type="noConversion"/>
  </si>
  <si>
    <t>有效期截止日</t>
    <phoneticPr fontId="3" type="noConversion"/>
  </si>
  <si>
    <t>WGQ</t>
    <phoneticPr fontId="3" type="noConversion"/>
  </si>
  <si>
    <t>HASCO</t>
    <phoneticPr fontId="3" type="noConversion"/>
  </si>
  <si>
    <t>SITC</t>
    <phoneticPr fontId="3" type="noConversion"/>
  </si>
  <si>
    <t>GLORYSEA</t>
    <phoneticPr fontId="3" type="noConversion"/>
  </si>
  <si>
    <t>NAMSUNG</t>
    <phoneticPr fontId="3" type="noConversion"/>
  </si>
  <si>
    <t>附加费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</si>
</sst>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24" formatCode="\$#,##0_);[Red]\(\$#,##0\)"/>
    <numFmt numFmtId="176" formatCode="\$#,##0"/>
    <numFmt numFmtId="177" formatCode="0_);[Red]\(0\)"/>
    <numFmt numFmtId="178" formatCode="yy/m/d;@"/>
    <numFmt numFmtId="179" formatCode="yyyy/m/d;@"/>
    <numFmt numFmtId="180" formatCode="m&quot;月&quot;d&quot;日&quot;;@"/>
    <numFmt numFmtId="181" formatCode="0_ "/>
    <numFmt numFmtId="182" formatCode="[$$-409]#,##0"/>
  </numFmts>
  <fonts count="131">
    <font>
      <sz val="12"/>
      <name val="宋体"/>
      <charset val="134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0"/>
      <color indexed="8"/>
      <name val="宋体"/>
      <family val="3"/>
      <charset val="134"/>
    </font>
    <font>
      <sz val="8"/>
      <name val="宋体"/>
      <family val="3"/>
      <charset val="134"/>
    </font>
    <font>
      <sz val="8"/>
      <name val="Comic Sans MS"/>
      <family val="4"/>
    </font>
    <font>
      <sz val="8"/>
      <color indexed="8"/>
      <name val="宋体"/>
      <family val="3"/>
      <charset val="134"/>
    </font>
    <font>
      <sz val="8"/>
      <color indexed="8"/>
      <name val="Comic Sans MS"/>
      <family val="4"/>
    </font>
    <font>
      <sz val="12"/>
      <name val="新細明體"/>
      <family val="1"/>
    </font>
    <font>
      <sz val="12"/>
      <name val="Times New Roman"/>
      <family val="1"/>
    </font>
    <font>
      <sz val="11"/>
      <color indexed="8"/>
      <name val="宋体"/>
      <family val="3"/>
      <charset val="134"/>
    </font>
    <font>
      <sz val="12"/>
      <name val="新細明體"/>
      <family val="1"/>
      <charset val="136"/>
    </font>
    <font>
      <sz val="11"/>
      <name val="Arial"/>
      <family val="2"/>
    </font>
    <font>
      <sz val="11"/>
      <color indexed="8"/>
      <name val="宋体"/>
      <family val="3"/>
      <charset val="134"/>
    </font>
    <font>
      <sz val="8"/>
      <color indexed="10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28"/>
      <name val="隶书"/>
      <family val="3"/>
      <charset val="134"/>
    </font>
    <font>
      <sz val="11"/>
      <color theme="1"/>
      <name val="宋体"/>
      <family val="3"/>
      <charset val="134"/>
      <scheme val="minor"/>
    </font>
    <font>
      <sz val="8"/>
      <color theme="1"/>
      <name val="Comic Sans MS"/>
      <family val="4"/>
    </font>
    <font>
      <sz val="8"/>
      <color rgb="FFFF0000"/>
      <name val="宋体"/>
      <family val="3"/>
      <charset val="134"/>
    </font>
    <font>
      <sz val="8"/>
      <color theme="1"/>
      <name val="宋体"/>
      <family val="3"/>
      <charset val="134"/>
    </font>
    <font>
      <sz val="8"/>
      <color rgb="FF000000"/>
      <name val="Comic Sans MS"/>
      <family val="4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sz val="8"/>
      <color rgb="FFFF0000"/>
      <name val="Arial"/>
      <family val="2"/>
    </font>
    <font>
      <sz val="6"/>
      <name val="Arial"/>
      <family val="2"/>
    </font>
    <font>
      <sz val="12"/>
      <color rgb="FFFF0000"/>
      <name val="Arial"/>
      <family val="2"/>
    </font>
    <font>
      <sz val="10"/>
      <color rgb="FF0000FF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8"/>
      <color rgb="FF000000"/>
      <name val="Arial"/>
      <family val="2"/>
    </font>
    <font>
      <sz val="10"/>
      <color rgb="FF000000"/>
      <name val="Arial"/>
      <family val="2"/>
    </font>
    <font>
      <sz val="12"/>
      <color indexed="10"/>
      <name val="Arial"/>
      <family val="2"/>
    </font>
    <font>
      <b/>
      <sz val="10"/>
      <name val="Arial"/>
      <family val="2"/>
    </font>
    <font>
      <sz val="6"/>
      <color indexed="8"/>
      <name val="Arial"/>
      <family val="2"/>
    </font>
    <font>
      <sz val="6"/>
      <color theme="1"/>
      <name val="Arial"/>
      <family val="2"/>
    </font>
    <font>
      <b/>
      <sz val="16"/>
      <name val="Arial"/>
      <family val="2"/>
    </font>
    <font>
      <b/>
      <sz val="28"/>
      <name val="Arial"/>
      <family val="2"/>
    </font>
    <font>
      <b/>
      <sz val="12"/>
      <name val="Arial"/>
      <family val="2"/>
    </font>
    <font>
      <sz val="8"/>
      <color indexed="22"/>
      <name val="Arial"/>
      <family val="2"/>
    </font>
    <font>
      <sz val="8"/>
      <color rgb="FF0000FF"/>
      <name val="Arial"/>
      <family val="2"/>
    </font>
    <font>
      <sz val="8"/>
      <color indexed="12"/>
      <name val="Arial"/>
      <family val="2"/>
    </font>
    <font>
      <sz val="10"/>
      <color indexed="12"/>
      <name val="Arial"/>
      <family val="2"/>
    </font>
    <font>
      <sz val="10"/>
      <color theme="1"/>
      <name val="宋体"/>
      <family val="3"/>
      <charset val="134"/>
    </font>
    <font>
      <b/>
      <sz val="10"/>
      <color theme="1"/>
      <name val="Arial"/>
      <family val="2"/>
    </font>
    <font>
      <b/>
      <sz val="20"/>
      <color indexed="8"/>
      <name val="隶书"/>
      <family val="3"/>
      <charset val="134"/>
    </font>
    <font>
      <b/>
      <sz val="20"/>
      <color theme="1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Arial"/>
      <family val="2"/>
    </font>
    <font>
      <sz val="11"/>
      <color rgb="FFFF0000"/>
      <name val="宋体"/>
      <family val="2"/>
      <charset val="134"/>
    </font>
    <font>
      <sz val="9"/>
      <name val="宋体"/>
      <family val="2"/>
      <charset val="134"/>
      <scheme val="minor"/>
    </font>
    <font>
      <sz val="11"/>
      <color rgb="FF0000FF"/>
      <name val="Arial"/>
      <family val="2"/>
    </font>
    <font>
      <sz val="11"/>
      <color rgb="FF0000FF"/>
      <name val="宋体"/>
      <family val="3"/>
      <charset val="134"/>
    </font>
    <font>
      <sz val="10"/>
      <color theme="1" tint="4.9989318521683403E-2"/>
      <name val="Arial"/>
      <family val="2"/>
    </font>
    <font>
      <sz val="10"/>
      <color theme="0" tint="-0.499984740745262"/>
      <name val="Arial"/>
      <family val="2"/>
    </font>
    <font>
      <sz val="8"/>
      <color theme="1" tint="4.9989318521683403E-2"/>
      <name val="Arial"/>
      <family val="2"/>
    </font>
    <font>
      <sz val="6"/>
      <name val="宋体"/>
      <family val="3"/>
      <charset val="134"/>
    </font>
    <font>
      <sz val="10"/>
      <color theme="0" tint="-0.34998626667073579"/>
      <name val="Arial"/>
      <family val="2"/>
    </font>
    <font>
      <b/>
      <sz val="20"/>
      <color rgb="FFFF0000"/>
      <name val="宋体"/>
      <family val="3"/>
      <charset val="134"/>
    </font>
    <font>
      <sz val="8"/>
      <color theme="0" tint="-0.34998626667073579"/>
      <name val="Arial"/>
      <family val="2"/>
    </font>
    <font>
      <b/>
      <sz val="10"/>
      <color theme="1" tint="4.9989318521683403E-2"/>
      <name val="Arial"/>
      <family val="2"/>
    </font>
    <font>
      <b/>
      <sz val="10"/>
      <color rgb="FFFF0000"/>
      <name val="Arial"/>
      <family val="2"/>
    </font>
    <font>
      <sz val="20"/>
      <color rgb="FFFF0000"/>
      <name val="宋体"/>
      <family val="3"/>
      <charset val="134"/>
    </font>
    <font>
      <sz val="20"/>
      <color rgb="FFFF0000"/>
      <name val="Arial"/>
      <family val="2"/>
    </font>
    <font>
      <sz val="8"/>
      <color rgb="FFFF0000"/>
      <name val="宋体"/>
      <family val="2"/>
      <charset val="134"/>
    </font>
    <font>
      <sz val="8"/>
      <name val="宋体"/>
      <family val="2"/>
      <charset val="134"/>
    </font>
    <font>
      <sz val="10"/>
      <color theme="0" tint="-0.34998626667073579"/>
      <name val="宋体"/>
      <family val="2"/>
      <charset val="134"/>
    </font>
    <font>
      <sz val="10"/>
      <name val="宋体"/>
      <family val="2"/>
      <charset val="134"/>
    </font>
    <font>
      <sz val="8"/>
      <color theme="1" tint="4.9989318521683403E-2"/>
      <name val="宋体"/>
      <family val="3"/>
      <charset val="134"/>
    </font>
    <font>
      <sz val="12"/>
      <color theme="1"/>
      <name val="Arial"/>
      <family val="2"/>
    </font>
    <font>
      <sz val="12"/>
      <color theme="1"/>
      <name val="宋体"/>
      <family val="3"/>
      <charset val="134"/>
    </font>
    <font>
      <sz val="8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color rgb="FFFF0000"/>
      <name val="Arial"/>
      <family val="2"/>
    </font>
    <font>
      <sz val="6"/>
      <color indexed="8"/>
      <name val="Arial"/>
      <family val="2"/>
    </font>
    <font>
      <sz val="6"/>
      <color theme="1"/>
      <name val="Arial"/>
      <family val="2"/>
    </font>
    <font>
      <sz val="8"/>
      <color rgb="FF0000FF"/>
      <name val="Arial"/>
      <family val="2"/>
    </font>
    <font>
      <sz val="8"/>
      <color rgb="FFFF0000"/>
      <name val="宋体"/>
      <family val="3"/>
      <charset val="134"/>
    </font>
    <font>
      <sz val="10"/>
      <color theme="0" tint="-0.499984740745262"/>
      <name val="Arial"/>
      <family val="2"/>
    </font>
    <font>
      <sz val="8"/>
      <color indexed="10"/>
      <name val="Arial"/>
      <family val="2"/>
    </font>
    <font>
      <b/>
      <sz val="10"/>
      <name val="Arial"/>
      <family val="2"/>
    </font>
    <font>
      <sz val="6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8"/>
      <color theme="1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color rgb="FFFF0000"/>
      <name val="Arial"/>
      <family val="2"/>
    </font>
    <font>
      <sz val="8"/>
      <color rgb="FFFF0000"/>
      <name val="宋体"/>
      <family val="3"/>
      <charset val="134"/>
    </font>
    <font>
      <sz val="6"/>
      <name val="Arial"/>
      <family val="2"/>
    </font>
    <font>
      <sz val="8"/>
      <color theme="0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sz val="8"/>
      <color indexed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8"/>
      <color theme="1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8"/>
      <color rgb="FFFF0000"/>
      <name val="Arial"/>
      <family val="2"/>
    </font>
    <font>
      <sz val="6"/>
      <color indexed="8"/>
      <name val="Arial"/>
      <family val="2"/>
    </font>
    <font>
      <sz val="6"/>
      <color theme="1"/>
      <name val="Arial"/>
      <family val="2"/>
    </font>
    <font>
      <sz val="8"/>
      <color indexed="10"/>
      <name val="Arial"/>
      <family val="2"/>
    </font>
    <font>
      <sz val="10"/>
      <color theme="0" tint="-0.249977111117893"/>
      <name val="Arial"/>
      <family val="2"/>
    </font>
    <font>
      <sz val="10"/>
      <color rgb="FFFF0000"/>
      <name val="Arial"/>
      <family val="3"/>
      <charset val="134"/>
    </font>
    <font>
      <sz val="10"/>
      <name val="Arial"/>
      <family val="2"/>
    </font>
    <font>
      <sz val="12"/>
      <name val="Arial"/>
      <family val="2"/>
    </font>
    <font>
      <sz val="8"/>
      <name val="Arial"/>
      <family val="2"/>
    </font>
    <font>
      <sz val="6"/>
      <name val="Arial"/>
      <family val="2"/>
    </font>
    <font>
      <sz val="10"/>
      <color rgb="FFFF0000"/>
      <name val="宋体"/>
      <family val="3"/>
      <charset val="134"/>
    </font>
    <font>
      <b/>
      <sz val="8"/>
      <name val="Arial"/>
      <family val="2"/>
    </font>
    <font>
      <sz val="10"/>
      <name val="Comic Sans MS"/>
      <family val="4"/>
    </font>
    <font>
      <sz val="10"/>
      <color indexed="10"/>
      <name val="Arial"/>
      <family val="2"/>
    </font>
    <font>
      <sz val="10"/>
      <color theme="1" tint="4.9989318521683403E-2"/>
      <name val="宋体"/>
      <family val="3"/>
      <charset val="134"/>
    </font>
    <font>
      <sz val="6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CC99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37">
    <xf numFmtId="182" fontId="0" fillId="0" borderId="0"/>
    <xf numFmtId="182" fontId="5" fillId="0" borderId="0"/>
    <xf numFmtId="182" fontId="12" fillId="0" borderId="0"/>
    <xf numFmtId="182" fontId="14" fillId="0" borderId="0"/>
    <xf numFmtId="182" fontId="20" fillId="0" borderId="0"/>
    <xf numFmtId="182" fontId="15" fillId="0" borderId="0"/>
    <xf numFmtId="182" fontId="12" fillId="0" borderId="0"/>
    <xf numFmtId="182" fontId="13" fillId="0" borderId="0" applyAlignment="0"/>
    <xf numFmtId="182" fontId="5" fillId="0" borderId="0"/>
    <xf numFmtId="182" fontId="5" fillId="0" borderId="0"/>
    <xf numFmtId="182" fontId="16" fillId="0" borderId="0">
      <alignment vertical="center"/>
    </xf>
    <xf numFmtId="182" fontId="2" fillId="0" borderId="0"/>
    <xf numFmtId="182" fontId="11" fillId="0" borderId="0"/>
    <xf numFmtId="182" fontId="12" fillId="0" borderId="0"/>
    <xf numFmtId="182" fontId="5" fillId="0" borderId="0"/>
    <xf numFmtId="182" fontId="2" fillId="0" borderId="0"/>
    <xf numFmtId="182" fontId="12" fillId="0" borderId="0"/>
    <xf numFmtId="182" fontId="18" fillId="0" borderId="0">
      <alignment vertical="center"/>
    </xf>
    <xf numFmtId="182" fontId="5" fillId="0" borderId="0"/>
    <xf numFmtId="182" fontId="5" fillId="0" borderId="0"/>
    <xf numFmtId="182" fontId="14" fillId="0" borderId="0"/>
    <xf numFmtId="182" fontId="13" fillId="0" borderId="0">
      <alignment vertical="center"/>
    </xf>
    <xf numFmtId="182" fontId="2" fillId="0" borderId="0" applyProtection="0"/>
    <xf numFmtId="182" fontId="2" fillId="0" borderId="0" applyProtection="0"/>
    <xf numFmtId="182" fontId="2" fillId="0" borderId="0" applyProtection="0"/>
    <xf numFmtId="182" fontId="2" fillId="0" borderId="0" applyProtection="0"/>
    <xf numFmtId="182" fontId="5" fillId="0" borderId="0"/>
    <xf numFmtId="182" fontId="12" fillId="0" borderId="0"/>
    <xf numFmtId="182" fontId="2" fillId="0" borderId="0">
      <alignment vertical="center"/>
    </xf>
    <xf numFmtId="182" fontId="2" fillId="0" borderId="0">
      <alignment vertical="center"/>
    </xf>
    <xf numFmtId="182" fontId="2" fillId="0" borderId="0"/>
    <xf numFmtId="182" fontId="2" fillId="0" borderId="0"/>
    <xf numFmtId="182" fontId="2" fillId="0" borderId="0"/>
    <xf numFmtId="182" fontId="2" fillId="0" borderId="0"/>
    <xf numFmtId="182" fontId="5" fillId="0" borderId="0"/>
    <xf numFmtId="182" fontId="2" fillId="0" borderId="0"/>
    <xf numFmtId="182" fontId="5" fillId="0" borderId="0"/>
  </cellStyleXfs>
  <cellXfs count="1316">
    <xf numFmtId="182" fontId="0" fillId="0" borderId="0" xfId="0" applyAlignment="1">
      <alignment vertical="center"/>
    </xf>
    <xf numFmtId="182" fontId="28" fillId="0" borderId="0" xfId="0" applyFont="1" applyAlignment="1" applyProtection="1">
      <alignment vertical="center"/>
      <protection hidden="1"/>
    </xf>
    <xf numFmtId="181" fontId="25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25" fillId="12" borderId="8" xfId="0" applyFont="1" applyFill="1" applyBorder="1" applyAlignment="1" applyProtection="1">
      <alignment horizontal="center" vertical="center" wrapText="1"/>
      <protection hidden="1"/>
    </xf>
    <xf numFmtId="49" fontId="27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30" fillId="3" borderId="8" xfId="0" applyNumberFormat="1" applyFont="1" applyFill="1" applyBorder="1" applyAlignment="1" applyProtection="1">
      <alignment horizontal="center" vertical="center" wrapText="1"/>
      <protection hidden="1"/>
    </xf>
    <xf numFmtId="179" fontId="27" fillId="3" borderId="8" xfId="0" applyNumberFormat="1" applyFont="1" applyFill="1" applyBorder="1" applyAlignment="1" applyProtection="1">
      <alignment horizontal="center" vertical="center" wrapText="1"/>
      <protection hidden="1"/>
    </xf>
    <xf numFmtId="178" fontId="31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32" fillId="3" borderId="8" xfId="0" applyFont="1" applyFill="1" applyBorder="1" applyAlignment="1" applyProtection="1">
      <alignment horizontal="center" vertical="center" wrapText="1"/>
      <protection hidden="1"/>
    </xf>
    <xf numFmtId="179" fontId="5" fillId="0" borderId="8" xfId="0" applyNumberFormat="1" applyFont="1" applyBorder="1" applyAlignment="1" applyProtection="1">
      <alignment horizontal="center" vertical="center" wrapText="1"/>
      <protection hidden="1"/>
    </xf>
    <xf numFmtId="49" fontId="29" fillId="3" borderId="8" xfId="9" applyNumberFormat="1" applyFont="1" applyFill="1" applyBorder="1" applyAlignment="1" applyProtection="1">
      <alignment horizontal="center" vertical="center" wrapText="1"/>
      <protection hidden="1"/>
    </xf>
    <xf numFmtId="181" fontId="25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34" fillId="12" borderId="8" xfId="0" applyFont="1" applyFill="1" applyBorder="1" applyAlignment="1" applyProtection="1">
      <alignment horizontal="center" vertical="center" wrapText="1"/>
      <protection hidden="1"/>
    </xf>
    <xf numFmtId="181" fontId="25" fillId="0" borderId="8" xfId="0" applyNumberFormat="1" applyFont="1" applyFill="1" applyBorder="1" applyAlignment="1" applyProtection="1">
      <alignment horizontal="center" vertical="center" wrapText="1"/>
      <protection hidden="1"/>
    </xf>
    <xf numFmtId="178" fontId="29" fillId="3" borderId="8" xfId="9" applyNumberFormat="1" applyFont="1" applyFill="1" applyBorder="1" applyAlignment="1" applyProtection="1">
      <alignment horizontal="center" vertical="center" wrapText="1"/>
      <protection hidden="1"/>
    </xf>
    <xf numFmtId="179" fontId="27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35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32" fillId="0" borderId="8" xfId="0" applyFont="1" applyBorder="1" applyAlignment="1" applyProtection="1">
      <alignment horizontal="center" vertical="center" wrapText="1"/>
      <protection hidden="1"/>
    </xf>
    <xf numFmtId="49" fontId="25" fillId="0" borderId="8" xfId="0" applyNumberFormat="1" applyFont="1" applyBorder="1" applyAlignment="1" applyProtection="1">
      <alignment horizontal="center" vertical="center" wrapText="1"/>
      <protection hidden="1"/>
    </xf>
    <xf numFmtId="49" fontId="30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29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32" fillId="12" borderId="8" xfId="0" applyFont="1" applyFill="1" applyBorder="1" applyAlignment="1" applyProtection="1">
      <alignment horizontal="center" vertical="center" wrapText="1"/>
      <protection hidden="1"/>
    </xf>
    <xf numFmtId="49" fontId="25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25" fillId="3" borderId="8" xfId="0" applyFont="1" applyFill="1" applyBorder="1" applyAlignment="1" applyProtection="1">
      <alignment horizontal="center" vertical="center" wrapText="1"/>
      <protection hidden="1"/>
    </xf>
    <xf numFmtId="49" fontId="29" fillId="12" borderId="8" xfId="0" applyNumberFormat="1" applyFont="1" applyFill="1" applyBorder="1" applyAlignment="1" applyProtection="1">
      <alignment horizontal="center" vertical="center" wrapText="1"/>
      <protection hidden="1"/>
    </xf>
    <xf numFmtId="179" fontId="30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30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29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36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27" fillId="12" borderId="8" xfId="0" applyFont="1" applyFill="1" applyBorder="1" applyAlignment="1" applyProtection="1">
      <alignment horizontal="center" vertical="center" wrapText="1"/>
      <protection hidden="1"/>
    </xf>
    <xf numFmtId="49" fontId="35" fillId="0" borderId="8" xfId="0" applyNumberFormat="1" applyFont="1" applyBorder="1" applyAlignment="1" applyProtection="1">
      <alignment horizontal="center" vertical="center" wrapText="1"/>
      <protection hidden="1"/>
    </xf>
    <xf numFmtId="182" fontId="30" fillId="0" borderId="8" xfId="0" applyFont="1" applyBorder="1" applyAlignment="1" applyProtection="1">
      <alignment horizontal="center" vertical="center" wrapText="1"/>
      <protection hidden="1"/>
    </xf>
    <xf numFmtId="181" fontId="25" fillId="12" borderId="8" xfId="0" applyNumberFormat="1" applyFont="1" applyFill="1" applyBorder="1" applyAlignment="1" applyProtection="1">
      <alignment horizontal="center" vertical="center"/>
      <protection hidden="1"/>
    </xf>
    <xf numFmtId="49" fontId="35" fillId="0" borderId="8" xfId="0" applyNumberFormat="1" applyFont="1" applyBorder="1" applyAlignment="1" applyProtection="1">
      <alignment horizontal="center" vertical="center"/>
      <protection hidden="1"/>
    </xf>
    <xf numFmtId="49" fontId="35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25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27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30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35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30" fillId="0" borderId="8" xfId="0" applyNumberFormat="1" applyFont="1" applyBorder="1" applyAlignment="1" applyProtection="1">
      <alignment horizontal="center" vertical="center" wrapText="1"/>
      <protection hidden="1"/>
    </xf>
    <xf numFmtId="182" fontId="5" fillId="0" borderId="0" xfId="0" applyFont="1" applyAlignment="1" applyProtection="1">
      <alignment horizontal="center" vertical="center"/>
      <protection hidden="1"/>
    </xf>
    <xf numFmtId="182" fontId="5" fillId="0" borderId="0" xfId="0" applyFont="1" applyAlignment="1" applyProtection="1">
      <alignment vertical="center"/>
      <protection hidden="1"/>
    </xf>
    <xf numFmtId="182" fontId="40" fillId="0" borderId="0" xfId="0" applyFont="1" applyAlignment="1" applyProtection="1">
      <alignment vertical="center"/>
      <protection hidden="1"/>
    </xf>
    <xf numFmtId="182" fontId="35" fillId="0" borderId="0" xfId="0" applyFont="1" applyAlignment="1" applyProtection="1">
      <alignment horizontal="center" vertical="center"/>
      <protection hidden="1"/>
    </xf>
    <xf numFmtId="182" fontId="35" fillId="0" borderId="0" xfId="0" applyFont="1" applyAlignment="1" applyProtection="1">
      <alignment vertical="center"/>
      <protection hidden="1"/>
    </xf>
    <xf numFmtId="49" fontId="35" fillId="0" borderId="0" xfId="0" applyNumberFormat="1" applyFont="1" applyAlignment="1" applyProtection="1">
      <alignment vertical="center"/>
      <protection hidden="1"/>
    </xf>
    <xf numFmtId="182" fontId="32" fillId="0" borderId="0" xfId="0" applyFont="1" applyAlignment="1" applyProtection="1">
      <alignment vertical="center"/>
      <protection hidden="1"/>
    </xf>
    <xf numFmtId="49" fontId="27" fillId="0" borderId="8" xfId="9" applyNumberFormat="1" applyFont="1" applyFill="1" applyBorder="1" applyAlignment="1" applyProtection="1">
      <alignment horizontal="center" vertical="center" wrapText="1"/>
      <protection hidden="1"/>
    </xf>
    <xf numFmtId="49" fontId="27" fillId="0" borderId="8" xfId="0" applyNumberFormat="1" applyFont="1" applyBorder="1" applyAlignment="1" applyProtection="1">
      <alignment horizontal="center" vertical="center" wrapText="1"/>
      <protection hidden="1"/>
    </xf>
    <xf numFmtId="179" fontId="41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30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35" fillId="12" borderId="8" xfId="9" applyNumberFormat="1" applyFont="1" applyFill="1" applyBorder="1" applyAlignment="1" applyProtection="1">
      <alignment horizontal="center" vertical="center" wrapText="1"/>
      <protection hidden="1"/>
    </xf>
    <xf numFmtId="178" fontId="31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31" fillId="12" borderId="8" xfId="0" applyFont="1" applyFill="1" applyBorder="1" applyAlignment="1" applyProtection="1">
      <alignment horizontal="center" vertical="center"/>
      <protection hidden="1"/>
    </xf>
    <xf numFmtId="49" fontId="25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25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27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42" fillId="0" borderId="8" xfId="0" applyFont="1" applyBorder="1" applyAlignment="1" applyProtection="1">
      <alignment horizontal="center" vertical="center" wrapText="1"/>
      <protection hidden="1"/>
    </xf>
    <xf numFmtId="182" fontId="42" fillId="12" borderId="8" xfId="0" applyFont="1" applyFill="1" applyBorder="1" applyAlignment="1" applyProtection="1">
      <alignment horizontal="center" vertical="center" wrapText="1"/>
      <protection hidden="1"/>
    </xf>
    <xf numFmtId="178" fontId="30" fillId="12" borderId="8" xfId="9" applyNumberFormat="1" applyFont="1" applyFill="1" applyBorder="1" applyAlignment="1" applyProtection="1">
      <alignment horizontal="center" vertical="center" wrapText="1"/>
      <protection hidden="1"/>
    </xf>
    <xf numFmtId="178" fontId="36" fillId="3" borderId="8" xfId="9" applyNumberFormat="1" applyFont="1" applyFill="1" applyBorder="1" applyAlignment="1" applyProtection="1">
      <alignment horizontal="center" vertical="center" wrapText="1"/>
      <protection hidden="1"/>
    </xf>
    <xf numFmtId="178" fontId="30" fillId="3" borderId="8" xfId="9" applyNumberFormat="1" applyFont="1" applyFill="1" applyBorder="1" applyAlignment="1" applyProtection="1">
      <alignment horizontal="center" vertical="center" wrapText="1"/>
      <protection hidden="1"/>
    </xf>
    <xf numFmtId="181" fontId="25" fillId="3" borderId="8" xfId="0" applyNumberFormat="1" applyFont="1" applyFill="1" applyBorder="1" applyAlignment="1" applyProtection="1">
      <alignment horizontal="center" vertical="center"/>
      <protection hidden="1"/>
    </xf>
    <xf numFmtId="177" fontId="27" fillId="3" borderId="8" xfId="9" applyNumberFormat="1" applyFont="1" applyFill="1" applyBorder="1" applyAlignment="1" applyProtection="1">
      <alignment horizontal="center" vertical="center" wrapText="1"/>
      <protection hidden="1"/>
    </xf>
    <xf numFmtId="177" fontId="5" fillId="12" borderId="8" xfId="9" applyNumberFormat="1" applyFont="1" applyFill="1" applyBorder="1" applyAlignment="1" applyProtection="1">
      <alignment horizontal="center" vertical="center" wrapText="1"/>
      <protection hidden="1"/>
    </xf>
    <xf numFmtId="177" fontId="25" fillId="12" borderId="8" xfId="9" applyNumberFormat="1" applyFont="1" applyFill="1" applyBorder="1" applyAlignment="1" applyProtection="1">
      <alignment horizontal="center" vertical="center" wrapText="1"/>
      <protection hidden="1"/>
    </xf>
    <xf numFmtId="177" fontId="5" fillId="3" borderId="8" xfId="9" applyNumberFormat="1" applyFont="1" applyFill="1" applyBorder="1" applyAlignment="1" applyProtection="1">
      <alignment horizontal="center" vertical="center" wrapText="1"/>
      <protection hidden="1"/>
    </xf>
    <xf numFmtId="177" fontId="34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25" fillId="0" borderId="8" xfId="9" applyNumberFormat="1" applyFont="1" applyFill="1" applyBorder="1" applyAlignment="1" applyProtection="1">
      <alignment horizontal="center" vertical="center" wrapText="1"/>
      <protection hidden="1"/>
    </xf>
    <xf numFmtId="49" fontId="27" fillId="3" borderId="8" xfId="9" applyNumberFormat="1" applyFont="1" applyFill="1" applyBorder="1" applyAlignment="1" applyProtection="1">
      <alignment horizontal="center" vertical="center" wrapText="1"/>
      <protection hidden="1"/>
    </xf>
    <xf numFmtId="177" fontId="27" fillId="12" borderId="8" xfId="9" applyNumberFormat="1" applyFont="1" applyFill="1" applyBorder="1" applyAlignment="1" applyProtection="1">
      <alignment horizontal="center" vertical="center" wrapText="1"/>
      <protection hidden="1"/>
    </xf>
    <xf numFmtId="177" fontId="29" fillId="12" borderId="8" xfId="9" applyNumberFormat="1" applyFont="1" applyFill="1" applyBorder="1" applyAlignment="1" applyProtection="1">
      <alignment horizontal="center" vertical="center" wrapText="1"/>
      <protection hidden="1"/>
    </xf>
    <xf numFmtId="178" fontId="29" fillId="12" borderId="8" xfId="9" applyNumberFormat="1" applyFont="1" applyFill="1" applyBorder="1" applyAlignment="1" applyProtection="1">
      <alignment horizontal="center" vertical="center" wrapText="1"/>
      <protection hidden="1"/>
    </xf>
    <xf numFmtId="179" fontId="41" fillId="12" borderId="8" xfId="0" applyNumberFormat="1" applyFont="1" applyFill="1" applyBorder="1" applyAlignment="1" applyProtection="1">
      <alignment horizontal="center" vertical="center" wrapText="1"/>
      <protection hidden="1"/>
    </xf>
    <xf numFmtId="178" fontId="36" fillId="0" borderId="8" xfId="0" applyNumberFormat="1" applyFont="1" applyBorder="1" applyAlignment="1" applyProtection="1">
      <alignment horizontal="center" vertical="center" wrapText="1"/>
      <protection hidden="1"/>
    </xf>
    <xf numFmtId="177" fontId="25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29" fillId="0" borderId="8" xfId="0" applyFont="1" applyBorder="1" applyAlignment="1" applyProtection="1">
      <alignment horizontal="center" vertical="center" wrapText="1"/>
      <protection hidden="1"/>
    </xf>
    <xf numFmtId="182" fontId="32" fillId="3" borderId="8" xfId="0" applyFont="1" applyFill="1" applyBorder="1" applyAlignment="1" applyProtection="1">
      <alignment horizontal="center" vertical="center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182" fontId="35" fillId="0" borderId="0" xfId="0" applyFont="1" applyAlignment="1" applyProtection="1">
      <alignment horizontal="center" vertical="center" wrapText="1"/>
      <protection hidden="1"/>
    </xf>
    <xf numFmtId="177" fontId="25" fillId="3" borderId="8" xfId="9" applyNumberFormat="1" applyFont="1" applyFill="1" applyBorder="1" applyAlignment="1" applyProtection="1">
      <alignment horizontal="center" vertical="center"/>
      <protection hidden="1"/>
    </xf>
    <xf numFmtId="49" fontId="25" fillId="3" borderId="8" xfId="9" applyNumberFormat="1" applyFont="1" applyFill="1" applyBorder="1" applyAlignment="1" applyProtection="1">
      <alignment horizontal="center" vertical="center"/>
      <protection hidden="1"/>
    </xf>
    <xf numFmtId="49" fontId="30" fillId="3" borderId="8" xfId="9" applyNumberFormat="1" applyFont="1" applyFill="1" applyBorder="1" applyAlignment="1" applyProtection="1">
      <alignment horizontal="center" vertical="center"/>
      <protection hidden="1"/>
    </xf>
    <xf numFmtId="178" fontId="30" fillId="3" borderId="8" xfId="9" applyNumberFormat="1" applyFont="1" applyFill="1" applyBorder="1" applyAlignment="1" applyProtection="1">
      <alignment horizontal="center" vertical="center"/>
      <protection hidden="1"/>
    </xf>
    <xf numFmtId="182" fontId="25" fillId="3" borderId="8" xfId="9" applyFont="1" applyFill="1" applyBorder="1" applyAlignment="1" applyProtection="1">
      <alignment horizontal="center" vertical="center"/>
      <protection hidden="1"/>
    </xf>
    <xf numFmtId="177" fontId="25" fillId="12" borderId="8" xfId="9" applyNumberFormat="1" applyFont="1" applyFill="1" applyBorder="1" applyAlignment="1" applyProtection="1">
      <alignment horizontal="center" vertical="center"/>
      <protection hidden="1"/>
    </xf>
    <xf numFmtId="178" fontId="31" fillId="0" borderId="8" xfId="0" applyNumberFormat="1" applyFont="1" applyBorder="1" applyAlignment="1" applyProtection="1">
      <alignment horizontal="center" vertical="center"/>
      <protection hidden="1"/>
    </xf>
    <xf numFmtId="182" fontId="32" fillId="0" borderId="8" xfId="0" applyFont="1" applyBorder="1" applyAlignment="1" applyProtection="1">
      <alignment horizontal="center" vertical="center"/>
      <protection hidden="1"/>
    </xf>
    <xf numFmtId="178" fontId="31" fillId="3" borderId="8" xfId="9" applyNumberFormat="1" applyFont="1" applyFill="1" applyBorder="1" applyAlignment="1" applyProtection="1">
      <alignment horizontal="center" vertical="center"/>
      <protection hidden="1"/>
    </xf>
    <xf numFmtId="182" fontId="41" fillId="3" borderId="8" xfId="9" applyNumberFormat="1" applyFont="1" applyFill="1" applyBorder="1" applyAlignment="1" applyProtection="1">
      <alignment horizontal="center" vertical="center"/>
      <protection hidden="1"/>
    </xf>
    <xf numFmtId="182" fontId="42" fillId="0" borderId="8" xfId="0" applyFont="1" applyBorder="1" applyAlignment="1" applyProtection="1">
      <alignment horizontal="center" vertical="center"/>
      <protection hidden="1"/>
    </xf>
    <xf numFmtId="178" fontId="29" fillId="12" borderId="8" xfId="9" applyNumberFormat="1" applyFont="1" applyFill="1" applyBorder="1" applyAlignment="1" applyProtection="1">
      <alignment horizontal="center" vertical="center"/>
      <protection hidden="1"/>
    </xf>
    <xf numFmtId="49" fontId="31" fillId="3" borderId="8" xfId="9" applyNumberFormat="1" applyFont="1" applyFill="1" applyBorder="1" applyAlignment="1" applyProtection="1">
      <alignment horizontal="center" vertical="center" wrapText="1"/>
      <protection hidden="1"/>
    </xf>
    <xf numFmtId="178" fontId="30" fillId="0" borderId="8" xfId="0" applyNumberFormat="1" applyFont="1" applyBorder="1" applyAlignment="1" applyProtection="1">
      <alignment horizontal="center" vertical="center"/>
      <protection hidden="1"/>
    </xf>
    <xf numFmtId="182" fontId="41" fillId="0" borderId="8" xfId="0" applyFont="1" applyBorder="1" applyAlignment="1" applyProtection="1">
      <alignment horizontal="center" vertical="center"/>
      <protection hidden="1"/>
    </xf>
    <xf numFmtId="49" fontId="30" fillId="0" borderId="8" xfId="0" applyNumberFormat="1" applyFont="1" applyBorder="1" applyAlignment="1" applyProtection="1">
      <alignment horizontal="center" vertical="center"/>
      <protection hidden="1"/>
    </xf>
    <xf numFmtId="182" fontId="25" fillId="0" borderId="8" xfId="0" applyFont="1" applyBorder="1" applyAlignment="1" applyProtection="1">
      <alignment horizontal="center" vertical="center"/>
      <protection hidden="1"/>
    </xf>
    <xf numFmtId="178" fontId="30" fillId="0" borderId="8" xfId="0" applyNumberFormat="1" applyFont="1" applyBorder="1" applyAlignment="1" applyProtection="1">
      <alignment horizontal="center" vertical="center" wrapText="1"/>
      <protection hidden="1"/>
    </xf>
    <xf numFmtId="182" fontId="25" fillId="12" borderId="8" xfId="9" applyFont="1" applyFill="1" applyBorder="1" applyAlignment="1" applyProtection="1">
      <alignment horizontal="center" vertical="center"/>
      <protection hidden="1"/>
    </xf>
    <xf numFmtId="182" fontId="28" fillId="0" borderId="0" xfId="0" applyFont="1" applyBorder="1" applyAlignment="1">
      <alignment vertical="center"/>
    </xf>
    <xf numFmtId="182" fontId="28" fillId="0" borderId="0" xfId="0" applyFont="1" applyBorder="1" applyAlignment="1">
      <alignment horizontal="left" vertical="center"/>
    </xf>
    <xf numFmtId="182" fontId="5" fillId="0" borderId="0" xfId="0" applyFont="1" applyBorder="1" applyAlignment="1">
      <alignment horizontal="left" vertical="center"/>
    </xf>
    <xf numFmtId="182" fontId="45" fillId="0" borderId="0" xfId="0" applyFont="1" applyFill="1" applyBorder="1" applyAlignment="1">
      <alignment horizontal="left" vertical="center"/>
    </xf>
    <xf numFmtId="182" fontId="45" fillId="0" borderId="0" xfId="0" applyFont="1" applyBorder="1" applyAlignment="1">
      <alignment horizontal="left" vertical="center"/>
    </xf>
    <xf numFmtId="182" fontId="28" fillId="0" borderId="0" xfId="0" applyFont="1" applyBorder="1" applyAlignment="1">
      <alignment horizontal="center" vertical="center"/>
    </xf>
    <xf numFmtId="178" fontId="35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35" fillId="12" borderId="8" xfId="0" applyFont="1" applyFill="1" applyBorder="1" applyAlignment="1" applyProtection="1">
      <alignment horizontal="center" vertical="center"/>
      <protection hidden="1"/>
    </xf>
    <xf numFmtId="178" fontId="35" fillId="12" borderId="8" xfId="9" applyNumberFormat="1" applyFont="1" applyFill="1" applyBorder="1" applyAlignment="1" applyProtection="1">
      <alignment horizontal="center" vertical="center" wrapText="1"/>
      <protection hidden="1"/>
    </xf>
    <xf numFmtId="179" fontId="27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27" fillId="0" borderId="8" xfId="0" applyFont="1" applyBorder="1" applyAlignment="1" applyProtection="1">
      <alignment horizontal="center" vertical="center" wrapText="1"/>
      <protection hidden="1"/>
    </xf>
    <xf numFmtId="182" fontId="34" fillId="0" borderId="8" xfId="0" applyFont="1" applyBorder="1" applyAlignment="1" applyProtection="1">
      <alignment horizontal="center" vertical="center" wrapText="1"/>
      <protection hidden="1"/>
    </xf>
    <xf numFmtId="182" fontId="27" fillId="3" borderId="8" xfId="0" applyFont="1" applyFill="1" applyBorder="1" applyAlignment="1" applyProtection="1">
      <alignment horizontal="center" vertical="center" wrapText="1"/>
      <protection hidden="1"/>
    </xf>
    <xf numFmtId="178" fontId="29" fillId="0" borderId="8" xfId="0" applyNumberFormat="1" applyFont="1" applyBorder="1" applyAlignment="1" applyProtection="1">
      <alignment horizontal="center" vertical="center" wrapText="1"/>
      <protection hidden="1"/>
    </xf>
    <xf numFmtId="182" fontId="35" fillId="12" borderId="8" xfId="0" applyFont="1" applyFill="1" applyBorder="1" applyAlignment="1" applyProtection="1">
      <alignment horizontal="center" vertical="center" wrapText="1"/>
      <protection hidden="1"/>
    </xf>
    <xf numFmtId="49" fontId="29" fillId="12" borderId="8" xfId="0" applyNumberFormat="1" applyFont="1" applyFill="1" applyBorder="1" applyAlignment="1" applyProtection="1">
      <alignment horizontal="center" vertical="center"/>
      <protection hidden="1"/>
    </xf>
    <xf numFmtId="182" fontId="28" fillId="0" borderId="0" xfId="0" applyFont="1" applyBorder="1" applyAlignment="1" applyProtection="1">
      <alignment vertical="center"/>
      <protection hidden="1"/>
    </xf>
    <xf numFmtId="49" fontId="30" fillId="0" borderId="8" xfId="11" applyNumberFormat="1" applyFont="1" applyBorder="1" applyAlignment="1" applyProtection="1">
      <alignment horizontal="center" vertical="center"/>
      <protection hidden="1"/>
    </xf>
    <xf numFmtId="49" fontId="29" fillId="0" borderId="8" xfId="0" applyNumberFormat="1" applyFont="1" applyBorder="1" applyAlignment="1" applyProtection="1">
      <alignment horizontal="center" vertical="center" wrapText="1"/>
      <protection hidden="1"/>
    </xf>
    <xf numFmtId="49" fontId="30" fillId="12" borderId="8" xfId="11" applyNumberFormat="1" applyFont="1" applyFill="1" applyBorder="1" applyAlignment="1" applyProtection="1">
      <alignment horizontal="center" vertical="center"/>
      <protection hidden="1"/>
    </xf>
    <xf numFmtId="182" fontId="29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5" fillId="0" borderId="0" xfId="0" applyFont="1" applyBorder="1" applyAlignment="1" applyProtection="1">
      <alignment horizontal="center" vertical="center" wrapText="1"/>
      <protection hidden="1"/>
    </xf>
    <xf numFmtId="182" fontId="5" fillId="0" borderId="1" xfId="0" applyFont="1" applyBorder="1" applyAlignment="1" applyProtection="1">
      <alignment horizontal="center" vertical="center" wrapText="1"/>
      <protection hidden="1"/>
    </xf>
    <xf numFmtId="182" fontId="5" fillId="0" borderId="8" xfId="0" applyFont="1" applyBorder="1" applyAlignment="1" applyProtection="1">
      <alignment horizontal="center" vertical="center" wrapText="1"/>
      <protection hidden="1"/>
    </xf>
    <xf numFmtId="182" fontId="36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30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36" fillId="0" borderId="8" xfId="0" applyNumberFormat="1" applyFont="1" applyBorder="1" applyAlignment="1" applyProtection="1">
      <alignment horizontal="center" vertical="center" wrapText="1"/>
      <protection hidden="1"/>
    </xf>
    <xf numFmtId="178" fontId="36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36" fillId="12" borderId="8" xfId="0" applyNumberFormat="1" applyFont="1" applyFill="1" applyBorder="1" applyAlignment="1" applyProtection="1">
      <alignment horizontal="center" vertical="center" wrapText="1"/>
      <protection hidden="1"/>
    </xf>
    <xf numFmtId="178" fontId="35" fillId="12" borderId="8" xfId="0" applyNumberFormat="1" applyFont="1" applyFill="1" applyBorder="1" applyAlignment="1" applyProtection="1">
      <alignment horizontal="center" vertical="center" wrapText="1"/>
      <protection hidden="1"/>
    </xf>
    <xf numFmtId="178" fontId="35" fillId="0" borderId="8" xfId="0" applyNumberFormat="1" applyFont="1" applyBorder="1" applyAlignment="1" applyProtection="1">
      <alignment horizontal="center" vertical="center" wrapText="1"/>
      <protection hidden="1"/>
    </xf>
    <xf numFmtId="178" fontId="46" fillId="3" borderId="8" xfId="9" applyNumberFormat="1" applyFont="1" applyFill="1" applyBorder="1" applyAlignment="1" applyProtection="1">
      <alignment horizontal="center" vertical="center" wrapText="1"/>
      <protection hidden="1"/>
    </xf>
    <xf numFmtId="178" fontId="46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30" fillId="0" borderId="8" xfId="9" applyNumberFormat="1" applyFont="1" applyFill="1" applyBorder="1" applyAlignment="1" applyProtection="1">
      <alignment horizontal="center" vertical="center" wrapText="1"/>
      <protection hidden="1"/>
    </xf>
    <xf numFmtId="178" fontId="46" fillId="0" borderId="8" xfId="0" applyNumberFormat="1" applyFont="1" applyBorder="1" applyAlignment="1" applyProtection="1">
      <alignment horizontal="center" vertical="center" wrapText="1"/>
      <protection hidden="1"/>
    </xf>
    <xf numFmtId="178" fontId="47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41" fillId="12" borderId="8" xfId="0" applyFont="1" applyFill="1" applyBorder="1" applyAlignment="1" applyProtection="1">
      <alignment horizontal="center" vertical="center" wrapText="1"/>
      <protection hidden="1"/>
    </xf>
    <xf numFmtId="182" fontId="25" fillId="0" borderId="8" xfId="0" applyFont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horizontal="left" vertical="center"/>
      <protection hidden="1"/>
    </xf>
    <xf numFmtId="182" fontId="25" fillId="12" borderId="8" xfId="3" applyFont="1" applyFill="1" applyBorder="1" applyAlignment="1" applyProtection="1">
      <alignment horizontal="center" vertical="center"/>
      <protection hidden="1"/>
    </xf>
    <xf numFmtId="177" fontId="48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36" fillId="0" borderId="8" xfId="0" applyNumberFormat="1" applyFont="1" applyBorder="1" applyAlignment="1" applyProtection="1">
      <alignment horizontal="center" vertical="center" wrapText="1"/>
      <protection hidden="1"/>
    </xf>
    <xf numFmtId="182" fontId="30" fillId="0" borderId="8" xfId="18" applyFont="1" applyBorder="1" applyAlignment="1" applyProtection="1">
      <alignment horizontal="center" vertical="center" wrapText="1"/>
      <protection hidden="1"/>
    </xf>
    <xf numFmtId="182" fontId="47" fillId="0" borderId="8" xfId="18" applyFont="1" applyBorder="1" applyAlignment="1" applyProtection="1">
      <alignment horizontal="center" vertical="center" wrapText="1"/>
      <protection hidden="1"/>
    </xf>
    <xf numFmtId="182" fontId="30" fillId="12" borderId="8" xfId="0" applyFont="1" applyFill="1" applyBorder="1" applyAlignment="1" applyProtection="1">
      <alignment horizontal="center" vertical="center" wrapText="1"/>
      <protection hidden="1"/>
    </xf>
    <xf numFmtId="182" fontId="30" fillId="12" borderId="8" xfId="18" applyFont="1" applyFill="1" applyBorder="1" applyAlignment="1" applyProtection="1">
      <alignment horizontal="center" vertical="center" wrapText="1"/>
      <protection hidden="1"/>
    </xf>
    <xf numFmtId="178" fontId="47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49" fillId="3" borderId="8" xfId="0" applyFont="1" applyFill="1" applyBorder="1" applyAlignment="1" applyProtection="1">
      <alignment horizontal="center" vertical="center" wrapText="1"/>
      <protection hidden="1"/>
    </xf>
    <xf numFmtId="182" fontId="31" fillId="12" borderId="8" xfId="18" applyFont="1" applyFill="1" applyBorder="1" applyAlignment="1" applyProtection="1">
      <alignment horizontal="center" vertical="center" wrapText="1"/>
      <protection hidden="1"/>
    </xf>
    <xf numFmtId="182" fontId="28" fillId="0" borderId="0" xfId="0" applyFont="1" applyAlignment="1" applyProtection="1">
      <alignment horizontal="center" vertical="center"/>
      <protection hidden="1"/>
    </xf>
    <xf numFmtId="182" fontId="34" fillId="0" borderId="8" xfId="19" applyFont="1" applyFill="1" applyBorder="1" applyAlignment="1" applyProtection="1">
      <alignment horizontal="center" vertical="center" wrapText="1"/>
      <protection hidden="1"/>
    </xf>
    <xf numFmtId="182" fontId="38" fillId="19" borderId="8" xfId="0" applyFont="1" applyFill="1" applyBorder="1" applyAlignment="1" applyProtection="1">
      <alignment horizontal="center" vertical="center" wrapText="1"/>
      <protection hidden="1"/>
    </xf>
    <xf numFmtId="49" fontId="38" fillId="19" borderId="8" xfId="0" applyNumberFormat="1" applyFont="1" applyFill="1" applyBorder="1" applyAlignment="1" applyProtection="1">
      <alignment horizontal="center" vertical="center" wrapText="1"/>
      <protection hidden="1"/>
    </xf>
    <xf numFmtId="49" fontId="37" fillId="19" borderId="8" xfId="0" applyNumberFormat="1" applyFont="1" applyFill="1" applyBorder="1" applyAlignment="1" applyProtection="1">
      <alignment horizontal="center" vertical="center" wrapText="1"/>
      <protection hidden="1"/>
    </xf>
    <xf numFmtId="178" fontId="37" fillId="19" borderId="8" xfId="0" applyNumberFormat="1" applyFont="1" applyFill="1" applyBorder="1" applyAlignment="1" applyProtection="1">
      <alignment horizontal="center" vertical="center" wrapText="1"/>
      <protection hidden="1"/>
    </xf>
    <xf numFmtId="182" fontId="37" fillId="19" borderId="8" xfId="0" applyFont="1" applyFill="1" applyBorder="1" applyAlignment="1" applyProtection="1">
      <alignment horizontal="center" vertical="center" wrapText="1"/>
      <protection hidden="1"/>
    </xf>
    <xf numFmtId="49" fontId="37" fillId="22" borderId="8" xfId="0" applyNumberFormat="1" applyFont="1" applyFill="1" applyBorder="1" applyAlignment="1" applyProtection="1">
      <alignment horizontal="center" vertical="center" wrapText="1"/>
      <protection hidden="1"/>
    </xf>
    <xf numFmtId="179" fontId="38" fillId="19" borderId="8" xfId="0" applyNumberFormat="1" applyFont="1" applyFill="1" applyBorder="1" applyAlignment="1" applyProtection="1">
      <alignment horizontal="center" vertical="center" wrapText="1"/>
      <protection hidden="1"/>
    </xf>
    <xf numFmtId="182" fontId="29" fillId="12" borderId="8" xfId="18" applyFont="1" applyFill="1" applyBorder="1" applyAlignment="1" applyProtection="1">
      <alignment horizontal="center" vertical="center" wrapText="1"/>
      <protection hidden="1"/>
    </xf>
    <xf numFmtId="49" fontId="5" fillId="0" borderId="0" xfId="0" applyNumberFormat="1" applyFont="1" applyAlignment="1" applyProtection="1">
      <alignment horizontal="center" vertical="center"/>
      <protection hidden="1"/>
    </xf>
    <xf numFmtId="179" fontId="27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25" fillId="12" borderId="8" xfId="0" applyNumberFormat="1" applyFont="1" applyFill="1" applyBorder="1" applyAlignment="1" applyProtection="1">
      <alignment horizontal="center" vertical="center"/>
      <protection hidden="1"/>
    </xf>
    <xf numFmtId="49" fontId="30" fillId="12" borderId="8" xfId="0" applyNumberFormat="1" applyFont="1" applyFill="1" applyBorder="1" applyAlignment="1" applyProtection="1">
      <alignment horizontal="center" vertical="center"/>
      <protection hidden="1"/>
    </xf>
    <xf numFmtId="182" fontId="28" fillId="0" borderId="0" xfId="0" applyFont="1" applyAlignment="1" applyProtection="1">
      <alignment vertical="center" wrapText="1"/>
      <protection hidden="1"/>
    </xf>
    <xf numFmtId="182" fontId="35" fillId="3" borderId="8" xfId="0" applyFont="1" applyFill="1" applyBorder="1" applyAlignment="1" applyProtection="1">
      <alignment horizontal="center" vertical="center" wrapText="1"/>
      <protection hidden="1"/>
    </xf>
    <xf numFmtId="182" fontId="35" fillId="0" borderId="0" xfId="0" applyFont="1" applyAlignment="1" applyProtection="1">
      <alignment vertical="center" wrapText="1"/>
      <protection hidden="1"/>
    </xf>
    <xf numFmtId="49" fontId="35" fillId="0" borderId="0" xfId="0" applyNumberFormat="1" applyFont="1" applyAlignment="1" applyProtection="1">
      <alignment vertical="center" wrapText="1"/>
      <protection hidden="1"/>
    </xf>
    <xf numFmtId="182" fontId="32" fillId="0" borderId="0" xfId="0" applyFont="1" applyAlignment="1" applyProtection="1">
      <alignment vertical="center" wrapText="1"/>
      <protection hidden="1"/>
    </xf>
    <xf numFmtId="178" fontId="22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38" fillId="22" borderId="8" xfId="0" applyNumberFormat="1" applyFont="1" applyFill="1" applyBorder="1" applyAlignment="1" applyProtection="1">
      <alignment horizontal="center" vertical="center" wrapText="1"/>
      <protection hidden="1"/>
    </xf>
    <xf numFmtId="49" fontId="29" fillId="3" borderId="8" xfId="9" applyNumberFormat="1" applyFont="1" applyFill="1" applyBorder="1" applyAlignment="1" applyProtection="1">
      <alignment horizontal="center" vertical="center"/>
      <protection hidden="1"/>
    </xf>
    <xf numFmtId="182" fontId="22" fillId="12" borderId="8" xfId="0" applyFont="1" applyFill="1" applyBorder="1" applyAlignment="1" applyProtection="1">
      <alignment horizontal="center" vertical="center"/>
      <protection hidden="1"/>
    </xf>
    <xf numFmtId="178" fontId="22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22" fillId="0" borderId="8" xfId="0" applyFont="1" applyBorder="1" applyAlignment="1" applyProtection="1">
      <alignment horizontal="center" vertical="center" wrapText="1"/>
      <protection hidden="1"/>
    </xf>
    <xf numFmtId="178" fontId="17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31" fillId="0" borderId="8" xfId="18" applyFont="1" applyBorder="1" applyAlignment="1" applyProtection="1">
      <alignment horizontal="center" vertical="center" wrapText="1"/>
      <protection hidden="1"/>
    </xf>
    <xf numFmtId="182" fontId="5" fillId="0" borderId="0" xfId="0" applyFont="1" applyAlignment="1">
      <alignment horizontal="center" vertical="center"/>
    </xf>
    <xf numFmtId="182" fontId="25" fillId="0" borderId="0" xfId="0" applyFont="1" applyAlignment="1">
      <alignment horizontal="center" vertical="center"/>
    </xf>
    <xf numFmtId="49" fontId="5" fillId="24" borderId="8" xfId="0" applyNumberFormat="1" applyFont="1" applyFill="1" applyBorder="1" applyAlignment="1">
      <alignment horizontal="center" vertical="center"/>
    </xf>
    <xf numFmtId="49" fontId="25" fillId="24" borderId="8" xfId="0" applyNumberFormat="1" applyFont="1" applyFill="1" applyBorder="1" applyAlignment="1">
      <alignment horizontal="center" vertical="center"/>
    </xf>
    <xf numFmtId="182" fontId="5" fillId="24" borderId="8" xfId="0" applyFont="1" applyFill="1" applyBorder="1" applyAlignment="1">
      <alignment horizontal="center" vertical="center"/>
    </xf>
    <xf numFmtId="49" fontId="27" fillId="24" borderId="8" xfId="0" applyNumberFormat="1" applyFont="1" applyFill="1" applyBorder="1" applyAlignment="1">
      <alignment horizontal="center" vertical="center"/>
    </xf>
    <xf numFmtId="49" fontId="25" fillId="25" borderId="8" xfId="0" applyNumberFormat="1" applyFont="1" applyFill="1" applyBorder="1" applyAlignment="1">
      <alignment horizontal="center" vertical="center"/>
    </xf>
    <xf numFmtId="182" fontId="5" fillId="25" borderId="8" xfId="0" applyFont="1" applyFill="1" applyBorder="1" applyAlignment="1">
      <alignment horizontal="center" vertical="center"/>
    </xf>
    <xf numFmtId="49" fontId="5" fillId="25" borderId="8" xfId="0" applyNumberFormat="1" applyFont="1" applyFill="1" applyBorder="1" applyAlignment="1">
      <alignment horizontal="center" vertical="center"/>
    </xf>
    <xf numFmtId="49" fontId="27" fillId="25" borderId="8" xfId="0" applyNumberFormat="1" applyFont="1" applyFill="1" applyBorder="1" applyAlignment="1">
      <alignment horizontal="center" vertical="center"/>
    </xf>
    <xf numFmtId="182" fontId="29" fillId="0" borderId="8" xfId="18" applyFont="1" applyBorder="1" applyAlignment="1" applyProtection="1">
      <alignment horizontal="center" vertical="center" wrapText="1"/>
      <protection hidden="1"/>
    </xf>
    <xf numFmtId="49" fontId="4" fillId="24" borderId="8" xfId="0" applyNumberFormat="1" applyFont="1" applyFill="1" applyBorder="1" applyAlignment="1">
      <alignment horizontal="center" vertical="center"/>
    </xf>
    <xf numFmtId="49" fontId="4" fillId="25" borderId="8" xfId="0" applyNumberFormat="1" applyFont="1" applyFill="1" applyBorder="1" applyAlignment="1">
      <alignment horizontal="center" vertical="center"/>
    </xf>
    <xf numFmtId="49" fontId="5" fillId="24" borderId="8" xfId="0" applyNumberFormat="1" applyFont="1" applyFill="1" applyBorder="1" applyAlignment="1">
      <alignment horizontal="center" vertical="center"/>
    </xf>
    <xf numFmtId="49" fontId="25" fillId="24" borderId="8" xfId="0" applyNumberFormat="1" applyFont="1" applyFill="1" applyBorder="1" applyAlignment="1">
      <alignment horizontal="center" vertical="center"/>
    </xf>
    <xf numFmtId="49" fontId="59" fillId="26" borderId="0" xfId="0" applyNumberFormat="1" applyFont="1" applyFill="1" applyBorder="1" applyAlignment="1">
      <alignment horizontal="left" vertical="center"/>
    </xf>
    <xf numFmtId="49" fontId="60" fillId="26" borderId="0" xfId="0" applyNumberFormat="1" applyFont="1" applyFill="1" applyBorder="1" applyAlignment="1">
      <alignment vertical="center"/>
    </xf>
    <xf numFmtId="182" fontId="61" fillId="12" borderId="8" xfId="0" applyFont="1" applyFill="1" applyBorder="1" applyAlignment="1" applyProtection="1">
      <alignment horizontal="center" vertical="center" wrapText="1"/>
      <protection hidden="1"/>
    </xf>
    <xf numFmtId="177" fontId="61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62" fillId="12" borderId="8" xfId="9" applyNumberFormat="1" applyFont="1" applyFill="1" applyBorder="1" applyAlignment="1" applyProtection="1">
      <alignment horizontal="center" vertical="center" wrapText="1"/>
      <protection hidden="1"/>
    </xf>
    <xf numFmtId="181" fontId="61" fillId="17" borderId="8" xfId="9" applyNumberFormat="1" applyFont="1" applyFill="1" applyBorder="1" applyAlignment="1" applyProtection="1">
      <alignment horizontal="center" vertical="center" wrapText="1"/>
      <protection hidden="1"/>
    </xf>
    <xf numFmtId="181" fontId="61" fillId="17" borderId="8" xfId="10" applyNumberFormat="1" applyFont="1" applyFill="1" applyBorder="1" applyAlignment="1" applyProtection="1">
      <alignment horizontal="center" vertical="center"/>
      <protection hidden="1"/>
    </xf>
    <xf numFmtId="181" fontId="61" fillId="17" borderId="8" xfId="0" applyNumberFormat="1" applyFont="1" applyFill="1" applyBorder="1" applyAlignment="1" applyProtection="1">
      <alignment horizontal="center" vertical="center" wrapText="1"/>
      <protection hidden="1"/>
    </xf>
    <xf numFmtId="181" fontId="61" fillId="17" borderId="8" xfId="0" applyNumberFormat="1" applyFont="1" applyFill="1" applyBorder="1" applyAlignment="1" applyProtection="1">
      <alignment horizontal="center" vertical="center"/>
      <protection hidden="1"/>
    </xf>
    <xf numFmtId="181" fontId="61" fillId="17" borderId="8" xfId="12" applyNumberFormat="1" applyFont="1" applyFill="1" applyBorder="1" applyAlignment="1" applyProtection="1">
      <alignment horizontal="center" vertical="center"/>
      <protection hidden="1"/>
    </xf>
    <xf numFmtId="181" fontId="61" fillId="17" borderId="8" xfId="11" applyNumberFormat="1" applyFont="1" applyFill="1" applyBorder="1" applyAlignment="1" applyProtection="1">
      <alignment horizontal="center" vertical="center"/>
      <protection hidden="1"/>
    </xf>
    <xf numFmtId="181" fontId="61" fillId="12" borderId="8" xfId="10" applyNumberFormat="1" applyFont="1" applyFill="1" applyBorder="1" applyAlignment="1" applyProtection="1">
      <alignment horizontal="center" vertical="center"/>
      <protection hidden="1"/>
    </xf>
    <xf numFmtId="181" fontId="61" fillId="17" borderId="8" xfId="6" applyNumberFormat="1" applyFont="1" applyFill="1" applyBorder="1" applyAlignment="1" applyProtection="1">
      <alignment horizontal="center" vertical="center" wrapText="1"/>
      <protection hidden="1"/>
    </xf>
    <xf numFmtId="49" fontId="0" fillId="0" borderId="0" xfId="0" applyNumberFormat="1" applyAlignment="1">
      <alignment vertical="center"/>
    </xf>
    <xf numFmtId="49" fontId="25" fillId="27" borderId="8" xfId="0" applyNumberFormat="1" applyFont="1" applyFill="1" applyBorder="1" applyAlignment="1">
      <alignment horizontal="center" vertical="center" wrapText="1"/>
    </xf>
    <xf numFmtId="49" fontId="25" fillId="28" borderId="8" xfId="0" applyNumberFormat="1" applyFont="1" applyFill="1" applyBorder="1" applyAlignment="1">
      <alignment horizontal="center" vertical="center" wrapText="1"/>
    </xf>
    <xf numFmtId="49" fontId="25" fillId="16" borderId="8" xfId="0" applyNumberFormat="1" applyFont="1" applyFill="1" applyBorder="1" applyAlignment="1">
      <alignment horizontal="center" vertical="center"/>
    </xf>
    <xf numFmtId="182" fontId="28" fillId="0" borderId="0" xfId="0" applyFont="1" applyBorder="1" applyAlignment="1" applyProtection="1">
      <alignment vertical="center"/>
      <protection hidden="1"/>
    </xf>
    <xf numFmtId="49" fontId="5" fillId="27" borderId="8" xfId="0" applyNumberFormat="1" applyFont="1" applyFill="1" applyBorder="1" applyAlignment="1">
      <alignment horizontal="center" vertical="center" wrapText="1"/>
    </xf>
    <xf numFmtId="49" fontId="26" fillId="27" borderId="8" xfId="0" applyNumberFormat="1" applyFont="1" applyFill="1" applyBorder="1" applyAlignment="1">
      <alignment horizontal="center" vertical="center" wrapText="1"/>
    </xf>
    <xf numFmtId="49" fontId="62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62" fillId="0" borderId="8" xfId="0" applyNumberFormat="1" applyFont="1" applyBorder="1" applyAlignment="1" applyProtection="1">
      <alignment horizontal="center" vertical="center" wrapText="1"/>
      <protection hidden="1"/>
    </xf>
    <xf numFmtId="182" fontId="38" fillId="22" borderId="8" xfId="0" applyFont="1" applyFill="1" applyBorder="1" applyAlignment="1" applyProtection="1">
      <alignment horizontal="center" vertical="center" wrapText="1"/>
      <protection hidden="1"/>
    </xf>
    <xf numFmtId="182" fontId="28" fillId="0" borderId="0" xfId="0" applyFont="1" applyBorder="1" applyAlignment="1" applyProtection="1">
      <alignment vertical="center"/>
      <protection hidden="1"/>
    </xf>
    <xf numFmtId="177" fontId="25" fillId="28" borderId="8" xfId="9" applyNumberFormat="1" applyFont="1" applyFill="1" applyBorder="1" applyAlignment="1" applyProtection="1">
      <alignment horizontal="center" vertical="center"/>
      <protection hidden="1"/>
    </xf>
    <xf numFmtId="182" fontId="25" fillId="28" borderId="8" xfId="0" applyFont="1" applyFill="1" applyBorder="1" applyAlignment="1" applyProtection="1">
      <alignment horizontal="center" vertical="center"/>
      <protection hidden="1"/>
    </xf>
    <xf numFmtId="24" fontId="34" fillId="28" borderId="8" xfId="0" applyNumberFormat="1" applyFont="1" applyFill="1" applyBorder="1" applyAlignment="1" applyProtection="1">
      <alignment horizontal="center" vertical="center" wrapText="1"/>
      <protection hidden="1"/>
    </xf>
    <xf numFmtId="182" fontId="34" fillId="28" borderId="8" xfId="0" applyFont="1" applyFill="1" applyBorder="1" applyAlignment="1" applyProtection="1">
      <alignment horizontal="center" vertical="center" wrapText="1"/>
      <protection hidden="1"/>
    </xf>
    <xf numFmtId="177" fontId="27" fillId="28" borderId="8" xfId="9" applyNumberFormat="1" applyFont="1" applyFill="1" applyBorder="1" applyAlignment="1" applyProtection="1">
      <alignment horizontal="center" vertical="center" wrapText="1"/>
      <protection hidden="1"/>
    </xf>
    <xf numFmtId="182" fontId="25" fillId="28" borderId="8" xfId="0" applyNumberFormat="1" applyFont="1" applyFill="1" applyBorder="1" applyAlignment="1" applyProtection="1">
      <alignment horizontal="center" vertical="center" wrapText="1"/>
      <protection hidden="1"/>
    </xf>
    <xf numFmtId="182" fontId="27" fillId="28" borderId="8" xfId="0" applyFont="1" applyFill="1" applyBorder="1" applyAlignment="1" applyProtection="1">
      <alignment horizontal="center" vertical="center" wrapText="1"/>
      <protection hidden="1"/>
    </xf>
    <xf numFmtId="182" fontId="25" fillId="28" borderId="8" xfId="0" applyFont="1" applyFill="1" applyBorder="1" applyAlignment="1" applyProtection="1">
      <alignment horizontal="center" vertical="center" wrapText="1"/>
      <protection hidden="1"/>
    </xf>
    <xf numFmtId="177" fontId="34" fillId="28" borderId="8" xfId="9" applyNumberFormat="1" applyFont="1" applyFill="1" applyBorder="1" applyAlignment="1" applyProtection="1">
      <alignment horizontal="center" vertical="center" wrapText="1"/>
      <protection hidden="1"/>
    </xf>
    <xf numFmtId="182" fontId="38" fillId="30" borderId="8" xfId="0" applyFont="1" applyFill="1" applyBorder="1" applyAlignment="1" applyProtection="1">
      <alignment horizontal="center" vertical="center" wrapText="1"/>
      <protection hidden="1"/>
    </xf>
    <xf numFmtId="49" fontId="27" fillId="28" borderId="8" xfId="9" applyNumberFormat="1" applyFont="1" applyFill="1" applyBorder="1" applyAlignment="1" applyProtection="1">
      <alignment horizontal="center" vertical="center" wrapText="1"/>
      <protection hidden="1"/>
    </xf>
    <xf numFmtId="49" fontId="34" fillId="28" borderId="8" xfId="9" applyNumberFormat="1" applyFont="1" applyFill="1" applyBorder="1" applyAlignment="1" applyProtection="1">
      <alignment horizontal="center" vertical="center" wrapText="1"/>
      <protection hidden="1"/>
    </xf>
    <xf numFmtId="177" fontId="25" fillId="28" borderId="8" xfId="9" applyNumberFormat="1" applyFont="1" applyFill="1" applyBorder="1" applyAlignment="1" applyProtection="1">
      <alignment horizontal="center" vertical="center" wrapText="1"/>
      <protection hidden="1"/>
    </xf>
    <xf numFmtId="49" fontId="25" fillId="28" borderId="8" xfId="0" applyNumberFormat="1" applyFont="1" applyFill="1" applyBorder="1" applyAlignment="1" applyProtection="1">
      <alignment horizontal="center" vertical="center" wrapText="1"/>
      <protection hidden="1"/>
    </xf>
    <xf numFmtId="49" fontId="25" fillId="28" borderId="8" xfId="9" applyNumberFormat="1" applyFont="1" applyFill="1" applyBorder="1" applyAlignment="1" applyProtection="1">
      <alignment horizontal="center" vertical="center" wrapText="1"/>
      <protection hidden="1"/>
    </xf>
    <xf numFmtId="182" fontId="28" fillId="0" borderId="0" xfId="0" applyFont="1" applyBorder="1" applyAlignment="1" applyProtection="1">
      <alignment vertical="center"/>
      <protection hidden="1"/>
    </xf>
    <xf numFmtId="182" fontId="28" fillId="0" borderId="0" xfId="0" applyFont="1" applyBorder="1" applyAlignment="1" applyProtection="1">
      <alignment vertical="center"/>
      <protection hidden="1"/>
    </xf>
    <xf numFmtId="182" fontId="28" fillId="0" borderId="0" xfId="0" applyFont="1" applyBorder="1" applyAlignment="1" applyProtection="1">
      <alignment vertical="center"/>
      <protection hidden="1"/>
    </xf>
    <xf numFmtId="49" fontId="30" fillId="0" borderId="8" xfId="18" applyNumberFormat="1" applyFont="1" applyBorder="1" applyAlignment="1" applyProtection="1">
      <alignment horizontal="center" vertical="center" wrapText="1"/>
      <protection hidden="1"/>
    </xf>
    <xf numFmtId="182" fontId="28" fillId="0" borderId="0" xfId="0" applyFont="1" applyBorder="1" applyAlignment="1" applyProtection="1">
      <alignment vertical="center"/>
      <protection hidden="1"/>
    </xf>
    <xf numFmtId="182" fontId="61" fillId="28" borderId="8" xfId="0" applyFont="1" applyFill="1" applyBorder="1" applyAlignment="1" applyProtection="1">
      <alignment horizontal="center" vertical="center" wrapText="1"/>
      <protection hidden="1"/>
    </xf>
    <xf numFmtId="182" fontId="28" fillId="0" borderId="0" xfId="0" applyFont="1" applyBorder="1" applyAlignment="1" applyProtection="1">
      <alignment vertical="center"/>
      <protection hidden="1"/>
    </xf>
    <xf numFmtId="49" fontId="62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23" fillId="10" borderId="8" xfId="0" applyFont="1" applyFill="1" applyBorder="1" applyAlignment="1" applyProtection="1">
      <alignment horizontal="center" vertical="center" wrapText="1"/>
      <protection hidden="1"/>
    </xf>
    <xf numFmtId="182" fontId="41" fillId="0" borderId="8" xfId="0" applyFont="1" applyFill="1" applyBorder="1" applyAlignment="1" applyProtection="1">
      <alignment horizontal="center" vertical="center" wrapText="1"/>
      <protection hidden="1"/>
    </xf>
    <xf numFmtId="182" fontId="32" fillId="0" borderId="8" xfId="0" applyFont="1" applyFill="1" applyBorder="1" applyAlignment="1" applyProtection="1">
      <alignment horizontal="center" vertical="center" wrapText="1"/>
      <protection hidden="1"/>
    </xf>
    <xf numFmtId="182" fontId="42" fillId="0" borderId="8" xfId="0" applyFont="1" applyFill="1" applyBorder="1" applyAlignment="1" applyProtection="1">
      <alignment horizontal="center" vertical="center" wrapText="1"/>
      <protection hidden="1"/>
    </xf>
    <xf numFmtId="182" fontId="5" fillId="0" borderId="0" xfId="0" applyFont="1" applyFill="1" applyAlignment="1" applyProtection="1">
      <alignment horizontal="center" vertical="center"/>
      <protection hidden="1"/>
    </xf>
    <xf numFmtId="182" fontId="32" fillId="0" borderId="0" xfId="0" applyFont="1" applyFill="1" applyAlignment="1" applyProtection="1">
      <alignment vertical="center"/>
      <protection hidden="1"/>
    </xf>
    <xf numFmtId="177" fontId="41" fillId="0" borderId="8" xfId="9" applyNumberFormat="1" applyFont="1" applyFill="1" applyBorder="1" applyAlignment="1" applyProtection="1">
      <alignment horizontal="center" vertical="center" wrapText="1"/>
      <protection hidden="1"/>
    </xf>
    <xf numFmtId="49" fontId="61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61" fillId="12" borderId="8" xfId="9" applyNumberFormat="1" applyFont="1" applyFill="1" applyBorder="1" applyAlignment="1" applyProtection="1">
      <alignment horizontal="center" vertical="center" wrapText="1"/>
      <protection hidden="1"/>
    </xf>
    <xf numFmtId="181" fontId="61" fillId="12" borderId="8" xfId="0" applyNumberFormat="1" applyFont="1" applyFill="1" applyBorder="1" applyAlignment="1" applyProtection="1">
      <alignment horizontal="center" vertical="center" wrapText="1"/>
      <protection hidden="1"/>
    </xf>
    <xf numFmtId="181" fontId="61" fillId="12" borderId="8" xfId="9" applyNumberFormat="1" applyFont="1" applyFill="1" applyBorder="1" applyAlignment="1" applyProtection="1">
      <alignment horizontal="center" vertical="center" wrapText="1"/>
      <protection hidden="1"/>
    </xf>
    <xf numFmtId="181" fontId="61" fillId="12" borderId="8" xfId="0" applyNumberFormat="1" applyFont="1" applyFill="1" applyBorder="1" applyAlignment="1" applyProtection="1">
      <alignment horizontal="center" vertical="center"/>
      <protection hidden="1"/>
    </xf>
    <xf numFmtId="178" fontId="22" fillId="3" borderId="8" xfId="9" applyNumberFormat="1" applyFont="1" applyFill="1" applyBorder="1" applyAlignment="1" applyProtection="1">
      <alignment horizontal="center" vertical="center"/>
      <protection hidden="1"/>
    </xf>
    <xf numFmtId="182" fontId="22" fillId="12" borderId="8" xfId="0" applyFont="1" applyFill="1" applyBorder="1" applyAlignment="1" applyProtection="1">
      <alignment horizontal="center" vertical="center" wrapText="1"/>
      <protection hidden="1"/>
    </xf>
    <xf numFmtId="178" fontId="17" fillId="0" borderId="8" xfId="0" applyNumberFormat="1" applyFont="1" applyBorder="1" applyAlignment="1" applyProtection="1">
      <alignment horizontal="center" vertical="center" wrapText="1"/>
      <protection hidden="1"/>
    </xf>
    <xf numFmtId="182" fontId="36" fillId="0" borderId="8" xfId="18" applyFont="1" applyBorder="1" applyAlignment="1" applyProtection="1">
      <alignment horizontal="center" vertical="center" wrapText="1"/>
      <protection hidden="1"/>
    </xf>
    <xf numFmtId="24" fontId="34" fillId="0" borderId="8" xfId="0" applyNumberFormat="1" applyFont="1" applyBorder="1" applyAlignment="1" applyProtection="1">
      <alignment horizontal="center" vertical="center" wrapText="1"/>
      <protection hidden="1"/>
    </xf>
    <xf numFmtId="182" fontId="34" fillId="12" borderId="8" xfId="19" applyFont="1" applyFill="1" applyBorder="1" applyAlignment="1" applyProtection="1">
      <alignment horizontal="center" vertical="center" wrapText="1"/>
      <protection hidden="1"/>
    </xf>
    <xf numFmtId="182" fontId="30" fillId="12" borderId="8" xfId="9" applyFont="1" applyFill="1" applyBorder="1" applyAlignment="1" applyProtection="1">
      <alignment horizontal="center" vertical="center" wrapText="1"/>
      <protection hidden="1"/>
    </xf>
    <xf numFmtId="182" fontId="29" fillId="14" borderId="8" xfId="0" applyFont="1" applyFill="1" applyBorder="1" applyAlignment="1" applyProtection="1">
      <alignment horizontal="center" vertical="center" wrapText="1"/>
      <protection hidden="1"/>
    </xf>
    <xf numFmtId="181" fontId="61" fillId="17" borderId="8" xfId="29" applyNumberFormat="1" applyFont="1" applyFill="1" applyBorder="1" applyAlignment="1" applyProtection="1">
      <alignment horizontal="center" vertical="center" wrapText="1"/>
      <protection hidden="1"/>
    </xf>
    <xf numFmtId="181" fontId="61" fillId="17" borderId="8" xfId="29" applyNumberFormat="1" applyFont="1" applyFill="1" applyBorder="1" applyAlignment="1" applyProtection="1">
      <alignment horizontal="center" vertical="center"/>
      <protection hidden="1"/>
    </xf>
    <xf numFmtId="181" fontId="61" fillId="17" borderId="8" xfId="19" applyNumberFormat="1" applyFont="1" applyFill="1" applyBorder="1" applyAlignment="1" applyProtection="1">
      <alignment horizontal="center" vertical="center" wrapText="1"/>
      <protection hidden="1"/>
    </xf>
    <xf numFmtId="179" fontId="22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50" fillId="28" borderId="8" xfId="0" applyNumberFormat="1" applyFont="1" applyFill="1" applyBorder="1" applyAlignment="1">
      <alignment horizontal="center" vertical="center" wrapText="1"/>
    </xf>
    <xf numFmtId="181" fontId="26" fillId="17" borderId="8" xfId="0" applyNumberFormat="1" applyFont="1" applyFill="1" applyBorder="1" applyAlignment="1">
      <alignment horizontal="center" vertical="center"/>
    </xf>
    <xf numFmtId="181" fontId="26" fillId="17" borderId="8" xfId="9" applyNumberFormat="1" applyFont="1" applyFill="1" applyBorder="1" applyAlignment="1" applyProtection="1">
      <alignment horizontal="center" vertical="center" wrapText="1"/>
      <protection hidden="1"/>
    </xf>
    <xf numFmtId="49" fontId="63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28" fillId="0" borderId="0" xfId="0" applyFont="1" applyBorder="1" applyAlignment="1" applyProtection="1">
      <alignment vertical="center"/>
      <protection hidden="1"/>
    </xf>
    <xf numFmtId="182" fontId="28" fillId="0" borderId="0" xfId="0" applyFont="1" applyBorder="1" applyAlignment="1" applyProtection="1">
      <alignment vertical="center"/>
      <protection hidden="1"/>
    </xf>
    <xf numFmtId="177" fontId="41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25" fillId="25" borderId="8" xfId="0" applyNumberFormat="1" applyFont="1" applyFill="1" applyBorder="1" applyAlignment="1">
      <alignment horizontal="center" vertical="center"/>
    </xf>
    <xf numFmtId="49" fontId="5" fillId="25" borderId="8" xfId="0" applyNumberFormat="1" applyFont="1" applyFill="1" applyBorder="1" applyAlignment="1">
      <alignment horizontal="center" vertical="center"/>
    </xf>
    <xf numFmtId="49" fontId="25" fillId="24" borderId="8" xfId="0" applyNumberFormat="1" applyFont="1" applyFill="1" applyBorder="1" applyAlignment="1">
      <alignment horizontal="center" vertical="center"/>
    </xf>
    <xf numFmtId="182" fontId="28" fillId="0" borderId="0" xfId="0" applyFont="1" applyBorder="1" applyAlignment="1" applyProtection="1">
      <alignment vertical="center"/>
      <protection hidden="1"/>
    </xf>
    <xf numFmtId="49" fontId="25" fillId="17" borderId="8" xfId="0" applyNumberFormat="1" applyFont="1" applyFill="1" applyBorder="1" applyAlignment="1">
      <alignment horizontal="center" vertical="center"/>
    </xf>
    <xf numFmtId="181" fontId="25" fillId="17" borderId="8" xfId="9" applyNumberFormat="1" applyFont="1" applyFill="1" applyBorder="1" applyAlignment="1" applyProtection="1">
      <alignment horizontal="center" vertical="center" wrapText="1"/>
      <protection hidden="1"/>
    </xf>
    <xf numFmtId="181" fontId="25" fillId="17" borderId="8" xfId="10" applyNumberFormat="1" applyFont="1" applyFill="1" applyBorder="1" applyAlignment="1" applyProtection="1">
      <alignment horizontal="center" vertical="center"/>
      <protection hidden="1"/>
    </xf>
    <xf numFmtId="181" fontId="25" fillId="17" borderId="8" xfId="12" applyNumberFormat="1" applyFont="1" applyFill="1" applyBorder="1" applyAlignment="1" applyProtection="1">
      <alignment horizontal="center" vertical="center"/>
      <protection hidden="1"/>
    </xf>
    <xf numFmtId="182" fontId="28" fillId="0" borderId="0" xfId="0" applyFont="1" applyBorder="1" applyAlignment="1" applyProtection="1">
      <alignment vertical="center"/>
      <protection hidden="1"/>
    </xf>
    <xf numFmtId="49" fontId="25" fillId="12" borderId="8" xfId="9" applyNumberFormat="1" applyFont="1" applyFill="1" applyBorder="1" applyAlignment="1" applyProtection="1">
      <alignment horizontal="center" vertical="center"/>
      <protection hidden="1"/>
    </xf>
    <xf numFmtId="49" fontId="30" fillId="12" borderId="8" xfId="9" applyNumberFormat="1" applyFont="1" applyFill="1" applyBorder="1" applyAlignment="1" applyProtection="1">
      <alignment horizontal="center" vertical="center"/>
      <protection hidden="1"/>
    </xf>
    <xf numFmtId="182" fontId="28" fillId="0" borderId="0" xfId="0" applyFont="1" applyBorder="1" applyAlignment="1" applyProtection="1">
      <alignment vertical="center"/>
      <protection hidden="1"/>
    </xf>
    <xf numFmtId="181" fontId="25" fillId="17" borderId="8" xfId="11" applyNumberFormat="1" applyFont="1" applyFill="1" applyBorder="1" applyAlignment="1" applyProtection="1">
      <alignment horizontal="center" vertical="center"/>
      <protection hidden="1"/>
    </xf>
    <xf numFmtId="182" fontId="25" fillId="28" borderId="8" xfId="9" applyFont="1" applyFill="1" applyBorder="1" applyAlignment="1" applyProtection="1">
      <alignment horizontal="center" vertical="center"/>
      <protection hidden="1"/>
    </xf>
    <xf numFmtId="182" fontId="28" fillId="0" borderId="0" xfId="0" applyFont="1" applyBorder="1" applyAlignment="1" applyProtection="1">
      <alignment vertical="center"/>
      <protection hidden="1"/>
    </xf>
    <xf numFmtId="182" fontId="28" fillId="0" borderId="0" xfId="0" applyFont="1" applyBorder="1" applyAlignment="1" applyProtection="1">
      <alignment vertical="center"/>
      <protection hidden="1"/>
    </xf>
    <xf numFmtId="178" fontId="31" fillId="12" borderId="8" xfId="9" applyNumberFormat="1" applyFont="1" applyFill="1" applyBorder="1" applyAlignment="1" applyProtection="1">
      <alignment horizontal="center" vertical="center"/>
      <protection hidden="1"/>
    </xf>
    <xf numFmtId="182" fontId="47" fillId="0" borderId="0" xfId="0" applyFont="1" applyAlignment="1" applyProtection="1">
      <alignment vertical="center"/>
      <protection hidden="1"/>
    </xf>
    <xf numFmtId="49" fontId="25" fillId="25" borderId="8" xfId="0" applyNumberFormat="1" applyFont="1" applyFill="1" applyBorder="1" applyAlignment="1">
      <alignment horizontal="center" vertical="center"/>
    </xf>
    <xf numFmtId="49" fontId="5" fillId="25" borderId="8" xfId="0" applyNumberFormat="1" applyFont="1" applyFill="1" applyBorder="1" applyAlignment="1">
      <alignment horizontal="center" vertical="center"/>
    </xf>
    <xf numFmtId="49" fontId="50" fillId="17" borderId="8" xfId="0" applyNumberFormat="1" applyFont="1" applyFill="1" applyBorder="1" applyAlignment="1">
      <alignment horizontal="center" vertical="center"/>
    </xf>
    <xf numFmtId="177" fontId="34" fillId="3" borderId="8" xfId="9" applyNumberFormat="1" applyFont="1" applyFill="1" applyBorder="1" applyAlignment="1" applyProtection="1">
      <alignment horizontal="center" vertical="center"/>
      <protection hidden="1"/>
    </xf>
    <xf numFmtId="177" fontId="34" fillId="12" borderId="8" xfId="9" applyNumberFormat="1" applyFont="1" applyFill="1" applyBorder="1" applyAlignment="1" applyProtection="1">
      <alignment horizontal="center" vertical="center"/>
      <protection hidden="1"/>
    </xf>
    <xf numFmtId="182" fontId="5" fillId="0" borderId="8" xfId="0" applyFont="1" applyBorder="1" applyAlignment="1" applyProtection="1">
      <alignment horizontal="center" vertical="center"/>
      <protection hidden="1"/>
    </xf>
    <xf numFmtId="49" fontId="63" fillId="0" borderId="8" xfId="0" applyNumberFormat="1" applyFont="1" applyBorder="1" applyAlignment="1" applyProtection="1">
      <alignment horizontal="center" vertical="center" wrapText="1"/>
      <protection hidden="1"/>
    </xf>
    <xf numFmtId="177" fontId="61" fillId="28" borderId="8" xfId="9" applyNumberFormat="1" applyFont="1" applyFill="1" applyBorder="1" applyAlignment="1" applyProtection="1">
      <alignment horizontal="center" vertical="center" wrapText="1"/>
      <protection hidden="1"/>
    </xf>
    <xf numFmtId="182" fontId="64" fillId="0" borderId="8" xfId="0" applyFont="1" applyFill="1" applyBorder="1" applyAlignment="1" applyProtection="1">
      <alignment horizontal="center" vertical="center" wrapText="1"/>
      <protection hidden="1"/>
    </xf>
    <xf numFmtId="182" fontId="23" fillId="4" borderId="8" xfId="9" applyFont="1" applyFill="1" applyBorder="1" applyAlignment="1" applyProtection="1">
      <alignment horizontal="center" vertical="center" wrapText="1"/>
      <protection hidden="1"/>
    </xf>
    <xf numFmtId="182" fontId="23" fillId="5" borderId="8" xfId="0" applyFont="1" applyFill="1" applyBorder="1" applyAlignment="1" applyProtection="1">
      <alignment horizontal="center" vertical="center" wrapText="1"/>
      <protection hidden="1"/>
    </xf>
    <xf numFmtId="49" fontId="65" fillId="12" borderId="8" xfId="9" applyNumberFormat="1" applyFont="1" applyFill="1" applyBorder="1" applyAlignment="1" applyProtection="1">
      <alignment horizontal="center" vertical="center"/>
      <protection hidden="1"/>
    </xf>
    <xf numFmtId="49" fontId="65" fillId="3" borderId="8" xfId="9" applyNumberFormat="1" applyFont="1" applyFill="1" applyBorder="1" applyAlignment="1" applyProtection="1">
      <alignment horizontal="center" vertical="center"/>
      <protection hidden="1"/>
    </xf>
    <xf numFmtId="49" fontId="62" fillId="3" borderId="8" xfId="9" applyNumberFormat="1" applyFont="1" applyFill="1" applyBorder="1" applyAlignment="1" applyProtection="1">
      <alignment horizontal="center" vertical="center"/>
      <protection hidden="1"/>
    </xf>
    <xf numFmtId="182" fontId="67" fillId="0" borderId="0" xfId="0" applyFont="1" applyAlignment="1" applyProtection="1">
      <alignment vertical="center"/>
      <protection hidden="1"/>
    </xf>
    <xf numFmtId="177" fontId="5" fillId="3" borderId="8" xfId="9" applyNumberFormat="1" applyFont="1" applyFill="1" applyBorder="1" applyAlignment="1" applyProtection="1">
      <alignment horizontal="center" vertical="center"/>
      <protection hidden="1"/>
    </xf>
    <xf numFmtId="177" fontId="5" fillId="12" borderId="8" xfId="9" applyNumberFormat="1" applyFont="1" applyFill="1" applyBorder="1" applyAlignment="1" applyProtection="1">
      <alignment horizontal="center" vertical="center"/>
      <protection hidden="1"/>
    </xf>
    <xf numFmtId="178" fontId="17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65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35" fillId="0" borderId="8" xfId="0" applyFont="1" applyBorder="1" applyAlignment="1" applyProtection="1">
      <alignment horizontal="left" vertical="center"/>
      <protection hidden="1"/>
    </xf>
    <xf numFmtId="182" fontId="35" fillId="0" borderId="0" xfId="0" applyFont="1" applyAlignment="1" applyProtection="1">
      <alignment horizontal="center" vertical="center"/>
      <protection hidden="1"/>
    </xf>
    <xf numFmtId="182" fontId="35" fillId="0" borderId="0" xfId="0" applyFont="1" applyAlignment="1" applyProtection="1">
      <alignment horizontal="center" vertical="center"/>
      <protection hidden="1"/>
    </xf>
    <xf numFmtId="181" fontId="61" fillId="12" borderId="8" xfId="0" applyNumberFormat="1" applyFont="1" applyFill="1" applyBorder="1" applyAlignment="1">
      <alignment horizontal="center" vertical="center"/>
    </xf>
    <xf numFmtId="182" fontId="28" fillId="0" borderId="8" xfId="0" applyFont="1" applyBorder="1" applyAlignment="1" applyProtection="1">
      <alignment vertical="center" wrapText="1"/>
      <protection hidden="1"/>
    </xf>
    <xf numFmtId="182" fontId="33" fillId="0" borderId="8" xfId="0" applyFont="1" applyBorder="1" applyAlignment="1" applyProtection="1">
      <alignment vertical="center" wrapText="1"/>
      <protection hidden="1"/>
    </xf>
    <xf numFmtId="179" fontId="27" fillId="3" borderId="0" xfId="0" applyNumberFormat="1" applyFont="1" applyFill="1" applyBorder="1" applyAlignment="1" applyProtection="1">
      <alignment horizontal="center" vertical="center" wrapText="1"/>
      <protection hidden="1"/>
    </xf>
    <xf numFmtId="182" fontId="33" fillId="0" borderId="8" xfId="0" applyFont="1" applyBorder="1" applyAlignment="1" applyProtection="1">
      <alignment horizontal="left" vertical="center"/>
      <protection hidden="1"/>
    </xf>
    <xf numFmtId="49" fontId="35" fillId="3" borderId="8" xfId="0" applyNumberFormat="1" applyFont="1" applyFill="1" applyBorder="1" applyAlignment="1" applyProtection="1">
      <alignment horizontal="left" vertical="center" wrapText="1"/>
      <protection hidden="1"/>
    </xf>
    <xf numFmtId="182" fontId="39" fillId="0" borderId="8" xfId="0" applyFont="1" applyBorder="1" applyAlignment="1" applyProtection="1">
      <alignment vertical="center"/>
      <protection hidden="1"/>
    </xf>
    <xf numFmtId="179" fontId="30" fillId="29" borderId="8" xfId="0" applyNumberFormat="1" applyFont="1" applyFill="1" applyBorder="1" applyAlignment="1" applyProtection="1">
      <alignment horizontal="left" vertical="center" wrapText="1"/>
      <protection hidden="1"/>
    </xf>
    <xf numFmtId="179" fontId="30" fillId="0" borderId="8" xfId="0" applyNumberFormat="1" applyFont="1" applyFill="1" applyBorder="1" applyAlignment="1" applyProtection="1">
      <alignment horizontal="left" vertical="center" wrapText="1"/>
      <protection hidden="1"/>
    </xf>
    <xf numFmtId="49" fontId="35" fillId="0" borderId="8" xfId="0" applyNumberFormat="1" applyFont="1" applyBorder="1" applyAlignment="1" applyProtection="1">
      <alignment horizontal="left" vertical="center"/>
      <protection hidden="1"/>
    </xf>
    <xf numFmtId="181" fontId="51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35" fillId="0" borderId="8" xfId="0" applyFont="1" applyBorder="1" applyAlignment="1" applyProtection="1">
      <alignment horizontal="left" vertical="center" wrapText="1"/>
      <protection hidden="1"/>
    </xf>
    <xf numFmtId="181" fontId="34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29" fillId="0" borderId="8" xfId="0" applyFont="1" applyBorder="1" applyAlignment="1" applyProtection="1">
      <alignment horizontal="left" vertical="center" wrapText="1"/>
      <protection hidden="1"/>
    </xf>
    <xf numFmtId="179" fontId="30" fillId="12" borderId="8" xfId="0" applyNumberFormat="1" applyFont="1" applyFill="1" applyBorder="1" applyAlignment="1" applyProtection="1">
      <alignment horizontal="left" vertical="center" wrapText="1"/>
      <protection hidden="1"/>
    </xf>
    <xf numFmtId="182" fontId="29" fillId="0" borderId="8" xfId="0" applyFont="1" applyBorder="1" applyAlignment="1" applyProtection="1">
      <alignment horizontal="left" vertical="center"/>
      <protection hidden="1"/>
    </xf>
    <xf numFmtId="182" fontId="35" fillId="0" borderId="0" xfId="0" applyFont="1" applyAlignment="1" applyProtection="1">
      <alignment horizontal="left" vertical="center"/>
      <protection hidden="1"/>
    </xf>
    <xf numFmtId="182" fontId="35" fillId="12" borderId="8" xfId="0" applyFont="1" applyFill="1" applyBorder="1" applyAlignment="1" applyProtection="1">
      <alignment horizontal="left" vertical="center" wrapText="1"/>
      <protection hidden="1"/>
    </xf>
    <xf numFmtId="179" fontId="30" fillId="0" borderId="8" xfId="0" applyNumberFormat="1" applyFont="1" applyFill="1" applyBorder="1" applyAlignment="1" applyProtection="1">
      <alignment vertical="center" wrapText="1"/>
      <protection hidden="1"/>
    </xf>
    <xf numFmtId="179" fontId="30" fillId="29" borderId="8" xfId="0" applyNumberFormat="1" applyFont="1" applyFill="1" applyBorder="1" applyAlignment="1" applyProtection="1">
      <alignment vertical="center" wrapText="1"/>
      <protection hidden="1"/>
    </xf>
    <xf numFmtId="182" fontId="35" fillId="0" borderId="8" xfId="0" applyFont="1" applyBorder="1" applyAlignment="1" applyProtection="1">
      <alignment vertical="center" wrapText="1"/>
      <protection hidden="1"/>
    </xf>
    <xf numFmtId="182" fontId="35" fillId="29" borderId="8" xfId="0" applyFont="1" applyFill="1" applyBorder="1" applyAlignment="1" applyProtection="1">
      <alignment vertical="center" wrapText="1"/>
      <protection hidden="1"/>
    </xf>
    <xf numFmtId="49" fontId="63" fillId="0" borderId="8" xfId="0" applyNumberFormat="1" applyFont="1" applyBorder="1" applyAlignment="1">
      <alignment vertical="center"/>
    </xf>
    <xf numFmtId="182" fontId="30" fillId="12" borderId="8" xfId="0" applyFont="1" applyFill="1" applyBorder="1" applyAlignment="1" applyProtection="1">
      <alignment horizontal="left" vertical="center" wrapText="1"/>
      <protection hidden="1"/>
    </xf>
    <xf numFmtId="182" fontId="29" fillId="0" borderId="8" xfId="18" applyFont="1" applyBorder="1" applyAlignment="1" applyProtection="1">
      <alignment horizontal="left" vertical="center" wrapText="1"/>
      <protection hidden="1"/>
    </xf>
    <xf numFmtId="182" fontId="30" fillId="0" borderId="8" xfId="0" applyFont="1" applyBorder="1" applyAlignment="1" applyProtection="1">
      <alignment horizontal="left" vertical="center" wrapText="1"/>
      <protection hidden="1"/>
    </xf>
    <xf numFmtId="182" fontId="35" fillId="3" borderId="8" xfId="0" applyFont="1" applyFill="1" applyBorder="1" applyAlignment="1" applyProtection="1">
      <alignment horizontal="left" vertical="center"/>
      <protection hidden="1"/>
    </xf>
    <xf numFmtId="182" fontId="30" fillId="0" borderId="8" xfId="0" applyFont="1" applyBorder="1" applyAlignment="1" applyProtection="1">
      <alignment horizontal="left" vertical="center"/>
      <protection hidden="1"/>
    </xf>
    <xf numFmtId="179" fontId="30" fillId="12" borderId="8" xfId="0" applyNumberFormat="1" applyFont="1" applyFill="1" applyBorder="1" applyAlignment="1" applyProtection="1">
      <alignment vertical="center" wrapText="1"/>
      <protection hidden="1"/>
    </xf>
    <xf numFmtId="182" fontId="35" fillId="29" borderId="8" xfId="0" applyFont="1" applyFill="1" applyBorder="1" applyAlignment="1" applyProtection="1">
      <alignment horizontal="left" vertical="center" wrapText="1"/>
      <protection hidden="1"/>
    </xf>
    <xf numFmtId="49" fontId="35" fillId="0" borderId="8" xfId="0" applyNumberFormat="1" applyFont="1" applyBorder="1" applyAlignment="1" applyProtection="1">
      <alignment vertical="center"/>
      <protection hidden="1"/>
    </xf>
    <xf numFmtId="49" fontId="25" fillId="25" borderId="8" xfId="0" applyNumberFormat="1" applyFont="1" applyFill="1" applyBorder="1" applyAlignment="1">
      <alignment horizontal="center" vertical="center"/>
    </xf>
    <xf numFmtId="49" fontId="5" fillId="25" borderId="8" xfId="0" applyNumberFormat="1" applyFont="1" applyFill="1" applyBorder="1" applyAlignment="1">
      <alignment horizontal="center" vertical="center"/>
    </xf>
    <xf numFmtId="49" fontId="25" fillId="25" borderId="8" xfId="0" applyNumberFormat="1" applyFont="1" applyFill="1" applyBorder="1" applyAlignment="1">
      <alignment horizontal="center" vertical="center"/>
    </xf>
    <xf numFmtId="49" fontId="5" fillId="25" borderId="8" xfId="0" applyNumberFormat="1" applyFont="1" applyFill="1" applyBorder="1" applyAlignment="1">
      <alignment horizontal="center" vertical="center"/>
    </xf>
    <xf numFmtId="182" fontId="35" fillId="29" borderId="8" xfId="0" applyFont="1" applyFill="1" applyBorder="1" applyAlignment="1" applyProtection="1">
      <alignment horizontal="left" vertical="center"/>
      <protection hidden="1"/>
    </xf>
    <xf numFmtId="181" fontId="26" fillId="17" borderId="8" xfId="10" applyNumberFormat="1" applyFont="1" applyFill="1" applyBorder="1" applyAlignment="1" applyProtection="1">
      <alignment horizontal="center" vertical="center"/>
      <protection hidden="1"/>
    </xf>
    <xf numFmtId="181" fontId="68" fillId="17" borderId="8" xfId="9" applyNumberFormat="1" applyFont="1" applyFill="1" applyBorder="1" applyAlignment="1" applyProtection="1">
      <alignment horizontal="center" vertical="center" wrapText="1"/>
      <protection hidden="1"/>
    </xf>
    <xf numFmtId="181" fontId="69" fillId="17" borderId="8" xfId="0" applyNumberFormat="1" applyFont="1" applyFill="1" applyBorder="1" applyAlignment="1" applyProtection="1">
      <alignment horizontal="center" vertical="center"/>
      <protection hidden="1"/>
    </xf>
    <xf numFmtId="181" fontId="68" fillId="17" borderId="8" xfId="10" applyNumberFormat="1" applyFont="1" applyFill="1" applyBorder="1" applyAlignment="1" applyProtection="1">
      <alignment horizontal="center" vertical="center"/>
      <protection hidden="1"/>
    </xf>
    <xf numFmtId="181" fontId="51" fillId="17" borderId="8" xfId="9" applyNumberFormat="1" applyFont="1" applyFill="1" applyBorder="1" applyAlignment="1" applyProtection="1">
      <alignment horizontal="center" vertical="center" wrapText="1"/>
      <protection hidden="1"/>
    </xf>
    <xf numFmtId="182" fontId="5" fillId="5" borderId="8" xfId="0" applyFont="1" applyFill="1" applyBorder="1" applyAlignment="1" applyProtection="1">
      <alignment horizontal="center" vertical="center" wrapText="1"/>
      <protection hidden="1"/>
    </xf>
    <xf numFmtId="178" fontId="31" fillId="0" borderId="8" xfId="0" applyNumberFormat="1" applyFont="1" applyBorder="1" applyAlignment="1" applyProtection="1">
      <alignment horizontal="center" vertical="center" wrapText="1"/>
      <protection hidden="1"/>
    </xf>
    <xf numFmtId="182" fontId="27" fillId="12" borderId="8" xfId="9" applyFont="1" applyFill="1" applyBorder="1" applyAlignment="1" applyProtection="1">
      <alignment horizontal="center" vertical="center" wrapText="1"/>
      <protection hidden="1"/>
    </xf>
    <xf numFmtId="176" fontId="27" fillId="12" borderId="8" xfId="15" applyNumberFormat="1" applyFont="1" applyFill="1" applyBorder="1" applyAlignment="1" applyProtection="1">
      <alignment horizontal="center" vertical="center" wrapText="1"/>
      <protection hidden="1"/>
    </xf>
    <xf numFmtId="176" fontId="27" fillId="0" borderId="8" xfId="15" applyNumberFormat="1" applyFont="1" applyBorder="1" applyAlignment="1" applyProtection="1">
      <alignment horizontal="center" vertical="center" wrapText="1"/>
      <protection hidden="1"/>
    </xf>
    <xf numFmtId="182" fontId="38" fillId="28" borderId="8" xfId="0" applyFont="1" applyFill="1" applyBorder="1" applyAlignment="1" applyProtection="1">
      <alignment horizontal="center" vertical="center" wrapText="1"/>
      <protection hidden="1"/>
    </xf>
    <xf numFmtId="178" fontId="63" fillId="0" borderId="8" xfId="0" applyNumberFormat="1" applyFont="1" applyBorder="1" applyAlignment="1" applyProtection="1">
      <alignment horizontal="center" vertical="center" wrapText="1"/>
      <protection hidden="1"/>
    </xf>
    <xf numFmtId="49" fontId="65" fillId="12" borderId="8" xfId="9" applyNumberFormat="1" applyFont="1" applyFill="1" applyBorder="1" applyAlignment="1" applyProtection="1">
      <alignment horizontal="center" vertical="center" wrapText="1"/>
      <protection hidden="1"/>
    </xf>
    <xf numFmtId="181" fontId="25" fillId="12" borderId="8" xfId="9" applyNumberFormat="1" applyFont="1" applyFill="1" applyBorder="1" applyAlignment="1" applyProtection="1">
      <alignment horizontal="center" vertical="center"/>
      <protection hidden="1"/>
    </xf>
    <xf numFmtId="49" fontId="29" fillId="0" borderId="8" xfId="0" applyNumberFormat="1" applyFont="1" applyBorder="1" applyAlignment="1" applyProtection="1">
      <alignment horizontal="center" vertical="center"/>
      <protection hidden="1"/>
    </xf>
    <xf numFmtId="182" fontId="33" fillId="0" borderId="8" xfId="0" applyFont="1" applyBorder="1" applyAlignment="1" applyProtection="1">
      <alignment vertical="center"/>
      <protection hidden="1"/>
    </xf>
    <xf numFmtId="182" fontId="28" fillId="0" borderId="8" xfId="0" applyFont="1" applyBorder="1" applyAlignment="1" applyProtection="1">
      <alignment vertical="center"/>
      <protection hidden="1"/>
    </xf>
    <xf numFmtId="182" fontId="38" fillId="0" borderId="8" xfId="0" applyFont="1" applyBorder="1" applyAlignment="1" applyProtection="1">
      <alignment horizontal="center" vertical="center" wrapText="1"/>
      <protection hidden="1"/>
    </xf>
    <xf numFmtId="182" fontId="31" fillId="12" borderId="0" xfId="18" applyFont="1" applyFill="1" applyBorder="1" applyAlignment="1" applyProtection="1">
      <alignment horizontal="center" vertical="center" wrapText="1"/>
      <protection hidden="1"/>
    </xf>
    <xf numFmtId="182" fontId="31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25" fillId="0" borderId="8" xfId="34" applyNumberFormat="1" applyFont="1" applyFill="1" applyBorder="1" applyAlignment="1">
      <alignment horizontal="center" vertical="center" wrapText="1"/>
    </xf>
    <xf numFmtId="181" fontId="34" fillId="12" borderId="8" xfId="12" applyNumberFormat="1" applyFont="1" applyFill="1" applyBorder="1" applyAlignment="1" applyProtection="1">
      <alignment horizontal="center" vertical="center"/>
      <protection hidden="1"/>
    </xf>
    <xf numFmtId="181" fontId="34" fillId="17" borderId="8" xfId="10" applyNumberFormat="1" applyFont="1" applyFill="1" applyBorder="1" applyAlignment="1" applyProtection="1">
      <alignment horizontal="center" vertical="center"/>
      <protection hidden="1"/>
    </xf>
    <xf numFmtId="49" fontId="25" fillId="25" borderId="8" xfId="0" applyNumberFormat="1" applyFont="1" applyFill="1" applyBorder="1" applyAlignment="1">
      <alignment horizontal="center" vertical="center"/>
    </xf>
    <xf numFmtId="49" fontId="50" fillId="25" borderId="8" xfId="0" applyNumberFormat="1" applyFont="1" applyFill="1" applyBorder="1" applyAlignment="1">
      <alignment horizontal="center" vertical="center"/>
    </xf>
    <xf numFmtId="49" fontId="25" fillId="25" borderId="8" xfId="0" applyNumberFormat="1" applyFont="1" applyFill="1" applyBorder="1" applyAlignment="1">
      <alignment horizontal="center" vertical="center"/>
    </xf>
    <xf numFmtId="182" fontId="23" fillId="7" borderId="15" xfId="0" applyFont="1" applyFill="1" applyBorder="1" applyAlignment="1" applyProtection="1">
      <alignment horizontal="center" vertical="center" wrapText="1"/>
      <protection hidden="1"/>
    </xf>
    <xf numFmtId="49" fontId="25" fillId="25" borderId="8" xfId="0" applyNumberFormat="1" applyFont="1" applyFill="1" applyBorder="1" applyAlignment="1">
      <alignment horizontal="center" vertical="center"/>
    </xf>
    <xf numFmtId="49" fontId="5" fillId="25" borderId="8" xfId="0" applyNumberFormat="1" applyFont="1" applyFill="1" applyBorder="1" applyAlignment="1">
      <alignment horizontal="center" vertical="center"/>
    </xf>
    <xf numFmtId="182" fontId="22" fillId="12" borderId="8" xfId="18" applyFont="1" applyFill="1" applyBorder="1" applyAlignment="1" applyProtection="1">
      <alignment horizontal="center" vertical="center" wrapText="1"/>
      <protection hidden="1"/>
    </xf>
    <xf numFmtId="178" fontId="22" fillId="0" borderId="8" xfId="0" applyNumberFormat="1" applyFont="1" applyBorder="1" applyAlignment="1" applyProtection="1">
      <alignment horizontal="center" vertical="center"/>
      <protection hidden="1"/>
    </xf>
    <xf numFmtId="49" fontId="25" fillId="25" borderId="8" xfId="0" applyNumberFormat="1" applyFont="1" applyFill="1" applyBorder="1" applyAlignment="1">
      <alignment horizontal="center" vertical="center"/>
    </xf>
    <xf numFmtId="49" fontId="5" fillId="25" borderId="8" xfId="0" applyNumberFormat="1" applyFont="1" applyFill="1" applyBorder="1" applyAlignment="1">
      <alignment horizontal="center" vertical="center"/>
    </xf>
    <xf numFmtId="182" fontId="80" fillId="0" borderId="0" xfId="0" applyFont="1" applyAlignment="1" applyProtection="1">
      <alignment vertical="center"/>
      <protection hidden="1"/>
    </xf>
    <xf numFmtId="49" fontId="82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79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85" fillId="12" borderId="8" xfId="9" applyNumberFormat="1" applyFont="1" applyFill="1" applyBorder="1" applyAlignment="1" applyProtection="1">
      <alignment horizontal="center" vertical="center" wrapText="1"/>
      <protection hidden="1"/>
    </xf>
    <xf numFmtId="179" fontId="84" fillId="3" borderId="8" xfId="0" applyNumberFormat="1" applyFont="1" applyFill="1" applyBorder="1" applyAlignment="1" applyProtection="1">
      <alignment horizontal="center" vertical="center" wrapText="1"/>
      <protection hidden="1"/>
    </xf>
    <xf numFmtId="178" fontId="79" fillId="3" borderId="8" xfId="9" applyNumberFormat="1" applyFont="1" applyFill="1" applyBorder="1" applyAlignment="1" applyProtection="1">
      <alignment horizontal="center" vertical="center" wrapText="1"/>
      <protection hidden="1"/>
    </xf>
    <xf numFmtId="178" fontId="86" fillId="12" borderId="8" xfId="9" applyNumberFormat="1" applyFont="1" applyFill="1" applyBorder="1" applyAlignment="1" applyProtection="1">
      <alignment horizontal="center" vertical="center" wrapText="1"/>
      <protection hidden="1"/>
    </xf>
    <xf numFmtId="179" fontId="87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81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79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83" fillId="3" borderId="8" xfId="0" applyNumberFormat="1" applyFont="1" applyFill="1" applyBorder="1" applyAlignment="1" applyProtection="1">
      <alignment horizontal="center" vertical="center" wrapText="1"/>
      <protection hidden="1"/>
    </xf>
    <xf numFmtId="178" fontId="85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88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82" fillId="3" borderId="8" xfId="0" applyNumberFormat="1" applyFont="1" applyFill="1" applyBorder="1" applyAlignment="1" applyProtection="1">
      <alignment horizontal="center" vertical="center" wrapText="1"/>
      <protection hidden="1"/>
    </xf>
    <xf numFmtId="179" fontId="81" fillId="0" borderId="8" xfId="0" applyNumberFormat="1" applyFont="1" applyBorder="1" applyAlignment="1" applyProtection="1">
      <alignment horizontal="center" vertical="center" wrapText="1"/>
      <protection hidden="1"/>
    </xf>
    <xf numFmtId="179" fontId="84" fillId="0" borderId="8" xfId="0" applyNumberFormat="1" applyFont="1" applyFill="1" applyBorder="1" applyAlignment="1" applyProtection="1">
      <alignment horizontal="center" vertical="center" wrapText="1"/>
      <protection hidden="1"/>
    </xf>
    <xf numFmtId="182" fontId="79" fillId="12" borderId="8" xfId="0" applyFont="1" applyFill="1" applyBorder="1" applyAlignment="1" applyProtection="1">
      <alignment horizontal="center" vertical="center"/>
      <protection hidden="1"/>
    </xf>
    <xf numFmtId="178" fontId="89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86" fillId="0" borderId="8" xfId="0" applyFont="1" applyBorder="1" applyAlignment="1" applyProtection="1">
      <alignment horizontal="center" vertical="center" wrapText="1"/>
      <protection hidden="1"/>
    </xf>
    <xf numFmtId="178" fontId="90" fillId="3" borderId="8" xfId="9" applyNumberFormat="1" applyFont="1" applyFill="1" applyBorder="1" applyAlignment="1" applyProtection="1">
      <alignment horizontal="center" vertical="center" wrapText="1"/>
      <protection hidden="1"/>
    </xf>
    <xf numFmtId="179" fontId="87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85" fillId="3" borderId="8" xfId="9" applyNumberFormat="1" applyFont="1" applyFill="1" applyBorder="1" applyAlignment="1" applyProtection="1">
      <alignment horizontal="center" vertical="center" wrapText="1"/>
      <protection hidden="1"/>
    </xf>
    <xf numFmtId="179" fontId="84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79" fillId="0" borderId="8" xfId="0" applyFont="1" applyBorder="1" applyAlignment="1" applyProtection="1">
      <alignment horizontal="center" vertical="center"/>
      <protection hidden="1"/>
    </xf>
    <xf numFmtId="49" fontId="81" fillId="3" borderId="8" xfId="9" applyNumberFormat="1" applyFont="1" applyFill="1" applyBorder="1" applyAlignment="1" applyProtection="1">
      <alignment horizontal="center" vertical="center" wrapText="1"/>
      <protection hidden="1"/>
    </xf>
    <xf numFmtId="178" fontId="79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82" fillId="3" borderId="8" xfId="9" applyNumberFormat="1" applyFont="1" applyFill="1" applyBorder="1" applyAlignment="1" applyProtection="1">
      <alignment horizontal="center" vertical="center" wrapText="1"/>
      <protection hidden="1"/>
    </xf>
    <xf numFmtId="179" fontId="84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79" fillId="0" borderId="8" xfId="0" applyFont="1" applyBorder="1" applyAlignment="1" applyProtection="1">
      <alignment horizontal="center" vertical="center" wrapText="1"/>
      <protection hidden="1"/>
    </xf>
    <xf numFmtId="49" fontId="79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83" fillId="0" borderId="8" xfId="0" applyFont="1" applyBorder="1" applyAlignment="1" applyProtection="1">
      <alignment horizontal="center" vertical="center" wrapText="1"/>
      <protection hidden="1"/>
    </xf>
    <xf numFmtId="178" fontId="83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83" fillId="4" borderId="8" xfId="0" applyFont="1" applyFill="1" applyBorder="1" applyAlignment="1" applyProtection="1">
      <alignment horizontal="center" vertical="center" wrapText="1"/>
      <protection hidden="1"/>
    </xf>
    <xf numFmtId="178" fontId="92" fillId="3" borderId="8" xfId="9" applyNumberFormat="1" applyFont="1" applyFill="1" applyBorder="1" applyAlignment="1" applyProtection="1">
      <alignment horizontal="center" vertical="center" wrapText="1"/>
      <protection hidden="1"/>
    </xf>
    <xf numFmtId="178" fontId="92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91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82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79" fillId="0" borderId="8" xfId="0" applyNumberFormat="1" applyFont="1" applyBorder="1" applyAlignment="1" applyProtection="1">
      <alignment horizontal="center" vertical="center" wrapText="1"/>
      <protection hidden="1"/>
    </xf>
    <xf numFmtId="49" fontId="85" fillId="0" borderId="8" xfId="0" applyNumberFormat="1" applyFont="1" applyBorder="1" applyAlignment="1" applyProtection="1">
      <alignment horizontal="center" vertical="center" wrapText="1"/>
      <protection hidden="1"/>
    </xf>
    <xf numFmtId="182" fontId="83" fillId="4" borderId="8" xfId="9" applyFont="1" applyFill="1" applyBorder="1" applyAlignment="1" applyProtection="1">
      <alignment horizontal="center" vertical="center" wrapText="1"/>
      <protection hidden="1"/>
    </xf>
    <xf numFmtId="49" fontId="84" fillId="12" borderId="8" xfId="9" applyNumberFormat="1" applyFont="1" applyFill="1" applyBorder="1" applyAlignment="1" applyProtection="1">
      <alignment horizontal="center" vertical="center" wrapText="1"/>
      <protection hidden="1"/>
    </xf>
    <xf numFmtId="178" fontId="83" fillId="12" borderId="8" xfId="9" applyNumberFormat="1" applyFont="1" applyFill="1" applyBorder="1" applyAlignment="1" applyProtection="1">
      <alignment horizontal="center" vertical="center" wrapText="1"/>
      <protection hidden="1"/>
    </xf>
    <xf numFmtId="177" fontId="86" fillId="3" borderId="8" xfId="9" applyNumberFormat="1" applyFont="1" applyFill="1" applyBorder="1" applyAlignment="1" applyProtection="1">
      <alignment horizontal="center" vertical="center" wrapText="1"/>
      <protection hidden="1"/>
    </xf>
    <xf numFmtId="178" fontId="85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93" fillId="0" borderId="0" xfId="0" applyFont="1" applyAlignment="1" applyProtection="1">
      <alignment vertical="center"/>
      <protection hidden="1"/>
    </xf>
    <xf numFmtId="177" fontId="79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79" fillId="12" borderId="8" xfId="0" applyFont="1" applyFill="1" applyBorder="1" applyAlignment="1" applyProtection="1">
      <alignment horizontal="center" vertical="center" wrapText="1"/>
      <protection hidden="1"/>
    </xf>
    <xf numFmtId="182" fontId="94" fillId="0" borderId="8" xfId="0" applyFont="1" applyBorder="1" applyAlignment="1" applyProtection="1">
      <alignment horizontal="center" vertical="center" wrapText="1"/>
      <protection hidden="1"/>
    </xf>
    <xf numFmtId="49" fontId="84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79" fillId="0" borderId="8" xfId="0" applyNumberFormat="1" applyFont="1" applyFill="1" applyBorder="1" applyAlignment="1" applyProtection="1">
      <alignment horizontal="center" vertical="center" wrapText="1"/>
      <protection hidden="1"/>
    </xf>
    <xf numFmtId="182" fontId="88" fillId="12" borderId="8" xfId="0" applyFont="1" applyFill="1" applyBorder="1" applyAlignment="1" applyProtection="1">
      <alignment horizontal="center" vertical="center" wrapText="1"/>
      <protection hidden="1"/>
    </xf>
    <xf numFmtId="49" fontId="85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85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84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87" fillId="0" borderId="8" xfId="0" applyFont="1" applyBorder="1" applyAlignment="1" applyProtection="1">
      <alignment horizontal="center" vertical="center" wrapText="1"/>
      <protection hidden="1"/>
    </xf>
    <xf numFmtId="182" fontId="88" fillId="0" borderId="8" xfId="0" applyFont="1" applyBorder="1" applyAlignment="1" applyProtection="1">
      <alignment horizontal="center" vertical="center" wrapText="1"/>
      <protection hidden="1"/>
    </xf>
    <xf numFmtId="179" fontId="85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83" fillId="6" borderId="15" xfId="0" applyFont="1" applyFill="1" applyBorder="1" applyAlignment="1" applyProtection="1">
      <alignment horizontal="center" vertical="center" wrapText="1"/>
      <protection hidden="1"/>
    </xf>
    <xf numFmtId="182" fontId="89" fillId="12" borderId="8" xfId="0" applyFont="1" applyFill="1" applyBorder="1" applyAlignment="1" applyProtection="1">
      <alignment horizontal="center" vertical="center"/>
      <protection hidden="1"/>
    </xf>
    <xf numFmtId="49" fontId="84" fillId="0" borderId="8" xfId="0" applyNumberFormat="1" applyFont="1" applyBorder="1" applyAlignment="1" applyProtection="1">
      <alignment horizontal="center" vertical="center" wrapText="1"/>
      <protection hidden="1"/>
    </xf>
    <xf numFmtId="179" fontId="85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83" fillId="12" borderId="8" xfId="0" applyFont="1" applyFill="1" applyBorder="1" applyAlignment="1" applyProtection="1">
      <alignment horizontal="center" vertical="center" wrapText="1"/>
      <protection hidden="1"/>
    </xf>
    <xf numFmtId="178" fontId="92" fillId="0" borderId="8" xfId="0" applyNumberFormat="1" applyFont="1" applyBorder="1" applyAlignment="1" applyProtection="1">
      <alignment horizontal="center" vertical="center" wrapText="1"/>
      <protection hidden="1"/>
    </xf>
    <xf numFmtId="182" fontId="83" fillId="6" borderId="8" xfId="0" applyFont="1" applyFill="1" applyBorder="1" applyAlignment="1" applyProtection="1">
      <alignment horizontal="center" vertical="center" wrapText="1"/>
      <protection hidden="1"/>
    </xf>
    <xf numFmtId="49" fontId="91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94" fillId="12" borderId="8" xfId="0" applyFont="1" applyFill="1" applyBorder="1" applyAlignment="1" applyProtection="1">
      <alignment horizontal="center" vertical="center" wrapText="1"/>
      <protection hidden="1"/>
    </xf>
    <xf numFmtId="182" fontId="83" fillId="16" borderId="8" xfId="0" applyFont="1" applyFill="1" applyBorder="1" applyAlignment="1" applyProtection="1">
      <alignment horizontal="center" vertical="center" wrapText="1"/>
      <protection hidden="1"/>
    </xf>
    <xf numFmtId="177" fontId="83" fillId="0" borderId="8" xfId="0" applyNumberFormat="1" applyFont="1" applyFill="1" applyBorder="1" applyAlignment="1" applyProtection="1">
      <alignment horizontal="center" vertical="center" wrapText="1"/>
      <protection hidden="1"/>
    </xf>
    <xf numFmtId="182" fontId="83" fillId="23" borderId="8" xfId="0" applyFont="1" applyFill="1" applyBorder="1" applyAlignment="1" applyProtection="1">
      <alignment horizontal="center" vertical="center" wrapText="1"/>
      <protection hidden="1"/>
    </xf>
    <xf numFmtId="182" fontId="83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83" fillId="12" borderId="8" xfId="0" applyNumberFormat="1" applyFont="1" applyFill="1" applyBorder="1" applyAlignment="1" applyProtection="1">
      <alignment horizontal="center" vertical="center"/>
      <protection hidden="1"/>
    </xf>
    <xf numFmtId="182" fontId="83" fillId="7" borderId="8" xfId="9" applyFont="1" applyFill="1" applyBorder="1" applyAlignment="1" applyProtection="1">
      <alignment horizontal="center" vertical="center" wrapText="1"/>
      <protection hidden="1"/>
    </xf>
    <xf numFmtId="49" fontId="85" fillId="0" borderId="8" xfId="11" applyNumberFormat="1" applyFont="1" applyBorder="1" applyAlignment="1" applyProtection="1">
      <alignment horizontal="center" vertical="center"/>
      <protection hidden="1"/>
    </xf>
    <xf numFmtId="182" fontId="96" fillId="0" borderId="0" xfId="0" applyFont="1" applyAlignment="1" applyProtection="1">
      <alignment vertical="center"/>
      <protection hidden="1"/>
    </xf>
    <xf numFmtId="49" fontId="100" fillId="3" borderId="8" xfId="0" applyNumberFormat="1" applyFont="1" applyFill="1" applyBorder="1" applyAlignment="1" applyProtection="1">
      <alignment horizontal="center" vertical="center" wrapText="1"/>
      <protection hidden="1"/>
    </xf>
    <xf numFmtId="179" fontId="99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101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98" fillId="3" borderId="8" xfId="0" applyNumberFormat="1" applyFont="1" applyFill="1" applyBorder="1" applyAlignment="1" applyProtection="1">
      <alignment horizontal="center" vertical="center" wrapText="1"/>
      <protection hidden="1"/>
    </xf>
    <xf numFmtId="178" fontId="102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103" fillId="3" borderId="8" xfId="0" applyFont="1" applyFill="1" applyBorder="1" applyAlignment="1" applyProtection="1">
      <alignment horizontal="center" vertical="center" wrapText="1"/>
      <protection hidden="1"/>
    </xf>
    <xf numFmtId="179" fontId="97" fillId="0" borderId="8" xfId="0" applyNumberFormat="1" applyFont="1" applyBorder="1" applyAlignment="1" applyProtection="1">
      <alignment horizontal="center" vertical="center" wrapText="1"/>
      <protection hidden="1"/>
    </xf>
    <xf numFmtId="179" fontId="100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101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104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100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98" fillId="3" borderId="8" xfId="9" applyNumberFormat="1" applyFont="1" applyFill="1" applyBorder="1" applyAlignment="1" applyProtection="1">
      <alignment horizontal="center" vertical="center" wrapText="1"/>
      <protection hidden="1"/>
    </xf>
    <xf numFmtId="178" fontId="98" fillId="3" borderId="8" xfId="9" applyNumberFormat="1" applyFont="1" applyFill="1" applyBorder="1" applyAlignment="1" applyProtection="1">
      <alignment horizontal="center" vertical="center" wrapText="1"/>
      <protection hidden="1"/>
    </xf>
    <xf numFmtId="179" fontId="101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105" fillId="19" borderId="8" xfId="0" applyNumberFormat="1" applyFont="1" applyFill="1" applyBorder="1" applyAlignment="1" applyProtection="1">
      <alignment horizontal="center" vertical="center" wrapText="1"/>
      <protection hidden="1"/>
    </xf>
    <xf numFmtId="182" fontId="105" fillId="19" borderId="8" xfId="0" applyFont="1" applyFill="1" applyBorder="1" applyAlignment="1" applyProtection="1">
      <alignment horizontal="center" vertical="center" wrapText="1"/>
      <protection hidden="1"/>
    </xf>
    <xf numFmtId="49" fontId="105" fillId="22" borderId="8" xfId="0" applyNumberFormat="1" applyFont="1" applyFill="1" applyBorder="1" applyAlignment="1" applyProtection="1">
      <alignment horizontal="center" vertical="center" wrapText="1"/>
      <protection hidden="1"/>
    </xf>
    <xf numFmtId="178" fontId="105" fillId="19" borderId="8" xfId="0" applyNumberFormat="1" applyFont="1" applyFill="1" applyBorder="1" applyAlignment="1" applyProtection="1">
      <alignment horizontal="center" vertical="center" wrapText="1"/>
      <protection hidden="1"/>
    </xf>
    <xf numFmtId="49" fontId="106" fillId="19" borderId="8" xfId="0" applyNumberFormat="1" applyFont="1" applyFill="1" applyBorder="1" applyAlignment="1" applyProtection="1">
      <alignment horizontal="center" vertical="center" wrapText="1"/>
      <protection hidden="1"/>
    </xf>
    <xf numFmtId="179" fontId="105" fillId="19" borderId="8" xfId="0" applyNumberFormat="1" applyFont="1" applyFill="1" applyBorder="1" applyAlignment="1" applyProtection="1">
      <alignment horizontal="center" vertical="center" wrapText="1"/>
      <protection hidden="1"/>
    </xf>
    <xf numFmtId="179" fontId="98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95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103" fillId="12" borderId="8" xfId="0" applyFont="1" applyFill="1" applyBorder="1" applyAlignment="1" applyProtection="1">
      <alignment horizontal="center" vertical="center" wrapText="1"/>
      <protection hidden="1"/>
    </xf>
    <xf numFmtId="178" fontId="101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95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103" fillId="0" borderId="8" xfId="0" applyFont="1" applyBorder="1" applyAlignment="1" applyProtection="1">
      <alignment horizontal="center" vertical="center" wrapText="1"/>
      <protection hidden="1"/>
    </xf>
    <xf numFmtId="179" fontId="100" fillId="0" borderId="8" xfId="0" applyNumberFormat="1" applyFont="1" applyBorder="1" applyAlignment="1" applyProtection="1">
      <alignment horizontal="center" vertical="center" wrapText="1"/>
      <protection hidden="1"/>
    </xf>
    <xf numFmtId="49" fontId="98" fillId="12" borderId="8" xfId="9" applyNumberFormat="1" applyFont="1" applyFill="1" applyBorder="1" applyAlignment="1" applyProtection="1">
      <alignment horizontal="center" vertical="center" wrapText="1"/>
      <protection hidden="1"/>
    </xf>
    <xf numFmtId="179" fontId="102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98" fillId="12" borderId="8" xfId="0" applyNumberFormat="1" applyFont="1" applyFill="1" applyBorder="1" applyAlignment="1" applyProtection="1">
      <alignment horizontal="center" vertical="center" wrapText="1"/>
      <protection hidden="1"/>
    </xf>
    <xf numFmtId="179" fontId="102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101" fillId="0" borderId="8" xfId="0" applyFont="1" applyBorder="1" applyAlignment="1" applyProtection="1">
      <alignment horizontal="center" vertical="center" wrapText="1"/>
      <protection hidden="1"/>
    </xf>
    <xf numFmtId="179" fontId="100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104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100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98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104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95" fillId="19" borderId="8" xfId="0" applyNumberFormat="1" applyFont="1" applyFill="1" applyBorder="1" applyAlignment="1" applyProtection="1">
      <alignment horizontal="center" vertical="center" wrapText="1"/>
      <protection hidden="1"/>
    </xf>
    <xf numFmtId="182" fontId="98" fillId="6" borderId="8" xfId="0" applyFont="1" applyFill="1" applyBorder="1" applyAlignment="1" applyProtection="1">
      <alignment horizontal="center" vertical="center" wrapText="1"/>
      <protection hidden="1"/>
    </xf>
    <xf numFmtId="182" fontId="100" fillId="0" borderId="8" xfId="0" applyFont="1" applyBorder="1" applyAlignment="1" applyProtection="1">
      <alignment horizontal="center" vertical="center" wrapText="1"/>
      <protection hidden="1"/>
    </xf>
    <xf numFmtId="49" fontId="95" fillId="0" borderId="8" xfId="0" applyNumberFormat="1" applyFont="1" applyBorder="1" applyAlignment="1" applyProtection="1">
      <alignment horizontal="center" vertical="center" wrapText="1"/>
      <protection hidden="1"/>
    </xf>
    <xf numFmtId="49" fontId="100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100" fillId="0" borderId="8" xfId="0" applyNumberFormat="1" applyFont="1" applyBorder="1" applyAlignment="1" applyProtection="1">
      <alignment horizontal="center" vertical="center" wrapText="1"/>
      <protection hidden="1"/>
    </xf>
    <xf numFmtId="49" fontId="100" fillId="3" borderId="8" xfId="9" applyNumberFormat="1" applyFont="1" applyFill="1" applyBorder="1" applyAlignment="1" applyProtection="1">
      <alignment horizontal="center" vertical="center" wrapText="1"/>
      <protection hidden="1"/>
    </xf>
    <xf numFmtId="179" fontId="95" fillId="0" borderId="8" xfId="0" applyNumberFormat="1" applyFont="1" applyBorder="1" applyAlignment="1" applyProtection="1">
      <alignment horizontal="center" vertical="center" wrapText="1"/>
      <protection hidden="1"/>
    </xf>
    <xf numFmtId="182" fontId="98" fillId="7" borderId="8" xfId="0" applyFont="1" applyFill="1" applyBorder="1" applyAlignment="1" applyProtection="1">
      <alignment horizontal="center" vertical="center" wrapText="1"/>
      <protection hidden="1"/>
    </xf>
    <xf numFmtId="49" fontId="95" fillId="0" borderId="8" xfId="0" applyNumberFormat="1" applyFont="1" applyBorder="1" applyAlignment="1" applyProtection="1">
      <alignment horizontal="center" vertical="center"/>
      <protection hidden="1"/>
    </xf>
    <xf numFmtId="49" fontId="95" fillId="12" borderId="8" xfId="0" applyNumberFormat="1" applyFont="1" applyFill="1" applyBorder="1" applyAlignment="1" applyProtection="1">
      <alignment horizontal="center" vertical="center"/>
      <protection hidden="1"/>
    </xf>
    <xf numFmtId="179" fontId="101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95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98" fillId="4" borderId="8" xfId="0" applyFont="1" applyFill="1" applyBorder="1" applyAlignment="1" applyProtection="1">
      <alignment horizontal="center" vertical="center" wrapText="1"/>
      <protection hidden="1"/>
    </xf>
    <xf numFmtId="182" fontId="101" fillId="12" borderId="8" xfId="0" applyFont="1" applyFill="1" applyBorder="1" applyAlignment="1" applyProtection="1">
      <alignment horizontal="center" vertical="center" wrapText="1"/>
      <protection hidden="1"/>
    </xf>
    <xf numFmtId="178" fontId="101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100" fillId="3" borderId="8" xfId="9" applyNumberFormat="1" applyFont="1" applyFill="1" applyBorder="1" applyAlignment="1" applyProtection="1">
      <alignment horizontal="center" vertical="center"/>
      <protection hidden="1"/>
    </xf>
    <xf numFmtId="178" fontId="100" fillId="3" borderId="8" xfId="9" applyNumberFormat="1" applyFont="1" applyFill="1" applyBorder="1" applyAlignment="1" applyProtection="1">
      <alignment horizontal="center" vertical="center"/>
      <protection hidden="1"/>
    </xf>
    <xf numFmtId="178" fontId="100" fillId="0" borderId="8" xfId="0" applyNumberFormat="1" applyFont="1" applyBorder="1" applyAlignment="1" applyProtection="1">
      <alignment horizontal="center" vertical="center"/>
      <protection hidden="1"/>
    </xf>
    <xf numFmtId="182" fontId="103" fillId="3" borderId="8" xfId="0" applyFont="1" applyFill="1" applyBorder="1" applyAlignment="1" applyProtection="1">
      <alignment horizontal="center" vertical="center"/>
      <protection hidden="1"/>
    </xf>
    <xf numFmtId="182" fontId="100" fillId="12" borderId="8" xfId="0" applyNumberFormat="1" applyFont="1" applyFill="1" applyBorder="1" applyAlignment="1" applyProtection="1">
      <alignment horizontal="center" vertical="center" wrapText="1"/>
      <protection hidden="1"/>
    </xf>
    <xf numFmtId="178" fontId="107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100" fillId="12" borderId="8" xfId="9" applyNumberFormat="1" applyFont="1" applyFill="1" applyBorder="1" applyAlignment="1" applyProtection="1">
      <alignment horizontal="center" vertical="center" wrapText="1"/>
      <protection hidden="1"/>
    </xf>
    <xf numFmtId="178" fontId="100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97" fillId="0" borderId="0" xfId="0" applyFont="1" applyAlignment="1" applyProtection="1">
      <alignment horizontal="center" vertical="center"/>
      <protection hidden="1"/>
    </xf>
    <xf numFmtId="182" fontId="97" fillId="0" borderId="0" xfId="0" applyFont="1" applyFill="1" applyBorder="1" applyAlignment="1" applyProtection="1">
      <alignment horizontal="center" vertical="center" wrapText="1"/>
      <protection hidden="1"/>
    </xf>
    <xf numFmtId="182" fontId="99" fillId="0" borderId="0" xfId="0" applyFont="1" applyFill="1" applyBorder="1" applyAlignment="1" applyProtection="1">
      <alignment horizontal="center" vertical="center"/>
      <protection hidden="1"/>
    </xf>
    <xf numFmtId="49" fontId="99" fillId="0" borderId="0" xfId="0" applyNumberFormat="1" applyFont="1" applyFill="1" applyBorder="1" applyAlignment="1" applyProtection="1">
      <alignment horizontal="center" vertical="center"/>
      <protection hidden="1"/>
    </xf>
    <xf numFmtId="182" fontId="99" fillId="0" borderId="0" xfId="0" applyFont="1" applyBorder="1" applyAlignment="1" applyProtection="1">
      <alignment horizontal="center" vertical="center"/>
      <protection hidden="1"/>
    </xf>
    <xf numFmtId="182" fontId="97" fillId="0" borderId="0" xfId="0" applyFont="1" applyAlignment="1" applyProtection="1">
      <alignment vertical="center"/>
      <protection hidden="1"/>
    </xf>
    <xf numFmtId="182" fontId="108" fillId="0" borderId="0" xfId="0" applyFont="1" applyAlignment="1" applyProtection="1">
      <alignment horizontal="center" vertical="center"/>
      <protection hidden="1"/>
    </xf>
    <xf numFmtId="182" fontId="108" fillId="0" borderId="0" xfId="0" applyFont="1" applyAlignment="1" applyProtection="1">
      <alignment vertical="center"/>
      <protection hidden="1"/>
    </xf>
    <xf numFmtId="49" fontId="108" fillId="0" borderId="0" xfId="0" applyNumberFormat="1" applyFont="1" applyAlignment="1" applyProtection="1">
      <alignment vertical="center"/>
      <protection hidden="1"/>
    </xf>
    <xf numFmtId="182" fontId="95" fillId="0" borderId="0" xfId="0" applyFont="1" applyAlignment="1" applyProtection="1">
      <alignment horizontal="center" vertical="center"/>
      <protection hidden="1"/>
    </xf>
    <xf numFmtId="182" fontId="95" fillId="0" borderId="0" xfId="0" applyFont="1" applyAlignment="1" applyProtection="1">
      <alignment vertical="center"/>
      <protection hidden="1"/>
    </xf>
    <xf numFmtId="49" fontId="95" fillId="0" borderId="0" xfId="0" applyNumberFormat="1" applyFont="1" applyAlignment="1" applyProtection="1">
      <alignment vertical="center"/>
      <protection hidden="1"/>
    </xf>
    <xf numFmtId="182" fontId="103" fillId="0" borderId="0" xfId="0" applyFont="1" applyAlignment="1" applyProtection="1">
      <alignment vertical="center"/>
      <protection hidden="1"/>
    </xf>
    <xf numFmtId="181" fontId="25" fillId="12" borderId="8" xfId="9" applyNumberFormat="1" applyFont="1" applyFill="1" applyBorder="1" applyAlignment="1" applyProtection="1">
      <alignment horizontal="center" vertical="center" wrapText="1"/>
      <protection hidden="1"/>
    </xf>
    <xf numFmtId="181" fontId="25" fillId="3" borderId="8" xfId="9" applyNumberFormat="1" applyFont="1" applyFill="1" applyBorder="1" applyAlignment="1" applyProtection="1">
      <alignment horizontal="center" vertical="center" wrapText="1"/>
      <protection hidden="1"/>
    </xf>
    <xf numFmtId="181" fontId="25" fillId="12" borderId="8" xfId="11" applyNumberFormat="1" applyFont="1" applyFill="1" applyBorder="1" applyAlignment="1" applyProtection="1">
      <alignment horizontal="center" vertical="center" wrapText="1"/>
      <protection hidden="1"/>
    </xf>
    <xf numFmtId="181" fontId="25" fillId="0" borderId="8" xfId="0" applyNumberFormat="1" applyFont="1" applyFill="1" applyBorder="1" applyAlignment="1" applyProtection="1">
      <alignment horizontal="center" vertical="center"/>
      <protection hidden="1"/>
    </xf>
    <xf numFmtId="181" fontId="25" fillId="0" borderId="8" xfId="0" applyNumberFormat="1" applyFont="1" applyBorder="1" applyAlignment="1" applyProtection="1">
      <alignment horizontal="center" vertical="center"/>
      <protection hidden="1"/>
    </xf>
    <xf numFmtId="181" fontId="25" fillId="12" borderId="8" xfId="11" applyNumberFormat="1" applyFont="1" applyFill="1" applyBorder="1" applyAlignment="1">
      <alignment horizontal="center" vertical="center"/>
    </xf>
    <xf numFmtId="181" fontId="25" fillId="12" borderId="8" xfId="22" applyNumberFormat="1" applyFont="1" applyFill="1" applyBorder="1" applyAlignment="1">
      <alignment horizontal="center" vertical="center"/>
    </xf>
    <xf numFmtId="181" fontId="25" fillId="12" borderId="8" xfId="18" applyNumberFormat="1" applyFont="1" applyFill="1" applyBorder="1" applyAlignment="1" applyProtection="1">
      <alignment horizontal="center" vertical="center" wrapText="1"/>
      <protection hidden="1"/>
    </xf>
    <xf numFmtId="181" fontId="25" fillId="12" borderId="8" xfId="23" applyNumberFormat="1" applyFont="1" applyFill="1" applyBorder="1" applyAlignment="1">
      <alignment horizontal="center" vertical="center"/>
    </xf>
    <xf numFmtId="181" fontId="25" fillId="12" borderId="8" xfId="25" applyNumberFormat="1" applyFont="1" applyFill="1" applyBorder="1" applyAlignment="1" applyProtection="1">
      <alignment horizontal="center" vertical="center"/>
      <protection hidden="1"/>
    </xf>
    <xf numFmtId="181" fontId="25" fillId="12" borderId="8" xfId="0" applyNumberFormat="1" applyFont="1" applyFill="1" applyBorder="1" applyAlignment="1">
      <alignment horizontal="center" vertical="center" wrapText="1"/>
    </xf>
    <xf numFmtId="181" fontId="25" fillId="0" borderId="8" xfId="0" applyNumberFormat="1" applyFont="1" applyBorder="1" applyAlignment="1" applyProtection="1">
      <alignment horizontal="center" vertical="center" wrapText="1"/>
      <protection hidden="1"/>
    </xf>
    <xf numFmtId="181" fontId="25" fillId="12" borderId="8" xfId="19" applyNumberFormat="1" applyFont="1" applyFill="1" applyBorder="1" applyAlignment="1" applyProtection="1">
      <alignment horizontal="center" vertical="center" wrapText="1"/>
      <protection hidden="1"/>
    </xf>
    <xf numFmtId="181" fontId="25" fillId="3" borderId="8" xfId="19" applyNumberFormat="1" applyFont="1" applyFill="1" applyBorder="1" applyAlignment="1" applyProtection="1">
      <alignment horizontal="center" vertical="center" wrapText="1"/>
      <protection hidden="1"/>
    </xf>
    <xf numFmtId="181" fontId="25" fillId="8" borderId="8" xfId="11" applyNumberFormat="1" applyFont="1" applyFill="1" applyBorder="1" applyAlignment="1" applyProtection="1">
      <alignment horizontal="center" vertical="center" wrapText="1"/>
      <protection hidden="1"/>
    </xf>
    <xf numFmtId="181" fontId="25" fillId="12" borderId="8" xfId="0" applyNumberFormat="1" applyFont="1" applyFill="1" applyBorder="1" applyAlignment="1">
      <alignment horizontal="center" vertical="center"/>
    </xf>
    <xf numFmtId="182" fontId="109" fillId="0" borderId="0" xfId="0" applyFont="1" applyAlignment="1" applyProtection="1">
      <alignment vertical="center"/>
      <protection hidden="1"/>
    </xf>
    <xf numFmtId="49" fontId="113" fillId="12" borderId="8" xfId="9" applyNumberFormat="1" applyFont="1" applyFill="1" applyBorder="1" applyAlignment="1" applyProtection="1">
      <alignment horizontal="center" vertical="center" wrapText="1"/>
      <protection hidden="1"/>
    </xf>
    <xf numFmtId="179" fontId="112" fillId="0" borderId="8" xfId="0" applyNumberFormat="1" applyFont="1" applyFill="1" applyBorder="1" applyAlignment="1" applyProtection="1">
      <alignment horizontal="center" vertical="center" wrapText="1"/>
      <protection hidden="1"/>
    </xf>
    <xf numFmtId="179" fontId="113" fillId="12" borderId="8" xfId="0" applyNumberFormat="1" applyFont="1" applyFill="1" applyBorder="1" applyAlignment="1" applyProtection="1">
      <alignment horizontal="center" vertical="center" wrapText="1"/>
      <protection hidden="1"/>
    </xf>
    <xf numFmtId="179" fontId="109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114" fillId="0" borderId="8" xfId="0" applyFont="1" applyBorder="1" applyAlignment="1" applyProtection="1">
      <alignment horizontal="center" vertical="center" wrapText="1"/>
      <protection hidden="1"/>
    </xf>
    <xf numFmtId="179" fontId="112" fillId="3" borderId="8" xfId="0" applyNumberFormat="1" applyFont="1" applyFill="1" applyBorder="1" applyAlignment="1" applyProtection="1">
      <alignment horizontal="center" vertical="center" wrapText="1"/>
      <protection hidden="1"/>
    </xf>
    <xf numFmtId="179" fontId="116" fillId="0" borderId="8" xfId="0" applyNumberFormat="1" applyFont="1" applyFill="1" applyBorder="1" applyAlignment="1" applyProtection="1">
      <alignment horizontal="center" vertical="center" wrapText="1"/>
      <protection hidden="1"/>
    </xf>
    <xf numFmtId="179" fontId="110" fillId="0" borderId="8" xfId="0" applyNumberFormat="1" applyFont="1" applyBorder="1" applyAlignment="1" applyProtection="1">
      <alignment horizontal="center" vertical="center" wrapText="1"/>
      <protection hidden="1"/>
    </xf>
    <xf numFmtId="178" fontId="111" fillId="3" borderId="8" xfId="9" applyNumberFormat="1" applyFont="1" applyFill="1" applyBorder="1" applyAlignment="1" applyProtection="1">
      <alignment horizontal="center" vertical="center" wrapText="1"/>
      <protection hidden="1"/>
    </xf>
    <xf numFmtId="179" fontId="110" fillId="12" borderId="8" xfId="0" applyNumberFormat="1" applyFont="1" applyFill="1" applyBorder="1" applyAlignment="1" applyProtection="1">
      <alignment horizontal="center" vertical="center" wrapText="1"/>
      <protection hidden="1"/>
    </xf>
    <xf numFmtId="179" fontId="115" fillId="12" borderId="8" xfId="0" applyNumberFormat="1" applyFont="1" applyFill="1" applyBorder="1" applyAlignment="1" applyProtection="1">
      <alignment horizontal="center" vertical="center" wrapText="1"/>
      <protection hidden="1"/>
    </xf>
    <xf numFmtId="179" fontId="109" fillId="0" borderId="8" xfId="0" applyNumberFormat="1" applyFont="1" applyBorder="1" applyAlignment="1" applyProtection="1">
      <alignment horizontal="center" vertical="center" wrapText="1"/>
      <protection hidden="1"/>
    </xf>
    <xf numFmtId="49" fontId="109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117" fillId="0" borderId="8" xfId="0" applyFont="1" applyBorder="1" applyAlignment="1" applyProtection="1">
      <alignment horizontal="center" vertical="center" wrapText="1"/>
      <protection hidden="1"/>
    </xf>
    <xf numFmtId="182" fontId="117" fillId="12" borderId="8" xfId="0" applyFont="1" applyFill="1" applyBorder="1" applyAlignment="1" applyProtection="1">
      <alignment horizontal="center" vertical="center" wrapText="1"/>
      <protection hidden="1"/>
    </xf>
    <xf numFmtId="49" fontId="113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113" fillId="0" borderId="8" xfId="0" applyNumberFormat="1" applyFont="1" applyBorder="1" applyAlignment="1" applyProtection="1">
      <alignment horizontal="center" vertical="center" wrapText="1"/>
      <protection hidden="1"/>
    </xf>
    <xf numFmtId="49" fontId="109" fillId="3" borderId="8" xfId="9" applyNumberFormat="1" applyFont="1" applyFill="1" applyBorder="1" applyAlignment="1" applyProtection="1">
      <alignment horizontal="center" vertical="center" wrapText="1"/>
      <protection hidden="1"/>
    </xf>
    <xf numFmtId="177" fontId="115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114" fillId="12" borderId="8" xfId="0" applyFont="1" applyFill="1" applyBorder="1" applyAlignment="1" applyProtection="1">
      <alignment horizontal="center" vertical="center" wrapText="1"/>
      <protection hidden="1"/>
    </xf>
    <xf numFmtId="178" fontId="113" fillId="3" borderId="8" xfId="9" applyNumberFormat="1" applyFont="1" applyFill="1" applyBorder="1" applyAlignment="1" applyProtection="1">
      <alignment horizontal="center" vertical="center" wrapText="1"/>
      <protection hidden="1"/>
    </xf>
    <xf numFmtId="178" fontId="115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113" fillId="3" borderId="8" xfId="0" applyNumberFormat="1" applyFont="1" applyFill="1" applyBorder="1" applyAlignment="1" applyProtection="1">
      <alignment horizontal="center" vertical="center" wrapText="1"/>
      <protection hidden="1"/>
    </xf>
    <xf numFmtId="179" fontId="113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113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109" fillId="0" borderId="8" xfId="0" applyNumberFormat="1" applyFont="1" applyBorder="1" applyAlignment="1" applyProtection="1">
      <alignment horizontal="center" vertical="center" wrapText="1"/>
      <protection hidden="1"/>
    </xf>
    <xf numFmtId="179" fontId="112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109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113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109" fillId="0" borderId="8" xfId="0" applyNumberFormat="1" applyFont="1" applyFill="1" applyBorder="1" applyAlignment="1" applyProtection="1">
      <alignment horizontal="center" vertical="center" wrapText="1"/>
      <protection hidden="1"/>
    </xf>
    <xf numFmtId="179" fontId="113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111" fillId="7" borderId="8" xfId="0" applyFont="1" applyFill="1" applyBorder="1" applyAlignment="1" applyProtection="1">
      <alignment horizontal="center" vertical="center" wrapText="1"/>
      <protection hidden="1"/>
    </xf>
    <xf numFmtId="49" fontId="111" fillId="3" borderId="8" xfId="9" applyNumberFormat="1" applyFont="1" applyFill="1" applyBorder="1" applyAlignment="1" applyProtection="1">
      <alignment horizontal="center" vertical="center" wrapText="1"/>
      <protection hidden="1"/>
    </xf>
    <xf numFmtId="179" fontId="116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109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113" fillId="0" borderId="8" xfId="0" applyNumberFormat="1" applyFont="1" applyFill="1" applyBorder="1" applyAlignment="1" applyProtection="1">
      <alignment horizontal="center" vertical="center" wrapText="1"/>
      <protection hidden="1"/>
    </xf>
    <xf numFmtId="177" fontId="111" fillId="12" borderId="8" xfId="9" applyNumberFormat="1" applyFont="1" applyFill="1" applyBorder="1" applyAlignment="1" applyProtection="1">
      <alignment horizontal="center" vertical="center" wrapText="1"/>
      <protection hidden="1"/>
    </xf>
    <xf numFmtId="178" fontId="116" fillId="3" borderId="8" xfId="9" applyNumberFormat="1" applyFont="1" applyFill="1" applyBorder="1" applyAlignment="1" applyProtection="1">
      <alignment horizontal="center" vertical="center"/>
      <protection hidden="1"/>
    </xf>
    <xf numFmtId="178" fontId="113" fillId="12" borderId="8" xfId="9" applyNumberFormat="1" applyFont="1" applyFill="1" applyBorder="1" applyAlignment="1" applyProtection="1">
      <alignment horizontal="center" vertical="center" wrapText="1"/>
      <protection hidden="1"/>
    </xf>
    <xf numFmtId="179" fontId="115" fillId="0" borderId="8" xfId="0" applyNumberFormat="1" applyFont="1" applyBorder="1" applyAlignment="1" applyProtection="1">
      <alignment horizontal="center" vertical="center" wrapText="1"/>
      <protection hidden="1"/>
    </xf>
    <xf numFmtId="49" fontId="111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111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111" fillId="12" borderId="8" xfId="0" applyNumberFormat="1" applyFont="1" applyFill="1" applyBorder="1" applyAlignment="1" applyProtection="1">
      <alignment horizontal="center" vertical="center" wrapText="1"/>
      <protection hidden="1"/>
    </xf>
    <xf numFmtId="178" fontId="118" fillId="0" borderId="8" xfId="0" applyNumberFormat="1" applyFont="1" applyBorder="1" applyAlignment="1" applyProtection="1">
      <alignment horizontal="center" vertical="center" wrapText="1"/>
      <protection hidden="1"/>
    </xf>
    <xf numFmtId="182" fontId="114" fillId="0" borderId="8" xfId="0" applyFont="1" applyFill="1" applyBorder="1" applyAlignment="1" applyProtection="1">
      <alignment horizontal="center" vertical="center" wrapText="1"/>
      <protection hidden="1"/>
    </xf>
    <xf numFmtId="182" fontId="111" fillId="0" borderId="8" xfId="0" applyFont="1" applyBorder="1" applyAlignment="1" applyProtection="1">
      <alignment horizontal="center" vertical="center" wrapText="1"/>
      <protection hidden="1"/>
    </xf>
    <xf numFmtId="49" fontId="119" fillId="0" borderId="8" xfId="9" applyNumberFormat="1" applyFont="1" applyFill="1" applyBorder="1" applyAlignment="1" applyProtection="1">
      <alignment horizontal="center" vertical="center" wrapText="1"/>
      <protection hidden="1"/>
    </xf>
    <xf numFmtId="182" fontId="115" fillId="0" borderId="8" xfId="0" applyFont="1" applyBorder="1" applyAlignment="1" applyProtection="1">
      <alignment horizontal="center" vertical="center"/>
      <protection hidden="1"/>
    </xf>
    <xf numFmtId="182" fontId="111" fillId="4" borderId="8" xfId="0" applyFont="1" applyFill="1" applyBorder="1" applyAlignment="1" applyProtection="1">
      <alignment horizontal="center" vertical="center" wrapText="1"/>
      <protection hidden="1"/>
    </xf>
    <xf numFmtId="182" fontId="109" fillId="0" borderId="0" xfId="0" applyFont="1" applyAlignment="1" applyProtection="1">
      <alignment horizontal="center" vertical="center"/>
      <protection hidden="1"/>
    </xf>
    <xf numFmtId="182" fontId="110" fillId="0" borderId="0" xfId="0" applyFont="1" applyAlignment="1" applyProtection="1">
      <alignment vertical="center"/>
      <protection hidden="1"/>
    </xf>
    <xf numFmtId="49" fontId="109" fillId="0" borderId="0" xfId="0" applyNumberFormat="1" applyFont="1" applyAlignment="1" applyProtection="1">
      <alignment vertical="center"/>
      <protection hidden="1"/>
    </xf>
    <xf numFmtId="182" fontId="114" fillId="0" borderId="0" xfId="0" applyFont="1" applyAlignment="1" applyProtection="1">
      <alignment vertical="center"/>
      <protection hidden="1"/>
    </xf>
    <xf numFmtId="182" fontId="122" fillId="0" borderId="0" xfId="0" applyFont="1" applyAlignment="1" applyProtection="1">
      <alignment vertical="center"/>
      <protection hidden="1"/>
    </xf>
    <xf numFmtId="182" fontId="121" fillId="0" borderId="0" xfId="0" applyFont="1" applyAlignment="1" applyProtection="1">
      <alignment vertical="center"/>
      <protection hidden="1"/>
    </xf>
    <xf numFmtId="182" fontId="123" fillId="0" borderId="0" xfId="0" applyFont="1" applyAlignment="1" applyProtection="1">
      <alignment horizontal="center" vertical="center"/>
      <protection hidden="1"/>
    </xf>
    <xf numFmtId="182" fontId="123" fillId="0" borderId="0" xfId="0" applyFont="1" applyAlignment="1" applyProtection="1">
      <alignment vertical="center"/>
      <protection hidden="1"/>
    </xf>
    <xf numFmtId="49" fontId="123" fillId="0" borderId="0" xfId="0" applyNumberFormat="1" applyFont="1" applyAlignment="1" applyProtection="1">
      <alignment vertical="center"/>
      <protection hidden="1"/>
    </xf>
    <xf numFmtId="182" fontId="124" fillId="0" borderId="0" xfId="0" applyFont="1" applyAlignment="1" applyProtection="1">
      <alignment vertical="center"/>
      <protection hidden="1"/>
    </xf>
    <xf numFmtId="182" fontId="111" fillId="7" borderId="8" xfId="0" applyFont="1" applyFill="1" applyBorder="1" applyAlignment="1" applyProtection="1">
      <alignment horizontal="center" vertical="center" wrapText="1"/>
      <protection hidden="1"/>
    </xf>
    <xf numFmtId="182" fontId="29" fillId="4" borderId="8" xfId="0" applyFont="1" applyFill="1" applyBorder="1" applyAlignment="1" applyProtection="1">
      <alignment horizontal="center" vertical="center" wrapText="1"/>
      <protection hidden="1"/>
    </xf>
    <xf numFmtId="182" fontId="35" fillId="0" borderId="8" xfId="0" applyFont="1" applyBorder="1" applyAlignment="1" applyProtection="1">
      <alignment horizontal="center" vertical="center"/>
      <protection hidden="1"/>
    </xf>
    <xf numFmtId="182" fontId="29" fillId="7" borderId="8" xfId="9" applyFont="1" applyFill="1" applyBorder="1" applyAlignment="1" applyProtection="1">
      <alignment horizontal="center" vertical="center" wrapText="1"/>
      <protection hidden="1"/>
    </xf>
    <xf numFmtId="182" fontId="35" fillId="0" borderId="8" xfId="0" applyFont="1" applyBorder="1" applyAlignment="1" applyProtection="1">
      <alignment horizontal="center" vertical="center" wrapText="1"/>
      <protection hidden="1"/>
    </xf>
    <xf numFmtId="182" fontId="32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35" fillId="12" borderId="8" xfId="0" applyNumberFormat="1" applyFont="1" applyFill="1" applyBorder="1" applyAlignment="1" applyProtection="1">
      <alignment horizontal="center" vertical="center" wrapText="1"/>
      <protection hidden="1"/>
    </xf>
    <xf numFmtId="24" fontId="34" fillId="30" borderId="8" xfId="0" applyNumberFormat="1" applyFont="1" applyFill="1" applyBorder="1" applyAlignment="1" applyProtection="1">
      <alignment horizontal="center" vertical="center" wrapText="1"/>
      <protection hidden="1"/>
    </xf>
    <xf numFmtId="49" fontId="34" fillId="28" borderId="8" xfId="0" applyNumberFormat="1" applyFont="1" applyFill="1" applyBorder="1" applyAlignment="1" applyProtection="1">
      <alignment horizontal="center" vertical="center" wrapText="1"/>
      <protection hidden="1"/>
    </xf>
    <xf numFmtId="182" fontId="32" fillId="12" borderId="8" xfId="0" applyNumberFormat="1" applyFont="1" applyFill="1" applyBorder="1" applyAlignment="1" applyProtection="1">
      <alignment horizontal="center" vertical="center" wrapText="1"/>
      <protection hidden="1"/>
    </xf>
    <xf numFmtId="179" fontId="25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42" fillId="3" borderId="8" xfId="0" applyNumberFormat="1" applyFont="1" applyFill="1" applyBorder="1" applyAlignment="1" applyProtection="1">
      <alignment horizontal="center" vertical="center" wrapText="1"/>
      <protection hidden="1"/>
    </xf>
    <xf numFmtId="24" fontId="34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34" fillId="28" borderId="8" xfId="0" applyFont="1" applyFill="1" applyBorder="1" applyAlignment="1" applyProtection="1">
      <alignment horizontal="center" vertical="center"/>
      <protection hidden="1"/>
    </xf>
    <xf numFmtId="49" fontId="34" fillId="30" borderId="8" xfId="0" applyNumberFormat="1" applyFont="1" applyFill="1" applyBorder="1" applyAlignment="1" applyProtection="1">
      <alignment horizontal="center" vertical="center"/>
      <protection hidden="1"/>
    </xf>
    <xf numFmtId="182" fontId="34" fillId="3" borderId="8" xfId="0" applyFont="1" applyFill="1" applyBorder="1" applyAlignment="1" applyProtection="1">
      <alignment horizontal="center" vertical="center" wrapText="1"/>
      <protection hidden="1"/>
    </xf>
    <xf numFmtId="24" fontId="34" fillId="22" borderId="8" xfId="0" applyNumberFormat="1" applyFont="1" applyFill="1" applyBorder="1" applyAlignment="1" applyProtection="1">
      <alignment horizontal="center" vertical="center" wrapText="1"/>
      <protection hidden="1"/>
    </xf>
    <xf numFmtId="24" fontId="34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35" fillId="12" borderId="8" xfId="0" applyNumberFormat="1" applyFont="1" applyFill="1" applyBorder="1" applyAlignment="1" applyProtection="1">
      <alignment horizontal="left" vertical="center" wrapText="1"/>
      <protection hidden="1"/>
    </xf>
    <xf numFmtId="179" fontId="27" fillId="0" borderId="8" xfId="0" applyNumberFormat="1" applyFont="1" applyFill="1" applyBorder="1" applyAlignment="1" applyProtection="1">
      <alignment horizontal="center" vertical="center" wrapText="1"/>
      <protection hidden="1"/>
    </xf>
    <xf numFmtId="182" fontId="34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35" fillId="3" borderId="8" xfId="0" applyNumberFormat="1" applyFont="1" applyFill="1" applyBorder="1" applyAlignment="1" applyProtection="1">
      <alignment horizontal="left" vertical="center" wrapText="1"/>
      <protection hidden="1"/>
    </xf>
    <xf numFmtId="179" fontId="38" fillId="0" borderId="8" xfId="0" applyNumberFormat="1" applyFont="1" applyBorder="1" applyAlignment="1" applyProtection="1">
      <alignment horizontal="center" vertical="center" wrapText="1"/>
      <protection hidden="1"/>
    </xf>
    <xf numFmtId="182" fontId="35" fillId="19" borderId="8" xfId="0" applyFont="1" applyFill="1" applyBorder="1" applyAlignment="1" applyProtection="1">
      <alignment horizontal="center" vertical="center" wrapText="1"/>
      <protection hidden="1"/>
    </xf>
    <xf numFmtId="182" fontId="34" fillId="12" borderId="8" xfId="0" applyFont="1" applyFill="1" applyBorder="1" applyAlignment="1" applyProtection="1">
      <alignment horizontal="center" vertical="center"/>
      <protection hidden="1"/>
    </xf>
    <xf numFmtId="49" fontId="35" fillId="0" borderId="8" xfId="0" applyNumberFormat="1" applyFont="1" applyBorder="1" applyAlignment="1">
      <alignment horizontal="left" vertical="center"/>
    </xf>
    <xf numFmtId="49" fontId="25" fillId="28" borderId="8" xfId="0" applyNumberFormat="1" applyFont="1" applyFill="1" applyBorder="1" applyAlignment="1" applyProtection="1">
      <alignment horizontal="center" vertical="center"/>
      <protection hidden="1"/>
    </xf>
    <xf numFmtId="49" fontId="27" fillId="28" borderId="8" xfId="0" applyNumberFormat="1" applyFont="1" applyFill="1" applyBorder="1" applyAlignment="1" applyProtection="1">
      <alignment horizontal="center" vertical="center" wrapText="1"/>
      <protection hidden="1"/>
    </xf>
    <xf numFmtId="24" fontId="27" fillId="28" borderId="8" xfId="0" applyNumberFormat="1" applyFont="1" applyFill="1" applyBorder="1" applyAlignment="1" applyProtection="1">
      <alignment horizontal="center" vertical="center" wrapText="1"/>
      <protection hidden="1"/>
    </xf>
    <xf numFmtId="24" fontId="25" fillId="3" borderId="8" xfId="0" applyNumberFormat="1" applyFont="1" applyFill="1" applyBorder="1" applyAlignment="1" applyProtection="1">
      <alignment horizontal="center" vertical="center" wrapText="1"/>
      <protection hidden="1"/>
    </xf>
    <xf numFmtId="24" fontId="25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35" fillId="0" borderId="8" xfId="0" applyFont="1" applyBorder="1" applyAlignment="1">
      <alignment horizontal="left" vertical="center"/>
    </xf>
    <xf numFmtId="24" fontId="27" fillId="3" borderId="8" xfId="0" applyNumberFormat="1" applyFont="1" applyFill="1" applyBorder="1" applyAlignment="1" applyProtection="1">
      <alignment horizontal="center" vertical="center" wrapText="1"/>
      <protection hidden="1"/>
    </xf>
    <xf numFmtId="24" fontId="5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25" fillId="12" borderId="8" xfId="0" applyFont="1" applyFill="1" applyBorder="1" applyAlignment="1" applyProtection="1">
      <alignment horizontal="center" vertical="center"/>
      <protection hidden="1"/>
    </xf>
    <xf numFmtId="24" fontId="27" fillId="12" borderId="8" xfId="0" applyNumberFormat="1" applyFont="1" applyFill="1" applyBorder="1" applyAlignment="1" applyProtection="1">
      <alignment horizontal="center" vertical="center" wrapText="1"/>
      <protection hidden="1"/>
    </xf>
    <xf numFmtId="24" fontId="25" fillId="28" borderId="8" xfId="0" applyNumberFormat="1" applyFont="1" applyFill="1" applyBorder="1" applyAlignment="1" applyProtection="1">
      <alignment horizontal="center" vertical="center" wrapText="1"/>
      <protection hidden="1"/>
    </xf>
    <xf numFmtId="49" fontId="38" fillId="30" borderId="8" xfId="0" applyNumberFormat="1" applyFont="1" applyFill="1" applyBorder="1" applyAlignment="1" applyProtection="1">
      <alignment horizontal="center" vertical="center"/>
      <protection hidden="1"/>
    </xf>
    <xf numFmtId="24" fontId="5" fillId="28" borderId="8" xfId="0" applyNumberFormat="1" applyFont="1" applyFill="1" applyBorder="1" applyAlignment="1" applyProtection="1">
      <alignment horizontal="center" vertical="center" wrapText="1"/>
      <protection hidden="1"/>
    </xf>
    <xf numFmtId="49" fontId="38" fillId="22" borderId="8" xfId="0" applyNumberFormat="1" applyFont="1" applyFill="1" applyBorder="1" applyAlignment="1" applyProtection="1">
      <alignment horizontal="center" vertical="center"/>
      <protection hidden="1"/>
    </xf>
    <xf numFmtId="49" fontId="62" fillId="3" borderId="8" xfId="0" applyNumberFormat="1" applyFont="1" applyFill="1" applyBorder="1" applyAlignment="1" applyProtection="1">
      <alignment horizontal="center" vertical="center" wrapText="1"/>
      <protection hidden="1"/>
    </xf>
    <xf numFmtId="24" fontId="5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62" fillId="22" borderId="8" xfId="0" applyNumberFormat="1" applyFont="1" applyFill="1" applyBorder="1" applyAlignment="1" applyProtection="1">
      <alignment horizontal="center" vertical="center" wrapText="1"/>
      <protection hidden="1"/>
    </xf>
    <xf numFmtId="24" fontId="25" fillId="22" borderId="8" xfId="0" applyNumberFormat="1" applyFont="1" applyFill="1" applyBorder="1" applyAlignment="1" applyProtection="1">
      <alignment horizontal="center" vertical="center" wrapText="1"/>
      <protection hidden="1"/>
    </xf>
    <xf numFmtId="49" fontId="62" fillId="12" borderId="8" xfId="0" applyNumberFormat="1" applyFont="1" applyFill="1" applyBorder="1" applyAlignment="1" applyProtection="1">
      <alignment horizontal="center" vertical="center"/>
      <protection hidden="1"/>
    </xf>
    <xf numFmtId="182" fontId="29" fillId="12" borderId="8" xfId="0" applyNumberFormat="1" applyFont="1" applyFill="1" applyBorder="1" applyAlignment="1" applyProtection="1">
      <alignment horizontal="left" vertical="center" wrapText="1"/>
      <protection hidden="1"/>
    </xf>
    <xf numFmtId="182" fontId="42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41" fillId="0" borderId="8" xfId="0" applyFont="1" applyBorder="1" applyAlignment="1" applyProtection="1">
      <alignment horizontal="center" vertical="center" wrapText="1"/>
      <protection hidden="1"/>
    </xf>
    <xf numFmtId="179" fontId="5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29" fillId="0" borderId="8" xfId="0" applyNumberFormat="1" applyFont="1" applyBorder="1" applyAlignment="1" applyProtection="1">
      <alignment horizontal="left" vertical="center"/>
      <protection hidden="1"/>
    </xf>
    <xf numFmtId="49" fontId="38" fillId="30" borderId="8" xfId="0" applyNumberFormat="1" applyFont="1" applyFill="1" applyBorder="1" applyAlignment="1" applyProtection="1">
      <alignment horizontal="center" vertical="center" wrapText="1"/>
      <protection hidden="1"/>
    </xf>
    <xf numFmtId="49" fontId="61" fillId="28" borderId="8" xfId="0" applyNumberFormat="1" applyFont="1" applyFill="1" applyBorder="1" applyAlignment="1" applyProtection="1">
      <alignment horizontal="center" vertical="center" wrapText="1"/>
      <protection hidden="1"/>
    </xf>
    <xf numFmtId="182" fontId="25" fillId="12" borderId="8" xfId="0" applyFont="1" applyFill="1" applyBorder="1" applyAlignment="1" applyProtection="1">
      <alignment horizontal="center" vertical="center" shrinkToFit="1"/>
      <protection hidden="1"/>
    </xf>
    <xf numFmtId="182" fontId="29" fillId="12" borderId="8" xfId="0" applyFont="1" applyFill="1" applyBorder="1" applyAlignment="1" applyProtection="1">
      <alignment horizontal="center" vertical="center" shrinkToFit="1"/>
      <protection hidden="1"/>
    </xf>
    <xf numFmtId="182" fontId="34" fillId="12" borderId="8" xfId="0" applyFont="1" applyFill="1" applyBorder="1" applyAlignment="1" applyProtection="1">
      <alignment horizontal="center" vertical="center" shrinkToFit="1"/>
      <protection hidden="1"/>
    </xf>
    <xf numFmtId="182" fontId="34" fillId="28" borderId="8" xfId="0" applyNumberFormat="1" applyFont="1" applyFill="1" applyBorder="1" applyAlignment="1" applyProtection="1">
      <alignment horizontal="center" vertical="center" wrapText="1"/>
      <protection hidden="1"/>
    </xf>
    <xf numFmtId="49" fontId="35" fillId="0" borderId="8" xfId="9" applyNumberFormat="1" applyFont="1" applyFill="1" applyBorder="1" applyAlignment="1" applyProtection="1">
      <alignment horizontal="center" vertical="center" wrapText="1"/>
      <protection hidden="1"/>
    </xf>
    <xf numFmtId="182" fontId="25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27" fillId="0" borderId="8" xfId="0" applyNumberFormat="1" applyFont="1" applyFill="1" applyBorder="1" applyAlignment="1" applyProtection="1">
      <alignment horizontal="center" vertical="center" wrapText="1"/>
      <protection hidden="1"/>
    </xf>
    <xf numFmtId="24" fontId="38" fillId="19" borderId="8" xfId="0" applyNumberFormat="1" applyFont="1" applyFill="1" applyBorder="1" applyAlignment="1" applyProtection="1">
      <alignment horizontal="center" vertical="center" wrapText="1"/>
      <protection hidden="1"/>
    </xf>
    <xf numFmtId="49" fontId="25" fillId="22" borderId="8" xfId="0" applyNumberFormat="1" applyFont="1" applyFill="1" applyBorder="1" applyAlignment="1" applyProtection="1">
      <alignment horizontal="center" vertical="center" wrapText="1"/>
      <protection hidden="1"/>
    </xf>
    <xf numFmtId="24" fontId="38" fillId="30" borderId="8" xfId="0" applyNumberFormat="1" applyFont="1" applyFill="1" applyBorder="1" applyAlignment="1" applyProtection="1">
      <alignment horizontal="center" vertical="center" wrapText="1"/>
      <protection hidden="1"/>
    </xf>
    <xf numFmtId="182" fontId="35" fillId="12" borderId="8" xfId="0" applyFont="1" applyFill="1" applyBorder="1" applyAlignment="1" applyProtection="1">
      <alignment vertical="center"/>
      <protection hidden="1"/>
    </xf>
    <xf numFmtId="182" fontId="5" fillId="28" borderId="8" xfId="0" applyFont="1" applyFill="1" applyBorder="1" applyAlignment="1" applyProtection="1">
      <alignment horizontal="center" vertical="center"/>
      <protection hidden="1"/>
    </xf>
    <xf numFmtId="49" fontId="5" fillId="30" borderId="8" xfId="0" applyNumberFormat="1" applyFont="1" applyFill="1" applyBorder="1" applyAlignment="1" applyProtection="1">
      <alignment horizontal="center" vertical="center"/>
      <protection hidden="1"/>
    </xf>
    <xf numFmtId="24" fontId="5" fillId="30" borderId="8" xfId="0" applyNumberFormat="1" applyFont="1" applyFill="1" applyBorder="1" applyAlignment="1" applyProtection="1">
      <alignment horizontal="center" vertical="center" wrapText="1"/>
      <protection hidden="1"/>
    </xf>
    <xf numFmtId="24" fontId="5" fillId="19" borderId="8" xfId="0" applyNumberFormat="1" applyFont="1" applyFill="1" applyBorder="1" applyAlignment="1" applyProtection="1">
      <alignment horizontal="center" vertical="center" wrapText="1"/>
      <protection hidden="1"/>
    </xf>
    <xf numFmtId="182" fontId="5" fillId="30" borderId="8" xfId="0" applyFont="1" applyFill="1" applyBorder="1" applyAlignment="1" applyProtection="1">
      <alignment horizontal="center" vertical="center"/>
      <protection hidden="1"/>
    </xf>
    <xf numFmtId="24" fontId="38" fillId="22" borderId="8" xfId="0" applyNumberFormat="1" applyFont="1" applyFill="1" applyBorder="1" applyAlignment="1" applyProtection="1">
      <alignment horizontal="center" vertical="center" wrapText="1"/>
      <protection hidden="1"/>
    </xf>
    <xf numFmtId="49" fontId="35" fillId="19" borderId="8" xfId="0" applyNumberFormat="1" applyFont="1" applyFill="1" applyBorder="1" applyAlignment="1" applyProtection="1">
      <alignment horizontal="center" vertical="center" wrapText="1"/>
      <protection hidden="1"/>
    </xf>
    <xf numFmtId="49" fontId="62" fillId="19" borderId="8" xfId="0" applyNumberFormat="1" applyFont="1" applyFill="1" applyBorder="1" applyAlignment="1" applyProtection="1">
      <alignment horizontal="center" vertical="center"/>
      <protection hidden="1"/>
    </xf>
    <xf numFmtId="49" fontId="38" fillId="19" borderId="8" xfId="0" applyNumberFormat="1" applyFont="1" applyFill="1" applyBorder="1" applyAlignment="1" applyProtection="1">
      <alignment horizontal="center" vertical="center"/>
      <protection hidden="1"/>
    </xf>
    <xf numFmtId="182" fontId="25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5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29" fillId="3" borderId="8" xfId="0" applyNumberFormat="1" applyFont="1" applyFill="1" applyBorder="1" applyAlignment="1" applyProtection="1">
      <alignment horizontal="center" vertical="center" wrapText="1"/>
      <protection hidden="1"/>
    </xf>
    <xf numFmtId="49" fontId="5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horizontal="center" vertical="center" wrapText="1"/>
      <protection hidden="1"/>
    </xf>
    <xf numFmtId="182" fontId="34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35" fillId="12" borderId="8" xfId="0" applyNumberFormat="1" applyFont="1" applyFill="1" applyBorder="1" applyAlignment="1" applyProtection="1">
      <alignment horizontal="center" vertical="center"/>
      <protection hidden="1"/>
    </xf>
    <xf numFmtId="182" fontId="35" fillId="0" borderId="8" xfId="0" applyFont="1" applyBorder="1" applyAlignment="1" applyProtection="1">
      <alignment vertical="center"/>
      <protection hidden="1"/>
    </xf>
    <xf numFmtId="49" fontId="35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30" fillId="0" borderId="8" xfId="0" applyNumberFormat="1" applyFont="1" applyFill="1" applyBorder="1" applyAlignment="1" applyProtection="1">
      <alignment horizontal="center" vertical="center" wrapText="1"/>
      <protection hidden="1"/>
    </xf>
    <xf numFmtId="178" fontId="36" fillId="12" borderId="8" xfId="9" applyNumberFormat="1" applyFont="1" applyFill="1" applyBorder="1" applyAlignment="1" applyProtection="1">
      <alignment horizontal="center" vertical="center" wrapText="1"/>
      <protection hidden="1"/>
    </xf>
    <xf numFmtId="179" fontId="30" fillId="3" borderId="8" xfId="0" applyNumberFormat="1" applyFont="1" applyFill="1" applyBorder="1" applyAlignment="1" applyProtection="1">
      <alignment horizontal="center" vertical="center" wrapText="1"/>
      <protection hidden="1"/>
    </xf>
    <xf numFmtId="182" fontId="5" fillId="12" borderId="8" xfId="0" applyFont="1" applyFill="1" applyBorder="1" applyAlignment="1" applyProtection="1">
      <alignment horizontal="center" vertical="center"/>
      <protection hidden="1"/>
    </xf>
    <xf numFmtId="179" fontId="29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35" fillId="3" borderId="8" xfId="0" applyFont="1" applyFill="1" applyBorder="1" applyAlignment="1" applyProtection="1">
      <alignment horizontal="left" vertical="center" wrapText="1"/>
      <protection hidden="1"/>
    </xf>
    <xf numFmtId="182" fontId="29" fillId="0" borderId="8" xfId="0" applyFont="1" applyBorder="1" applyAlignment="1" applyProtection="1">
      <alignment vertical="center"/>
      <protection hidden="1"/>
    </xf>
    <xf numFmtId="182" fontId="31" fillId="0" borderId="8" xfId="0" applyFont="1" applyBorder="1" applyAlignment="1" applyProtection="1">
      <alignment vertical="center"/>
      <protection hidden="1"/>
    </xf>
    <xf numFmtId="182" fontId="36" fillId="0" borderId="8" xfId="0" applyFont="1" applyBorder="1" applyAlignment="1" applyProtection="1">
      <alignment vertical="center"/>
      <protection hidden="1"/>
    </xf>
    <xf numFmtId="182" fontId="34" fillId="19" borderId="8" xfId="0" applyFont="1" applyFill="1" applyBorder="1" applyAlignment="1" applyProtection="1">
      <alignment horizontal="center" vertical="center" wrapText="1"/>
      <protection hidden="1"/>
    </xf>
    <xf numFmtId="49" fontId="34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27" fillId="12" borderId="8" xfId="0" applyNumberFormat="1" applyFont="1" applyFill="1" applyBorder="1" applyAlignment="1" applyProtection="1">
      <alignment horizontal="center" vertical="center" wrapText="1"/>
      <protection hidden="1"/>
    </xf>
    <xf numFmtId="180" fontId="27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27" fillId="0" borderId="0" xfId="0" applyFont="1" applyFill="1" applyBorder="1" applyAlignment="1" applyProtection="1">
      <alignment horizontal="center" vertical="center"/>
      <protection hidden="1"/>
    </xf>
    <xf numFmtId="182" fontId="25" fillId="3" borderId="8" xfId="0" applyNumberFormat="1" applyFont="1" applyFill="1" applyBorder="1" applyAlignment="1" applyProtection="1">
      <alignment horizontal="center" vertical="center"/>
      <protection hidden="1"/>
    </xf>
    <xf numFmtId="182" fontId="25" fillId="28" borderId="8" xfId="9" applyNumberFormat="1" applyFont="1" applyFill="1" applyBorder="1" applyAlignment="1" applyProtection="1">
      <alignment horizontal="center" vertical="center" wrapText="1"/>
      <protection hidden="1"/>
    </xf>
    <xf numFmtId="182" fontId="34" fillId="3" borderId="8" xfId="9" applyNumberFormat="1" applyFont="1" applyFill="1" applyBorder="1" applyAlignment="1" applyProtection="1">
      <alignment horizontal="center" vertical="center" wrapText="1"/>
      <protection hidden="1"/>
    </xf>
    <xf numFmtId="177" fontId="5" fillId="28" borderId="8" xfId="9" applyNumberFormat="1" applyFont="1" applyFill="1" applyBorder="1" applyAlignment="1" applyProtection="1">
      <alignment horizontal="center" vertical="center" wrapText="1"/>
      <protection hidden="1"/>
    </xf>
    <xf numFmtId="49" fontId="34" fillId="0" borderId="8" xfId="9" applyNumberFormat="1" applyFont="1" applyFill="1" applyBorder="1" applyAlignment="1" applyProtection="1">
      <alignment horizontal="center" vertical="center" wrapText="1"/>
      <protection hidden="1"/>
    </xf>
    <xf numFmtId="182" fontId="34" fillId="12" borderId="8" xfId="9" applyNumberFormat="1" applyFont="1" applyFill="1" applyBorder="1" applyAlignment="1" applyProtection="1">
      <alignment horizontal="center" vertical="center" wrapText="1"/>
      <protection hidden="1"/>
    </xf>
    <xf numFmtId="49" fontId="34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31" fillId="0" borderId="8" xfId="0" applyNumberFormat="1" applyFont="1" applyBorder="1" applyAlignment="1" applyProtection="1">
      <alignment vertical="center"/>
      <protection hidden="1"/>
    </xf>
    <xf numFmtId="182" fontId="29" fillId="12" borderId="8" xfId="0" applyFont="1" applyFill="1" applyBorder="1" applyAlignment="1" applyProtection="1">
      <alignment horizontal="left" vertical="center" wrapText="1"/>
      <protection hidden="1"/>
    </xf>
    <xf numFmtId="177" fontId="34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27" fillId="0" borderId="8" xfId="0" applyFont="1" applyFill="1" applyBorder="1" applyAlignment="1" applyProtection="1">
      <alignment horizontal="center" vertical="center" wrapText="1"/>
      <protection hidden="1"/>
    </xf>
    <xf numFmtId="182" fontId="34" fillId="0" borderId="8" xfId="0" applyFont="1" applyFill="1" applyBorder="1" applyAlignment="1" applyProtection="1">
      <alignment horizontal="center" vertical="center" wrapText="1"/>
      <protection hidden="1"/>
    </xf>
    <xf numFmtId="182" fontId="5" fillId="28" borderId="8" xfId="0" applyFont="1" applyFill="1" applyBorder="1" applyAlignment="1" applyProtection="1">
      <alignment horizontal="center" vertical="center" wrapText="1"/>
      <protection hidden="1"/>
    </xf>
    <xf numFmtId="182" fontId="5" fillId="0" borderId="8" xfId="0" applyFont="1" applyFill="1" applyBorder="1" applyAlignment="1" applyProtection="1">
      <alignment horizontal="center" vertical="center" wrapText="1"/>
      <protection hidden="1"/>
    </xf>
    <xf numFmtId="182" fontId="34" fillId="0" borderId="8" xfId="0" applyNumberFormat="1" applyFont="1" applyBorder="1" applyAlignment="1" applyProtection="1">
      <alignment horizontal="center" vertical="center" wrapText="1"/>
      <protection hidden="1"/>
    </xf>
    <xf numFmtId="182" fontId="27" fillId="0" borderId="0" xfId="0" applyFont="1" applyAlignment="1" applyProtection="1">
      <alignment vertical="center"/>
      <protection hidden="1"/>
    </xf>
    <xf numFmtId="182" fontId="29" fillId="3" borderId="8" xfId="0" applyNumberFormat="1" applyFont="1" applyFill="1" applyBorder="1" applyAlignment="1" applyProtection="1">
      <alignment horizontal="left" vertical="center" wrapText="1"/>
      <protection hidden="1"/>
    </xf>
    <xf numFmtId="179" fontId="31" fillId="29" borderId="8" xfId="0" applyNumberFormat="1" applyFont="1" applyFill="1" applyBorder="1" applyAlignment="1" applyProtection="1">
      <alignment horizontal="left" vertical="center" wrapText="1"/>
      <protection hidden="1"/>
    </xf>
    <xf numFmtId="179" fontId="31" fillId="12" borderId="8" xfId="0" applyNumberFormat="1" applyFont="1" applyFill="1" applyBorder="1" applyAlignment="1" applyProtection="1">
      <alignment horizontal="left" vertical="center" wrapText="1"/>
      <protection hidden="1"/>
    </xf>
    <xf numFmtId="182" fontId="29" fillId="29" borderId="8" xfId="0" applyFont="1" applyFill="1" applyBorder="1" applyAlignment="1" applyProtection="1">
      <alignment horizontal="left" vertical="center" wrapText="1"/>
      <protection hidden="1"/>
    </xf>
    <xf numFmtId="182" fontId="35" fillId="0" borderId="8" xfId="0" applyFont="1" applyBorder="1" applyAlignment="1">
      <alignment horizontal="center" vertical="center"/>
    </xf>
    <xf numFmtId="182" fontId="35" fillId="0" borderId="8" xfId="0" applyFont="1" applyBorder="1" applyAlignment="1">
      <alignment vertical="center"/>
    </xf>
    <xf numFmtId="182" fontId="31" fillId="12" borderId="8" xfId="0" applyFont="1" applyFill="1" applyBorder="1" applyAlignment="1" applyProtection="1">
      <alignment vertical="center"/>
      <protection hidden="1"/>
    </xf>
    <xf numFmtId="182" fontId="31" fillId="0" borderId="0" xfId="0" applyFont="1" applyAlignment="1" applyProtection="1">
      <alignment horizontal="left" vertical="center"/>
      <protection hidden="1"/>
    </xf>
    <xf numFmtId="182" fontId="5" fillId="0" borderId="0" xfId="0" applyFont="1" applyAlignment="1">
      <alignment vertical="center"/>
    </xf>
    <xf numFmtId="182" fontId="35" fillId="0" borderId="0" xfId="0" applyFont="1" applyAlignment="1">
      <alignment vertical="center"/>
    </xf>
    <xf numFmtId="182" fontId="126" fillId="0" borderId="8" xfId="0" applyFont="1" applyBorder="1" applyAlignment="1" applyProtection="1">
      <alignment vertical="center"/>
      <protection hidden="1"/>
    </xf>
    <xf numFmtId="182" fontId="35" fillId="0" borderId="8" xfId="0" applyFont="1" applyBorder="1" applyAlignment="1">
      <alignment horizontal="center" vertical="center" wrapText="1"/>
    </xf>
    <xf numFmtId="182" fontId="35" fillId="12" borderId="8" xfId="0" applyFont="1" applyFill="1" applyBorder="1" applyAlignment="1">
      <alignment vertical="center"/>
    </xf>
    <xf numFmtId="182" fontId="5" fillId="0" borderId="0" xfId="0" applyFont="1" applyAlignment="1" applyProtection="1">
      <alignment vertical="center" wrapText="1"/>
      <protection hidden="1"/>
    </xf>
    <xf numFmtId="181" fontId="25" fillId="19" borderId="8" xfId="0" applyNumberFormat="1" applyFont="1" applyFill="1" applyBorder="1" applyAlignment="1" applyProtection="1">
      <alignment horizontal="center" vertical="center" wrapText="1"/>
      <protection hidden="1"/>
    </xf>
    <xf numFmtId="181" fontId="25" fillId="12" borderId="8" xfId="0" quotePrefix="1" applyNumberFormat="1" applyFont="1" applyFill="1" applyBorder="1" applyAlignment="1" applyProtection="1">
      <alignment horizontal="center" vertical="center" wrapText="1"/>
      <protection hidden="1"/>
    </xf>
    <xf numFmtId="181" fontId="25" fillId="0" borderId="8" xfId="9" applyNumberFormat="1" applyFont="1" applyFill="1" applyBorder="1" applyAlignment="1" applyProtection="1">
      <alignment horizontal="center" vertical="center" wrapText="1"/>
      <protection hidden="1"/>
    </xf>
    <xf numFmtId="181" fontId="25" fillId="3" borderId="8" xfId="11" applyNumberFormat="1" applyFont="1" applyFill="1" applyBorder="1" applyAlignment="1" applyProtection="1">
      <alignment horizontal="center" vertical="center" wrapText="1"/>
      <protection hidden="1"/>
    </xf>
    <xf numFmtId="181" fontId="25" fillId="17" borderId="8" xfId="0" applyNumberFormat="1" applyFont="1" applyFill="1" applyBorder="1" applyAlignment="1" applyProtection="1">
      <alignment horizontal="center" vertical="center"/>
      <protection hidden="1"/>
    </xf>
    <xf numFmtId="181" fontId="25" fillId="17" borderId="8" xfId="0" applyNumberFormat="1" applyFont="1" applyFill="1" applyBorder="1" applyAlignment="1" applyProtection="1">
      <alignment horizontal="center" vertical="center" wrapText="1"/>
      <protection hidden="1"/>
    </xf>
    <xf numFmtId="182" fontId="29" fillId="7" borderId="8" xfId="0" applyFont="1" applyFill="1" applyBorder="1" applyAlignment="1" applyProtection="1">
      <alignment horizontal="center" vertical="center" wrapText="1"/>
      <protection hidden="1"/>
    </xf>
    <xf numFmtId="182" fontId="29" fillId="6" borderId="8" xfId="0" applyFont="1" applyFill="1" applyBorder="1" applyAlignment="1" applyProtection="1">
      <alignment horizontal="center" vertical="center" wrapText="1"/>
      <protection hidden="1"/>
    </xf>
    <xf numFmtId="182" fontId="29" fillId="4" borderId="8" xfId="0" applyFont="1" applyFill="1" applyBorder="1" applyAlignment="1" applyProtection="1">
      <alignment horizontal="center" vertical="center" wrapText="1"/>
      <protection hidden="1"/>
    </xf>
    <xf numFmtId="182" fontId="29" fillId="16" borderId="8" xfId="0" applyFont="1" applyFill="1" applyBorder="1" applyAlignment="1" applyProtection="1">
      <alignment horizontal="center" vertical="center" wrapText="1"/>
      <protection hidden="1"/>
    </xf>
    <xf numFmtId="182" fontId="29" fillId="4" borderId="8" xfId="9" applyFont="1" applyFill="1" applyBorder="1" applyAlignment="1" applyProtection="1">
      <alignment horizontal="center" vertical="center" wrapText="1"/>
      <protection hidden="1"/>
    </xf>
    <xf numFmtId="182" fontId="29" fillId="7" borderId="8" xfId="9" applyFont="1" applyFill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182" fontId="35" fillId="0" borderId="8" xfId="0" applyFont="1" applyBorder="1" applyAlignment="1" applyProtection="1">
      <alignment horizontal="center" vertical="center" wrapText="1"/>
      <protection hidden="1"/>
    </xf>
    <xf numFmtId="182" fontId="29" fillId="6" borderId="15" xfId="0" applyFont="1" applyFill="1" applyBorder="1" applyAlignment="1" applyProtection="1">
      <alignment horizontal="center" vertical="center" wrapText="1"/>
      <protection hidden="1"/>
    </xf>
    <xf numFmtId="182" fontId="29" fillId="23" borderId="8" xfId="0" applyFont="1" applyFill="1" applyBorder="1" applyAlignment="1" applyProtection="1">
      <alignment horizontal="center" vertical="center" wrapText="1"/>
      <protection hidden="1"/>
    </xf>
    <xf numFmtId="182" fontId="126" fillId="0" borderId="0" xfId="0" applyFont="1" applyAlignment="1" applyProtection="1">
      <alignment horizontal="center" vertical="center"/>
      <protection hidden="1"/>
    </xf>
    <xf numFmtId="49" fontId="62" fillId="0" borderId="8" xfId="9" applyNumberFormat="1" applyFont="1" applyFill="1" applyBorder="1" applyAlignment="1" applyProtection="1">
      <alignment horizontal="center" vertical="center" wrapText="1"/>
      <protection hidden="1"/>
    </xf>
    <xf numFmtId="177" fontId="31" fillId="12" borderId="8" xfId="9" applyNumberFormat="1" applyFont="1" applyFill="1" applyBorder="1" applyAlignment="1" applyProtection="1">
      <alignment horizontal="center" vertical="center" wrapText="1"/>
      <protection hidden="1"/>
    </xf>
    <xf numFmtId="182" fontId="31" fillId="12" borderId="8" xfId="0" applyFont="1" applyFill="1" applyBorder="1" applyAlignment="1" applyProtection="1">
      <alignment horizontal="center" vertical="center" wrapText="1"/>
      <protection hidden="1"/>
    </xf>
    <xf numFmtId="178" fontId="31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31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31" fillId="12" borderId="8" xfId="0" applyFont="1" applyFill="1" applyBorder="1" applyAlignment="1" applyProtection="1">
      <alignment vertical="center"/>
      <protection hidden="1"/>
    </xf>
    <xf numFmtId="182" fontId="35" fillId="12" borderId="8" xfId="0" applyFont="1" applyFill="1" applyBorder="1" applyAlignment="1" applyProtection="1">
      <alignment vertical="center"/>
      <protection hidden="1"/>
    </xf>
    <xf numFmtId="182" fontId="35" fillId="0" borderId="8" xfId="0" applyFont="1" applyBorder="1" applyAlignment="1" applyProtection="1">
      <alignment horizontal="center" vertical="center"/>
      <protection hidden="1"/>
    </xf>
    <xf numFmtId="182" fontId="35" fillId="0" borderId="8" xfId="0" applyFont="1" applyBorder="1" applyAlignment="1" applyProtection="1">
      <alignment horizontal="center" vertical="center" wrapText="1"/>
      <protection hidden="1"/>
    </xf>
    <xf numFmtId="177" fontId="35" fillId="3" borderId="8" xfId="9" applyNumberFormat="1" applyFont="1" applyFill="1" applyBorder="1" applyAlignment="1" applyProtection="1">
      <alignment horizontal="center" vertical="center" wrapText="1"/>
      <protection hidden="1"/>
    </xf>
    <xf numFmtId="179" fontId="35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29" fillId="12" borderId="8" xfId="0" applyFont="1" applyFill="1" applyBorder="1" applyAlignment="1" applyProtection="1">
      <alignment horizontal="center" vertical="center" wrapText="1"/>
      <protection hidden="1"/>
    </xf>
    <xf numFmtId="179" fontId="35" fillId="0" borderId="8" xfId="0" applyNumberFormat="1" applyFont="1" applyBorder="1" applyAlignment="1" applyProtection="1">
      <alignment horizontal="center" vertical="center" wrapText="1"/>
      <protection hidden="1"/>
    </xf>
    <xf numFmtId="182" fontId="35" fillId="3" borderId="8" xfId="9" applyFont="1" applyFill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182" fontId="35" fillId="0" borderId="8" xfId="0" applyFont="1" applyBorder="1" applyAlignment="1">
      <alignment horizontal="center" vertical="center"/>
    </xf>
    <xf numFmtId="181" fontId="25" fillId="0" borderId="8" xfId="11" applyNumberFormat="1" applyFont="1" applyBorder="1" applyAlignment="1">
      <alignment horizontal="center" vertical="center"/>
    </xf>
    <xf numFmtId="182" fontId="31" fillId="0" borderId="8" xfId="0" applyFont="1" applyBorder="1" applyAlignment="1" applyProtection="1">
      <alignment vertical="center"/>
      <protection hidden="1"/>
    </xf>
    <xf numFmtId="182" fontId="35" fillId="0" borderId="8" xfId="0" applyFont="1" applyBorder="1" applyAlignment="1" applyProtection="1">
      <alignment horizontal="center" vertical="center" wrapText="1"/>
      <protection hidden="1"/>
    </xf>
    <xf numFmtId="179" fontId="31" fillId="3" borderId="8" xfId="0" applyNumberFormat="1" applyFont="1" applyFill="1" applyBorder="1" applyAlignment="1" applyProtection="1">
      <alignment horizontal="center" vertical="center" wrapText="1"/>
      <protection hidden="1"/>
    </xf>
    <xf numFmtId="177" fontId="27" fillId="28" borderId="9" xfId="9" applyNumberFormat="1" applyFont="1" applyFill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vertical="center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49" fontId="128" fillId="3" borderId="8" xfId="9" applyNumberFormat="1" applyFont="1" applyFill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vertical="center"/>
      <protection hidden="1"/>
    </xf>
    <xf numFmtId="182" fontId="35" fillId="0" borderId="8" xfId="0" applyFont="1" applyBorder="1" applyAlignment="1">
      <alignment vertical="center"/>
    </xf>
    <xf numFmtId="182" fontId="31" fillId="0" borderId="8" xfId="0" applyFont="1" applyBorder="1" applyAlignment="1" applyProtection="1">
      <alignment horizontal="center" vertical="center"/>
      <protection hidden="1"/>
    </xf>
    <xf numFmtId="182" fontId="31" fillId="0" borderId="8" xfId="0" applyFont="1" applyBorder="1" applyAlignment="1" applyProtection="1">
      <alignment vertical="center"/>
      <protection hidden="1"/>
    </xf>
    <xf numFmtId="49" fontId="31" fillId="12" borderId="8" xfId="0" applyNumberFormat="1" applyFont="1" applyFill="1" applyBorder="1" applyAlignment="1" applyProtection="1">
      <alignment horizontal="center" vertical="center" wrapText="1"/>
      <protection hidden="1"/>
    </xf>
    <xf numFmtId="49" fontId="25" fillId="0" borderId="8" xfId="34" applyNumberFormat="1" applyFont="1" applyBorder="1" applyAlignment="1">
      <alignment horizontal="center" vertical="center"/>
    </xf>
    <xf numFmtId="49" fontId="25" fillId="0" borderId="8" xfId="34" applyNumberFormat="1" applyFont="1" applyFill="1" applyBorder="1" applyAlignment="1">
      <alignment horizontal="center" vertical="center"/>
    </xf>
    <xf numFmtId="49" fontId="25" fillId="3" borderId="8" xfId="34" applyNumberFormat="1" applyFont="1" applyFill="1" applyBorder="1" applyAlignment="1">
      <alignment horizontal="center" vertical="center"/>
    </xf>
    <xf numFmtId="182" fontId="35" fillId="0" borderId="8" xfId="0" applyFont="1" applyBorder="1" applyAlignment="1" applyProtection="1">
      <alignment vertical="center"/>
      <protection hidden="1"/>
    </xf>
    <xf numFmtId="181" fontId="25" fillId="12" borderId="8" xfId="0" applyNumberFormat="1" applyFont="1" applyFill="1" applyBorder="1" applyAlignment="1" applyProtection="1">
      <alignment horizontal="center" vertical="center" shrinkToFit="1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182" fontId="31" fillId="0" borderId="8" xfId="0" applyFont="1" applyBorder="1" applyAlignment="1" applyProtection="1">
      <alignment vertical="center"/>
      <protection hidden="1"/>
    </xf>
    <xf numFmtId="182" fontId="63" fillId="0" borderId="8" xfId="0" applyFont="1" applyBorder="1" applyAlignment="1" applyProtection="1">
      <alignment horizontal="left" vertical="center"/>
      <protection hidden="1"/>
    </xf>
    <xf numFmtId="49" fontId="25" fillId="3" borderId="9" xfId="0" applyNumberFormat="1" applyFont="1" applyFill="1" applyBorder="1" applyAlignment="1" applyProtection="1">
      <alignment horizontal="center" vertical="center" wrapText="1"/>
      <protection hidden="1"/>
    </xf>
    <xf numFmtId="24" fontId="25" fillId="12" borderId="9" xfId="0" applyNumberFormat="1" applyFont="1" applyFill="1" applyBorder="1" applyAlignment="1" applyProtection="1">
      <alignment horizontal="center" vertical="center" wrapText="1"/>
      <protection hidden="1"/>
    </xf>
    <xf numFmtId="49" fontId="25" fillId="12" borderId="9" xfId="0" applyNumberFormat="1" applyFont="1" applyFill="1" applyBorder="1" applyAlignment="1" applyProtection="1">
      <alignment horizontal="center" vertical="center" wrapText="1"/>
      <protection hidden="1"/>
    </xf>
    <xf numFmtId="182" fontId="29" fillId="7" borderId="8" xfId="0" applyFont="1" applyFill="1" applyBorder="1" applyAlignment="1" applyProtection="1">
      <alignment horizontal="center" vertical="center" wrapText="1"/>
      <protection hidden="1"/>
    </xf>
    <xf numFmtId="182" fontId="23" fillId="7" borderId="8" xfId="0" applyFont="1" applyFill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vertical="center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49" fontId="25" fillId="0" borderId="8" xfId="19" applyNumberFormat="1" applyFont="1" applyBorder="1" applyAlignment="1">
      <alignment horizontal="center" vertical="center"/>
    </xf>
    <xf numFmtId="182" fontId="35" fillId="0" borderId="8" xfId="0" applyFont="1" applyBorder="1" applyAlignment="1" applyProtection="1">
      <alignment vertical="center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181" fontId="25" fillId="12" borderId="13" xfId="0" applyNumberFormat="1" applyFont="1" applyFill="1" applyBorder="1" applyAlignment="1" applyProtection="1">
      <alignment horizontal="center" vertical="center" wrapText="1"/>
      <protection hidden="1"/>
    </xf>
    <xf numFmtId="181" fontId="25" fillId="12" borderId="14" xfId="0" applyNumberFormat="1" applyFont="1" applyFill="1" applyBorder="1" applyAlignment="1">
      <alignment horizontal="center" vertical="center" wrapText="1"/>
    </xf>
    <xf numFmtId="181" fontId="25" fillId="12" borderId="14" xfId="0" applyNumberFormat="1" applyFont="1" applyFill="1" applyBorder="1" applyAlignment="1" applyProtection="1">
      <alignment horizontal="center" vertical="center"/>
      <protection hidden="1"/>
    </xf>
    <xf numFmtId="181" fontId="25" fillId="12" borderId="13" xfId="0" applyNumberFormat="1" applyFont="1" applyFill="1" applyBorder="1" applyAlignment="1" applyProtection="1">
      <alignment horizontal="center" vertical="center"/>
      <protection hidden="1"/>
    </xf>
    <xf numFmtId="182" fontId="25" fillId="0" borderId="0" xfId="0" applyFont="1" applyAlignment="1" applyProtection="1">
      <alignment vertical="center"/>
      <protection hidden="1"/>
    </xf>
    <xf numFmtId="182" fontId="77" fillId="0" borderId="0" xfId="0" applyFont="1" applyAlignment="1" applyProtection="1">
      <alignment vertical="center" wrapText="1"/>
      <protection hidden="1"/>
    </xf>
    <xf numFmtId="182" fontId="29" fillId="7" borderId="8" xfId="0" applyFont="1" applyFill="1" applyBorder="1" applyAlignment="1" applyProtection="1">
      <alignment horizontal="center" vertical="center" wrapText="1"/>
      <protection hidden="1"/>
    </xf>
    <xf numFmtId="182" fontId="29" fillId="4" borderId="8" xfId="0" applyFont="1" applyFill="1" applyBorder="1" applyAlignment="1" applyProtection="1">
      <alignment horizontal="center" vertical="center" wrapText="1"/>
      <protection hidden="1"/>
    </xf>
    <xf numFmtId="182" fontId="29" fillId="4" borderId="8" xfId="9" applyFont="1" applyFill="1" applyBorder="1" applyAlignment="1" applyProtection="1">
      <alignment horizontal="center" vertical="center" wrapText="1"/>
      <protection hidden="1"/>
    </xf>
    <xf numFmtId="182" fontId="29" fillId="13" borderId="8" xfId="0" applyFont="1" applyFill="1" applyBorder="1" applyAlignment="1" applyProtection="1">
      <alignment horizontal="center" vertical="center" wrapText="1"/>
      <protection hidden="1"/>
    </xf>
    <xf numFmtId="49" fontId="25" fillId="12" borderId="8" xfId="0" applyNumberFormat="1" applyFont="1" applyFill="1" applyBorder="1" applyAlignment="1">
      <alignment horizontal="center" vertical="center" wrapText="1"/>
    </xf>
    <xf numFmtId="49" fontId="25" fillId="3" borderId="8" xfId="0" applyNumberFormat="1" applyFont="1" applyFill="1" applyBorder="1" applyAlignment="1" applyProtection="1">
      <alignment horizontal="center" vertical="center"/>
      <protection hidden="1"/>
    </xf>
    <xf numFmtId="181" fontId="25" fillId="3" borderId="8" xfId="9" applyNumberFormat="1" applyFont="1" applyFill="1" applyBorder="1" applyAlignment="1" applyProtection="1">
      <alignment horizontal="center" vertical="center"/>
      <protection hidden="1"/>
    </xf>
    <xf numFmtId="177" fontId="27" fillId="12" borderId="9" xfId="9" applyNumberFormat="1" applyFont="1" applyFill="1" applyBorder="1" applyAlignment="1" applyProtection="1">
      <alignment horizontal="center" vertical="center" wrapText="1"/>
      <protection hidden="1"/>
    </xf>
    <xf numFmtId="181" fontId="25" fillId="0" borderId="13" xfId="0" applyNumberFormat="1" applyFont="1" applyFill="1" applyBorder="1" applyAlignment="1" applyProtection="1">
      <alignment horizontal="center" vertical="center"/>
      <protection hidden="1"/>
    </xf>
    <xf numFmtId="181" fontId="25" fillId="0" borderId="13" xfId="0" applyNumberFormat="1" applyFont="1" applyBorder="1" applyAlignment="1" applyProtection="1">
      <alignment horizontal="center" vertical="center"/>
      <protection hidden="1"/>
    </xf>
    <xf numFmtId="181" fontId="25" fillId="12" borderId="13" xfId="19" applyNumberFormat="1" applyFont="1" applyFill="1" applyBorder="1" applyAlignment="1" applyProtection="1">
      <alignment horizontal="center" vertical="center" wrapText="1"/>
      <protection hidden="1"/>
    </xf>
    <xf numFmtId="181" fontId="25" fillId="0" borderId="13" xfId="0" applyNumberFormat="1" applyFont="1" applyBorder="1" applyAlignment="1" applyProtection="1">
      <alignment horizontal="center" vertical="center" wrapText="1"/>
      <protection hidden="1"/>
    </xf>
    <xf numFmtId="181" fontId="25" fillId="0" borderId="14" xfId="0" applyNumberFormat="1" applyFont="1" applyBorder="1" applyAlignment="1" applyProtection="1">
      <alignment horizontal="center" vertical="center" wrapText="1"/>
      <protection hidden="1"/>
    </xf>
    <xf numFmtId="181" fontId="25" fillId="0" borderId="14" xfId="0" applyNumberFormat="1" applyFont="1" applyFill="1" applyBorder="1" applyAlignment="1" applyProtection="1">
      <alignment horizontal="center" vertical="center"/>
      <protection hidden="1"/>
    </xf>
    <xf numFmtId="181" fontId="25" fillId="3" borderId="14" xfId="0" applyNumberFormat="1" applyFont="1" applyFill="1" applyBorder="1" applyAlignment="1" applyProtection="1">
      <alignment horizontal="center" vertical="center"/>
      <protection hidden="1"/>
    </xf>
    <xf numFmtId="49" fontId="25" fillId="12" borderId="8" xfId="19" applyNumberFormat="1" applyFont="1" applyFill="1" applyBorder="1" applyAlignment="1" applyProtection="1">
      <alignment horizontal="center" vertical="center" wrapText="1"/>
      <protection hidden="1"/>
    </xf>
    <xf numFmtId="177" fontId="27" fillId="3" borderId="9" xfId="9" applyNumberFormat="1" applyFont="1" applyFill="1" applyBorder="1" applyAlignment="1" applyProtection="1">
      <alignment horizontal="center" vertical="center" wrapText="1"/>
      <protection hidden="1"/>
    </xf>
    <xf numFmtId="182" fontId="27" fillId="3" borderId="9" xfId="0" applyFont="1" applyFill="1" applyBorder="1" applyAlignment="1" applyProtection="1">
      <alignment horizontal="center" vertical="center" wrapText="1"/>
      <protection hidden="1"/>
    </xf>
    <xf numFmtId="177" fontId="34" fillId="3" borderId="9" xfId="9" applyNumberFormat="1" applyFont="1" applyFill="1" applyBorder="1" applyAlignment="1" applyProtection="1">
      <alignment horizontal="center" vertical="center" wrapText="1"/>
      <protection hidden="1"/>
    </xf>
    <xf numFmtId="181" fontId="25" fillId="3" borderId="13" xfId="9" applyNumberFormat="1" applyFont="1" applyFill="1" applyBorder="1" applyAlignment="1" applyProtection="1">
      <alignment horizontal="center" vertical="center" wrapText="1"/>
      <protection hidden="1"/>
    </xf>
    <xf numFmtId="181" fontId="25" fillId="0" borderId="14" xfId="0" applyNumberFormat="1" applyFont="1" applyFill="1" applyBorder="1" applyAlignment="1" applyProtection="1">
      <alignment horizontal="center" vertical="center" wrapText="1"/>
      <protection hidden="1"/>
    </xf>
    <xf numFmtId="182" fontId="77" fillId="0" borderId="0" xfId="0" applyFont="1" applyAlignment="1" applyProtection="1">
      <alignment vertical="center"/>
      <protection hidden="1"/>
    </xf>
    <xf numFmtId="182" fontId="35" fillId="0" borderId="8" xfId="0" applyFont="1" applyBorder="1" applyAlignment="1">
      <alignment vertical="center"/>
    </xf>
    <xf numFmtId="182" fontId="29" fillId="6" borderId="8" xfId="0" applyFont="1" applyFill="1" applyBorder="1" applyAlignment="1" applyProtection="1">
      <alignment horizontal="center" vertical="center" wrapText="1"/>
      <protection hidden="1"/>
    </xf>
    <xf numFmtId="182" fontId="29" fillId="7" borderId="8" xfId="9" applyFont="1" applyFill="1" applyBorder="1" applyAlignment="1" applyProtection="1">
      <alignment horizontal="center" vertical="center" wrapText="1"/>
      <protection hidden="1"/>
    </xf>
    <xf numFmtId="182" fontId="29" fillId="10" borderId="8" xfId="0" applyFont="1" applyFill="1" applyBorder="1" applyAlignment="1" applyProtection="1">
      <alignment horizontal="center" vertical="center" wrapText="1"/>
      <protection hidden="1"/>
    </xf>
    <xf numFmtId="182" fontId="29" fillId="11" borderId="8" xfId="0" applyFont="1" applyFill="1" applyBorder="1" applyAlignment="1" applyProtection="1">
      <alignment horizontal="center" vertical="center" wrapText="1"/>
      <protection hidden="1"/>
    </xf>
    <xf numFmtId="49" fontId="25" fillId="25" borderId="8" xfId="0" applyNumberFormat="1" applyFont="1" applyFill="1" applyBorder="1" applyAlignment="1">
      <alignment horizontal="center" vertical="center"/>
    </xf>
    <xf numFmtId="49" fontId="5" fillId="25" borderId="8" xfId="0" applyNumberFormat="1" applyFont="1" applyFill="1" applyBorder="1" applyAlignment="1">
      <alignment horizontal="center" vertical="center"/>
    </xf>
    <xf numFmtId="182" fontId="25" fillId="0" borderId="0" xfId="0" applyFont="1" applyFill="1" applyBorder="1" applyAlignment="1" applyProtection="1">
      <alignment horizontal="center" vertical="center"/>
      <protection hidden="1"/>
    </xf>
    <xf numFmtId="182" fontId="51" fillId="0" borderId="0" xfId="0" applyFont="1" applyAlignment="1" applyProtection="1">
      <alignment vertical="center"/>
      <protection hidden="1"/>
    </xf>
    <xf numFmtId="182" fontId="29" fillId="0" borderId="0" xfId="0" applyFont="1" applyAlignment="1" applyProtection="1">
      <alignment vertical="center"/>
      <protection hidden="1"/>
    </xf>
    <xf numFmtId="181" fontId="25" fillId="0" borderId="13" xfId="0" applyNumberFormat="1" applyFont="1" applyFill="1" applyBorder="1" applyAlignment="1" applyProtection="1">
      <alignment horizontal="center" vertical="center" wrapText="1"/>
      <protection hidden="1"/>
    </xf>
    <xf numFmtId="181" fontId="25" fillId="0" borderId="8" xfId="18" applyNumberFormat="1" applyFont="1" applyFill="1" applyBorder="1" applyAlignment="1" applyProtection="1">
      <alignment horizontal="center" vertical="center" wrapText="1"/>
      <protection hidden="1"/>
    </xf>
    <xf numFmtId="182" fontId="29" fillId="11" borderId="12" xfId="0" applyFont="1" applyFill="1" applyBorder="1" applyAlignment="1" applyProtection="1">
      <alignment horizontal="center" vertical="center" wrapText="1"/>
      <protection hidden="1"/>
    </xf>
    <xf numFmtId="182" fontId="29" fillId="10" borderId="12" xfId="0" applyFont="1" applyFill="1" applyBorder="1" applyAlignment="1" applyProtection="1">
      <alignment horizontal="center" vertical="center" wrapText="1"/>
      <protection hidden="1"/>
    </xf>
    <xf numFmtId="182" fontId="27" fillId="12" borderId="9" xfId="9" applyFont="1" applyFill="1" applyBorder="1" applyAlignment="1" applyProtection="1">
      <alignment horizontal="center" vertical="center" wrapText="1"/>
      <protection hidden="1"/>
    </xf>
    <xf numFmtId="182" fontId="27" fillId="12" borderId="9" xfId="0" applyFont="1" applyFill="1" applyBorder="1" applyAlignment="1" applyProtection="1">
      <alignment horizontal="center" vertical="center" wrapText="1"/>
      <protection hidden="1"/>
    </xf>
    <xf numFmtId="49" fontId="27" fillId="12" borderId="9" xfId="0" applyNumberFormat="1" applyFont="1" applyFill="1" applyBorder="1" applyAlignment="1" applyProtection="1">
      <alignment horizontal="center" vertical="center" wrapText="1"/>
      <protection hidden="1"/>
    </xf>
    <xf numFmtId="176" fontId="27" fillId="12" borderId="9" xfId="15" applyNumberFormat="1" applyFont="1" applyFill="1" applyBorder="1" applyAlignment="1" applyProtection="1">
      <alignment horizontal="center" vertical="center" wrapText="1"/>
      <protection hidden="1"/>
    </xf>
    <xf numFmtId="49" fontId="25" fillId="12" borderId="15" xfId="19" applyNumberFormat="1" applyFont="1" applyFill="1" applyBorder="1" applyAlignment="1" applyProtection="1">
      <alignment horizontal="center" vertical="center"/>
      <protection locked="0"/>
    </xf>
    <xf numFmtId="49" fontId="25" fillId="12" borderId="15" xfId="34" applyNumberFormat="1" applyFont="1" applyFill="1" applyBorder="1" applyAlignment="1">
      <alignment horizontal="center" vertical="center" wrapText="1"/>
    </xf>
    <xf numFmtId="49" fontId="25" fillId="0" borderId="14" xfId="34" applyNumberFormat="1" applyFont="1" applyBorder="1" applyAlignment="1">
      <alignment horizontal="center" vertical="center"/>
    </xf>
    <xf numFmtId="49" fontId="25" fillId="0" borderId="14" xfId="34" applyNumberFormat="1" applyFont="1" applyFill="1" applyBorder="1" applyAlignment="1">
      <alignment horizontal="center" vertical="center"/>
    </xf>
    <xf numFmtId="182" fontId="30" fillId="12" borderId="8" xfId="0" applyNumberFormat="1" applyFont="1" applyFill="1" applyBorder="1" applyAlignment="1" applyProtection="1">
      <alignment horizontal="center" vertical="center" wrapText="1"/>
      <protection hidden="1"/>
    </xf>
    <xf numFmtId="182" fontId="25" fillId="5" borderId="13" xfId="0" applyFont="1" applyFill="1" applyBorder="1" applyAlignment="1" applyProtection="1">
      <alignment horizontal="center" vertical="center" wrapText="1"/>
      <protection hidden="1"/>
    </xf>
    <xf numFmtId="182" fontId="78" fillId="0" borderId="0" xfId="0" applyFont="1" applyAlignment="1">
      <alignment vertical="center"/>
    </xf>
    <xf numFmtId="181" fontId="25" fillId="0" borderId="14" xfId="0" applyNumberFormat="1" applyFont="1" applyBorder="1" applyAlignment="1" applyProtection="1">
      <alignment horizontal="center" vertical="center"/>
      <protection hidden="1"/>
    </xf>
    <xf numFmtId="179" fontId="30" fillId="0" borderId="8" xfId="0" applyNumberFormat="1" applyFont="1" applyFill="1" applyBorder="1" applyAlignment="1" applyProtection="1">
      <alignment horizontal="center" vertical="center" wrapText="1"/>
      <protection hidden="1"/>
    </xf>
    <xf numFmtId="181" fontId="25" fillId="12" borderId="14" xfId="22" applyNumberFormat="1" applyFont="1" applyFill="1" applyBorder="1" applyAlignment="1">
      <alignment horizontal="center" vertical="center"/>
    </xf>
    <xf numFmtId="182" fontId="35" fillId="0" borderId="8" xfId="0" applyFont="1" applyBorder="1" applyAlignment="1" applyProtection="1">
      <alignment vertical="center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182" fontId="35" fillId="0" borderId="8" xfId="0" applyFont="1" applyBorder="1" applyAlignment="1">
      <alignment horizontal="center" vertical="center"/>
    </xf>
    <xf numFmtId="182" fontId="35" fillId="0" borderId="8" xfId="0" applyFont="1" applyBorder="1" applyAlignment="1">
      <alignment vertical="center"/>
    </xf>
    <xf numFmtId="181" fontId="25" fillId="22" borderId="8" xfId="0" applyNumberFormat="1" applyFont="1" applyFill="1" applyBorder="1" applyAlignment="1" applyProtection="1">
      <alignment horizontal="center" vertical="center" wrapText="1"/>
      <protection hidden="1"/>
    </xf>
    <xf numFmtId="181" fontId="25" fillId="0" borderId="8" xfId="18" applyNumberFormat="1" applyFont="1" applyBorder="1" applyAlignment="1" applyProtection="1">
      <alignment horizontal="center" vertical="center" wrapText="1"/>
      <protection hidden="1"/>
    </xf>
    <xf numFmtId="182" fontId="29" fillId="6" borderId="8" xfId="0" applyFont="1" applyFill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vertical="center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181" fontId="34" fillId="17" borderId="8" xfId="9" applyNumberFormat="1" applyFont="1" applyFill="1" applyBorder="1" applyAlignment="1" applyProtection="1">
      <alignment horizontal="center" vertical="center" wrapText="1"/>
      <protection hidden="1"/>
    </xf>
    <xf numFmtId="181" fontId="25" fillId="12" borderId="13" xfId="0" applyNumberFormat="1" applyFont="1" applyFill="1" applyBorder="1" applyAlignment="1">
      <alignment horizontal="center" vertical="center" wrapText="1"/>
    </xf>
    <xf numFmtId="182" fontId="35" fillId="0" borderId="8" xfId="0" applyFont="1" applyBorder="1" applyAlignment="1">
      <alignment horizontal="center" vertical="center"/>
    </xf>
    <xf numFmtId="182" fontId="35" fillId="0" borderId="8" xfId="0" applyFont="1" applyBorder="1" applyAlignment="1" applyProtection="1">
      <alignment vertical="center"/>
      <protection hidden="1"/>
    </xf>
    <xf numFmtId="182" fontId="35" fillId="0" borderId="8" xfId="0" applyFont="1" applyBorder="1" applyAlignment="1">
      <alignment vertical="center"/>
    </xf>
    <xf numFmtId="182" fontId="25" fillId="5" borderId="8" xfId="0" applyFont="1" applyFill="1" applyBorder="1" applyAlignment="1" applyProtection="1">
      <alignment horizontal="center" vertical="center" wrapText="1"/>
      <protection hidden="1"/>
    </xf>
    <xf numFmtId="181" fontId="61" fillId="12" borderId="8" xfId="29" applyNumberFormat="1" applyFont="1" applyFill="1" applyBorder="1" applyAlignment="1" applyProtection="1">
      <alignment horizontal="center" vertical="center"/>
      <protection hidden="1"/>
    </xf>
    <xf numFmtId="49" fontId="29" fillId="12" borderId="8" xfId="0" applyNumberFormat="1" applyFont="1" applyFill="1" applyBorder="1" applyAlignment="1" applyProtection="1">
      <alignment horizontal="left" vertical="center"/>
      <protection hidden="1"/>
    </xf>
    <xf numFmtId="49" fontId="29" fillId="0" borderId="8" xfId="0" applyNumberFormat="1" applyFont="1" applyBorder="1" applyAlignment="1">
      <alignment horizontal="left" vertical="center"/>
    </xf>
    <xf numFmtId="49" fontId="29" fillId="0" borderId="8" xfId="0" applyNumberFormat="1" applyFont="1" applyBorder="1" applyAlignment="1">
      <alignment horizontal="left" vertical="center" wrapText="1"/>
    </xf>
    <xf numFmtId="49" fontId="29" fillId="0" borderId="8" xfId="0" applyNumberFormat="1" applyFont="1" applyBorder="1" applyAlignment="1" applyProtection="1">
      <alignment horizontal="left" vertical="center" wrapText="1"/>
      <protection hidden="1"/>
    </xf>
    <xf numFmtId="182" fontId="35" fillId="12" borderId="8" xfId="0" applyFont="1" applyFill="1" applyBorder="1" applyAlignment="1" applyProtection="1">
      <alignment horizontal="left" vertical="center"/>
      <protection hidden="1"/>
    </xf>
    <xf numFmtId="181" fontId="25" fillId="0" borderId="8" xfId="19" applyNumberFormat="1" applyFont="1" applyFill="1" applyBorder="1" applyAlignment="1" applyProtection="1">
      <alignment horizontal="center" vertical="center" wrapText="1"/>
      <protection hidden="1"/>
    </xf>
    <xf numFmtId="182" fontId="29" fillId="16" borderId="8" xfId="0" applyFont="1" applyFill="1" applyBorder="1" applyAlignment="1" applyProtection="1">
      <alignment horizontal="center" vertical="center" wrapText="1"/>
      <protection hidden="1"/>
    </xf>
    <xf numFmtId="49" fontId="25" fillId="29" borderId="8" xfId="0" applyNumberFormat="1" applyFont="1" applyFill="1" applyBorder="1" applyAlignment="1">
      <alignment horizontal="center" vertical="center" wrapText="1"/>
    </xf>
    <xf numFmtId="182" fontId="31" fillId="0" borderId="8" xfId="0" applyFont="1" applyBorder="1" applyAlignment="1" applyProtection="1">
      <alignment vertical="center"/>
      <protection hidden="1"/>
    </xf>
    <xf numFmtId="49" fontId="25" fillId="0" borderId="14" xfId="36" applyNumberFormat="1" applyFont="1" applyFill="1" applyBorder="1" applyAlignment="1">
      <alignment horizontal="center" vertical="center"/>
    </xf>
    <xf numFmtId="49" fontId="25" fillId="0" borderId="13" xfId="36" applyNumberFormat="1" applyFont="1" applyFill="1" applyBorder="1" applyAlignment="1">
      <alignment horizontal="center" vertical="center"/>
    </xf>
    <xf numFmtId="49" fontId="25" fillId="0" borderId="15" xfId="36" applyNumberFormat="1" applyFont="1" applyFill="1" applyBorder="1" applyAlignment="1">
      <alignment horizontal="center" vertical="center"/>
    </xf>
    <xf numFmtId="49" fontId="25" fillId="0" borderId="8" xfId="36" applyNumberFormat="1" applyFont="1" applyFill="1" applyBorder="1" applyAlignment="1">
      <alignment horizontal="center" vertical="center"/>
    </xf>
    <xf numFmtId="181" fontId="25" fillId="12" borderId="8" xfId="11" applyNumberFormat="1" applyFont="1" applyFill="1" applyBorder="1" applyAlignment="1" applyProtection="1">
      <alignment horizontal="center" vertical="center"/>
      <protection hidden="1"/>
    </xf>
    <xf numFmtId="181" fontId="25" fillId="0" borderId="14" xfId="11" applyNumberFormat="1" applyFont="1" applyBorder="1" applyAlignment="1">
      <alignment horizontal="center" vertical="center"/>
    </xf>
    <xf numFmtId="181" fontId="25" fillId="3" borderId="14" xfId="9" applyNumberFormat="1" applyFont="1" applyFill="1" applyBorder="1" applyAlignment="1" applyProtection="1">
      <alignment horizontal="center" vertical="center" wrapText="1"/>
      <protection hidden="1"/>
    </xf>
    <xf numFmtId="181" fontId="25" fillId="0" borderId="8" xfId="0" quotePrefix="1" applyNumberFormat="1" applyFont="1" applyFill="1" applyBorder="1" applyAlignment="1" applyProtection="1">
      <alignment horizontal="center" vertical="center" wrapText="1"/>
      <protection hidden="1"/>
    </xf>
    <xf numFmtId="182" fontId="25" fillId="5" borderId="8" xfId="0" applyFont="1" applyFill="1" applyBorder="1" applyAlignment="1" applyProtection="1">
      <alignment horizontal="center" vertical="center" wrapText="1"/>
      <protection hidden="1"/>
    </xf>
    <xf numFmtId="181" fontId="25" fillId="12" borderId="13" xfId="11" applyNumberFormat="1" applyFont="1" applyFill="1" applyBorder="1" applyAlignment="1" applyProtection="1">
      <alignment horizontal="center" vertical="center" wrapText="1"/>
      <protection hidden="1"/>
    </xf>
    <xf numFmtId="181" fontId="25" fillId="12" borderId="13" xfId="11" applyNumberFormat="1" applyFont="1" applyFill="1" applyBorder="1" applyAlignment="1" applyProtection="1">
      <alignment horizontal="center" vertical="center"/>
      <protection hidden="1"/>
    </xf>
    <xf numFmtId="181" fontId="25" fillId="12" borderId="13" xfId="12" applyNumberFormat="1" applyFont="1" applyFill="1" applyBorder="1" applyAlignment="1" applyProtection="1">
      <alignment horizontal="center" vertical="center" wrapText="1"/>
      <protection hidden="1"/>
    </xf>
    <xf numFmtId="181" fontId="25" fillId="12" borderId="8" xfId="12" applyNumberFormat="1" applyFont="1" applyFill="1" applyBorder="1" applyAlignment="1" applyProtection="1">
      <alignment horizontal="center" vertical="center" wrapText="1"/>
      <protection hidden="1"/>
    </xf>
    <xf numFmtId="49" fontId="25" fillId="0" borderId="8" xfId="19" applyNumberFormat="1" applyFont="1" applyBorder="1" applyAlignment="1" applyProtection="1">
      <alignment horizontal="center" vertical="center"/>
      <protection locked="0"/>
    </xf>
    <xf numFmtId="181" fontId="26" fillId="12" borderId="8" xfId="9" applyNumberFormat="1" applyFont="1" applyFill="1" applyBorder="1" applyAlignment="1" applyProtection="1">
      <alignment horizontal="center" vertical="center" wrapText="1"/>
      <protection hidden="1"/>
    </xf>
    <xf numFmtId="181" fontId="34" fillId="3" borderId="8" xfId="0" applyNumberFormat="1" applyFont="1" applyFill="1" applyBorder="1" applyAlignment="1" applyProtection="1">
      <alignment horizontal="center" vertical="center"/>
      <protection hidden="1"/>
    </xf>
    <xf numFmtId="181" fontId="34" fillId="3" borderId="8" xfId="9" applyNumberFormat="1" applyFont="1" applyFill="1" applyBorder="1" applyAlignment="1" applyProtection="1">
      <alignment horizontal="center" vertical="center" wrapText="1"/>
      <protection hidden="1"/>
    </xf>
    <xf numFmtId="181" fontId="34" fillId="12" borderId="8" xfId="0" applyNumberFormat="1" applyFont="1" applyFill="1" applyBorder="1" applyAlignment="1" applyProtection="1">
      <alignment horizontal="center" vertical="center" wrapText="1"/>
      <protection hidden="1"/>
    </xf>
    <xf numFmtId="181" fontId="26" fillId="12" borderId="8" xfId="0" applyNumberFormat="1" applyFont="1" applyFill="1" applyBorder="1" applyAlignment="1" applyProtection="1">
      <alignment horizontal="center" vertical="center" wrapText="1"/>
      <protection hidden="1"/>
    </xf>
    <xf numFmtId="181" fontId="34" fillId="0" borderId="8" xfId="0" applyNumberFormat="1" applyFont="1" applyBorder="1" applyAlignment="1" applyProtection="1">
      <alignment horizontal="center" vertical="center"/>
      <protection hidden="1"/>
    </xf>
    <xf numFmtId="181" fontId="34" fillId="0" borderId="8" xfId="0" applyNumberFormat="1" applyFont="1" applyFill="1" applyBorder="1" applyAlignment="1" applyProtection="1">
      <alignment horizontal="center" vertical="center"/>
      <protection hidden="1"/>
    </xf>
    <xf numFmtId="181" fontId="34" fillId="3" borderId="8" xfId="0" applyNumberFormat="1" applyFont="1" applyFill="1" applyBorder="1" applyAlignment="1" applyProtection="1">
      <alignment horizontal="center" vertical="center" wrapText="1"/>
      <protection hidden="1"/>
    </xf>
    <xf numFmtId="181" fontId="34" fillId="12" borderId="8" xfId="0" applyNumberFormat="1" applyFont="1" applyFill="1" applyBorder="1" applyAlignment="1">
      <alignment horizontal="center" vertical="center"/>
    </xf>
    <xf numFmtId="181" fontId="26" fillId="12" borderId="8" xfId="0" applyNumberFormat="1" applyFont="1" applyFill="1" applyBorder="1" applyAlignment="1" applyProtection="1">
      <alignment horizontal="center" vertical="center"/>
      <protection hidden="1"/>
    </xf>
    <xf numFmtId="182" fontId="29" fillId="7" borderId="8" xfId="0" applyFont="1" applyFill="1" applyBorder="1" applyAlignment="1" applyProtection="1">
      <alignment horizontal="center" vertical="center" wrapText="1"/>
      <protection hidden="1"/>
    </xf>
    <xf numFmtId="182" fontId="5" fillId="5" borderId="8" xfId="0" applyFont="1" applyFill="1" applyBorder="1" applyAlignment="1" applyProtection="1">
      <alignment horizontal="center" vertical="center" wrapText="1"/>
      <protection hidden="1"/>
    </xf>
    <xf numFmtId="182" fontId="29" fillId="6" borderId="8" xfId="0" applyFont="1" applyFill="1" applyBorder="1" applyAlignment="1" applyProtection="1">
      <alignment horizontal="center" vertical="center" wrapText="1"/>
      <protection hidden="1"/>
    </xf>
    <xf numFmtId="182" fontId="29" fillId="7" borderId="15" xfId="0" applyFont="1" applyFill="1" applyBorder="1" applyAlignment="1" applyProtection="1">
      <alignment horizontal="center" vertical="center" wrapText="1"/>
      <protection hidden="1"/>
    </xf>
    <xf numFmtId="182" fontId="29" fillId="4" borderId="8" xfId="0" applyFont="1" applyFill="1" applyBorder="1" applyAlignment="1" applyProtection="1">
      <alignment horizontal="center" vertical="center" wrapText="1"/>
      <protection hidden="1"/>
    </xf>
    <xf numFmtId="182" fontId="111" fillId="7" borderId="8" xfId="0" applyFont="1" applyFill="1" applyBorder="1" applyAlignment="1" applyProtection="1">
      <alignment horizontal="center" vertical="center" wrapText="1"/>
      <protection hidden="1"/>
    </xf>
    <xf numFmtId="182" fontId="29" fillId="0" borderId="8" xfId="0" applyFont="1" applyBorder="1" applyAlignment="1" applyProtection="1">
      <alignment horizontal="center" vertical="center"/>
      <protection hidden="1"/>
    </xf>
    <xf numFmtId="49" fontId="5" fillId="5" borderId="8" xfId="0" applyNumberFormat="1" applyFont="1" applyFill="1" applyBorder="1" applyAlignment="1" applyProtection="1">
      <alignment horizontal="center" vertical="center" wrapText="1"/>
      <protection hidden="1"/>
    </xf>
    <xf numFmtId="182" fontId="29" fillId="4" borderId="8" xfId="9" applyFont="1" applyFill="1" applyBorder="1" applyAlignment="1" applyProtection="1">
      <alignment horizontal="center" vertical="center" wrapText="1"/>
      <protection hidden="1"/>
    </xf>
    <xf numFmtId="182" fontId="35" fillId="0" borderId="8" xfId="0" applyFont="1" applyBorder="1" applyAlignment="1" applyProtection="1">
      <alignment horizontal="center" vertical="center"/>
      <protection hidden="1"/>
    </xf>
    <xf numFmtId="182" fontId="29" fillId="7" borderId="8" xfId="9" applyFont="1" applyFill="1" applyBorder="1" applyAlignment="1" applyProtection="1">
      <alignment horizontal="center" vertical="center" wrapText="1"/>
      <protection hidden="1"/>
    </xf>
    <xf numFmtId="182" fontId="23" fillId="4" borderId="8" xfId="0" applyFont="1" applyFill="1" applyBorder="1" applyAlignment="1" applyProtection="1">
      <alignment horizontal="center" vertical="center" wrapText="1"/>
      <protection hidden="1"/>
    </xf>
    <xf numFmtId="182" fontId="35" fillId="9" borderId="8" xfId="0" applyFont="1" applyFill="1" applyBorder="1" applyAlignment="1" applyProtection="1">
      <alignment horizontal="center" vertical="center" wrapText="1"/>
      <protection hidden="1"/>
    </xf>
    <xf numFmtId="182" fontId="30" fillId="9" borderId="8" xfId="0" applyFont="1" applyFill="1" applyBorder="1" applyAlignment="1" applyProtection="1">
      <alignment horizontal="center" vertical="center" wrapText="1"/>
      <protection hidden="1"/>
    </xf>
    <xf numFmtId="182" fontId="7" fillId="9" borderId="8" xfId="0" applyFont="1" applyFill="1" applyBorder="1" applyAlignment="1" applyProtection="1">
      <alignment horizontal="center" vertical="center" wrapText="1"/>
      <protection hidden="1"/>
    </xf>
    <xf numFmtId="182" fontId="29" fillId="9" borderId="8" xfId="0" applyFont="1" applyFill="1" applyBorder="1" applyAlignment="1" applyProtection="1">
      <alignment horizontal="center" vertical="center" wrapText="1"/>
      <protection hidden="1"/>
    </xf>
    <xf numFmtId="182" fontId="9" fillId="9" borderId="8" xfId="0" applyFont="1" applyFill="1" applyBorder="1" applyAlignment="1" applyProtection="1">
      <alignment horizontal="center" vertical="center" wrapText="1"/>
      <protection hidden="1"/>
    </xf>
    <xf numFmtId="182" fontId="29" fillId="16" borderId="8" xfId="0" applyFont="1" applyFill="1" applyBorder="1" applyAlignment="1" applyProtection="1">
      <alignment horizontal="center" vertical="center" wrapText="1"/>
      <protection hidden="1"/>
    </xf>
    <xf numFmtId="182" fontId="35" fillId="16" borderId="8" xfId="0" applyFont="1" applyFill="1" applyBorder="1" applyAlignment="1" applyProtection="1">
      <alignment horizontal="center" vertical="center" wrapText="1"/>
      <protection hidden="1"/>
    </xf>
    <xf numFmtId="182" fontId="29" fillId="6" borderId="8" xfId="9" applyFont="1" applyFill="1" applyBorder="1" applyAlignment="1" applyProtection="1">
      <alignment horizontal="center" vertical="center" wrapText="1"/>
      <protection hidden="1"/>
    </xf>
    <xf numFmtId="182" fontId="5" fillId="12" borderId="8" xfId="0" applyFont="1" applyFill="1" applyBorder="1" applyAlignment="1" applyProtection="1">
      <alignment horizontal="center" vertical="center" wrapText="1"/>
      <protection hidden="1"/>
    </xf>
    <xf numFmtId="182" fontId="29" fillId="15" borderId="8" xfId="0" applyFont="1" applyFill="1" applyBorder="1" applyAlignment="1" applyProtection="1">
      <alignment horizontal="center" vertical="center" wrapText="1"/>
      <protection hidden="1"/>
    </xf>
    <xf numFmtId="182" fontId="23" fillId="7" borderId="8" xfId="0" applyFont="1" applyFill="1" applyBorder="1" applyAlignment="1" applyProtection="1">
      <alignment horizontal="center" vertical="center" wrapText="1"/>
      <protection hidden="1"/>
    </xf>
    <xf numFmtId="182" fontId="29" fillId="5" borderId="8" xfId="0" applyFont="1" applyFill="1" applyBorder="1" applyAlignment="1" applyProtection="1">
      <alignment horizontal="center" vertical="center" wrapText="1"/>
      <protection hidden="1"/>
    </xf>
    <xf numFmtId="182" fontId="29" fillId="10" borderId="8" xfId="0" applyFont="1" applyFill="1" applyBorder="1" applyAlignment="1" applyProtection="1">
      <alignment horizontal="center" vertical="center" wrapText="1"/>
      <protection hidden="1"/>
    </xf>
    <xf numFmtId="182" fontId="29" fillId="4" borderId="12" xfId="0" applyFont="1" applyFill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vertical="center"/>
      <protection hidden="1"/>
    </xf>
    <xf numFmtId="49" fontId="29" fillId="0" borderId="8" xfId="0" applyNumberFormat="1" applyFont="1" applyBorder="1" applyAlignment="1" applyProtection="1">
      <alignment horizontal="left" vertical="center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182" fontId="23" fillId="6" borderId="8" xfId="9" applyFont="1" applyFill="1" applyBorder="1" applyAlignment="1" applyProtection="1">
      <alignment horizontal="center" vertical="center" wrapText="1"/>
      <protection hidden="1"/>
    </xf>
    <xf numFmtId="182" fontId="25" fillId="4" borderId="8" xfId="0" applyFont="1" applyFill="1" applyBorder="1" applyAlignment="1" applyProtection="1">
      <alignment horizontal="center" vertical="center" wrapText="1"/>
      <protection hidden="1"/>
    </xf>
    <xf numFmtId="182" fontId="25" fillId="7" borderId="8" xfId="0" applyFont="1" applyFill="1" applyBorder="1" applyAlignment="1" applyProtection="1">
      <alignment horizontal="center" vertical="center" wrapText="1"/>
      <protection hidden="1"/>
    </xf>
    <xf numFmtId="182" fontId="25" fillId="2" borderId="8" xfId="0" applyFont="1" applyFill="1" applyBorder="1" applyAlignment="1" applyProtection="1">
      <alignment horizontal="center" vertical="center" wrapText="1"/>
      <protection hidden="1"/>
    </xf>
    <xf numFmtId="182" fontId="29" fillId="2" borderId="8" xfId="0" applyFont="1" applyFill="1" applyBorder="1" applyAlignment="1" applyProtection="1">
      <alignment horizontal="center" vertical="center" wrapText="1"/>
      <protection hidden="1"/>
    </xf>
    <xf numFmtId="182" fontId="29" fillId="2" borderId="12" xfId="0" applyFont="1" applyFill="1" applyBorder="1" applyAlignment="1" applyProtection="1">
      <alignment horizontal="center" vertical="center" wrapText="1"/>
      <protection hidden="1"/>
    </xf>
    <xf numFmtId="182" fontId="25" fillId="10" borderId="8" xfId="0" applyFont="1" applyFill="1" applyBorder="1" applyAlignment="1" applyProtection="1">
      <alignment horizontal="center" vertical="center" wrapText="1"/>
      <protection hidden="1"/>
    </xf>
    <xf numFmtId="182" fontId="25" fillId="9" borderId="8" xfId="0" applyFont="1" applyFill="1" applyBorder="1" applyAlignment="1" applyProtection="1">
      <alignment horizontal="center" vertical="center" wrapText="1"/>
      <protection hidden="1"/>
    </xf>
    <xf numFmtId="182" fontId="50" fillId="2" borderId="8" xfId="0" applyFont="1" applyFill="1" applyBorder="1" applyAlignment="1" applyProtection="1">
      <alignment horizontal="center" vertical="center" wrapText="1"/>
      <protection hidden="1"/>
    </xf>
    <xf numFmtId="182" fontId="35" fillId="0" borderId="8" xfId="0" applyFont="1" applyBorder="1" applyAlignment="1" applyProtection="1">
      <alignment horizontal="center" vertical="center" wrapText="1"/>
      <protection hidden="1"/>
    </xf>
    <xf numFmtId="181" fontId="34" fillId="0" borderId="8" xfId="0" applyNumberFormat="1" applyFont="1" applyBorder="1" applyAlignment="1" applyProtection="1">
      <alignment horizontal="center" vertical="center" wrapText="1"/>
      <protection hidden="1"/>
    </xf>
    <xf numFmtId="181" fontId="34" fillId="12" borderId="8" xfId="0" applyNumberFormat="1" applyFont="1" applyFill="1" applyBorder="1" applyAlignment="1" applyProtection="1">
      <alignment horizontal="center" vertical="center"/>
      <protection hidden="1"/>
    </xf>
    <xf numFmtId="181" fontId="26" fillId="3" borderId="8" xfId="9" applyNumberFormat="1" applyFont="1" applyFill="1" applyBorder="1" applyAlignment="1" applyProtection="1">
      <alignment horizontal="center" vertical="center" wrapText="1"/>
      <protection hidden="1"/>
    </xf>
    <xf numFmtId="49" fontId="25" fillId="0" borderId="14" xfId="19" applyNumberFormat="1" applyFont="1" applyBorder="1" applyAlignment="1">
      <alignment horizontal="center" vertical="center"/>
    </xf>
    <xf numFmtId="49" fontId="34" fillId="0" borderId="8" xfId="19" applyNumberFormat="1" applyFont="1" applyBorder="1" applyAlignment="1">
      <alignment horizontal="center" vertical="center"/>
    </xf>
    <xf numFmtId="181" fontId="34" fillId="12" borderId="14" xfId="0" applyNumberFormat="1" applyFont="1" applyFill="1" applyBorder="1" applyAlignment="1" applyProtection="1">
      <alignment horizontal="center" vertical="center" wrapText="1"/>
      <protection hidden="1"/>
    </xf>
    <xf numFmtId="181" fontId="34" fillId="3" borderId="8" xfId="19" applyNumberFormat="1" applyFont="1" applyFill="1" applyBorder="1" applyAlignment="1" applyProtection="1">
      <alignment horizontal="center" vertical="center" wrapText="1"/>
      <protection hidden="1"/>
    </xf>
    <xf numFmtId="181" fontId="34" fillId="12" borderId="13" xfId="0" applyNumberFormat="1" applyFont="1" applyFill="1" applyBorder="1" applyAlignment="1" applyProtection="1">
      <alignment horizontal="center" vertical="center"/>
      <protection hidden="1"/>
    </xf>
    <xf numFmtId="181" fontId="34" fillId="12" borderId="8" xfId="11" applyNumberFormat="1" applyFont="1" applyFill="1" applyBorder="1" applyAlignment="1" applyProtection="1">
      <alignment horizontal="center" vertical="center" wrapText="1"/>
      <protection hidden="1"/>
    </xf>
    <xf numFmtId="181" fontId="61" fillId="12" borderId="8" xfId="6" applyNumberFormat="1" applyFont="1" applyFill="1" applyBorder="1" applyAlignment="1">
      <alignment horizontal="center" vertical="center"/>
    </xf>
    <xf numFmtId="181" fontId="61" fillId="12" borderId="8" xfId="6" applyNumberFormat="1" applyFont="1" applyFill="1" applyBorder="1" applyAlignment="1" applyProtection="1">
      <alignment horizontal="center" vertical="center"/>
      <protection hidden="1"/>
    </xf>
    <xf numFmtId="181" fontId="61" fillId="12" borderId="8" xfId="28" applyNumberFormat="1" applyFont="1" applyFill="1" applyBorder="1" applyAlignment="1">
      <alignment horizontal="center" vertical="center"/>
    </xf>
    <xf numFmtId="181" fontId="26" fillId="12" borderId="8" xfId="19" applyNumberFormat="1" applyFont="1" applyFill="1" applyBorder="1" applyAlignment="1" applyProtection="1">
      <alignment horizontal="center" vertical="center"/>
      <protection hidden="1"/>
    </xf>
    <xf numFmtId="181" fontId="61" fillId="12" borderId="8" xfId="19" applyNumberFormat="1" applyFont="1" applyFill="1" applyBorder="1" applyAlignment="1">
      <alignment horizontal="center" vertical="center" wrapText="1"/>
    </xf>
    <xf numFmtId="181" fontId="26" fillId="12" borderId="8" xfId="6" applyNumberFormat="1" applyFont="1" applyFill="1" applyBorder="1" applyAlignment="1">
      <alignment horizontal="center" vertical="center"/>
    </xf>
    <xf numFmtId="181" fontId="61" fillId="3" borderId="8" xfId="9" applyNumberFormat="1" applyFont="1" applyFill="1" applyBorder="1" applyAlignment="1" applyProtection="1">
      <alignment horizontal="center" vertical="center" wrapText="1"/>
      <protection hidden="1"/>
    </xf>
    <xf numFmtId="181" fontId="61" fillId="0" borderId="8" xfId="0" applyNumberFormat="1" applyFont="1" applyBorder="1" applyAlignment="1" applyProtection="1">
      <alignment horizontal="center" vertical="center" wrapText="1"/>
      <protection hidden="1"/>
    </xf>
    <xf numFmtId="181" fontId="61" fillId="12" borderId="8" xfId="0" applyNumberFormat="1" applyFont="1" applyFill="1" applyBorder="1" applyAlignment="1" applyProtection="1">
      <alignment horizontal="center" vertical="center" wrapText="1"/>
    </xf>
    <xf numFmtId="181" fontId="61" fillId="12" borderId="8" xfId="0" applyNumberFormat="1" applyFont="1" applyFill="1" applyBorder="1" applyAlignment="1">
      <alignment horizontal="center" vertical="center" wrapText="1"/>
    </xf>
    <xf numFmtId="181" fontId="61" fillId="12" borderId="8" xfId="19" applyNumberFormat="1" applyFont="1" applyFill="1" applyBorder="1" applyAlignment="1" applyProtection="1">
      <alignment horizontal="center" vertical="center"/>
      <protection hidden="1"/>
    </xf>
    <xf numFmtId="181" fontId="61" fillId="12" borderId="8" xfId="3" applyNumberFormat="1" applyFont="1" applyFill="1" applyBorder="1" applyAlignment="1" applyProtection="1">
      <alignment horizontal="center" vertical="center"/>
      <protection hidden="1"/>
    </xf>
    <xf numFmtId="181" fontId="61" fillId="12" borderId="8" xfId="6" applyNumberFormat="1" applyFont="1" applyFill="1" applyBorder="1" applyAlignment="1" applyProtection="1">
      <alignment horizontal="center" vertical="center" wrapText="1"/>
      <protection hidden="1"/>
    </xf>
    <xf numFmtId="181" fontId="26" fillId="12" borderId="8" xfId="0" applyNumberFormat="1" applyFont="1" applyFill="1" applyBorder="1" applyAlignment="1">
      <alignment horizontal="center" vertical="center" wrapText="1"/>
    </xf>
    <xf numFmtId="181" fontId="61" fillId="3" borderId="8" xfId="28" applyNumberFormat="1" applyFont="1" applyFill="1" applyBorder="1" applyAlignment="1">
      <alignment horizontal="center" vertical="center"/>
    </xf>
    <xf numFmtId="181" fontId="68" fillId="12" borderId="8" xfId="9" applyNumberFormat="1" applyFont="1" applyFill="1" applyBorder="1" applyAlignment="1" applyProtection="1">
      <alignment horizontal="center" vertical="center" wrapText="1"/>
      <protection hidden="1"/>
    </xf>
    <xf numFmtId="181" fontId="61" fillId="12" borderId="8" xfId="11" applyNumberFormat="1" applyFont="1" applyFill="1" applyBorder="1" applyAlignment="1" applyProtection="1">
      <alignment horizontal="center" vertical="center"/>
      <protection hidden="1"/>
    </xf>
    <xf numFmtId="181" fontId="26" fillId="12" borderId="8" xfId="12" applyNumberFormat="1" applyFont="1" applyFill="1" applyBorder="1" applyAlignment="1" applyProtection="1">
      <alignment horizontal="center" vertical="center"/>
      <protection hidden="1"/>
    </xf>
    <xf numFmtId="181" fontId="61" fillId="12" borderId="8" xfId="12" applyNumberFormat="1" applyFont="1" applyFill="1" applyBorder="1" applyAlignment="1" applyProtection="1">
      <alignment horizontal="center" vertical="center"/>
      <protection hidden="1"/>
    </xf>
    <xf numFmtId="181" fontId="61" fillId="12" borderId="8" xfId="17" applyNumberFormat="1" applyFont="1" applyFill="1" applyBorder="1" applyAlignment="1" applyProtection="1">
      <alignment horizontal="center" vertical="center"/>
      <protection hidden="1"/>
    </xf>
    <xf numFmtId="181" fontId="61" fillId="0" borderId="8" xfId="12" applyNumberFormat="1" applyFont="1" applyFill="1" applyBorder="1" applyAlignment="1" applyProtection="1">
      <alignment horizontal="center" vertical="center"/>
      <protection hidden="1"/>
    </xf>
    <xf numFmtId="181" fontId="34" fillId="12" borderId="8" xfId="11" applyNumberFormat="1" applyFont="1" applyFill="1" applyBorder="1" applyAlignment="1" applyProtection="1">
      <alignment horizontal="center" vertical="center"/>
      <protection hidden="1"/>
    </xf>
    <xf numFmtId="182" fontId="61" fillId="0" borderId="0" xfId="0" applyFont="1" applyAlignment="1" applyProtection="1">
      <alignment horizontal="center" vertical="center"/>
      <protection hidden="1"/>
    </xf>
    <xf numFmtId="181" fontId="61" fillId="12" borderId="8" xfId="12" applyNumberFormat="1" applyFont="1" applyFill="1" applyBorder="1" applyAlignment="1" applyProtection="1">
      <alignment horizontal="center" vertical="center" wrapText="1"/>
      <protection hidden="1"/>
    </xf>
    <xf numFmtId="181" fontId="61" fillId="17" borderId="8" xfId="12" applyNumberFormat="1" applyFont="1" applyFill="1" applyBorder="1" applyAlignment="1" applyProtection="1">
      <alignment horizontal="center" vertical="center" wrapText="1"/>
      <protection hidden="1"/>
    </xf>
    <xf numFmtId="181" fontId="61" fillId="12" borderId="8" xfId="13" applyNumberFormat="1" applyFont="1" applyFill="1" applyBorder="1" applyAlignment="1" applyProtection="1">
      <alignment horizontal="center" vertical="center"/>
      <protection hidden="1"/>
    </xf>
    <xf numFmtId="181" fontId="61" fillId="12" borderId="8" xfId="16" applyNumberFormat="1" applyFont="1" applyFill="1" applyBorder="1" applyAlignment="1" applyProtection="1">
      <alignment horizontal="center" vertical="center"/>
      <protection hidden="1"/>
    </xf>
    <xf numFmtId="181" fontId="61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61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61" fillId="0" borderId="14" xfId="0" applyNumberFormat="1" applyFont="1" applyFill="1" applyBorder="1" applyAlignment="1">
      <alignment horizontal="center" vertical="center"/>
    </xf>
    <xf numFmtId="49" fontId="34" fillId="12" borderId="8" xfId="35" applyNumberFormat="1" applyFont="1" applyFill="1" applyBorder="1" applyAlignment="1">
      <alignment horizontal="center" vertical="center"/>
    </xf>
    <xf numFmtId="49" fontId="61" fillId="0" borderId="15" xfId="0" applyNumberFormat="1" applyFont="1" applyFill="1" applyBorder="1" applyAlignment="1" applyProtection="1">
      <alignment horizontal="center" vertical="center" wrapText="1"/>
      <protection hidden="1"/>
    </xf>
    <xf numFmtId="49" fontId="61" fillId="0" borderId="8" xfId="0" applyNumberFormat="1" applyFont="1" applyFill="1" applyBorder="1" applyAlignment="1">
      <alignment horizontal="center" vertical="center"/>
    </xf>
    <xf numFmtId="181" fontId="61" fillId="0" borderId="8" xfId="0" applyNumberFormat="1" applyFont="1" applyFill="1" applyBorder="1" applyAlignment="1" applyProtection="1">
      <alignment horizontal="center" vertical="center"/>
      <protection hidden="1"/>
    </xf>
    <xf numFmtId="177" fontId="61" fillId="12" borderId="8" xfId="35" applyNumberFormat="1" applyFont="1" applyFill="1" applyBorder="1" applyAlignment="1">
      <alignment horizontal="center" vertical="center"/>
    </xf>
    <xf numFmtId="181" fontId="34" fillId="19" borderId="8" xfId="0" applyNumberFormat="1" applyFont="1" applyFill="1" applyBorder="1" applyAlignment="1" applyProtection="1">
      <alignment horizontal="center" vertical="center" wrapText="1"/>
      <protection hidden="1"/>
    </xf>
    <xf numFmtId="181" fontId="61" fillId="19" borderId="8" xfId="0" applyNumberFormat="1" applyFont="1" applyFill="1" applyBorder="1" applyAlignment="1" applyProtection="1">
      <alignment horizontal="center" vertical="center" wrapText="1"/>
      <protection hidden="1"/>
    </xf>
    <xf numFmtId="49" fontId="61" fillId="12" borderId="8" xfId="0" applyNumberFormat="1" applyFont="1" applyFill="1" applyBorder="1" applyAlignment="1">
      <alignment horizontal="center" vertical="center" wrapText="1"/>
    </xf>
    <xf numFmtId="49" fontId="61" fillId="0" borderId="14" xfId="0" applyNumberFormat="1" applyFont="1" applyFill="1" applyBorder="1" applyAlignment="1" applyProtection="1">
      <alignment horizontal="center" vertical="center" wrapText="1"/>
      <protection hidden="1"/>
    </xf>
    <xf numFmtId="49" fontId="61" fillId="12" borderId="8" xfId="0" applyNumberFormat="1" applyFont="1" applyFill="1" applyBorder="1" applyAlignment="1" applyProtection="1">
      <alignment horizontal="center" vertical="center"/>
      <protection hidden="1"/>
    </xf>
    <xf numFmtId="181" fontId="61" fillId="0" borderId="8" xfId="1" applyNumberFormat="1" applyFont="1" applyBorder="1" applyAlignment="1" applyProtection="1">
      <alignment horizontal="center" vertical="center" wrapText="1"/>
      <protection hidden="1"/>
    </xf>
    <xf numFmtId="181" fontId="61" fillId="12" borderId="13" xfId="0" applyNumberFormat="1" applyFont="1" applyFill="1" applyBorder="1" applyAlignment="1" applyProtection="1">
      <alignment horizontal="center" vertical="center" wrapText="1"/>
      <protection hidden="1"/>
    </xf>
    <xf numFmtId="49" fontId="61" fillId="12" borderId="14" xfId="35" applyNumberFormat="1" applyFont="1" applyFill="1" applyBorder="1" applyAlignment="1">
      <alignment horizontal="center" vertical="center"/>
    </xf>
    <xf numFmtId="181" fontId="61" fillId="12" borderId="13" xfId="0" applyNumberFormat="1" applyFont="1" applyFill="1" applyBorder="1" applyAlignment="1">
      <alignment horizontal="center" vertical="center" wrapText="1"/>
    </xf>
    <xf numFmtId="181" fontId="61" fillId="12" borderId="14" xfId="0" applyNumberFormat="1" applyFont="1" applyFill="1" applyBorder="1" applyAlignment="1">
      <alignment horizontal="center" vertical="center" wrapText="1"/>
    </xf>
    <xf numFmtId="49" fontId="61" fillId="0" borderId="13" xfId="0" applyNumberFormat="1" applyFont="1" applyFill="1" applyBorder="1" applyAlignment="1">
      <alignment horizontal="center" vertical="center"/>
    </xf>
    <xf numFmtId="49" fontId="61" fillId="0" borderId="15" xfId="0" applyNumberFormat="1" applyFont="1" applyBorder="1" applyAlignment="1">
      <alignment horizontal="center" vertical="center"/>
    </xf>
    <xf numFmtId="49" fontId="61" fillId="0" borderId="8" xfId="0" applyNumberFormat="1" applyFont="1" applyBorder="1" applyAlignment="1">
      <alignment horizontal="center" vertical="center"/>
    </xf>
    <xf numFmtId="49" fontId="61" fillId="0" borderId="13" xfId="0" applyNumberFormat="1" applyFont="1" applyBorder="1" applyAlignment="1">
      <alignment horizontal="center" vertical="center"/>
    </xf>
    <xf numFmtId="181" fontId="61" fillId="12" borderId="14" xfId="9" applyNumberFormat="1" applyFont="1" applyFill="1" applyBorder="1" applyAlignment="1" applyProtection="1">
      <alignment horizontal="center" vertical="center" wrapText="1"/>
      <protection hidden="1"/>
    </xf>
    <xf numFmtId="49" fontId="61" fillId="0" borderId="14" xfId="0" applyNumberFormat="1" applyFont="1" applyBorder="1" applyAlignment="1">
      <alignment horizontal="center" vertical="center"/>
    </xf>
    <xf numFmtId="49" fontId="34" fillId="0" borderId="13" xfId="0" applyNumberFormat="1" applyFont="1" applyFill="1" applyBorder="1" applyAlignment="1" applyProtection="1">
      <alignment horizontal="center" vertical="center" wrapText="1"/>
      <protection hidden="1"/>
    </xf>
    <xf numFmtId="49" fontId="61" fillId="12" borderId="8" xfId="35" applyNumberFormat="1" applyFont="1" applyFill="1" applyBorder="1" applyAlignment="1">
      <alignment horizontal="center" vertical="center"/>
    </xf>
    <xf numFmtId="49" fontId="34" fillId="0" borderId="14" xfId="0" applyNumberFormat="1" applyFont="1" applyFill="1" applyBorder="1" applyAlignment="1" applyProtection="1">
      <alignment horizontal="center" vertical="center" wrapText="1"/>
      <protection hidden="1"/>
    </xf>
    <xf numFmtId="181" fontId="61" fillId="12" borderId="13" xfId="9" applyNumberFormat="1" applyFont="1" applyFill="1" applyBorder="1" applyAlignment="1" applyProtection="1">
      <alignment horizontal="center" vertical="center" wrapText="1"/>
      <protection hidden="1"/>
    </xf>
    <xf numFmtId="49" fontId="34" fillId="0" borderId="8" xfId="0" applyNumberFormat="1" applyFont="1" applyFill="1" applyBorder="1" applyAlignment="1" applyProtection="1">
      <alignment horizontal="center" vertical="center" wrapText="1"/>
      <protection hidden="1"/>
    </xf>
    <xf numFmtId="49" fontId="61" fillId="12" borderId="8" xfId="27" applyNumberFormat="1" applyFont="1" applyFill="1" applyBorder="1" applyAlignment="1" applyProtection="1">
      <alignment horizontal="center" vertical="center" wrapText="1"/>
      <protection hidden="1"/>
    </xf>
    <xf numFmtId="49" fontId="61" fillId="12" borderId="14" xfId="27" applyNumberFormat="1" applyFont="1" applyFill="1" applyBorder="1" applyAlignment="1" applyProtection="1">
      <alignment horizontal="center" vertical="center" wrapText="1"/>
      <protection hidden="1"/>
    </xf>
    <xf numFmtId="49" fontId="61" fillId="0" borderId="13" xfId="0" applyNumberFormat="1" applyFont="1" applyFill="1" applyBorder="1" applyAlignment="1" applyProtection="1">
      <alignment horizontal="center" vertical="center" wrapText="1"/>
      <protection hidden="1"/>
    </xf>
    <xf numFmtId="49" fontId="61" fillId="12" borderId="15" xfId="0" applyNumberFormat="1" applyFont="1" applyFill="1" applyBorder="1" applyAlignment="1" applyProtection="1">
      <alignment horizontal="center" vertical="center" wrapText="1"/>
      <protection hidden="1"/>
    </xf>
    <xf numFmtId="0" fontId="61" fillId="0" borderId="14" xfId="0" applyNumberFormat="1" applyFont="1" applyBorder="1" applyAlignment="1">
      <alignment horizontal="center" vertical="center"/>
    </xf>
    <xf numFmtId="49" fontId="61" fillId="12" borderId="13" xfId="0" applyNumberFormat="1" applyFont="1" applyFill="1" applyBorder="1" applyAlignment="1" applyProtection="1">
      <alignment horizontal="center" vertical="center" wrapText="1"/>
      <protection hidden="1"/>
    </xf>
    <xf numFmtId="49" fontId="61" fillId="12" borderId="14" xfId="0" applyNumberFormat="1" applyFont="1" applyFill="1" applyBorder="1" applyAlignment="1" applyProtection="1">
      <alignment horizontal="center" vertical="center" wrapText="1"/>
      <protection hidden="1"/>
    </xf>
    <xf numFmtId="181" fontId="5" fillId="12" borderId="8" xfId="0" applyNumberFormat="1" applyFont="1" applyFill="1" applyBorder="1" applyAlignment="1" applyProtection="1">
      <alignment horizontal="center" vertical="center" wrapText="1"/>
      <protection hidden="1"/>
    </xf>
    <xf numFmtId="181" fontId="5" fillId="12" borderId="8" xfId="14" applyNumberFormat="1" applyFont="1" applyFill="1" applyBorder="1" applyAlignment="1" applyProtection="1">
      <alignment horizontal="center" vertical="center"/>
      <protection hidden="1"/>
    </xf>
    <xf numFmtId="181" fontId="5" fillId="12" borderId="8" xfId="0" applyNumberFormat="1" applyFont="1" applyFill="1" applyBorder="1" applyAlignment="1" applyProtection="1">
      <alignment horizontal="center" vertical="center"/>
      <protection hidden="1"/>
    </xf>
    <xf numFmtId="181" fontId="5" fillId="12" borderId="14" xfId="0" applyNumberFormat="1" applyFont="1" applyFill="1" applyBorder="1" applyAlignment="1" applyProtection="1">
      <alignment horizontal="center" vertical="center" wrapText="1"/>
      <protection hidden="1"/>
    </xf>
    <xf numFmtId="49" fontId="5" fillId="0" borderId="8" xfId="0" applyNumberFormat="1" applyFont="1" applyBorder="1" applyAlignment="1">
      <alignment horizontal="center" vertical="center"/>
    </xf>
    <xf numFmtId="181" fontId="5" fillId="12" borderId="13" xfId="0" applyNumberFormat="1" applyFont="1" applyFill="1" applyBorder="1" applyAlignment="1" applyProtection="1">
      <alignment horizontal="center" vertical="center"/>
      <protection hidden="1"/>
    </xf>
    <xf numFmtId="181" fontId="5" fillId="3" borderId="8" xfId="0" applyNumberFormat="1" applyFont="1" applyFill="1" applyBorder="1" applyAlignment="1" applyProtection="1">
      <alignment horizontal="center" vertical="center" wrapText="1"/>
      <protection hidden="1"/>
    </xf>
    <xf numFmtId="181" fontId="5" fillId="12" borderId="8" xfId="18" applyNumberFormat="1" applyFont="1" applyFill="1" applyBorder="1" applyAlignment="1" applyProtection="1">
      <alignment horizontal="center" vertical="center"/>
      <protection hidden="1"/>
    </xf>
    <xf numFmtId="181" fontId="5" fillId="19" borderId="8" xfId="0" applyNumberFormat="1" applyFont="1" applyFill="1" applyBorder="1" applyAlignment="1" applyProtection="1">
      <alignment horizontal="center" vertical="center" wrapText="1"/>
      <protection hidden="1"/>
    </xf>
    <xf numFmtId="181" fontId="5" fillId="12" borderId="8" xfId="0" applyNumberFormat="1" applyFont="1" applyFill="1" applyBorder="1" applyAlignment="1">
      <alignment horizontal="center" vertical="center" wrapText="1"/>
    </xf>
    <xf numFmtId="181" fontId="5" fillId="0" borderId="8" xfId="14" applyNumberFormat="1" applyFont="1" applyFill="1" applyBorder="1" applyAlignment="1" applyProtection="1">
      <alignment horizontal="center" vertical="center"/>
      <protection hidden="1"/>
    </xf>
    <xf numFmtId="181" fontId="5" fillId="19" borderId="8" xfId="0" applyNumberFormat="1" applyFont="1" applyFill="1" applyBorder="1" applyAlignment="1" applyProtection="1">
      <alignment horizontal="center" vertical="center"/>
      <protection hidden="1"/>
    </xf>
    <xf numFmtId="181" fontId="5" fillId="12" borderId="8" xfId="0" applyNumberFormat="1" applyFont="1" applyFill="1" applyBorder="1" applyAlignment="1">
      <alignment horizontal="center" vertical="center"/>
    </xf>
    <xf numFmtId="181" fontId="5" fillId="12" borderId="8" xfId="1" applyNumberFormat="1" applyFont="1" applyFill="1" applyBorder="1" applyAlignment="1" applyProtection="1">
      <alignment horizontal="center" vertical="center" wrapText="1"/>
      <protection hidden="1"/>
    </xf>
    <xf numFmtId="181" fontId="5" fillId="0" borderId="8" xfId="11" applyNumberFormat="1" applyFont="1" applyFill="1" applyBorder="1" applyAlignment="1">
      <alignment horizontal="center" vertical="center"/>
    </xf>
    <xf numFmtId="181" fontId="5" fillId="12" borderId="8" xfId="19" applyNumberFormat="1" applyFont="1" applyFill="1" applyBorder="1" applyAlignment="1" applyProtection="1">
      <alignment horizontal="center" vertical="center"/>
      <protection hidden="1"/>
    </xf>
    <xf numFmtId="181" fontId="5" fillId="12" borderId="8" xfId="11" applyNumberFormat="1" applyFont="1" applyFill="1" applyBorder="1" applyAlignment="1" applyProtection="1">
      <alignment horizontal="center" vertical="center"/>
      <protection hidden="1"/>
    </xf>
    <xf numFmtId="181" fontId="5" fillId="12" borderId="8" xfId="0" applyNumberFormat="1" applyFont="1" applyFill="1" applyBorder="1" applyAlignment="1" applyProtection="1">
      <alignment horizontal="center" vertical="center" shrinkToFit="1"/>
      <protection hidden="1"/>
    </xf>
    <xf numFmtId="181" fontId="5" fillId="12" borderId="8" xfId="33" applyNumberFormat="1" applyFont="1" applyFill="1" applyBorder="1" applyAlignment="1">
      <alignment horizontal="center" vertical="center" wrapText="1"/>
    </xf>
    <xf numFmtId="181" fontId="5" fillId="12" borderId="8" xfId="19" applyNumberFormat="1" applyFont="1" applyFill="1" applyBorder="1" applyAlignment="1" applyProtection="1">
      <alignment horizontal="center" vertical="center" wrapText="1"/>
      <protection hidden="1"/>
    </xf>
    <xf numFmtId="181" fontId="5" fillId="0" borderId="8" xfId="0" applyNumberFormat="1" applyFont="1" applyFill="1" applyBorder="1" applyAlignment="1" applyProtection="1">
      <alignment horizontal="center" vertical="center"/>
      <protection hidden="1"/>
    </xf>
    <xf numFmtId="181" fontId="5" fillId="0" borderId="14" xfId="11" applyNumberFormat="1" applyFont="1" applyFill="1" applyBorder="1" applyAlignment="1">
      <alignment horizontal="center" vertical="center"/>
    </xf>
    <xf numFmtId="49" fontId="5" fillId="12" borderId="8" xfId="0" applyNumberFormat="1" applyFont="1" applyFill="1" applyBorder="1" applyAlignment="1">
      <alignment horizontal="center" vertical="center"/>
    </xf>
    <xf numFmtId="181" fontId="5" fillId="0" borderId="13" xfId="11" applyNumberFormat="1" applyFont="1" applyFill="1" applyBorder="1" applyAlignment="1">
      <alignment horizontal="center" vertical="center"/>
    </xf>
    <xf numFmtId="181" fontId="5" fillId="12" borderId="14" xfId="0" applyNumberFormat="1" applyFont="1" applyFill="1" applyBorder="1" applyAlignment="1">
      <alignment horizontal="center" vertical="center"/>
    </xf>
    <xf numFmtId="181" fontId="5" fillId="12" borderId="13" xfId="0" applyNumberFormat="1" applyFont="1" applyFill="1" applyBorder="1" applyAlignment="1">
      <alignment horizontal="center" vertical="center"/>
    </xf>
    <xf numFmtId="181" fontId="5" fillId="12" borderId="14" xfId="11" applyNumberFormat="1" applyFont="1" applyFill="1" applyBorder="1" applyAlignment="1">
      <alignment horizontal="center" vertical="center"/>
    </xf>
    <xf numFmtId="181" fontId="5" fillId="12" borderId="13" xfId="11" applyNumberFormat="1" applyFont="1" applyFill="1" applyBorder="1" applyAlignment="1">
      <alignment horizontal="center" vertical="center"/>
    </xf>
    <xf numFmtId="181" fontId="5" fillId="17" borderId="8" xfId="1" applyNumberFormat="1" applyFont="1" applyFill="1" applyBorder="1" applyAlignment="1" applyProtection="1">
      <alignment horizontal="center" vertical="center" wrapText="1"/>
      <protection hidden="1"/>
    </xf>
    <xf numFmtId="181" fontId="5" fillId="12" borderId="8" xfId="11" applyNumberFormat="1" applyFont="1" applyFill="1" applyBorder="1" applyAlignment="1">
      <alignment horizontal="center" vertical="center"/>
    </xf>
    <xf numFmtId="181" fontId="5" fillId="12" borderId="15" xfId="0" applyNumberFormat="1" applyFont="1" applyFill="1" applyBorder="1" applyAlignment="1">
      <alignment horizontal="center" vertical="center"/>
    </xf>
    <xf numFmtId="49" fontId="5" fillId="12" borderId="14" xfId="0" applyNumberFormat="1" applyFont="1" applyFill="1" applyBorder="1" applyAlignment="1">
      <alignment horizontal="center" vertical="center"/>
    </xf>
    <xf numFmtId="181" fontId="5" fillId="12" borderId="15" xfId="0" applyNumberFormat="1" applyFont="1" applyFill="1" applyBorder="1" applyAlignment="1">
      <alignment horizontal="center" vertical="center" wrapText="1"/>
    </xf>
    <xf numFmtId="181" fontId="5" fillId="12" borderId="15" xfId="11" applyNumberFormat="1" applyFont="1" applyFill="1" applyBorder="1" applyAlignment="1">
      <alignment horizontal="center" vertical="center"/>
    </xf>
    <xf numFmtId="181" fontId="5" fillId="12" borderId="13" xfId="0" applyNumberFormat="1" applyFont="1" applyFill="1" applyBorder="1" applyAlignment="1">
      <alignment horizontal="center" vertical="center" wrapText="1"/>
    </xf>
    <xf numFmtId="49" fontId="5" fillId="12" borderId="13" xfId="0" applyNumberFormat="1" applyFont="1" applyFill="1" applyBorder="1" applyAlignment="1">
      <alignment horizontal="center" vertical="center"/>
    </xf>
    <xf numFmtId="181" fontId="5" fillId="0" borderId="8" xfId="0" applyNumberFormat="1" applyFont="1" applyFill="1" applyBorder="1" applyAlignment="1">
      <alignment horizontal="center" vertical="center" wrapText="1"/>
    </xf>
    <xf numFmtId="181" fontId="5" fillId="12" borderId="13" xfId="1" applyNumberFormat="1" applyFont="1" applyFill="1" applyBorder="1" applyAlignment="1" applyProtection="1">
      <alignment horizontal="center" vertical="center" wrapText="1"/>
      <protection hidden="1"/>
    </xf>
    <xf numFmtId="181" fontId="5" fillId="17" borderId="14" xfId="11" applyNumberFormat="1" applyFont="1" applyFill="1" applyBorder="1" applyAlignment="1" applyProtection="1">
      <alignment horizontal="center" vertical="center"/>
      <protection hidden="1"/>
    </xf>
    <xf numFmtId="181" fontId="5" fillId="17" borderId="14" xfId="1" applyNumberFormat="1" applyFont="1" applyFill="1" applyBorder="1" applyAlignment="1" applyProtection="1">
      <alignment horizontal="center" vertical="center" wrapText="1"/>
      <protection hidden="1"/>
    </xf>
    <xf numFmtId="181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181" fontId="5" fillId="0" borderId="13" xfId="0" applyNumberFormat="1" applyFont="1" applyFill="1" applyBorder="1" applyAlignment="1">
      <alignment horizontal="center" vertical="center" wrapText="1"/>
    </xf>
    <xf numFmtId="181" fontId="5" fillId="17" borderId="8" xfId="11" applyNumberFormat="1" applyFont="1" applyFill="1" applyBorder="1" applyAlignment="1">
      <alignment horizontal="center" vertical="center"/>
    </xf>
    <xf numFmtId="181" fontId="5" fillId="0" borderId="14" xfId="0" applyNumberFormat="1" applyFont="1" applyFill="1" applyBorder="1" applyAlignment="1">
      <alignment horizontal="center" vertical="center" wrapText="1"/>
    </xf>
    <xf numFmtId="181" fontId="5" fillId="12" borderId="14" xfId="0" applyNumberFormat="1" applyFont="1" applyFill="1" applyBorder="1" applyAlignment="1" applyProtection="1">
      <alignment horizontal="center" vertical="center"/>
      <protection hidden="1"/>
    </xf>
    <xf numFmtId="181" fontId="5" fillId="8" borderId="8" xfId="0" applyNumberFormat="1" applyFont="1" applyFill="1" applyBorder="1" applyAlignment="1" applyProtection="1">
      <alignment horizontal="center" vertical="center" wrapText="1"/>
    </xf>
    <xf numFmtId="49" fontId="5" fillId="0" borderId="8" xfId="0" applyNumberFormat="1" applyFont="1" applyFill="1" applyBorder="1" applyAlignment="1">
      <alignment horizontal="center" vertical="center"/>
    </xf>
    <xf numFmtId="181" fontId="5" fillId="12" borderId="14" xfId="0" applyNumberFormat="1" applyFont="1" applyFill="1" applyBorder="1" applyAlignment="1">
      <alignment horizontal="center" vertical="center" wrapText="1"/>
    </xf>
    <xf numFmtId="181" fontId="5" fillId="8" borderId="13" xfId="0" applyNumberFormat="1" applyFont="1" applyFill="1" applyBorder="1" applyAlignment="1" applyProtection="1">
      <alignment horizontal="center" vertical="center" wrapText="1"/>
    </xf>
    <xf numFmtId="181" fontId="5" fillId="12" borderId="8" xfId="0" applyNumberFormat="1" applyFont="1" applyFill="1" applyBorder="1" applyAlignment="1" applyProtection="1">
      <alignment horizontal="center" vertical="center" wrapText="1"/>
    </xf>
    <xf numFmtId="181" fontId="5" fillId="0" borderId="8" xfId="0" applyNumberFormat="1" applyFont="1" applyFill="1" applyBorder="1" applyAlignment="1" applyProtection="1">
      <alignment horizontal="center" vertical="center" wrapText="1"/>
    </xf>
    <xf numFmtId="181" fontId="5" fillId="12" borderId="14" xfId="11" applyNumberFormat="1" applyFont="1" applyFill="1" applyBorder="1" applyAlignment="1" applyProtection="1">
      <alignment horizontal="center" vertical="center"/>
      <protection hidden="1"/>
    </xf>
    <xf numFmtId="181" fontId="5" fillId="17" borderId="8" xfId="0" applyNumberFormat="1" applyFont="1" applyFill="1" applyBorder="1" applyAlignment="1" applyProtection="1">
      <alignment horizontal="center" vertical="center"/>
      <protection hidden="1"/>
    </xf>
    <xf numFmtId="181" fontId="5" fillId="0" borderId="8" xfId="0" applyNumberFormat="1" applyFont="1" applyBorder="1" applyAlignment="1" applyProtection="1">
      <alignment horizontal="center" vertical="center"/>
      <protection hidden="1"/>
    </xf>
    <xf numFmtId="49" fontId="5" fillId="12" borderId="8" xfId="0" applyNumberFormat="1" applyFont="1" applyFill="1" applyBorder="1" applyAlignment="1" applyProtection="1">
      <alignment horizontal="center" vertical="center" wrapText="1"/>
      <protection hidden="1"/>
    </xf>
    <xf numFmtId="181" fontId="5" fillId="12" borderId="13" xfId="0" applyNumberFormat="1" applyFont="1" applyFill="1" applyBorder="1" applyAlignment="1" applyProtection="1">
      <alignment horizontal="center" vertical="center" wrapText="1"/>
      <protection hidden="1"/>
    </xf>
    <xf numFmtId="181" fontId="34" fillId="0" borderId="8" xfId="9" applyNumberFormat="1" applyFont="1" applyFill="1" applyBorder="1" applyAlignment="1" applyProtection="1">
      <alignment horizontal="center" vertical="center" wrapText="1"/>
      <protection hidden="1"/>
    </xf>
    <xf numFmtId="181" fontId="26" fillId="3" borderId="8" xfId="0" applyNumberFormat="1" applyFont="1" applyFill="1" applyBorder="1" applyAlignment="1" applyProtection="1">
      <alignment horizontal="center" vertical="center"/>
      <protection hidden="1"/>
    </xf>
    <xf numFmtId="181" fontId="26" fillId="0" borderId="8" xfId="0" applyNumberFormat="1" applyFont="1" applyBorder="1" applyAlignment="1" applyProtection="1">
      <alignment horizontal="center" vertical="center" wrapText="1"/>
      <protection hidden="1"/>
    </xf>
    <xf numFmtId="181" fontId="26" fillId="12" borderId="8" xfId="1" applyNumberFormat="1" applyFont="1" applyFill="1" applyBorder="1" applyAlignment="1" applyProtection="1">
      <alignment horizontal="center" vertical="center" wrapText="1"/>
      <protection hidden="1"/>
    </xf>
    <xf numFmtId="181" fontId="26" fillId="12" borderId="8" xfId="14" applyNumberFormat="1" applyFont="1" applyFill="1" applyBorder="1" applyAlignment="1" applyProtection="1">
      <alignment horizontal="center" vertical="center"/>
      <protection hidden="1"/>
    </xf>
    <xf numFmtId="181" fontId="26" fillId="19" borderId="8" xfId="0" applyNumberFormat="1" applyFont="1" applyFill="1" applyBorder="1" applyAlignment="1" applyProtection="1">
      <alignment horizontal="center" vertical="center" wrapText="1"/>
      <protection hidden="1"/>
    </xf>
    <xf numFmtId="181" fontId="26" fillId="12" borderId="8" xfId="11" applyNumberFormat="1" applyFont="1" applyFill="1" applyBorder="1" applyAlignment="1" applyProtection="1">
      <alignment horizontal="center" vertical="center"/>
      <protection hidden="1"/>
    </xf>
    <xf numFmtId="181" fontId="26" fillId="29" borderId="8" xfId="9" applyNumberFormat="1" applyFont="1" applyFill="1" applyBorder="1" applyAlignment="1" applyProtection="1">
      <alignment horizontal="center" vertical="center" wrapText="1"/>
      <protection hidden="1"/>
    </xf>
    <xf numFmtId="49" fontId="26" fillId="29" borderId="8" xfId="0" applyNumberFormat="1" applyFont="1" applyFill="1" applyBorder="1" applyAlignment="1" applyProtection="1">
      <alignment horizontal="center" vertical="center" wrapText="1"/>
      <protection hidden="1"/>
    </xf>
    <xf numFmtId="49" fontId="26" fillId="29" borderId="8" xfId="9" applyNumberFormat="1" applyFont="1" applyFill="1" applyBorder="1" applyAlignment="1" applyProtection="1">
      <alignment horizontal="center" vertical="center" wrapText="1"/>
      <protection hidden="1"/>
    </xf>
    <xf numFmtId="49" fontId="31" fillId="29" borderId="8" xfId="9" applyNumberFormat="1" applyFont="1" applyFill="1" applyBorder="1" applyAlignment="1" applyProtection="1">
      <alignment horizontal="center" vertical="center" wrapText="1"/>
      <protection hidden="1"/>
    </xf>
    <xf numFmtId="49" fontId="31" fillId="29" borderId="8" xfId="0" applyNumberFormat="1" applyFont="1" applyFill="1" applyBorder="1" applyAlignment="1" applyProtection="1">
      <alignment horizontal="center" vertical="center" wrapText="1"/>
      <protection hidden="1"/>
    </xf>
    <xf numFmtId="179" fontId="26" fillId="29" borderId="8" xfId="0" applyNumberFormat="1" applyFont="1" applyFill="1" applyBorder="1" applyAlignment="1" applyProtection="1">
      <alignment horizontal="center" vertical="center" wrapText="1"/>
      <protection hidden="1"/>
    </xf>
    <xf numFmtId="179" fontId="31" fillId="29" borderId="8" xfId="0" applyNumberFormat="1" applyFont="1" applyFill="1" applyBorder="1" applyAlignment="1" applyProtection="1">
      <alignment horizontal="center" vertical="center" wrapText="1"/>
      <protection hidden="1"/>
    </xf>
    <xf numFmtId="178" fontId="31" fillId="29" borderId="8" xfId="9" applyNumberFormat="1" applyFont="1" applyFill="1" applyBorder="1" applyAlignment="1" applyProtection="1">
      <alignment horizontal="center" vertical="center" wrapText="1"/>
      <protection hidden="1"/>
    </xf>
    <xf numFmtId="182" fontId="130" fillId="29" borderId="8" xfId="0" applyFont="1" applyFill="1" applyBorder="1" applyAlignment="1" applyProtection="1">
      <alignment horizontal="center" vertical="center" wrapText="1"/>
      <protection hidden="1"/>
    </xf>
    <xf numFmtId="182" fontId="31" fillId="29" borderId="8" xfId="0" applyFont="1" applyFill="1" applyBorder="1" applyAlignment="1" applyProtection="1">
      <alignment horizontal="left" vertical="center" wrapText="1"/>
      <protection hidden="1"/>
    </xf>
    <xf numFmtId="49" fontId="31" fillId="29" borderId="8" xfId="0" applyNumberFormat="1" applyFont="1" applyFill="1" applyBorder="1" applyAlignment="1" applyProtection="1">
      <alignment vertical="center"/>
      <protection hidden="1"/>
    </xf>
    <xf numFmtId="182" fontId="31" fillId="29" borderId="0" xfId="0" applyFont="1" applyFill="1" applyAlignment="1" applyProtection="1">
      <alignment vertical="center"/>
      <protection hidden="1"/>
    </xf>
    <xf numFmtId="181" fontId="25" fillId="29" borderId="8" xfId="0" applyNumberFormat="1" applyFont="1" applyFill="1" applyBorder="1" applyAlignment="1" applyProtection="1">
      <alignment horizontal="center" vertical="center"/>
      <protection hidden="1"/>
    </xf>
    <xf numFmtId="49" fontId="34" fillId="29" borderId="8" xfId="9" applyNumberFormat="1" applyFont="1" applyFill="1" applyBorder="1" applyAlignment="1" applyProtection="1">
      <alignment horizontal="center" vertical="center" wrapText="1"/>
      <protection hidden="1"/>
    </xf>
    <xf numFmtId="49" fontId="81" fillId="29" borderId="8" xfId="9" applyNumberFormat="1" applyFont="1" applyFill="1" applyBorder="1" applyAlignment="1" applyProtection="1">
      <alignment horizontal="center" vertical="center" wrapText="1"/>
      <protection hidden="1"/>
    </xf>
    <xf numFmtId="49" fontId="79" fillId="29" borderId="8" xfId="9" applyNumberFormat="1" applyFont="1" applyFill="1" applyBorder="1" applyAlignment="1" applyProtection="1">
      <alignment horizontal="center" vertical="center" wrapText="1"/>
      <protection hidden="1"/>
    </xf>
    <xf numFmtId="49" fontId="35" fillId="29" borderId="8" xfId="9" applyNumberFormat="1" applyFont="1" applyFill="1" applyBorder="1" applyAlignment="1" applyProtection="1">
      <alignment horizontal="center" vertical="center" wrapText="1"/>
      <protection hidden="1"/>
    </xf>
    <xf numFmtId="179" fontId="84" fillId="29" borderId="8" xfId="0" applyNumberFormat="1" applyFont="1" applyFill="1" applyBorder="1" applyAlignment="1" applyProtection="1">
      <alignment horizontal="center" vertical="center" wrapText="1"/>
      <protection hidden="1"/>
    </xf>
    <xf numFmtId="178" fontId="79" fillId="29" borderId="8" xfId="9" applyNumberFormat="1" applyFont="1" applyFill="1" applyBorder="1" applyAlignment="1" applyProtection="1">
      <alignment horizontal="center" vertical="center" wrapText="1"/>
      <protection hidden="1"/>
    </xf>
    <xf numFmtId="178" fontId="35" fillId="29" borderId="8" xfId="9" applyNumberFormat="1" applyFont="1" applyFill="1" applyBorder="1" applyAlignment="1" applyProtection="1">
      <alignment horizontal="center" vertical="center" wrapText="1"/>
      <protection hidden="1"/>
    </xf>
    <xf numFmtId="179" fontId="87" fillId="29" borderId="8" xfId="0" applyNumberFormat="1" applyFont="1" applyFill="1" applyBorder="1" applyAlignment="1" applyProtection="1">
      <alignment horizontal="center" vertical="center" wrapText="1"/>
      <protection hidden="1"/>
    </xf>
    <xf numFmtId="182" fontId="35" fillId="29" borderId="8" xfId="0" applyFont="1" applyFill="1" applyBorder="1" applyAlignment="1" applyProtection="1">
      <alignment vertical="center"/>
      <protection hidden="1"/>
    </xf>
    <xf numFmtId="182" fontId="80" fillId="29" borderId="0" xfId="0" applyFont="1" applyFill="1" applyAlignment="1" applyProtection="1">
      <alignment vertical="center"/>
      <protection hidden="1"/>
    </xf>
    <xf numFmtId="181" fontId="25" fillId="32" borderId="8" xfId="0" applyNumberFormat="1" applyFont="1" applyFill="1" applyBorder="1" applyAlignment="1" applyProtection="1">
      <alignment horizontal="center" vertical="center" wrapText="1"/>
      <protection hidden="1"/>
    </xf>
    <xf numFmtId="177" fontId="27" fillId="32" borderId="8" xfId="9" applyNumberFormat="1" applyFont="1" applyFill="1" applyBorder="1" applyAlignment="1" applyProtection="1">
      <alignment horizontal="center" vertical="center" wrapText="1"/>
      <protection hidden="1"/>
    </xf>
    <xf numFmtId="49" fontId="82" fillId="32" borderId="8" xfId="0" applyNumberFormat="1" applyFont="1" applyFill="1" applyBorder="1" applyAlignment="1" applyProtection="1">
      <alignment horizontal="center" vertical="center" wrapText="1"/>
      <protection hidden="1"/>
    </xf>
    <xf numFmtId="49" fontId="79" fillId="32" borderId="8" xfId="9" applyNumberFormat="1" applyFont="1" applyFill="1" applyBorder="1" applyAlignment="1" applyProtection="1">
      <alignment horizontal="center" vertical="center" wrapText="1"/>
      <protection hidden="1"/>
    </xf>
    <xf numFmtId="49" fontId="30" fillId="32" borderId="8" xfId="9" applyNumberFormat="1" applyFont="1" applyFill="1" applyBorder="1" applyAlignment="1" applyProtection="1">
      <alignment horizontal="center" vertical="center" wrapText="1"/>
      <protection hidden="1"/>
    </xf>
    <xf numFmtId="49" fontId="79" fillId="32" borderId="8" xfId="0" applyNumberFormat="1" applyFont="1" applyFill="1" applyBorder="1" applyAlignment="1" applyProtection="1">
      <alignment horizontal="center" vertical="center" wrapText="1"/>
      <protection hidden="1"/>
    </xf>
    <xf numFmtId="179" fontId="81" fillId="32" borderId="8" xfId="0" applyNumberFormat="1" applyFont="1" applyFill="1" applyBorder="1" applyAlignment="1" applyProtection="1">
      <alignment horizontal="center" vertical="center" wrapText="1"/>
      <protection hidden="1"/>
    </xf>
    <xf numFmtId="177" fontId="86" fillId="32" borderId="8" xfId="9" applyNumberFormat="1" applyFont="1" applyFill="1" applyBorder="1" applyAlignment="1" applyProtection="1">
      <alignment horizontal="center" vertical="center" wrapText="1"/>
      <protection hidden="1"/>
    </xf>
    <xf numFmtId="178" fontId="30" fillId="32" borderId="8" xfId="9" applyNumberFormat="1" applyFont="1" applyFill="1" applyBorder="1" applyAlignment="1" applyProtection="1">
      <alignment horizontal="center" vertical="center" wrapText="1"/>
      <protection hidden="1"/>
    </xf>
    <xf numFmtId="178" fontId="31" fillId="32" borderId="8" xfId="9" applyNumberFormat="1" applyFont="1" applyFill="1" applyBorder="1" applyAlignment="1" applyProtection="1">
      <alignment horizontal="center" vertical="center" wrapText="1"/>
      <protection hidden="1"/>
    </xf>
    <xf numFmtId="179" fontId="87" fillId="32" borderId="8" xfId="0" applyNumberFormat="1" applyFont="1" applyFill="1" applyBorder="1" applyAlignment="1" applyProtection="1">
      <alignment horizontal="center" vertical="center" wrapText="1"/>
      <protection hidden="1"/>
    </xf>
    <xf numFmtId="179" fontId="30" fillId="32" borderId="8" xfId="0" applyNumberFormat="1" applyFont="1" applyFill="1" applyBorder="1" applyAlignment="1" applyProtection="1">
      <alignment horizontal="left" vertical="center" wrapText="1"/>
      <protection hidden="1"/>
    </xf>
    <xf numFmtId="182" fontId="31" fillId="32" borderId="8" xfId="0" applyFont="1" applyFill="1" applyBorder="1" applyAlignment="1" applyProtection="1">
      <alignment horizontal="left" vertical="center"/>
      <protection hidden="1"/>
    </xf>
    <xf numFmtId="182" fontId="93" fillId="32" borderId="0" xfId="0" applyFont="1" applyFill="1" applyAlignment="1" applyProtection="1">
      <alignment vertical="center"/>
      <protection hidden="1"/>
    </xf>
    <xf numFmtId="182" fontId="80" fillId="32" borderId="0" xfId="0" applyFont="1" applyFill="1" applyAlignment="1" applyProtection="1">
      <alignment vertical="center"/>
      <protection hidden="1"/>
    </xf>
    <xf numFmtId="182" fontId="35" fillId="32" borderId="0" xfId="0" applyFont="1" applyFill="1" applyAlignment="1" applyProtection="1">
      <alignment horizontal="center" vertical="center" wrapText="1"/>
      <protection hidden="1"/>
    </xf>
    <xf numFmtId="182" fontId="35" fillId="32" borderId="0" xfId="0" applyFont="1" applyFill="1" applyAlignment="1" applyProtection="1">
      <alignment horizontal="center" vertical="center"/>
      <protection hidden="1"/>
    </xf>
    <xf numFmtId="182" fontId="25" fillId="32" borderId="0" xfId="0" applyFont="1" applyFill="1" applyAlignment="1" applyProtection="1">
      <alignment vertical="center"/>
      <protection hidden="1"/>
    </xf>
    <xf numFmtId="182" fontId="5" fillId="32" borderId="0" xfId="0" applyFont="1" applyFill="1" applyAlignment="1" applyProtection="1">
      <alignment vertical="center"/>
      <protection hidden="1"/>
    </xf>
    <xf numFmtId="182" fontId="35" fillId="32" borderId="0" xfId="0" applyFont="1" applyFill="1" applyAlignment="1" applyProtection="1">
      <alignment vertical="center"/>
      <protection hidden="1"/>
    </xf>
    <xf numFmtId="49" fontId="35" fillId="32" borderId="0" xfId="0" applyNumberFormat="1" applyFont="1" applyFill="1" applyAlignment="1" applyProtection="1">
      <alignment vertical="center"/>
      <protection hidden="1"/>
    </xf>
    <xf numFmtId="182" fontId="32" fillId="32" borderId="0" xfId="0" applyFont="1" applyFill="1" applyAlignment="1" applyProtection="1">
      <alignment vertical="center"/>
      <protection hidden="1"/>
    </xf>
    <xf numFmtId="182" fontId="35" fillId="32" borderId="0" xfId="0" applyFont="1" applyFill="1" applyAlignment="1" applyProtection="1">
      <alignment horizontal="left" vertical="center"/>
      <protection hidden="1"/>
    </xf>
    <xf numFmtId="182" fontId="28" fillId="32" borderId="0" xfId="0" applyFont="1" applyFill="1" applyAlignment="1" applyProtection="1">
      <alignment vertical="center"/>
      <protection hidden="1"/>
    </xf>
    <xf numFmtId="49" fontId="56" fillId="26" borderId="0" xfId="0" applyNumberFormat="1" applyFont="1" applyFill="1" applyBorder="1" applyAlignment="1">
      <alignment horizontal="center" vertical="center"/>
    </xf>
    <xf numFmtId="182" fontId="28" fillId="0" borderId="0" xfId="0" applyFont="1" applyBorder="1" applyAlignment="1">
      <alignment horizontal="left" vertical="center"/>
    </xf>
    <xf numFmtId="182" fontId="28" fillId="0" borderId="0" xfId="0" applyFont="1" applyAlignment="1">
      <alignment vertical="center"/>
    </xf>
    <xf numFmtId="182" fontId="2" fillId="0" borderId="0" xfId="0" applyFont="1" applyBorder="1" applyAlignment="1">
      <alignment horizontal="left" vertical="center"/>
    </xf>
    <xf numFmtId="182" fontId="43" fillId="0" borderId="0" xfId="0" applyFont="1" applyBorder="1" applyAlignment="1">
      <alignment horizontal="center" vertical="center"/>
    </xf>
    <xf numFmtId="182" fontId="44" fillId="0" borderId="0" xfId="0" applyFont="1" applyBorder="1" applyAlignment="1">
      <alignment horizontal="center" vertical="center"/>
    </xf>
    <xf numFmtId="182" fontId="2" fillId="0" borderId="0" xfId="0" applyFont="1"/>
    <xf numFmtId="182" fontId="28" fillId="0" borderId="0" xfId="0" applyFont="1"/>
    <xf numFmtId="182" fontId="28" fillId="0" borderId="0" xfId="0" applyFont="1" applyBorder="1" applyAlignment="1">
      <alignment horizontal="left" vertical="center" wrapText="1"/>
    </xf>
    <xf numFmtId="182" fontId="77" fillId="0" borderId="0" xfId="0" applyFont="1" applyBorder="1" applyAlignment="1">
      <alignment horizontal="left" vertical="center"/>
    </xf>
    <xf numFmtId="182" fontId="77" fillId="0" borderId="0" xfId="0" applyFont="1" applyAlignment="1">
      <alignment vertical="center"/>
    </xf>
    <xf numFmtId="182" fontId="29" fillId="7" borderId="8" xfId="0" applyFont="1" applyFill="1" applyBorder="1" applyAlignment="1" applyProtection="1">
      <alignment horizontal="center" vertical="center" wrapText="1"/>
      <protection hidden="1"/>
    </xf>
    <xf numFmtId="182" fontId="29" fillId="6" borderId="8" xfId="0" applyFont="1" applyFill="1" applyBorder="1" applyAlignment="1" applyProtection="1">
      <alignment horizontal="center" vertical="center" wrapText="1"/>
      <protection hidden="1"/>
    </xf>
    <xf numFmtId="182" fontId="5" fillId="5" borderId="8" xfId="0" applyFont="1" applyFill="1" applyBorder="1" applyAlignment="1" applyProtection="1">
      <alignment horizontal="center" vertical="center" wrapText="1"/>
      <protection hidden="1"/>
    </xf>
    <xf numFmtId="182" fontId="70" fillId="29" borderId="8" xfId="0" applyFont="1" applyFill="1" applyBorder="1" applyAlignment="1" applyProtection="1">
      <alignment horizontal="center" vertical="center"/>
      <protection hidden="1"/>
    </xf>
    <xf numFmtId="182" fontId="71" fillId="29" borderId="8" xfId="0" applyFont="1" applyFill="1" applyBorder="1" applyAlignment="1" applyProtection="1">
      <alignment horizontal="center" vertical="center"/>
      <protection hidden="1"/>
    </xf>
    <xf numFmtId="182" fontId="4" fillId="5" borderId="8" xfId="0" applyFont="1" applyFill="1" applyBorder="1" applyAlignment="1" applyProtection="1">
      <alignment horizontal="center" vertical="center" wrapText="1"/>
      <protection hidden="1"/>
    </xf>
    <xf numFmtId="182" fontId="25" fillId="5" borderId="8" xfId="0" applyFont="1" applyFill="1" applyBorder="1" applyAlignment="1" applyProtection="1">
      <alignment horizontal="center" vertical="center" wrapText="1"/>
      <protection hidden="1"/>
    </xf>
    <xf numFmtId="182" fontId="37" fillId="20" borderId="8" xfId="0" applyFont="1" applyFill="1" applyBorder="1" applyAlignment="1" applyProtection="1">
      <alignment horizontal="center" vertical="center" wrapText="1"/>
      <protection hidden="1"/>
    </xf>
    <xf numFmtId="182" fontId="98" fillId="4" borderId="13" xfId="0" applyFont="1" applyFill="1" applyBorder="1" applyAlignment="1" applyProtection="1">
      <alignment horizontal="center" vertical="center" wrapText="1"/>
      <protection hidden="1"/>
    </xf>
    <xf numFmtId="182" fontId="98" fillId="4" borderId="15" xfId="0" applyFont="1" applyFill="1" applyBorder="1" applyAlignment="1" applyProtection="1">
      <alignment horizontal="center" vertical="center" wrapText="1"/>
      <protection hidden="1"/>
    </xf>
    <xf numFmtId="182" fontId="98" fillId="4" borderId="14" xfId="0" applyFont="1" applyFill="1" applyBorder="1" applyAlignment="1" applyProtection="1">
      <alignment horizontal="center" vertical="center" wrapText="1"/>
      <protection hidden="1"/>
    </xf>
    <xf numFmtId="182" fontId="29" fillId="4" borderId="8" xfId="0" applyFont="1" applyFill="1" applyBorder="1" applyAlignment="1" applyProtection="1">
      <alignment horizontal="center" vertical="center" wrapText="1"/>
      <protection hidden="1"/>
    </xf>
    <xf numFmtId="182" fontId="98" fillId="4" borderId="8" xfId="0" applyFont="1" applyFill="1" applyBorder="1" applyAlignment="1" applyProtection="1">
      <alignment horizontal="center" vertical="center" wrapText="1"/>
      <protection hidden="1"/>
    </xf>
    <xf numFmtId="182" fontId="98" fillId="4" borderId="8" xfId="0" applyFont="1" applyFill="1" applyBorder="1" applyAlignment="1" applyProtection="1">
      <alignment horizontal="center" vertical="center"/>
      <protection hidden="1"/>
    </xf>
    <xf numFmtId="182" fontId="98" fillId="7" borderId="8" xfId="0" applyFont="1" applyFill="1" applyBorder="1" applyAlignment="1" applyProtection="1">
      <alignment horizontal="center" vertical="center" wrapText="1"/>
      <protection hidden="1"/>
    </xf>
    <xf numFmtId="182" fontId="29" fillId="4" borderId="13" xfId="0" applyFont="1" applyFill="1" applyBorder="1" applyAlignment="1" applyProtection="1">
      <alignment horizontal="center" vertical="center" wrapText="1"/>
      <protection hidden="1"/>
    </xf>
    <xf numFmtId="182" fontId="98" fillId="6" borderId="8" xfId="0" applyFont="1" applyFill="1" applyBorder="1" applyAlignment="1" applyProtection="1">
      <alignment horizontal="center" vertical="center" wrapText="1"/>
      <protection hidden="1"/>
    </xf>
    <xf numFmtId="182" fontId="29" fillId="6" borderId="13" xfId="0" applyFont="1" applyFill="1" applyBorder="1" applyAlignment="1" applyProtection="1">
      <alignment horizontal="center" vertical="center" wrapText="1"/>
      <protection hidden="1"/>
    </xf>
    <xf numFmtId="182" fontId="29" fillId="6" borderId="15" xfId="0" applyFont="1" applyFill="1" applyBorder="1" applyAlignment="1" applyProtection="1">
      <alignment horizontal="center" vertical="center" wrapText="1"/>
      <protection hidden="1"/>
    </xf>
    <xf numFmtId="182" fontId="29" fillId="6" borderId="14" xfId="0" applyFont="1" applyFill="1" applyBorder="1" applyAlignment="1" applyProtection="1">
      <alignment horizontal="center" vertical="center" wrapText="1"/>
      <protection hidden="1"/>
    </xf>
    <xf numFmtId="182" fontId="98" fillId="6" borderId="13" xfId="0" applyFont="1" applyFill="1" applyBorder="1" applyAlignment="1" applyProtection="1">
      <alignment horizontal="center" vertical="center" wrapText="1"/>
      <protection hidden="1"/>
    </xf>
    <xf numFmtId="182" fontId="98" fillId="6" borderId="15" xfId="0" applyFont="1" applyFill="1" applyBorder="1" applyAlignment="1" applyProtection="1">
      <alignment horizontal="center" vertical="center" wrapText="1"/>
      <protection hidden="1"/>
    </xf>
    <xf numFmtId="182" fontId="98" fillId="6" borderId="14" xfId="0" applyFont="1" applyFill="1" applyBorder="1" applyAlignment="1" applyProtection="1">
      <alignment horizontal="center" vertical="center" wrapText="1"/>
      <protection hidden="1"/>
    </xf>
    <xf numFmtId="182" fontId="29" fillId="6" borderId="13" xfId="0" applyFont="1" applyFill="1" applyBorder="1" applyAlignment="1" applyProtection="1">
      <alignment horizontal="center" vertical="center"/>
      <protection hidden="1"/>
    </xf>
    <xf numFmtId="182" fontId="29" fillId="6" borderId="15" xfId="0" applyFont="1" applyFill="1" applyBorder="1" applyAlignment="1" applyProtection="1">
      <alignment horizontal="center" vertical="center"/>
      <protection hidden="1"/>
    </xf>
    <xf numFmtId="182" fontId="29" fillId="6" borderId="14" xfId="0" applyFont="1" applyFill="1" applyBorder="1" applyAlignment="1" applyProtection="1">
      <alignment horizontal="center" vertical="center"/>
      <protection hidden="1"/>
    </xf>
    <xf numFmtId="182" fontId="98" fillId="6" borderId="13" xfId="0" applyFont="1" applyFill="1" applyBorder="1" applyAlignment="1" applyProtection="1">
      <alignment horizontal="center" vertical="center"/>
      <protection hidden="1"/>
    </xf>
    <xf numFmtId="182" fontId="98" fillId="6" borderId="15" xfId="0" applyFont="1" applyFill="1" applyBorder="1" applyAlignment="1" applyProtection="1">
      <alignment horizontal="center" vertical="center"/>
      <protection hidden="1"/>
    </xf>
    <xf numFmtId="182" fontId="98" fillId="6" borderId="14" xfId="0" applyFont="1" applyFill="1" applyBorder="1" applyAlignment="1" applyProtection="1">
      <alignment horizontal="center" vertical="center"/>
      <protection hidden="1"/>
    </xf>
    <xf numFmtId="182" fontId="98" fillId="6" borderId="8" xfId="0" applyFont="1" applyFill="1" applyBorder="1" applyAlignment="1" applyProtection="1">
      <alignment horizontal="center" vertical="center"/>
      <protection hidden="1"/>
    </xf>
    <xf numFmtId="182" fontId="29" fillId="6" borderId="8" xfId="0" applyFont="1" applyFill="1" applyBorder="1" applyAlignment="1" applyProtection="1">
      <alignment horizontal="center" vertical="center"/>
      <protection hidden="1"/>
    </xf>
    <xf numFmtId="182" fontId="105" fillId="20" borderId="8" xfId="0" applyFont="1" applyFill="1" applyBorder="1" applyAlignment="1" applyProtection="1">
      <alignment horizontal="center" vertical="center" wrapText="1"/>
      <protection hidden="1"/>
    </xf>
    <xf numFmtId="182" fontId="29" fillId="4" borderId="8" xfId="0" applyFont="1" applyFill="1" applyBorder="1" applyAlignment="1" applyProtection="1">
      <alignment horizontal="center" vertical="center"/>
      <protection hidden="1"/>
    </xf>
    <xf numFmtId="182" fontId="29" fillId="4" borderId="15" xfId="0" applyFont="1" applyFill="1" applyBorder="1" applyAlignment="1" applyProtection="1">
      <alignment horizontal="center" vertical="center" wrapText="1"/>
      <protection hidden="1"/>
    </xf>
    <xf numFmtId="182" fontId="29" fillId="4" borderId="14" xfId="0" applyFont="1" applyFill="1" applyBorder="1" applyAlignment="1" applyProtection="1">
      <alignment horizontal="center" vertical="center" wrapText="1"/>
      <protection hidden="1"/>
    </xf>
    <xf numFmtId="182" fontId="29" fillId="7" borderId="13" xfId="0" applyFont="1" applyFill="1" applyBorder="1" applyAlignment="1" applyProtection="1">
      <alignment horizontal="center" vertical="center" wrapText="1"/>
      <protection hidden="1"/>
    </xf>
    <xf numFmtId="182" fontId="98" fillId="7" borderId="15" xfId="0" applyFont="1" applyFill="1" applyBorder="1" applyAlignment="1" applyProtection="1">
      <alignment horizontal="center" vertical="center" wrapText="1"/>
      <protection hidden="1"/>
    </xf>
    <xf numFmtId="182" fontId="98" fillId="7" borderId="14" xfId="0" applyFont="1" applyFill="1" applyBorder="1" applyAlignment="1" applyProtection="1">
      <alignment horizontal="center" vertical="center" wrapText="1"/>
      <protection hidden="1"/>
    </xf>
    <xf numFmtId="182" fontId="98" fillId="7" borderId="13" xfId="0" applyFont="1" applyFill="1" applyBorder="1" applyAlignment="1" applyProtection="1">
      <alignment horizontal="center" vertical="center" wrapText="1"/>
      <protection hidden="1"/>
    </xf>
    <xf numFmtId="182" fontId="29" fillId="7" borderId="15" xfId="0" applyFont="1" applyFill="1" applyBorder="1" applyAlignment="1" applyProtection="1">
      <alignment horizontal="center" vertical="center" wrapText="1"/>
      <protection hidden="1"/>
    </xf>
    <xf numFmtId="182" fontId="29" fillId="7" borderId="14" xfId="0" applyFont="1" applyFill="1" applyBorder="1" applyAlignment="1" applyProtection="1">
      <alignment horizontal="center" vertical="center" wrapText="1"/>
      <protection hidden="1"/>
    </xf>
    <xf numFmtId="182" fontId="95" fillId="0" borderId="8" xfId="0" applyFont="1" applyBorder="1" applyAlignment="1" applyProtection="1">
      <alignment horizontal="center" vertical="center"/>
      <protection hidden="1"/>
    </xf>
    <xf numFmtId="182" fontId="111" fillId="7" borderId="8" xfId="0" applyFont="1" applyFill="1" applyBorder="1" applyAlignment="1" applyProtection="1">
      <alignment horizontal="center" vertical="center" wrapText="1"/>
      <protection hidden="1"/>
    </xf>
    <xf numFmtId="182" fontId="111" fillId="7" borderId="13" xfId="0" applyFont="1" applyFill="1" applyBorder="1" applyAlignment="1" applyProtection="1">
      <alignment horizontal="center" vertical="center" wrapText="1"/>
      <protection hidden="1"/>
    </xf>
    <xf numFmtId="182" fontId="111" fillId="7" borderId="15" xfId="0" applyFont="1" applyFill="1" applyBorder="1" applyAlignment="1" applyProtection="1">
      <alignment horizontal="center" vertical="center" wrapText="1"/>
      <protection hidden="1"/>
    </xf>
    <xf numFmtId="182" fontId="111" fillId="7" borderId="14" xfId="0" applyFont="1" applyFill="1" applyBorder="1" applyAlignment="1" applyProtection="1">
      <alignment horizontal="center" vertical="center" wrapText="1"/>
      <protection hidden="1"/>
    </xf>
    <xf numFmtId="49" fontId="5" fillId="5" borderId="8" xfId="0" applyNumberFormat="1" applyFont="1" applyFill="1" applyBorder="1" applyAlignment="1" applyProtection="1">
      <alignment horizontal="center" vertical="center" wrapText="1"/>
      <protection hidden="1"/>
    </xf>
    <xf numFmtId="182" fontId="23" fillId="7" borderId="8" xfId="0" applyFont="1" applyFill="1" applyBorder="1" applyAlignment="1" applyProtection="1">
      <alignment horizontal="center" vertical="center" wrapText="1"/>
      <protection hidden="1"/>
    </xf>
    <xf numFmtId="182" fontId="7" fillId="7" borderId="8" xfId="0" applyFont="1" applyFill="1" applyBorder="1" applyAlignment="1" applyProtection="1">
      <alignment horizontal="center" vertical="center" wrapText="1"/>
      <protection hidden="1"/>
    </xf>
    <xf numFmtId="182" fontId="109" fillId="0" borderId="8" xfId="0" applyFont="1" applyBorder="1" applyAlignment="1" applyProtection="1">
      <alignment horizontal="center" vertical="center"/>
      <protection hidden="1"/>
    </xf>
    <xf numFmtId="182" fontId="29" fillId="0" borderId="8" xfId="0" applyFont="1" applyBorder="1" applyAlignment="1" applyProtection="1">
      <alignment horizontal="center" vertical="center"/>
      <protection hidden="1"/>
    </xf>
    <xf numFmtId="182" fontId="4" fillId="5" borderId="13" xfId="0" applyFont="1" applyFill="1" applyBorder="1" applyAlignment="1" applyProtection="1">
      <alignment horizontal="center" vertical="center" wrapText="1"/>
      <protection hidden="1"/>
    </xf>
    <xf numFmtId="182" fontId="4" fillId="5" borderId="14" xfId="0" applyFont="1" applyFill="1" applyBorder="1" applyAlignment="1" applyProtection="1">
      <alignment horizontal="center" vertical="center" wrapText="1"/>
      <protection hidden="1"/>
    </xf>
    <xf numFmtId="182" fontId="111" fillId="4" borderId="13" xfId="0" applyFont="1" applyFill="1" applyBorder="1" applyAlignment="1" applyProtection="1">
      <alignment horizontal="center" vertical="center" wrapText="1"/>
      <protection hidden="1"/>
    </xf>
    <xf numFmtId="182" fontId="111" fillId="4" borderId="15" xfId="0" applyFont="1" applyFill="1" applyBorder="1" applyAlignment="1" applyProtection="1">
      <alignment horizontal="center" vertical="center" wrapText="1"/>
      <protection hidden="1"/>
    </xf>
    <xf numFmtId="182" fontId="111" fillId="4" borderId="14" xfId="0" applyFont="1" applyFill="1" applyBorder="1" applyAlignment="1" applyProtection="1">
      <alignment horizontal="center" vertical="center" wrapText="1"/>
      <protection hidden="1"/>
    </xf>
    <xf numFmtId="182" fontId="83" fillId="23" borderId="8" xfId="0" applyFont="1" applyFill="1" applyBorder="1" applyAlignment="1" applyProtection="1">
      <alignment horizontal="center" vertical="center" wrapText="1"/>
      <protection hidden="1"/>
    </xf>
    <xf numFmtId="182" fontId="29" fillId="23" borderId="8" xfId="0" applyFont="1" applyFill="1" applyBorder="1" applyAlignment="1" applyProtection="1">
      <alignment horizontal="center" vertical="center" wrapText="1"/>
      <protection hidden="1"/>
    </xf>
    <xf numFmtId="182" fontId="83" fillId="6" borderId="13" xfId="0" applyFont="1" applyFill="1" applyBorder="1" applyAlignment="1" applyProtection="1">
      <alignment horizontal="center" vertical="center" wrapText="1"/>
      <protection hidden="1"/>
    </xf>
    <xf numFmtId="182" fontId="83" fillId="6" borderId="15" xfId="0" applyFont="1" applyFill="1" applyBorder="1" applyAlignment="1" applyProtection="1">
      <alignment horizontal="center" vertical="center" wrapText="1"/>
      <protection hidden="1"/>
    </xf>
    <xf numFmtId="182" fontId="83" fillId="6" borderId="14" xfId="0" applyFont="1" applyFill="1" applyBorder="1" applyAlignment="1" applyProtection="1">
      <alignment horizontal="center" vertical="center" wrapText="1"/>
      <protection hidden="1"/>
    </xf>
    <xf numFmtId="182" fontId="83" fillId="6" borderId="8" xfId="0" applyFont="1" applyFill="1" applyBorder="1" applyAlignment="1" applyProtection="1">
      <alignment horizontal="center" vertical="center" wrapText="1"/>
      <protection hidden="1"/>
    </xf>
    <xf numFmtId="182" fontId="83" fillId="4" borderId="8" xfId="9" applyFont="1" applyFill="1" applyBorder="1" applyAlignment="1" applyProtection="1">
      <alignment horizontal="center" vertical="center" wrapText="1"/>
      <protection hidden="1"/>
    </xf>
    <xf numFmtId="182" fontId="29" fillId="4" borderId="8" xfId="9" applyFont="1" applyFill="1" applyBorder="1" applyAlignment="1" applyProtection="1">
      <alignment horizontal="center" vertical="center" wrapText="1"/>
      <protection hidden="1"/>
    </xf>
    <xf numFmtId="182" fontId="83" fillId="4" borderId="8" xfId="0" applyFont="1" applyFill="1" applyBorder="1" applyAlignment="1" applyProtection="1">
      <alignment horizontal="center" vertical="center" wrapText="1"/>
      <protection hidden="1"/>
    </xf>
    <xf numFmtId="182" fontId="23" fillId="4" borderId="8" xfId="0" applyFont="1" applyFill="1" applyBorder="1" applyAlignment="1" applyProtection="1">
      <alignment horizontal="center" vertical="center" wrapText="1"/>
      <protection hidden="1"/>
    </xf>
    <xf numFmtId="182" fontId="83" fillId="6" borderId="12" xfId="0" applyFont="1" applyFill="1" applyBorder="1" applyAlignment="1" applyProtection="1">
      <alignment horizontal="center" vertical="center" wrapText="1"/>
      <protection hidden="1"/>
    </xf>
    <xf numFmtId="182" fontId="83" fillId="6" borderId="2" xfId="0" applyFont="1" applyFill="1" applyBorder="1" applyAlignment="1" applyProtection="1">
      <alignment horizontal="center" vertical="center" wrapText="1"/>
      <protection hidden="1"/>
    </xf>
    <xf numFmtId="182" fontId="29" fillId="7" borderId="8" xfId="9" applyFont="1" applyFill="1" applyBorder="1" applyAlignment="1" applyProtection="1">
      <alignment horizontal="center" vertical="center" wrapText="1"/>
      <protection hidden="1"/>
    </xf>
    <xf numFmtId="182" fontId="83" fillId="7" borderId="8" xfId="9" applyFont="1" applyFill="1" applyBorder="1" applyAlignment="1" applyProtection="1">
      <alignment horizontal="center" vertical="center" wrapText="1"/>
      <protection hidden="1"/>
    </xf>
    <xf numFmtId="182" fontId="83" fillId="7" borderId="12" xfId="9" applyFont="1" applyFill="1" applyBorder="1" applyAlignment="1" applyProtection="1">
      <alignment horizontal="center" vertical="center" wrapText="1"/>
      <protection hidden="1"/>
    </xf>
    <xf numFmtId="182" fontId="83" fillId="23" borderId="13" xfId="0" applyFont="1" applyFill="1" applyBorder="1" applyAlignment="1" applyProtection="1">
      <alignment horizontal="center" vertical="center" wrapText="1"/>
      <protection hidden="1"/>
    </xf>
    <xf numFmtId="182" fontId="83" fillId="23" borderId="14" xfId="0" applyFont="1" applyFill="1" applyBorder="1" applyAlignment="1" applyProtection="1">
      <alignment horizontal="center" vertical="center" wrapText="1"/>
      <protection hidden="1"/>
    </xf>
    <xf numFmtId="182" fontId="29" fillId="7" borderId="13" xfId="9" applyFont="1" applyFill="1" applyBorder="1" applyAlignment="1" applyProtection="1">
      <alignment horizontal="center" vertical="center" wrapText="1"/>
      <protection hidden="1"/>
    </xf>
    <xf numFmtId="182" fontId="29" fillId="7" borderId="15" xfId="9" applyFont="1" applyFill="1" applyBorder="1" applyAlignment="1" applyProtection="1">
      <alignment horizontal="center" vertical="center" wrapText="1"/>
      <protection hidden="1"/>
    </xf>
    <xf numFmtId="182" fontId="29" fillId="7" borderId="14" xfId="9" applyFont="1" applyFill="1" applyBorder="1" applyAlignment="1" applyProtection="1">
      <alignment horizontal="center" vertical="center" wrapText="1"/>
      <protection hidden="1"/>
    </xf>
    <xf numFmtId="182" fontId="83" fillId="7" borderId="13" xfId="9" applyFont="1" applyFill="1" applyBorder="1" applyAlignment="1" applyProtection="1">
      <alignment horizontal="center" vertical="center" wrapText="1"/>
      <protection hidden="1"/>
    </xf>
    <xf numFmtId="182" fontId="83" fillId="7" borderId="15" xfId="9" applyFont="1" applyFill="1" applyBorder="1" applyAlignment="1" applyProtection="1">
      <alignment horizontal="center" vertical="center" wrapText="1"/>
      <protection hidden="1"/>
    </xf>
    <xf numFmtId="182" fontId="83" fillId="7" borderId="14" xfId="9" applyFont="1" applyFill="1" applyBorder="1" applyAlignment="1" applyProtection="1">
      <alignment horizontal="center" vertical="center" wrapText="1"/>
      <protection hidden="1"/>
    </xf>
    <xf numFmtId="182" fontId="35" fillId="0" borderId="8" xfId="0" applyFont="1" applyBorder="1" applyAlignment="1" applyProtection="1">
      <alignment horizontal="center" vertical="center"/>
      <protection hidden="1"/>
    </xf>
    <xf numFmtId="182" fontId="83" fillId="4" borderId="12" xfId="0" applyFont="1" applyFill="1" applyBorder="1" applyAlignment="1" applyProtection="1">
      <alignment horizontal="center" vertical="center" wrapText="1"/>
      <protection hidden="1"/>
    </xf>
    <xf numFmtId="182" fontId="5" fillId="5" borderId="8" xfId="0" applyFont="1" applyFill="1" applyBorder="1" applyAlignment="1" applyProtection="1">
      <alignment horizontal="left" vertical="center" wrapText="1"/>
      <protection hidden="1"/>
    </xf>
    <xf numFmtId="182" fontId="83" fillId="4" borderId="12" xfId="9" applyFont="1" applyFill="1" applyBorder="1" applyAlignment="1" applyProtection="1">
      <alignment horizontal="center" vertical="center" wrapText="1"/>
      <protection hidden="1"/>
    </xf>
    <xf numFmtId="182" fontId="83" fillId="4" borderId="15" xfId="0" applyFont="1" applyFill="1" applyBorder="1" applyAlignment="1" applyProtection="1">
      <alignment horizontal="center" vertical="center" wrapText="1"/>
      <protection hidden="1"/>
    </xf>
    <xf numFmtId="182" fontId="83" fillId="4" borderId="2" xfId="0" applyFont="1" applyFill="1" applyBorder="1" applyAlignment="1" applyProtection="1">
      <alignment horizontal="center" vertical="center" wrapText="1"/>
      <protection hidden="1"/>
    </xf>
    <xf numFmtId="182" fontId="83" fillId="4" borderId="14" xfId="0" applyFont="1" applyFill="1" applyBorder="1" applyAlignment="1" applyProtection="1">
      <alignment horizontal="center" vertical="center" wrapText="1"/>
      <protection hidden="1"/>
    </xf>
    <xf numFmtId="182" fontId="83" fillId="4" borderId="13" xfId="0" applyFont="1" applyFill="1" applyBorder="1" applyAlignment="1" applyProtection="1">
      <alignment horizontal="center" vertical="center" wrapText="1"/>
      <protection hidden="1"/>
    </xf>
    <xf numFmtId="182" fontId="83" fillId="23" borderId="12" xfId="0" applyFont="1" applyFill="1" applyBorder="1" applyAlignment="1" applyProtection="1">
      <alignment horizontal="center" vertical="center" wrapText="1"/>
      <protection hidden="1"/>
    </xf>
    <xf numFmtId="182" fontId="29" fillId="10" borderId="8" xfId="0" applyFont="1" applyFill="1" applyBorder="1" applyAlignment="1" applyProtection="1">
      <alignment horizontal="center" vertical="center" wrapText="1"/>
      <protection hidden="1"/>
    </xf>
    <xf numFmtId="182" fontId="29" fillId="5" borderId="8" xfId="0" applyFont="1" applyFill="1" applyBorder="1" applyAlignment="1" applyProtection="1">
      <alignment horizontal="center" vertical="center" wrapText="1"/>
      <protection hidden="1"/>
    </xf>
    <xf numFmtId="182" fontId="29" fillId="5" borderId="13" xfId="0" applyFont="1" applyFill="1" applyBorder="1" applyAlignment="1" applyProtection="1">
      <alignment horizontal="center" vertical="center" wrapText="1"/>
      <protection hidden="1"/>
    </xf>
    <xf numFmtId="182" fontId="29" fillId="5" borderId="15" xfId="0" applyFont="1" applyFill="1" applyBorder="1" applyAlignment="1" applyProtection="1">
      <alignment horizontal="center" vertical="center" wrapText="1"/>
      <protection hidden="1"/>
    </xf>
    <xf numFmtId="182" fontId="29" fillId="5" borderId="14" xfId="0" applyFont="1" applyFill="1" applyBorder="1" applyAlignment="1" applyProtection="1">
      <alignment horizontal="center" vertical="center" wrapText="1"/>
      <protection hidden="1"/>
    </xf>
    <xf numFmtId="182" fontId="23" fillId="5" borderId="13" xfId="0" applyFont="1" applyFill="1" applyBorder="1" applyAlignment="1" applyProtection="1">
      <alignment horizontal="center" vertical="center" wrapText="1"/>
      <protection hidden="1"/>
    </xf>
    <xf numFmtId="182" fontId="29" fillId="15" borderId="8" xfId="0" applyFont="1" applyFill="1" applyBorder="1" applyAlignment="1" applyProtection="1">
      <alignment horizontal="center" vertical="center" wrapText="1"/>
      <protection hidden="1"/>
    </xf>
    <xf numFmtId="182" fontId="25" fillId="5" borderId="12" xfId="0" applyFont="1" applyFill="1" applyBorder="1" applyAlignment="1" applyProtection="1">
      <alignment horizontal="center" vertical="center" wrapText="1"/>
      <protection hidden="1"/>
    </xf>
    <xf numFmtId="182" fontId="25" fillId="5" borderId="4" xfId="0" applyFont="1" applyFill="1" applyBorder="1" applyAlignment="1" applyProtection="1">
      <alignment horizontal="center" vertical="center" wrapText="1"/>
      <protection hidden="1"/>
    </xf>
    <xf numFmtId="182" fontId="25" fillId="5" borderId="9" xfId="0" applyFont="1" applyFill="1" applyBorder="1" applyAlignment="1" applyProtection="1">
      <alignment horizontal="center" vertical="center" wrapText="1"/>
      <protection hidden="1"/>
    </xf>
    <xf numFmtId="182" fontId="29" fillId="6" borderId="8" xfId="9" applyFont="1" applyFill="1" applyBorder="1" applyAlignment="1" applyProtection="1">
      <alignment horizontal="center" vertical="center" wrapText="1"/>
      <protection hidden="1"/>
    </xf>
    <xf numFmtId="182" fontId="5" fillId="12" borderId="8" xfId="0" applyFont="1" applyFill="1" applyBorder="1" applyAlignment="1" applyProtection="1">
      <alignment horizontal="center" vertical="center" wrapText="1"/>
      <protection hidden="1"/>
    </xf>
    <xf numFmtId="182" fontId="5" fillId="12" borderId="8" xfId="0" applyFont="1" applyFill="1" applyBorder="1" applyAlignment="1" applyProtection="1">
      <alignment vertical="center" wrapText="1"/>
      <protection hidden="1"/>
    </xf>
    <xf numFmtId="182" fontId="35" fillId="9" borderId="8" xfId="0" applyFont="1" applyFill="1" applyBorder="1" applyAlignment="1" applyProtection="1">
      <alignment horizontal="center" vertical="center" wrapText="1"/>
      <protection hidden="1"/>
    </xf>
    <xf numFmtId="182" fontId="30" fillId="9" borderId="8" xfId="0" applyFont="1" applyFill="1" applyBorder="1" applyAlignment="1" applyProtection="1">
      <alignment horizontal="center" vertical="center" wrapText="1"/>
      <protection hidden="1"/>
    </xf>
    <xf numFmtId="182" fontId="29" fillId="16" borderId="8" xfId="0" applyFont="1" applyFill="1" applyBorder="1" applyAlignment="1" applyProtection="1">
      <alignment horizontal="center" vertical="center" wrapText="1"/>
      <protection hidden="1"/>
    </xf>
    <xf numFmtId="182" fontId="35" fillId="16" borderId="8" xfId="0" applyFont="1" applyFill="1" applyBorder="1" applyAlignment="1" applyProtection="1">
      <alignment horizontal="center" vertical="center" wrapText="1"/>
      <protection hidden="1"/>
    </xf>
    <xf numFmtId="182" fontId="29" fillId="9" borderId="8" xfId="0" applyFont="1" applyFill="1" applyBorder="1" applyAlignment="1" applyProtection="1">
      <alignment horizontal="center" vertical="center" wrapText="1"/>
      <protection hidden="1"/>
    </xf>
    <xf numFmtId="182" fontId="7" fillId="9" borderId="8" xfId="0" applyFont="1" applyFill="1" applyBorder="1" applyAlignment="1" applyProtection="1">
      <alignment horizontal="center" vertical="center" wrapText="1"/>
      <protection hidden="1"/>
    </xf>
    <xf numFmtId="182" fontId="9" fillId="9" borderId="8" xfId="0" applyFont="1" applyFill="1" applyBorder="1" applyAlignment="1" applyProtection="1">
      <alignment horizontal="center" vertical="center" wrapText="1"/>
      <protection hidden="1"/>
    </xf>
    <xf numFmtId="182" fontId="30" fillId="9" borderId="13" xfId="0" applyFont="1" applyFill="1" applyBorder="1" applyAlignment="1" applyProtection="1">
      <alignment horizontal="center" vertical="center" wrapText="1"/>
      <protection hidden="1"/>
    </xf>
    <xf numFmtId="182" fontId="30" fillId="9" borderId="14" xfId="0" applyFont="1" applyFill="1" applyBorder="1" applyAlignment="1" applyProtection="1">
      <alignment horizontal="center" vertical="center" wrapText="1"/>
      <protection hidden="1"/>
    </xf>
    <xf numFmtId="182" fontId="23" fillId="6" borderId="8" xfId="9" applyFont="1" applyFill="1" applyBorder="1" applyAlignment="1" applyProtection="1">
      <alignment horizontal="center" vertical="center" wrapText="1"/>
      <protection hidden="1"/>
    </xf>
    <xf numFmtId="49" fontId="29" fillId="0" borderId="8" xfId="0" applyNumberFormat="1" applyFont="1" applyBorder="1" applyAlignment="1" applyProtection="1">
      <alignment horizontal="left" vertical="center"/>
      <protection hidden="1"/>
    </xf>
    <xf numFmtId="182" fontId="31" fillId="0" borderId="8" xfId="0" applyFont="1" applyBorder="1" applyAlignment="1" applyProtection="1">
      <alignment horizontal="center" vertical="center"/>
      <protection hidden="1"/>
    </xf>
    <xf numFmtId="182" fontId="29" fillId="7" borderId="8" xfId="9" applyNumberFormat="1" applyFont="1" applyFill="1" applyBorder="1" applyAlignment="1" applyProtection="1">
      <alignment horizontal="center" vertical="center" wrapText="1"/>
      <protection hidden="1"/>
    </xf>
    <xf numFmtId="182" fontId="37" fillId="18" borderId="8" xfId="0" applyFont="1" applyFill="1" applyBorder="1" applyAlignment="1" applyProtection="1">
      <alignment horizontal="center" vertical="center" wrapText="1"/>
      <protection hidden="1"/>
    </xf>
    <xf numFmtId="182" fontId="29" fillId="7" borderId="12" xfId="0" applyFont="1" applyFill="1" applyBorder="1" applyAlignment="1" applyProtection="1">
      <alignment horizontal="center" vertical="center" wrapText="1"/>
      <protection hidden="1"/>
    </xf>
    <xf numFmtId="182" fontId="23" fillId="7" borderId="13" xfId="0" applyFont="1" applyFill="1" applyBorder="1" applyAlignment="1" applyProtection="1">
      <alignment horizontal="center" vertical="center" wrapText="1"/>
      <protection hidden="1"/>
    </xf>
    <xf numFmtId="182" fontId="29" fillId="4" borderId="12" xfId="9" applyFont="1" applyFill="1" applyBorder="1" applyAlignment="1" applyProtection="1">
      <alignment horizontal="center" vertical="center" wrapText="1"/>
      <protection hidden="1"/>
    </xf>
    <xf numFmtId="182" fontId="29" fillId="4" borderId="12" xfId="0" applyFont="1" applyFill="1" applyBorder="1" applyAlignment="1" applyProtection="1">
      <alignment horizontal="center" vertical="center" wrapText="1"/>
      <protection hidden="1"/>
    </xf>
    <xf numFmtId="49" fontId="61" fillId="5" borderId="8" xfId="0" applyNumberFormat="1" applyFont="1" applyFill="1" applyBorder="1" applyAlignment="1" applyProtection="1">
      <alignment horizontal="center" vertical="center" wrapText="1"/>
      <protection hidden="1"/>
    </xf>
    <xf numFmtId="182" fontId="29" fillId="6" borderId="12" xfId="9" applyFont="1" applyFill="1" applyBorder="1" applyAlignment="1" applyProtection="1">
      <alignment horizontal="center" vertical="center" wrapText="1"/>
      <protection hidden="1"/>
    </xf>
    <xf numFmtId="182" fontId="29" fillId="4" borderId="8" xfId="9" applyNumberFormat="1" applyFont="1" applyFill="1" applyBorder="1" applyAlignment="1" applyProtection="1">
      <alignment horizontal="center" vertical="center" wrapText="1"/>
      <protection hidden="1"/>
    </xf>
    <xf numFmtId="182" fontId="29" fillId="4" borderId="12" xfId="9" applyNumberFormat="1" applyFont="1" applyFill="1" applyBorder="1" applyAlignment="1" applyProtection="1">
      <alignment horizontal="center" vertical="center" wrapText="1"/>
      <protection hidden="1"/>
    </xf>
    <xf numFmtId="182" fontId="31" fillId="0" borderId="8" xfId="0" applyFont="1" applyBorder="1" applyAlignment="1" applyProtection="1">
      <alignment vertical="center"/>
      <protection hidden="1"/>
    </xf>
    <xf numFmtId="182" fontId="29" fillId="2" borderId="13" xfId="0" applyFont="1" applyFill="1" applyBorder="1" applyAlignment="1" applyProtection="1">
      <alignment horizontal="center" vertical="center" wrapText="1"/>
      <protection hidden="1"/>
    </xf>
    <xf numFmtId="182" fontId="29" fillId="2" borderId="15" xfId="0" applyFont="1" applyFill="1" applyBorder="1" applyAlignment="1" applyProtection="1">
      <alignment horizontal="center" vertical="center" wrapText="1"/>
      <protection hidden="1"/>
    </xf>
    <xf numFmtId="182" fontId="29" fillId="2" borderId="14" xfId="0" applyFont="1" applyFill="1" applyBorder="1" applyAlignment="1" applyProtection="1">
      <alignment horizontal="center" vertical="center" wrapText="1"/>
      <protection hidden="1"/>
    </xf>
    <xf numFmtId="182" fontId="25" fillId="7" borderId="8" xfId="0" applyFont="1" applyFill="1" applyBorder="1" applyAlignment="1" applyProtection="1">
      <alignment horizontal="center" vertical="center" wrapText="1"/>
      <protection hidden="1"/>
    </xf>
    <xf numFmtId="182" fontId="25" fillId="9" borderId="8" xfId="0" applyFont="1" applyFill="1" applyBorder="1" applyAlignment="1" applyProtection="1">
      <alignment horizontal="center" vertical="center" wrapText="1"/>
      <protection hidden="1"/>
    </xf>
    <xf numFmtId="182" fontId="25" fillId="4" borderId="8" xfId="0" applyFont="1" applyFill="1" applyBorder="1" applyAlignment="1" applyProtection="1">
      <alignment horizontal="center" vertical="center" wrapText="1"/>
      <protection hidden="1"/>
    </xf>
    <xf numFmtId="182" fontId="25" fillId="2" borderId="8" xfId="0" applyFont="1" applyFill="1" applyBorder="1" applyAlignment="1" applyProtection="1">
      <alignment horizontal="center" vertical="center" wrapText="1"/>
      <protection hidden="1"/>
    </xf>
    <xf numFmtId="182" fontId="29" fillId="2" borderId="8" xfId="0" applyFont="1" applyFill="1" applyBorder="1" applyAlignment="1" applyProtection="1">
      <alignment horizontal="center" vertical="center" wrapText="1"/>
      <protection hidden="1"/>
    </xf>
    <xf numFmtId="182" fontId="29" fillId="2" borderId="12" xfId="0" applyFont="1" applyFill="1" applyBorder="1" applyAlignment="1" applyProtection="1">
      <alignment horizontal="center" vertical="center" wrapText="1"/>
      <protection hidden="1"/>
    </xf>
    <xf numFmtId="182" fontId="50" fillId="2" borderId="8" xfId="0" applyFont="1" applyFill="1" applyBorder="1" applyAlignment="1" applyProtection="1">
      <alignment horizontal="center" vertical="center" wrapText="1"/>
      <protection hidden="1"/>
    </xf>
    <xf numFmtId="182" fontId="25" fillId="31" borderId="8" xfId="0" applyFont="1" applyFill="1" applyBorder="1" applyAlignment="1" applyProtection="1">
      <alignment horizontal="center" vertical="center" wrapText="1"/>
      <protection hidden="1"/>
    </xf>
    <xf numFmtId="182" fontId="120" fillId="0" borderId="12" xfId="0" applyFont="1" applyBorder="1" applyAlignment="1" applyProtection="1">
      <alignment horizontal="left" vertical="center"/>
      <protection hidden="1"/>
    </xf>
    <xf numFmtId="182" fontId="26" fillId="0" borderId="4" xfId="0" applyFont="1" applyBorder="1" applyAlignment="1" applyProtection="1">
      <alignment horizontal="left" vertical="center"/>
      <protection hidden="1"/>
    </xf>
    <xf numFmtId="182" fontId="5" fillId="0" borderId="4" xfId="0" applyFont="1" applyBorder="1" applyAlignment="1" applyProtection="1">
      <alignment horizontal="left" vertical="center"/>
      <protection hidden="1"/>
    </xf>
    <xf numFmtId="182" fontId="26" fillId="0" borderId="9" xfId="0" applyFont="1" applyBorder="1" applyAlignment="1" applyProtection="1">
      <alignment horizontal="left" vertical="center"/>
      <protection hidden="1"/>
    </xf>
    <xf numFmtId="182" fontId="29" fillId="31" borderId="8" xfId="0" applyFont="1" applyFill="1" applyBorder="1" applyAlignment="1" applyProtection="1">
      <alignment horizontal="center" vertical="center" wrapText="1"/>
      <protection hidden="1"/>
    </xf>
    <xf numFmtId="182" fontId="37" fillId="21" borderId="8" xfId="0" applyFont="1" applyFill="1" applyBorder="1" applyAlignment="1" applyProtection="1">
      <alignment horizontal="center" vertical="center" wrapText="1"/>
      <protection hidden="1"/>
    </xf>
    <xf numFmtId="182" fontId="5" fillId="5" borderId="13" xfId="0" applyFont="1" applyFill="1" applyBorder="1" applyAlignment="1" applyProtection="1">
      <alignment horizontal="center" vertical="center" wrapText="1"/>
      <protection hidden="1"/>
    </xf>
    <xf numFmtId="182" fontId="5" fillId="5" borderId="14" xfId="0" applyFont="1" applyFill="1" applyBorder="1" applyAlignment="1" applyProtection="1">
      <alignment horizontal="center" vertical="center" wrapText="1"/>
      <protection hidden="1"/>
    </xf>
    <xf numFmtId="182" fontId="38" fillId="21" borderId="8" xfId="0" applyFont="1" applyFill="1" applyBorder="1" applyAlignment="1" applyProtection="1">
      <alignment horizontal="center" vertical="center" wrapText="1"/>
      <protection hidden="1"/>
    </xf>
    <xf numFmtId="182" fontId="25" fillId="4" borderId="13" xfId="0" applyFont="1" applyFill="1" applyBorder="1" applyAlignment="1" applyProtection="1">
      <alignment horizontal="center" vertical="center" wrapText="1"/>
      <protection hidden="1"/>
    </xf>
    <xf numFmtId="182" fontId="25" fillId="4" borderId="15" xfId="0" applyFont="1" applyFill="1" applyBorder="1" applyAlignment="1" applyProtection="1">
      <alignment horizontal="center" vertical="center" wrapText="1"/>
      <protection hidden="1"/>
    </xf>
    <xf numFmtId="182" fontId="25" fillId="4" borderId="14" xfId="0" applyFont="1" applyFill="1" applyBorder="1" applyAlignment="1" applyProtection="1">
      <alignment horizontal="center" vertical="center" wrapText="1"/>
      <protection hidden="1"/>
    </xf>
    <xf numFmtId="182" fontId="25" fillId="10" borderId="8" xfId="0" applyFont="1" applyFill="1" applyBorder="1" applyAlignment="1" applyProtection="1">
      <alignment horizontal="center" vertical="center" wrapText="1"/>
      <protection hidden="1"/>
    </xf>
    <xf numFmtId="182" fontId="29" fillId="2" borderId="2" xfId="0" applyFont="1" applyFill="1" applyBorder="1" applyAlignment="1" applyProtection="1">
      <alignment horizontal="center" vertical="center" wrapText="1"/>
      <protection hidden="1"/>
    </xf>
    <xf numFmtId="182" fontId="29" fillId="13" borderId="8" xfId="0" applyFont="1" applyFill="1" applyBorder="1" applyAlignment="1" applyProtection="1">
      <alignment horizontal="center" vertical="center" wrapText="1"/>
      <protection hidden="1"/>
    </xf>
    <xf numFmtId="182" fontId="35" fillId="0" borderId="8" xfId="0" applyFont="1" applyBorder="1" applyAlignment="1" applyProtection="1">
      <alignment horizontal="center" vertical="center" wrapText="1"/>
      <protection hidden="1"/>
    </xf>
    <xf numFmtId="182" fontId="29" fillId="11" borderId="8" xfId="0" applyFont="1" applyFill="1" applyBorder="1" applyAlignment="1" applyProtection="1">
      <alignment horizontal="center" vertical="center" wrapText="1"/>
      <protection hidden="1"/>
    </xf>
    <xf numFmtId="182" fontId="29" fillId="11" borderId="12" xfId="0" applyFont="1" applyFill="1" applyBorder="1" applyAlignment="1" applyProtection="1">
      <alignment horizontal="center" vertical="center" wrapText="1"/>
      <protection hidden="1"/>
    </xf>
    <xf numFmtId="182" fontId="29" fillId="10" borderId="12" xfId="0" applyFont="1" applyFill="1" applyBorder="1" applyAlignment="1" applyProtection="1">
      <alignment horizontal="center" vertical="center" wrapText="1"/>
      <protection hidden="1"/>
    </xf>
    <xf numFmtId="182" fontId="29" fillId="6" borderId="12" xfId="0" applyFont="1" applyFill="1" applyBorder="1" applyAlignment="1" applyProtection="1">
      <alignment horizontal="center" vertical="center" wrapText="1"/>
      <protection hidden="1"/>
    </xf>
    <xf numFmtId="182" fontId="29" fillId="7" borderId="12" xfId="9" applyFont="1" applyFill="1" applyBorder="1" applyAlignment="1" applyProtection="1">
      <alignment horizontal="center" vertical="center" wrapText="1"/>
      <protection hidden="1"/>
    </xf>
    <xf numFmtId="49" fontId="25" fillId="25" borderId="8" xfId="0" applyNumberFormat="1" applyFont="1" applyFill="1" applyBorder="1" applyAlignment="1">
      <alignment horizontal="center" vertical="center"/>
    </xf>
    <xf numFmtId="49" fontId="5" fillId="25" borderId="8" xfId="0" applyNumberFormat="1" applyFont="1" applyFill="1" applyBorder="1" applyAlignment="1">
      <alignment horizontal="center" vertical="center"/>
    </xf>
    <xf numFmtId="49" fontId="5" fillId="24" borderId="10" xfId="0" applyNumberFormat="1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>
      <alignment horizontal="center" vertical="center"/>
    </xf>
    <xf numFmtId="49" fontId="5" fillId="24" borderId="2" xfId="0" applyNumberFormat="1" applyFont="1" applyFill="1" applyBorder="1" applyAlignment="1">
      <alignment horizontal="center" vertical="center"/>
    </xf>
    <xf numFmtId="49" fontId="5" fillId="24" borderId="3" xfId="0" applyNumberFormat="1" applyFont="1" applyFill="1" applyBorder="1" applyAlignment="1">
      <alignment horizontal="center" vertical="center"/>
    </xf>
    <xf numFmtId="49" fontId="5" fillId="24" borderId="6" xfId="0" applyNumberFormat="1" applyFont="1" applyFill="1" applyBorder="1" applyAlignment="1">
      <alignment horizontal="center" vertical="center"/>
    </xf>
    <xf numFmtId="49" fontId="5" fillId="24" borderId="7" xfId="0" applyNumberFormat="1" applyFont="1" applyFill="1" applyBorder="1" applyAlignment="1">
      <alignment horizontal="center" vertical="center"/>
    </xf>
    <xf numFmtId="49" fontId="50" fillId="24" borderId="2" xfId="0" applyNumberFormat="1" applyFont="1" applyFill="1" applyBorder="1" applyAlignment="1">
      <alignment horizontal="center" vertical="center"/>
    </xf>
    <xf numFmtId="49" fontId="25" fillId="24" borderId="3" xfId="0" applyNumberFormat="1" applyFont="1" applyFill="1" applyBorder="1" applyAlignment="1">
      <alignment horizontal="center" vertical="center"/>
    </xf>
    <xf numFmtId="49" fontId="25" fillId="24" borderId="2" xfId="0" applyNumberFormat="1" applyFont="1" applyFill="1" applyBorder="1" applyAlignment="1">
      <alignment horizontal="center" vertical="center"/>
    </xf>
    <xf numFmtId="49" fontId="25" fillId="24" borderId="10" xfId="0" applyNumberFormat="1" applyFont="1" applyFill="1" applyBorder="1" applyAlignment="1">
      <alignment horizontal="center" vertical="center"/>
    </xf>
    <xf numFmtId="49" fontId="25" fillId="24" borderId="5" xfId="0" applyNumberFormat="1" applyFont="1" applyFill="1" applyBorder="1" applyAlignment="1">
      <alignment horizontal="center" vertical="center"/>
    </xf>
    <xf numFmtId="49" fontId="25" fillId="24" borderId="6" xfId="0" applyNumberFormat="1" applyFont="1" applyFill="1" applyBorder="1" applyAlignment="1">
      <alignment horizontal="center" vertical="center"/>
    </xf>
    <xf numFmtId="49" fontId="25" fillId="24" borderId="7" xfId="0" applyNumberFormat="1" applyFont="1" applyFill="1" applyBorder="1" applyAlignment="1">
      <alignment horizontal="center" vertical="center"/>
    </xf>
    <xf numFmtId="49" fontId="25" fillId="25" borderId="2" xfId="0" applyNumberFormat="1" applyFont="1" applyFill="1" applyBorder="1" applyAlignment="1">
      <alignment horizontal="center" vertical="center"/>
    </xf>
    <xf numFmtId="49" fontId="25" fillId="25" borderId="3" xfId="0" applyNumberFormat="1" applyFont="1" applyFill="1" applyBorder="1" applyAlignment="1">
      <alignment horizontal="center" vertical="center"/>
    </xf>
    <xf numFmtId="49" fontId="25" fillId="25" borderId="6" xfId="0" applyNumberFormat="1" applyFont="1" applyFill="1" applyBorder="1" applyAlignment="1">
      <alignment horizontal="center" vertical="center"/>
    </xf>
    <xf numFmtId="49" fontId="25" fillId="25" borderId="7" xfId="0" applyNumberFormat="1" applyFont="1" applyFill="1" applyBorder="1" applyAlignment="1">
      <alignment horizontal="center" vertical="center"/>
    </xf>
    <xf numFmtId="49" fontId="25" fillId="25" borderId="10" xfId="0" applyNumberFormat="1" applyFont="1" applyFill="1" applyBorder="1" applyAlignment="1">
      <alignment horizontal="center" vertical="center"/>
    </xf>
    <xf numFmtId="49" fontId="25" fillId="25" borderId="5" xfId="0" applyNumberFormat="1" applyFont="1" applyFill="1" applyBorder="1" applyAlignment="1">
      <alignment horizontal="center" vertical="center"/>
    </xf>
    <xf numFmtId="49" fontId="51" fillId="17" borderId="8" xfId="0" applyNumberFormat="1" applyFont="1" applyFill="1" applyBorder="1" applyAlignment="1">
      <alignment horizontal="center" vertical="center"/>
    </xf>
    <xf numFmtId="49" fontId="52" fillId="17" borderId="8" xfId="0" applyNumberFormat="1" applyFont="1" applyFill="1" applyBorder="1" applyAlignment="1">
      <alignment horizontal="center" vertical="center"/>
    </xf>
    <xf numFmtId="49" fontId="53" fillId="17" borderId="8" xfId="0" applyNumberFormat="1" applyFont="1" applyFill="1" applyBorder="1" applyAlignment="1">
      <alignment horizontal="center" vertical="center"/>
    </xf>
    <xf numFmtId="49" fontId="25" fillId="17" borderId="8" xfId="0" applyNumberFormat="1" applyFont="1" applyFill="1" applyBorder="1" applyAlignment="1">
      <alignment horizontal="center" vertical="center"/>
    </xf>
    <xf numFmtId="49" fontId="50" fillId="17" borderId="8" xfId="0" applyNumberFormat="1" applyFont="1" applyFill="1" applyBorder="1" applyAlignment="1">
      <alignment horizontal="center" vertical="center"/>
    </xf>
    <xf numFmtId="49" fontId="25" fillId="29" borderId="12" xfId="0" applyNumberFormat="1" applyFont="1" applyFill="1" applyBorder="1" applyAlignment="1">
      <alignment horizontal="center" vertical="center" wrapText="1"/>
    </xf>
    <xf numFmtId="49" fontId="25" fillId="29" borderId="4" xfId="0" applyNumberFormat="1" applyFont="1" applyFill="1" applyBorder="1" applyAlignment="1">
      <alignment horizontal="center" vertical="center" wrapText="1"/>
    </xf>
    <xf numFmtId="49" fontId="25" fillId="29" borderId="9" xfId="0" applyNumberFormat="1" applyFont="1" applyFill="1" applyBorder="1" applyAlignment="1">
      <alignment horizontal="center" vertical="center" wrapText="1"/>
    </xf>
    <xf numFmtId="49" fontId="66" fillId="12" borderId="11" xfId="0" applyNumberFormat="1" applyFont="1" applyFill="1" applyBorder="1" applyAlignment="1">
      <alignment horizontal="center" vertical="center"/>
    </xf>
    <xf numFmtId="182" fontId="5" fillId="5" borderId="12" xfId="0" applyFont="1" applyFill="1" applyBorder="1" applyAlignment="1" applyProtection="1">
      <alignment horizontal="center" vertical="center" wrapText="1"/>
      <protection hidden="1"/>
    </xf>
    <xf numFmtId="182" fontId="5" fillId="5" borderId="4" xfId="0" applyFont="1" applyFill="1" applyBorder="1" applyAlignment="1" applyProtection="1">
      <alignment horizontal="center" vertical="center" wrapText="1"/>
      <protection hidden="1"/>
    </xf>
    <xf numFmtId="182" fontId="5" fillId="5" borderId="9" xfId="0" applyFont="1" applyFill="1" applyBorder="1" applyAlignment="1" applyProtection="1">
      <alignment horizontal="center" vertical="center" wrapText="1"/>
      <protection hidden="1"/>
    </xf>
  </cellXfs>
  <cellStyles count="37">
    <cellStyle name="_ET_STYLE_NoName_00_" xfId="1"/>
    <cellStyle name="_中东印巴红海" xfId="2"/>
    <cellStyle name="3232" xfId="3"/>
    <cellStyle name="Normal 2 2" xfId="35"/>
    <cellStyle name="Normal 20" xfId="4"/>
    <cellStyle name="Normal_ACO_AL table eff 15 may 2006" xfId="5"/>
    <cellStyle name="常规" xfId="0" builtinId="0"/>
    <cellStyle name="常规 12" xfId="33"/>
    <cellStyle name="常规 2" xfId="6"/>
    <cellStyle name="常规 2 2" xfId="31"/>
    <cellStyle name="常规 2 2 2" xfId="25"/>
    <cellStyle name="常规 2 2 3" xfId="23"/>
    <cellStyle name="常规 2 2 5" xfId="24"/>
    <cellStyle name="常规 2 2 8" xfId="22"/>
    <cellStyle name="常规 2_欧洲8月" xfId="30"/>
    <cellStyle name="常规 3" xfId="7"/>
    <cellStyle name="常规 4" xfId="8"/>
    <cellStyle name="常规 5" xfId="32"/>
    <cellStyle name="常规 6" xfId="26"/>
    <cellStyle name="常规 8" xfId="21"/>
    <cellStyle name="常规_ABC" xfId="9"/>
    <cellStyle name="常规_COSCO全航线执行运价_20120821 COSCO LOG" xfId="10"/>
    <cellStyle name="常规_IPI" xfId="34"/>
    <cellStyle name="常规_Sheet1" xfId="11"/>
    <cellStyle name="常规_Sheet1_Sheet3" xfId="36"/>
    <cellStyle name="常规_WT非洲线" xfId="28"/>
    <cellStyle name="常规_報價表1 (1)" xfId="12"/>
    <cellStyle name="常规_地中海_4" xfId="29"/>
    <cellStyle name="常规_东非_183" xfId="13"/>
    <cellStyle name="常规_复件 MSK AFR October" xfId="14"/>
    <cellStyle name="常规_凯林加拿大运价（2008年2月）" xfId="15"/>
    <cellStyle name="常规_南非_183" xfId="16"/>
    <cellStyle name="常规_歐洲線_2" xfId="17"/>
    <cellStyle name="常规_神东船务运价表20110408" xfId="27"/>
    <cellStyle name="常规_运价10月版" xfId="18"/>
    <cellStyle name="样式 1" xfId="19"/>
    <cellStyle name="一般_Gulf-IN-RED SEA ocean freight of wanhai lines(20090406bottom)" xfId="20"/>
  </cellStyles>
  <dxfs count="0"/>
  <tableStyles count="0" defaultTableStyle="TableStyleMedium9" defaultPivotStyle="PivotStyleLight16"/>
  <colors>
    <mruColors>
      <color rgb="FF0000FF"/>
      <color rgb="FFFFFFCC"/>
      <color rgb="FFFFFF99"/>
      <color rgb="FFFFCCFF"/>
      <color rgb="FFCCFFCC"/>
      <color rgb="FFCC0000"/>
      <color rgb="FFFF99FF"/>
      <color rgb="FFFF66FF"/>
      <color rgb="FFFFCC99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0</xdr:row>
      <xdr:rowOff>0</xdr:rowOff>
    </xdr:from>
    <xdr:to>
      <xdr:col>7</xdr:col>
      <xdr:colOff>790575</xdr:colOff>
      <xdr:row>0</xdr:row>
      <xdr:rowOff>0</xdr:rowOff>
    </xdr:to>
    <xdr:pic>
      <xdr:nvPicPr>
        <xdr:cNvPr id="45070" name="Picture 1" descr="logo">
          <a:extLst>
            <a:ext uri="{FF2B5EF4-FFF2-40B4-BE49-F238E27FC236}">
              <a16:creationId xmlns:a16="http://schemas.microsoft.com/office/drawing/2014/main" id="{00000000-0008-0000-0A00-00000EB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581400" y="0"/>
          <a:ext cx="2295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eva@hm-safety.com" TargetMode="External"/><Relationship Id="rId13" Type="http://schemas.openxmlformats.org/officeDocument/2006/relationships/hyperlink" Target="mailto:doc02@hm-safety.com" TargetMode="External"/><Relationship Id="rId18" Type="http://schemas.openxmlformats.org/officeDocument/2006/relationships/hyperlink" Target="mailto:op07@hm-safety.com" TargetMode="External"/><Relationship Id="rId3" Type="http://schemas.openxmlformats.org/officeDocument/2006/relationships/hyperlink" Target="mailto:cw003@safety-sh.com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mailto:op001@hm-safety.com" TargetMode="External"/><Relationship Id="rId12" Type="http://schemas.openxmlformats.org/officeDocument/2006/relationships/hyperlink" Target="mailto:cs06@hm-safety.com" TargetMode="External"/><Relationship Id="rId17" Type="http://schemas.openxmlformats.org/officeDocument/2006/relationships/hyperlink" Target="mailto:cs002@safety-sh.com" TargetMode="External"/><Relationship Id="rId2" Type="http://schemas.openxmlformats.org/officeDocument/2006/relationships/hyperlink" Target="mailto:sara@hm-safety.com" TargetMode="External"/><Relationship Id="rId16" Type="http://schemas.openxmlformats.org/officeDocument/2006/relationships/hyperlink" Target="mailto:tony@hm-safety.com" TargetMode="External"/><Relationship Id="rId20" Type="http://schemas.openxmlformats.org/officeDocument/2006/relationships/printerSettings" Target="../printerSettings/printerSettings11.bin"/><Relationship Id="rId1" Type="http://schemas.openxmlformats.org/officeDocument/2006/relationships/hyperlink" Target="mailto:morning@hm-safety.com" TargetMode="External"/><Relationship Id="rId6" Type="http://schemas.openxmlformats.org/officeDocument/2006/relationships/hyperlink" Target="mailto:CS02@hm-safety.com" TargetMode="External"/><Relationship Id="rId11" Type="http://schemas.openxmlformats.org/officeDocument/2006/relationships/hyperlink" Target="mailto:cs07@hm-safety.com" TargetMode="External"/><Relationship Id="rId5" Type="http://schemas.openxmlformats.org/officeDocument/2006/relationships/hyperlink" Target="mailto:silvia@hm-safety.com" TargetMode="External"/><Relationship Id="rId15" Type="http://schemas.openxmlformats.org/officeDocument/2006/relationships/hyperlink" Target="mailto:Kelvin@hm-safety.com" TargetMode="External"/><Relationship Id="rId10" Type="http://schemas.openxmlformats.org/officeDocument/2006/relationships/hyperlink" Target="mailto:op005@hm-safety.com" TargetMode="External"/><Relationship Id="rId19" Type="http://schemas.openxmlformats.org/officeDocument/2006/relationships/hyperlink" Target="mailto:cw001@hm-safety.com" TargetMode="External"/><Relationship Id="rId4" Type="http://schemas.openxmlformats.org/officeDocument/2006/relationships/hyperlink" Target="mailto:sales08@hm-safety.com" TargetMode="External"/><Relationship Id="rId9" Type="http://schemas.openxmlformats.org/officeDocument/2006/relationships/hyperlink" Target="mailto:sales02@hm-safety.com" TargetMode="External"/><Relationship Id="rId14" Type="http://schemas.openxmlformats.org/officeDocument/2006/relationships/hyperlink" Target="mailto:sales01@hm-safety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indexed="8"/>
  </sheetPr>
  <dimension ref="A1:I18"/>
  <sheetViews>
    <sheetView showGridLines="0" workbookViewId="0">
      <selection activeCell="H23" sqref="H23"/>
    </sheetView>
  </sheetViews>
  <sheetFormatPr defaultColWidth="9" defaultRowHeight="15"/>
  <cols>
    <col min="1" max="1" width="15.625" style="99" customWidth="1"/>
    <col min="2" max="6" width="15.625" style="104" customWidth="1"/>
    <col min="7" max="7" width="15.625" style="101" customWidth="1"/>
    <col min="8" max="8" width="15.625" style="99" customWidth="1"/>
    <col min="9" max="16384" width="9" style="99"/>
  </cols>
  <sheetData>
    <row r="1" spans="1:9" ht="36.75" customHeight="1">
      <c r="A1" s="1120" t="s">
        <v>211</v>
      </c>
      <c r="B1" s="1120"/>
      <c r="C1" s="1120"/>
      <c r="D1" s="1120"/>
      <c r="E1" s="1120"/>
      <c r="F1" s="1120"/>
      <c r="G1" s="1120"/>
      <c r="H1" s="1120"/>
      <c r="I1" s="1120"/>
    </row>
    <row r="2" spans="1:9" ht="36" customHeight="1">
      <c r="A2" s="1121" t="s">
        <v>1030</v>
      </c>
      <c r="B2" s="1121"/>
      <c r="C2" s="1121"/>
      <c r="D2" s="1121"/>
      <c r="E2" s="1121"/>
      <c r="F2" s="1121"/>
      <c r="G2" s="1121"/>
      <c r="H2" s="1121"/>
      <c r="I2" s="1121"/>
    </row>
    <row r="3" spans="1:9" ht="19.5" customHeight="1">
      <c r="A3" s="1119" t="s">
        <v>2797</v>
      </c>
      <c r="B3" s="1118"/>
      <c r="C3" s="1118"/>
      <c r="D3" s="1118"/>
      <c r="E3" s="1118"/>
      <c r="F3" s="1118"/>
      <c r="G3" s="1118"/>
    </row>
    <row r="4" spans="1:9" ht="16.5" customHeight="1">
      <c r="A4" s="1117" t="s">
        <v>1031</v>
      </c>
      <c r="B4" s="1118"/>
      <c r="C4" s="1118"/>
      <c r="D4" s="1118"/>
      <c r="E4" s="1118"/>
      <c r="F4" s="1118"/>
      <c r="G4" s="1118"/>
    </row>
    <row r="5" spans="1:9">
      <c r="A5" s="1117" t="s">
        <v>1032</v>
      </c>
      <c r="B5" s="1118"/>
      <c r="C5" s="1118"/>
      <c r="D5" s="1118"/>
      <c r="E5" s="1118"/>
      <c r="F5" s="1118"/>
      <c r="G5" s="1118"/>
    </row>
    <row r="6" spans="1:9" ht="19.5" customHeight="1">
      <c r="A6" s="1124" t="s">
        <v>1033</v>
      </c>
      <c r="B6" s="1118"/>
      <c r="C6" s="1118"/>
      <c r="D6" s="1118"/>
      <c r="E6" s="100"/>
      <c r="F6" s="100"/>
      <c r="G6" s="100"/>
    </row>
    <row r="7" spans="1:9" ht="19.5" customHeight="1">
      <c r="A7" s="1124" t="s">
        <v>1034</v>
      </c>
      <c r="B7" s="1118"/>
      <c r="C7" s="1118"/>
      <c r="D7" s="1118"/>
      <c r="E7" s="1118"/>
      <c r="F7" s="1118"/>
      <c r="G7" s="100"/>
    </row>
    <row r="8" spans="1:9">
      <c r="A8" s="1125" t="s">
        <v>2798</v>
      </c>
      <c r="B8" s="1126"/>
      <c r="C8" s="1126"/>
      <c r="D8" s="1126"/>
      <c r="E8" s="1126"/>
      <c r="F8" s="1126"/>
      <c r="G8" s="1126"/>
    </row>
    <row r="9" spans="1:9" ht="16.5" customHeight="1">
      <c r="A9" s="1122" t="s">
        <v>1136</v>
      </c>
      <c r="B9" s="1123"/>
      <c r="C9" s="1123"/>
      <c r="D9" s="1123"/>
      <c r="E9" s="1123"/>
      <c r="F9" s="1123"/>
      <c r="G9" s="100"/>
    </row>
    <row r="10" spans="1:9">
      <c r="A10" s="1117" t="s">
        <v>500</v>
      </c>
      <c r="B10" s="1118"/>
      <c r="C10" s="1118"/>
      <c r="D10" s="1118"/>
      <c r="E10" s="100"/>
      <c r="F10" s="100"/>
      <c r="G10" s="100"/>
    </row>
    <row r="11" spans="1:9" ht="27.75" customHeight="1">
      <c r="A11" s="102"/>
      <c r="B11" s="103"/>
      <c r="C11" s="100"/>
      <c r="D11" s="100"/>
      <c r="E11" s="100"/>
      <c r="F11" s="100"/>
    </row>
    <row r="12" spans="1:9">
      <c r="A12" s="1116" t="s">
        <v>3087</v>
      </c>
      <c r="B12" s="1116"/>
      <c r="C12" s="1116"/>
      <c r="D12" s="1116"/>
      <c r="E12" s="1116"/>
      <c r="F12" s="1116"/>
      <c r="G12" s="1116"/>
      <c r="H12" s="1116"/>
    </row>
    <row r="13" spans="1:9">
      <c r="A13" s="191" t="s">
        <v>3083</v>
      </c>
      <c r="B13" s="190" t="s">
        <v>3084</v>
      </c>
      <c r="C13" s="190" t="s">
        <v>3085</v>
      </c>
      <c r="D13" s="190" t="s">
        <v>3086</v>
      </c>
      <c r="E13" s="191" t="s">
        <v>2325</v>
      </c>
      <c r="F13" s="190" t="s">
        <v>2326</v>
      </c>
      <c r="G13" s="190" t="s">
        <v>2327</v>
      </c>
      <c r="H13" s="190" t="s">
        <v>2327</v>
      </c>
    </row>
    <row r="14" spans="1:9">
      <c r="A14" s="191" t="s">
        <v>1925</v>
      </c>
      <c r="B14" s="190" t="s">
        <v>3495</v>
      </c>
      <c r="C14" s="190" t="s">
        <v>3496</v>
      </c>
      <c r="D14" s="190" t="s">
        <v>3497</v>
      </c>
      <c r="E14" s="191" t="s">
        <v>4276</v>
      </c>
      <c r="F14" s="190" t="s">
        <v>4277</v>
      </c>
      <c r="G14" s="190" t="s">
        <v>4278</v>
      </c>
      <c r="H14" s="190" t="s">
        <v>4279</v>
      </c>
    </row>
    <row r="15" spans="1:9">
      <c r="A15" s="191" t="s">
        <v>3082</v>
      </c>
      <c r="B15" s="190" t="s">
        <v>3384</v>
      </c>
      <c r="C15" s="190" t="s">
        <v>3384</v>
      </c>
      <c r="D15" s="190" t="s">
        <v>3384</v>
      </c>
      <c r="E15" s="191"/>
      <c r="F15" s="190"/>
      <c r="G15" s="190"/>
      <c r="H15" s="190"/>
    </row>
    <row r="16" spans="1:9">
      <c r="A16" s="1116" t="s">
        <v>4174</v>
      </c>
      <c r="B16" s="1116"/>
      <c r="C16" s="1116"/>
      <c r="D16" s="1116"/>
      <c r="E16" s="1116"/>
      <c r="F16" s="1116"/>
      <c r="G16" s="1116"/>
      <c r="H16" s="1116"/>
    </row>
    <row r="17" spans="1:8">
      <c r="A17" s="191" t="s">
        <v>1925</v>
      </c>
      <c r="B17" s="190" t="s">
        <v>4175</v>
      </c>
      <c r="C17" s="190" t="s">
        <v>4176</v>
      </c>
      <c r="D17" s="190" t="s">
        <v>4177</v>
      </c>
      <c r="E17" s="191" t="s">
        <v>2325</v>
      </c>
      <c r="F17" s="190" t="s">
        <v>2326</v>
      </c>
      <c r="G17" s="190" t="s">
        <v>2327</v>
      </c>
      <c r="H17" s="190" t="s">
        <v>2327</v>
      </c>
    </row>
    <row r="18" spans="1:8">
      <c r="A18" s="191" t="s">
        <v>3083</v>
      </c>
      <c r="B18" s="190" t="s">
        <v>3084</v>
      </c>
      <c r="C18" s="190" t="s">
        <v>2327</v>
      </c>
      <c r="D18" s="190" t="s">
        <v>2327</v>
      </c>
      <c r="E18" s="191" t="s">
        <v>3082</v>
      </c>
      <c r="F18" s="190" t="s">
        <v>3384</v>
      </c>
      <c r="G18" s="190" t="s">
        <v>3384</v>
      </c>
      <c r="H18" s="190" t="s">
        <v>3384</v>
      </c>
    </row>
  </sheetData>
  <sheetProtection selectLockedCells="1" selectUnlockedCells="1"/>
  <mergeCells count="12">
    <mergeCell ref="A16:H16"/>
    <mergeCell ref="A12:H12"/>
    <mergeCell ref="A10:D10"/>
    <mergeCell ref="A3:G3"/>
    <mergeCell ref="A1:I1"/>
    <mergeCell ref="A2:I2"/>
    <mergeCell ref="A9:F9"/>
    <mergeCell ref="A5:G5"/>
    <mergeCell ref="A6:D6"/>
    <mergeCell ref="A7:F7"/>
    <mergeCell ref="A8:G8"/>
    <mergeCell ref="A4:G4"/>
  </mergeCells>
  <phoneticPr fontId="58" type="noConversion"/>
  <printOptions horizontalCentered="1"/>
  <pageMargins left="0.59055118110236227" right="0.15748031496062992" top="0.43307086614173229" bottom="0.27559055118110237" header="0.19685039370078741" footer="0.15748031496062992"/>
  <pageSetup paperSize="9" scale="90" orientation="portrait" verticalDpi="18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</sheetPr>
  <dimension ref="A1:M51"/>
  <sheetViews>
    <sheetView tabSelected="1" workbookViewId="0">
      <pane ySplit="3" topLeftCell="A4" activePane="bottomLeft" state="frozen"/>
      <selection pane="bottomLeft" activeCell="N2" sqref="A2:XFD2"/>
    </sheetView>
  </sheetViews>
  <sheetFormatPr defaultRowHeight="20.100000000000001" customHeight="1"/>
  <cols>
    <col min="1" max="1" width="15.625" customWidth="1"/>
    <col min="2" max="3" width="10.75" style="842" customWidth="1"/>
    <col min="9" max="10" width="10.5" customWidth="1"/>
    <col min="13" max="13" width="11.625" customWidth="1"/>
  </cols>
  <sheetData>
    <row r="1" spans="1:13" ht="30" customHeight="1">
      <c r="A1" s="1130" t="s">
        <v>2293</v>
      </c>
      <c r="B1" s="1131"/>
      <c r="C1" s="1131"/>
      <c r="D1" s="1131"/>
      <c r="E1" s="1131"/>
      <c r="F1" s="1131"/>
      <c r="G1" s="1131"/>
      <c r="H1" s="1131"/>
      <c r="I1" s="1131"/>
      <c r="J1" s="1131"/>
      <c r="K1" s="1131"/>
      <c r="L1" s="1131"/>
      <c r="M1" s="1131"/>
    </row>
    <row r="2" spans="1:13" ht="20.100000000000001" customHeight="1">
      <c r="A2" s="1129" t="s">
        <v>1075</v>
      </c>
      <c r="B2" s="1133" t="s">
        <v>4202</v>
      </c>
      <c r="C2" s="1133"/>
      <c r="D2" s="1129" t="s">
        <v>1076</v>
      </c>
      <c r="E2" s="1129" t="s">
        <v>1077</v>
      </c>
      <c r="F2" s="1129" t="s">
        <v>1078</v>
      </c>
      <c r="G2" s="1129" t="s">
        <v>1080</v>
      </c>
      <c r="H2" s="1129" t="s">
        <v>1081</v>
      </c>
      <c r="I2" s="1129" t="s">
        <v>803</v>
      </c>
      <c r="J2" s="1129" t="s">
        <v>803</v>
      </c>
      <c r="K2" s="1129" t="s">
        <v>806</v>
      </c>
      <c r="L2" s="1129" t="s">
        <v>1029</v>
      </c>
      <c r="M2" s="1132" t="s">
        <v>1729</v>
      </c>
    </row>
    <row r="3" spans="1:13" ht="20.100000000000001" customHeight="1">
      <c r="A3" s="1129"/>
      <c r="B3" s="860" t="s">
        <v>3064</v>
      </c>
      <c r="C3" s="860" t="s">
        <v>3065</v>
      </c>
      <c r="D3" s="1129"/>
      <c r="E3" s="1129"/>
      <c r="F3" s="1129"/>
      <c r="G3" s="1129"/>
      <c r="H3" s="1129"/>
      <c r="I3" s="1129"/>
      <c r="J3" s="1129"/>
      <c r="K3" s="1129"/>
      <c r="L3" s="1129"/>
      <c r="M3" s="1129"/>
    </row>
    <row r="4" spans="1:13" ht="20.100000000000001" customHeight="1">
      <c r="A4" s="1128" t="s">
        <v>521</v>
      </c>
      <c r="B4" s="892">
        <v>932</v>
      </c>
      <c r="C4" s="892">
        <v>1852</v>
      </c>
      <c r="D4" s="221" t="s">
        <v>103</v>
      </c>
      <c r="E4" s="4">
        <v>2</v>
      </c>
      <c r="F4" s="5" t="s">
        <v>17</v>
      </c>
      <c r="G4" s="5" t="s">
        <v>747</v>
      </c>
      <c r="H4" s="5" t="s">
        <v>639</v>
      </c>
      <c r="I4" s="6">
        <v>43080</v>
      </c>
      <c r="J4" s="452">
        <v>43114</v>
      </c>
      <c r="K4" s="167" t="s">
        <v>3060</v>
      </c>
      <c r="L4" s="8" t="s">
        <v>1393</v>
      </c>
      <c r="M4" s="359"/>
    </row>
    <row r="5" spans="1:13" ht="20.100000000000001" customHeight="1">
      <c r="A5" s="1128" t="s">
        <v>521</v>
      </c>
      <c r="B5" s="2">
        <v>1050</v>
      </c>
      <c r="C5" s="2">
        <v>2100</v>
      </c>
      <c r="D5" s="221" t="s">
        <v>1309</v>
      </c>
      <c r="E5" s="4">
        <v>2</v>
      </c>
      <c r="F5" s="5" t="s">
        <v>17</v>
      </c>
      <c r="G5" s="5" t="s">
        <v>747</v>
      </c>
      <c r="H5" s="5" t="s">
        <v>639</v>
      </c>
      <c r="I5" s="6">
        <v>43080</v>
      </c>
      <c r="J5" s="6">
        <v>43093</v>
      </c>
      <c r="K5" s="167" t="s">
        <v>3060</v>
      </c>
      <c r="L5" s="8" t="s">
        <v>1393</v>
      </c>
      <c r="M5" s="313" t="s">
        <v>2478</v>
      </c>
    </row>
    <row r="6" spans="1:13" ht="20.100000000000001" customHeight="1">
      <c r="A6" s="1128" t="s">
        <v>521</v>
      </c>
      <c r="B6" s="2">
        <v>1137</v>
      </c>
      <c r="C6" s="2">
        <v>2262</v>
      </c>
      <c r="D6" s="227" t="s">
        <v>1689</v>
      </c>
      <c r="E6" s="4">
        <v>3</v>
      </c>
      <c r="F6" s="5" t="s">
        <v>17</v>
      </c>
      <c r="G6" s="5">
        <v>15</v>
      </c>
      <c r="H6" s="5" t="s">
        <v>643</v>
      </c>
      <c r="I6" s="6">
        <v>43054</v>
      </c>
      <c r="J6" s="452">
        <v>43100</v>
      </c>
      <c r="K6" s="167" t="s">
        <v>3060</v>
      </c>
      <c r="L6" s="8" t="s">
        <v>183</v>
      </c>
      <c r="M6" s="359"/>
    </row>
    <row r="7" spans="1:13" ht="20.100000000000001" customHeight="1">
      <c r="A7" s="1128" t="s">
        <v>521</v>
      </c>
      <c r="B7" s="2"/>
      <c r="C7" s="2"/>
      <c r="D7" s="227" t="s">
        <v>22</v>
      </c>
      <c r="E7" s="4">
        <v>3</v>
      </c>
      <c r="F7" s="5" t="s">
        <v>17</v>
      </c>
      <c r="G7" s="5">
        <v>15</v>
      </c>
      <c r="H7" s="5" t="s">
        <v>643</v>
      </c>
      <c r="I7" s="6">
        <v>43023</v>
      </c>
      <c r="J7" s="6">
        <v>43053</v>
      </c>
      <c r="K7" s="167" t="s">
        <v>3060</v>
      </c>
      <c r="L7" s="8" t="s">
        <v>181</v>
      </c>
      <c r="M7" s="359"/>
    </row>
    <row r="8" spans="1:13" ht="20.100000000000001" customHeight="1">
      <c r="A8" s="1128" t="s">
        <v>521</v>
      </c>
      <c r="B8" s="892">
        <v>932</v>
      </c>
      <c r="C8" s="892">
        <v>1852</v>
      </c>
      <c r="D8" s="221" t="s">
        <v>103</v>
      </c>
      <c r="E8" s="56">
        <v>5</v>
      </c>
      <c r="F8" s="5" t="s">
        <v>17</v>
      </c>
      <c r="G8" s="5" t="s">
        <v>746</v>
      </c>
      <c r="H8" s="5" t="s">
        <v>639</v>
      </c>
      <c r="I8" s="6">
        <v>43080</v>
      </c>
      <c r="J8" s="452">
        <v>43114</v>
      </c>
      <c r="K8" s="167" t="s">
        <v>3060</v>
      </c>
      <c r="L8" s="8" t="s">
        <v>1372</v>
      </c>
      <c r="M8" s="359"/>
    </row>
    <row r="9" spans="1:13" ht="20.100000000000001" customHeight="1">
      <c r="A9" s="1128" t="s">
        <v>521</v>
      </c>
      <c r="B9" s="2">
        <v>1050</v>
      </c>
      <c r="C9" s="2">
        <v>2100</v>
      </c>
      <c r="D9" s="221" t="s">
        <v>1309</v>
      </c>
      <c r="E9" s="56">
        <v>5</v>
      </c>
      <c r="F9" s="5" t="s">
        <v>17</v>
      </c>
      <c r="G9" s="5" t="s">
        <v>746</v>
      </c>
      <c r="H9" s="5" t="s">
        <v>639</v>
      </c>
      <c r="I9" s="6">
        <v>43080</v>
      </c>
      <c r="J9" s="6">
        <v>43093</v>
      </c>
      <c r="K9" s="167" t="s">
        <v>3060</v>
      </c>
      <c r="L9" s="8" t="s">
        <v>1372</v>
      </c>
      <c r="M9" s="313" t="s">
        <v>2478</v>
      </c>
    </row>
    <row r="10" spans="1:13" ht="20.100000000000001" customHeight="1">
      <c r="A10" s="1128" t="s">
        <v>522</v>
      </c>
      <c r="B10" s="2">
        <v>1050</v>
      </c>
      <c r="C10" s="2">
        <v>2100</v>
      </c>
      <c r="D10" s="221" t="s">
        <v>1309</v>
      </c>
      <c r="E10" s="56">
        <v>1</v>
      </c>
      <c r="F10" s="5" t="s">
        <v>17</v>
      </c>
      <c r="G10" s="5">
        <v>13</v>
      </c>
      <c r="H10" s="5" t="s">
        <v>643</v>
      </c>
      <c r="I10" s="6">
        <v>43080</v>
      </c>
      <c r="J10" s="6">
        <v>43093</v>
      </c>
      <c r="K10" s="167" t="s">
        <v>3060</v>
      </c>
      <c r="L10" s="8" t="s">
        <v>182</v>
      </c>
      <c r="M10" s="313" t="s">
        <v>2478</v>
      </c>
    </row>
    <row r="11" spans="1:13" ht="20.100000000000001" customHeight="1">
      <c r="A11" s="1128" t="s">
        <v>522</v>
      </c>
      <c r="B11" s="2">
        <v>1162</v>
      </c>
      <c r="C11" s="2">
        <v>2312</v>
      </c>
      <c r="D11" s="227" t="s">
        <v>1689</v>
      </c>
      <c r="E11" s="4">
        <v>1</v>
      </c>
      <c r="F11" s="5" t="s">
        <v>17</v>
      </c>
      <c r="G11" s="5">
        <v>13</v>
      </c>
      <c r="H11" s="5" t="s">
        <v>643</v>
      </c>
      <c r="I11" s="6">
        <v>43054</v>
      </c>
      <c r="J11" s="452">
        <v>43100</v>
      </c>
      <c r="K11" s="167" t="s">
        <v>3060</v>
      </c>
      <c r="L11" s="8" t="s">
        <v>184</v>
      </c>
      <c r="M11" s="359"/>
    </row>
    <row r="12" spans="1:13" ht="20.100000000000001" customHeight="1">
      <c r="A12" s="1128" t="s">
        <v>522</v>
      </c>
      <c r="B12" s="2">
        <v>945</v>
      </c>
      <c r="C12" s="2">
        <v>1865</v>
      </c>
      <c r="D12" s="221" t="s">
        <v>22</v>
      </c>
      <c r="E12" s="4">
        <v>1</v>
      </c>
      <c r="F12" s="5" t="s">
        <v>17</v>
      </c>
      <c r="G12" s="5">
        <v>13</v>
      </c>
      <c r="H12" s="5" t="s">
        <v>643</v>
      </c>
      <c r="I12" s="6">
        <v>43023</v>
      </c>
      <c r="J12" s="6">
        <v>43053</v>
      </c>
      <c r="K12" s="167" t="s">
        <v>3060</v>
      </c>
      <c r="L12" s="8" t="s">
        <v>172</v>
      </c>
      <c r="M12" s="359"/>
    </row>
    <row r="13" spans="1:13" ht="20.100000000000001" customHeight="1">
      <c r="A13" s="1128" t="s">
        <v>522</v>
      </c>
      <c r="B13" s="892">
        <v>932</v>
      </c>
      <c r="C13" s="892">
        <v>1852</v>
      </c>
      <c r="D13" s="221" t="s">
        <v>103</v>
      </c>
      <c r="E13" s="56">
        <v>2</v>
      </c>
      <c r="F13" s="5" t="s">
        <v>17</v>
      </c>
      <c r="G13" s="5" t="s">
        <v>682</v>
      </c>
      <c r="H13" s="5" t="s">
        <v>639</v>
      </c>
      <c r="I13" s="6">
        <v>43080</v>
      </c>
      <c r="J13" s="452">
        <v>43114</v>
      </c>
      <c r="K13" s="167" t="s">
        <v>3060</v>
      </c>
      <c r="L13" s="8" t="s">
        <v>1393</v>
      </c>
      <c r="M13" s="359"/>
    </row>
    <row r="14" spans="1:13" ht="20.100000000000001" customHeight="1">
      <c r="A14" s="1128" t="s">
        <v>522</v>
      </c>
      <c r="B14" s="2">
        <v>1000</v>
      </c>
      <c r="C14" s="2">
        <v>2000</v>
      </c>
      <c r="D14" s="221" t="s">
        <v>1309</v>
      </c>
      <c r="E14" s="56">
        <v>2</v>
      </c>
      <c r="F14" s="5" t="s">
        <v>17</v>
      </c>
      <c r="G14" s="5" t="s">
        <v>682</v>
      </c>
      <c r="H14" s="5" t="s">
        <v>639</v>
      </c>
      <c r="I14" s="6">
        <v>43080</v>
      </c>
      <c r="J14" s="6">
        <v>43093</v>
      </c>
      <c r="K14" s="167" t="s">
        <v>3060</v>
      </c>
      <c r="L14" s="8" t="s">
        <v>1393</v>
      </c>
      <c r="M14" s="313" t="s">
        <v>2478</v>
      </c>
    </row>
    <row r="15" spans="1:13" ht="20.100000000000001" customHeight="1">
      <c r="A15" s="1128" t="s">
        <v>522</v>
      </c>
      <c r="B15" s="2">
        <v>945</v>
      </c>
      <c r="C15" s="2">
        <v>1865</v>
      </c>
      <c r="D15" s="221" t="s">
        <v>22</v>
      </c>
      <c r="E15" s="4">
        <v>3</v>
      </c>
      <c r="F15" s="5" t="s">
        <v>17</v>
      </c>
      <c r="G15" s="5">
        <v>13</v>
      </c>
      <c r="H15" s="5" t="s">
        <v>643</v>
      </c>
      <c r="I15" s="6">
        <v>43023</v>
      </c>
      <c r="J15" s="6">
        <v>43053</v>
      </c>
      <c r="K15" s="167" t="s">
        <v>3060</v>
      </c>
      <c r="L15" s="8" t="s">
        <v>181</v>
      </c>
      <c r="M15" s="359"/>
    </row>
    <row r="16" spans="1:13" ht="20.100000000000001" customHeight="1">
      <c r="A16" s="1128" t="s">
        <v>522</v>
      </c>
      <c r="B16" s="2">
        <v>1050</v>
      </c>
      <c r="C16" s="2">
        <v>2100</v>
      </c>
      <c r="D16" s="221" t="s">
        <v>1309</v>
      </c>
      <c r="E16" s="56" t="s">
        <v>2462</v>
      </c>
      <c r="F16" s="5" t="s">
        <v>17</v>
      </c>
      <c r="G16" s="5">
        <v>19</v>
      </c>
      <c r="H16" s="5" t="s">
        <v>641</v>
      </c>
      <c r="I16" s="6">
        <v>43080</v>
      </c>
      <c r="J16" s="6">
        <v>43093</v>
      </c>
      <c r="K16" s="167" t="s">
        <v>3060</v>
      </c>
      <c r="L16" s="8" t="s">
        <v>580</v>
      </c>
      <c r="M16" s="313" t="s">
        <v>2478</v>
      </c>
    </row>
    <row r="17" spans="1:13" ht="20.100000000000001" customHeight="1">
      <c r="A17" s="1128" t="s">
        <v>522</v>
      </c>
      <c r="B17" s="892">
        <v>932</v>
      </c>
      <c r="C17" s="892">
        <v>1852</v>
      </c>
      <c r="D17" s="221" t="s">
        <v>103</v>
      </c>
      <c r="E17" s="56" t="s">
        <v>2462</v>
      </c>
      <c r="F17" s="5" t="s">
        <v>17</v>
      </c>
      <c r="G17" s="5">
        <v>19</v>
      </c>
      <c r="H17" s="5" t="s">
        <v>641</v>
      </c>
      <c r="I17" s="6">
        <v>43080</v>
      </c>
      <c r="J17" s="452">
        <v>43114</v>
      </c>
      <c r="K17" s="167" t="s">
        <v>3060</v>
      </c>
      <c r="L17" s="8" t="s">
        <v>175</v>
      </c>
      <c r="M17" s="359"/>
    </row>
    <row r="18" spans="1:13" ht="20.100000000000001" customHeight="1">
      <c r="A18" s="1128" t="s">
        <v>522</v>
      </c>
      <c r="B18" s="892">
        <v>932</v>
      </c>
      <c r="C18" s="892">
        <v>1852</v>
      </c>
      <c r="D18" s="221" t="s">
        <v>103</v>
      </c>
      <c r="E18" s="56">
        <v>5</v>
      </c>
      <c r="F18" s="5" t="s">
        <v>17</v>
      </c>
      <c r="G18" s="5">
        <v>22</v>
      </c>
      <c r="H18" s="5" t="s">
        <v>639</v>
      </c>
      <c r="I18" s="6">
        <v>43080</v>
      </c>
      <c r="J18" s="452">
        <v>43114</v>
      </c>
      <c r="K18" s="167" t="s">
        <v>3060</v>
      </c>
      <c r="L18" s="8" t="s">
        <v>1372</v>
      </c>
      <c r="M18" s="359"/>
    </row>
    <row r="19" spans="1:13" ht="20.100000000000001" customHeight="1">
      <c r="A19" s="1128" t="s">
        <v>522</v>
      </c>
      <c r="B19" s="2">
        <v>1000</v>
      </c>
      <c r="C19" s="2">
        <v>2000</v>
      </c>
      <c r="D19" s="221" t="s">
        <v>1309</v>
      </c>
      <c r="E19" s="56">
        <v>5</v>
      </c>
      <c r="F19" s="5" t="s">
        <v>17</v>
      </c>
      <c r="G19" s="5">
        <v>22</v>
      </c>
      <c r="H19" s="5" t="s">
        <v>639</v>
      </c>
      <c r="I19" s="6">
        <v>43080</v>
      </c>
      <c r="J19" s="6">
        <v>43093</v>
      </c>
      <c r="K19" s="167" t="s">
        <v>3060</v>
      </c>
      <c r="L19" s="8" t="s">
        <v>1372</v>
      </c>
      <c r="M19" s="313" t="s">
        <v>2478</v>
      </c>
    </row>
    <row r="20" spans="1:13" ht="20.100000000000001" customHeight="1">
      <c r="A20" s="1134" t="s">
        <v>1899</v>
      </c>
      <c r="B20" s="892">
        <v>932</v>
      </c>
      <c r="C20" s="892">
        <v>1852</v>
      </c>
      <c r="D20" s="223" t="s">
        <v>103</v>
      </c>
      <c r="E20" s="168" t="s">
        <v>668</v>
      </c>
      <c r="F20" s="152" t="s">
        <v>870</v>
      </c>
      <c r="G20" s="152" t="s">
        <v>723</v>
      </c>
      <c r="H20" s="152" t="s">
        <v>868</v>
      </c>
      <c r="I20" s="6">
        <v>43080</v>
      </c>
      <c r="J20" s="452">
        <v>43114</v>
      </c>
      <c r="K20" s="167" t="s">
        <v>3060</v>
      </c>
      <c r="L20" s="8" t="s">
        <v>1393</v>
      </c>
      <c r="M20" s="359"/>
    </row>
    <row r="21" spans="1:13" ht="20.100000000000001" customHeight="1">
      <c r="A21" s="1134" t="s">
        <v>1899</v>
      </c>
      <c r="B21" s="2">
        <v>1000</v>
      </c>
      <c r="C21" s="2">
        <v>2000</v>
      </c>
      <c r="D21" s="221" t="s">
        <v>1309</v>
      </c>
      <c r="E21" s="168" t="s">
        <v>668</v>
      </c>
      <c r="F21" s="152" t="s">
        <v>870</v>
      </c>
      <c r="G21" s="152" t="s">
        <v>723</v>
      </c>
      <c r="H21" s="152" t="s">
        <v>868</v>
      </c>
      <c r="I21" s="6">
        <v>43080</v>
      </c>
      <c r="J21" s="6">
        <v>43093</v>
      </c>
      <c r="K21" s="167" t="s">
        <v>3060</v>
      </c>
      <c r="L21" s="8" t="s">
        <v>1393</v>
      </c>
      <c r="M21" s="313" t="s">
        <v>2478</v>
      </c>
    </row>
    <row r="22" spans="1:13" ht="20.100000000000001" customHeight="1">
      <c r="A22" s="1134" t="s">
        <v>1899</v>
      </c>
      <c r="B22" s="2">
        <v>1137</v>
      </c>
      <c r="C22" s="2">
        <v>2262</v>
      </c>
      <c r="D22" s="227" t="s">
        <v>1689</v>
      </c>
      <c r="E22" s="151" t="s">
        <v>674</v>
      </c>
      <c r="F22" s="152" t="s">
        <v>870</v>
      </c>
      <c r="G22" s="152" t="s">
        <v>1028</v>
      </c>
      <c r="H22" s="152" t="s">
        <v>860</v>
      </c>
      <c r="I22" s="6">
        <v>43054</v>
      </c>
      <c r="J22" s="452">
        <v>43100</v>
      </c>
      <c r="K22" s="167" t="s">
        <v>3060</v>
      </c>
      <c r="L22" s="8" t="s">
        <v>183</v>
      </c>
      <c r="M22" s="359"/>
    </row>
    <row r="23" spans="1:13" ht="20.100000000000001" customHeight="1">
      <c r="A23" s="1134" t="s">
        <v>1899</v>
      </c>
      <c r="B23" s="2">
        <v>905</v>
      </c>
      <c r="C23" s="2">
        <v>1785</v>
      </c>
      <c r="D23" s="227" t="s">
        <v>22</v>
      </c>
      <c r="E23" s="151" t="s">
        <v>674</v>
      </c>
      <c r="F23" s="152" t="s">
        <v>870</v>
      </c>
      <c r="G23" s="152" t="s">
        <v>1028</v>
      </c>
      <c r="H23" s="152" t="s">
        <v>860</v>
      </c>
      <c r="I23" s="6">
        <v>43023</v>
      </c>
      <c r="J23" s="6">
        <v>43053</v>
      </c>
      <c r="K23" s="167" t="s">
        <v>3060</v>
      </c>
      <c r="L23" s="8" t="s">
        <v>181</v>
      </c>
      <c r="M23" s="359"/>
    </row>
    <row r="24" spans="1:13" ht="20.100000000000001" customHeight="1">
      <c r="A24" s="1134" t="s">
        <v>1899</v>
      </c>
      <c r="B24" s="892">
        <v>932</v>
      </c>
      <c r="C24" s="892">
        <v>1852</v>
      </c>
      <c r="D24" s="221" t="s">
        <v>103</v>
      </c>
      <c r="E24" s="151" t="s">
        <v>676</v>
      </c>
      <c r="F24" s="152" t="s">
        <v>870</v>
      </c>
      <c r="G24" s="152" t="s">
        <v>747</v>
      </c>
      <c r="H24" s="152" t="s">
        <v>868</v>
      </c>
      <c r="I24" s="6">
        <v>43080</v>
      </c>
      <c r="J24" s="452">
        <v>43114</v>
      </c>
      <c r="K24" s="167" t="s">
        <v>3060</v>
      </c>
      <c r="L24" s="8" t="s">
        <v>1372</v>
      </c>
      <c r="M24" s="359"/>
    </row>
    <row r="25" spans="1:13" ht="20.100000000000001" customHeight="1">
      <c r="A25" s="1134" t="s">
        <v>1899</v>
      </c>
      <c r="B25" s="2">
        <v>1000</v>
      </c>
      <c r="C25" s="2">
        <v>2000</v>
      </c>
      <c r="D25" s="221" t="s">
        <v>1308</v>
      </c>
      <c r="E25" s="151" t="s">
        <v>676</v>
      </c>
      <c r="F25" s="152" t="s">
        <v>870</v>
      </c>
      <c r="G25" s="152" t="s">
        <v>747</v>
      </c>
      <c r="H25" s="152" t="s">
        <v>868</v>
      </c>
      <c r="I25" s="6">
        <v>43080</v>
      </c>
      <c r="J25" s="6">
        <v>43093</v>
      </c>
      <c r="K25" s="167" t="s">
        <v>3060</v>
      </c>
      <c r="L25" s="8" t="s">
        <v>1372</v>
      </c>
      <c r="M25" s="313" t="s">
        <v>2478</v>
      </c>
    </row>
    <row r="26" spans="1:13" ht="20.100000000000001" customHeight="1">
      <c r="A26" s="1128" t="s">
        <v>523</v>
      </c>
      <c r="B26" s="2">
        <v>1212</v>
      </c>
      <c r="C26" s="2">
        <v>2462</v>
      </c>
      <c r="D26" s="227" t="s">
        <v>1689</v>
      </c>
      <c r="E26" s="4" t="s">
        <v>646</v>
      </c>
      <c r="F26" s="5" t="s">
        <v>1905</v>
      </c>
      <c r="G26" s="5" t="s">
        <v>1904</v>
      </c>
      <c r="H26" s="5" t="s">
        <v>643</v>
      </c>
      <c r="I26" s="6">
        <v>43054</v>
      </c>
      <c r="J26" s="452">
        <v>43100</v>
      </c>
      <c r="K26" s="167" t="s">
        <v>3060</v>
      </c>
      <c r="L26" s="8" t="s">
        <v>1902</v>
      </c>
      <c r="M26" s="359"/>
    </row>
    <row r="27" spans="1:13" ht="20.100000000000001" customHeight="1">
      <c r="A27" s="1128" t="s">
        <v>523</v>
      </c>
      <c r="B27" s="11"/>
      <c r="C27" s="11"/>
      <c r="D27" s="221" t="s">
        <v>22</v>
      </c>
      <c r="E27" s="4" t="s">
        <v>1981</v>
      </c>
      <c r="F27" s="5" t="s">
        <v>16</v>
      </c>
      <c r="G27" s="5" t="s">
        <v>2280</v>
      </c>
      <c r="H27" s="5" t="s">
        <v>643</v>
      </c>
      <c r="I27" s="6">
        <v>43023</v>
      </c>
      <c r="J27" s="6">
        <v>43053</v>
      </c>
      <c r="K27" s="167" t="s">
        <v>3060</v>
      </c>
      <c r="L27" s="8" t="s">
        <v>2278</v>
      </c>
      <c r="M27" s="359"/>
    </row>
    <row r="28" spans="1:13" ht="20.100000000000001" customHeight="1">
      <c r="A28" s="1128" t="s">
        <v>534</v>
      </c>
      <c r="B28" s="2">
        <v>1212</v>
      </c>
      <c r="C28" s="2">
        <v>2462</v>
      </c>
      <c r="D28" s="227" t="s">
        <v>1689</v>
      </c>
      <c r="E28" s="4" t="s">
        <v>646</v>
      </c>
      <c r="F28" s="5" t="s">
        <v>1905</v>
      </c>
      <c r="G28" s="5" t="s">
        <v>1509</v>
      </c>
      <c r="H28" s="5" t="s">
        <v>643</v>
      </c>
      <c r="I28" s="6">
        <v>43054</v>
      </c>
      <c r="J28" s="452">
        <v>43100</v>
      </c>
      <c r="K28" s="167" t="s">
        <v>3060</v>
      </c>
      <c r="L28" s="8" t="s">
        <v>1902</v>
      </c>
      <c r="M28" s="312"/>
    </row>
    <row r="29" spans="1:13" ht="20.100000000000001" customHeight="1">
      <c r="A29" s="1128" t="s">
        <v>534</v>
      </c>
      <c r="B29" s="11"/>
      <c r="C29" s="11"/>
      <c r="D29" s="221" t="s">
        <v>22</v>
      </c>
      <c r="E29" s="4" t="s">
        <v>1981</v>
      </c>
      <c r="F29" s="5" t="s">
        <v>16</v>
      </c>
      <c r="G29" s="5" t="s">
        <v>1509</v>
      </c>
      <c r="H29" s="5" t="s">
        <v>643</v>
      </c>
      <c r="I29" s="6">
        <v>43023</v>
      </c>
      <c r="J29" s="6">
        <v>43053</v>
      </c>
      <c r="K29" s="167" t="s">
        <v>3060</v>
      </c>
      <c r="L29" s="8" t="s">
        <v>2278</v>
      </c>
      <c r="M29" s="359"/>
    </row>
    <row r="30" spans="1:13" ht="20.100000000000001" customHeight="1">
      <c r="A30" s="1127" t="s">
        <v>237</v>
      </c>
      <c r="B30" s="13">
        <v>712</v>
      </c>
      <c r="C30" s="13">
        <v>1312</v>
      </c>
      <c r="D30" s="227" t="s">
        <v>1689</v>
      </c>
      <c r="E30" s="4">
        <v>1</v>
      </c>
      <c r="F30" s="5" t="s">
        <v>17</v>
      </c>
      <c r="G30" s="19">
        <v>18</v>
      </c>
      <c r="H30" s="5" t="s">
        <v>643</v>
      </c>
      <c r="I30" s="452">
        <v>43070</v>
      </c>
      <c r="J30" s="452">
        <v>43100</v>
      </c>
      <c r="K30" s="167" t="s">
        <v>3060</v>
      </c>
      <c r="L30" s="8" t="s">
        <v>184</v>
      </c>
      <c r="M30" s="359"/>
    </row>
    <row r="31" spans="1:13" ht="20.100000000000001" customHeight="1">
      <c r="A31" s="1127" t="s">
        <v>237</v>
      </c>
      <c r="B31" s="2">
        <v>750</v>
      </c>
      <c r="C31" s="2">
        <v>1400</v>
      </c>
      <c r="D31" s="221" t="s">
        <v>1308</v>
      </c>
      <c r="E31" s="4">
        <v>1</v>
      </c>
      <c r="F31" s="5" t="s">
        <v>17</v>
      </c>
      <c r="G31" s="19">
        <v>18</v>
      </c>
      <c r="H31" s="5" t="s">
        <v>643</v>
      </c>
      <c r="I31" s="6">
        <v>43059</v>
      </c>
      <c r="J31" s="6">
        <v>43093</v>
      </c>
      <c r="K31" s="167" t="s">
        <v>3060</v>
      </c>
      <c r="L31" s="8" t="s">
        <v>182</v>
      </c>
      <c r="M31" s="313" t="s">
        <v>2478</v>
      </c>
    </row>
    <row r="32" spans="1:13" ht="20.100000000000001" customHeight="1">
      <c r="A32" s="1127" t="s">
        <v>237</v>
      </c>
      <c r="B32" s="2">
        <v>715</v>
      </c>
      <c r="C32" s="2">
        <v>1115</v>
      </c>
      <c r="D32" s="221" t="s">
        <v>22</v>
      </c>
      <c r="E32" s="4">
        <v>1</v>
      </c>
      <c r="F32" s="5" t="s">
        <v>17</v>
      </c>
      <c r="G32" s="19">
        <v>18</v>
      </c>
      <c r="H32" s="5" t="s">
        <v>643</v>
      </c>
      <c r="I32" s="452">
        <v>43054</v>
      </c>
      <c r="J32" s="452">
        <v>43100</v>
      </c>
      <c r="K32" s="167" t="s">
        <v>3060</v>
      </c>
      <c r="L32" s="8" t="s">
        <v>172</v>
      </c>
      <c r="M32" s="314"/>
    </row>
    <row r="33" spans="1:13" ht="20.100000000000001" customHeight="1">
      <c r="A33" s="1127" t="s">
        <v>237</v>
      </c>
      <c r="B33" s="2">
        <v>652</v>
      </c>
      <c r="C33" s="2">
        <v>1172</v>
      </c>
      <c r="D33" s="221" t="s">
        <v>103</v>
      </c>
      <c r="E33" s="56" t="s">
        <v>2462</v>
      </c>
      <c r="F33" s="5" t="s">
        <v>17</v>
      </c>
      <c r="G33" s="5">
        <v>23</v>
      </c>
      <c r="H33" s="5" t="s">
        <v>641</v>
      </c>
      <c r="I33" s="6">
        <v>43040</v>
      </c>
      <c r="J33" s="6">
        <v>43100</v>
      </c>
      <c r="K33" s="167" t="s">
        <v>3060</v>
      </c>
      <c r="L33" s="8" t="s">
        <v>175</v>
      </c>
      <c r="M33" s="314"/>
    </row>
    <row r="34" spans="1:13" ht="20.100000000000001" customHeight="1">
      <c r="A34" s="1127" t="s">
        <v>237</v>
      </c>
      <c r="B34" s="2">
        <v>750</v>
      </c>
      <c r="C34" s="2">
        <v>1400</v>
      </c>
      <c r="D34" s="221" t="s">
        <v>1308</v>
      </c>
      <c r="E34" s="56" t="s">
        <v>2462</v>
      </c>
      <c r="F34" s="5" t="s">
        <v>17</v>
      </c>
      <c r="G34" s="5">
        <v>23</v>
      </c>
      <c r="H34" s="5" t="s">
        <v>641</v>
      </c>
      <c r="I34" s="6">
        <v>43056</v>
      </c>
      <c r="J34" s="6">
        <v>43093</v>
      </c>
      <c r="K34" s="167" t="s">
        <v>3060</v>
      </c>
      <c r="L34" s="8" t="s">
        <v>580</v>
      </c>
      <c r="M34" s="313" t="s">
        <v>2478</v>
      </c>
    </row>
    <row r="35" spans="1:13" ht="20.100000000000001" customHeight="1">
      <c r="A35" s="1127" t="s">
        <v>512</v>
      </c>
      <c r="B35" s="13">
        <v>712</v>
      </c>
      <c r="C35" s="13">
        <v>1312</v>
      </c>
      <c r="D35" s="227" t="s">
        <v>1689</v>
      </c>
      <c r="E35" s="4">
        <v>1</v>
      </c>
      <c r="F35" s="5" t="s">
        <v>17</v>
      </c>
      <c r="G35" s="27">
        <v>21</v>
      </c>
      <c r="H35" s="5" t="s">
        <v>643</v>
      </c>
      <c r="I35" s="452">
        <v>43070</v>
      </c>
      <c r="J35" s="452">
        <v>43100</v>
      </c>
      <c r="K35" s="167" t="s">
        <v>3060</v>
      </c>
      <c r="L35" s="8" t="s">
        <v>184</v>
      </c>
      <c r="M35" s="359"/>
    </row>
    <row r="36" spans="1:13" ht="20.100000000000001" customHeight="1">
      <c r="A36" s="1127" t="s">
        <v>512</v>
      </c>
      <c r="B36" s="2">
        <v>750</v>
      </c>
      <c r="C36" s="2">
        <v>1400</v>
      </c>
      <c r="D36" s="221" t="s">
        <v>1308</v>
      </c>
      <c r="E36" s="4">
        <v>1</v>
      </c>
      <c r="F36" s="5" t="s">
        <v>17</v>
      </c>
      <c r="G36" s="27">
        <v>21</v>
      </c>
      <c r="H36" s="5" t="s">
        <v>643</v>
      </c>
      <c r="I36" s="6">
        <v>43059</v>
      </c>
      <c r="J36" s="6">
        <v>43093</v>
      </c>
      <c r="K36" s="167" t="s">
        <v>3060</v>
      </c>
      <c r="L36" s="8" t="s">
        <v>182</v>
      </c>
      <c r="M36" s="313" t="s">
        <v>2478</v>
      </c>
    </row>
    <row r="37" spans="1:13" ht="20.100000000000001" customHeight="1">
      <c r="A37" s="1127" t="s">
        <v>512</v>
      </c>
      <c r="B37" s="2">
        <v>715</v>
      </c>
      <c r="C37" s="2">
        <v>1115</v>
      </c>
      <c r="D37" s="221" t="s">
        <v>22</v>
      </c>
      <c r="E37" s="4">
        <v>1</v>
      </c>
      <c r="F37" s="5" t="s">
        <v>17</v>
      </c>
      <c r="G37" s="27">
        <v>21</v>
      </c>
      <c r="H37" s="5" t="s">
        <v>643</v>
      </c>
      <c r="I37" s="452">
        <v>43054</v>
      </c>
      <c r="J37" s="452">
        <v>43100</v>
      </c>
      <c r="K37" s="167" t="s">
        <v>3060</v>
      </c>
      <c r="L37" s="8" t="s">
        <v>172</v>
      </c>
      <c r="M37" s="314"/>
    </row>
    <row r="38" spans="1:13" ht="20.100000000000001" customHeight="1">
      <c r="A38" s="1127" t="s">
        <v>512</v>
      </c>
      <c r="B38" s="2">
        <v>652</v>
      </c>
      <c r="C38" s="2">
        <v>1172</v>
      </c>
      <c r="D38" s="221" t="s">
        <v>103</v>
      </c>
      <c r="E38" s="56" t="s">
        <v>2462</v>
      </c>
      <c r="F38" s="5" t="s">
        <v>17</v>
      </c>
      <c r="G38" s="5">
        <v>28</v>
      </c>
      <c r="H38" s="5" t="s">
        <v>641</v>
      </c>
      <c r="I38" s="6">
        <v>43040</v>
      </c>
      <c r="J38" s="6">
        <v>43100</v>
      </c>
      <c r="K38" s="167" t="s">
        <v>3060</v>
      </c>
      <c r="L38" s="8" t="s">
        <v>175</v>
      </c>
      <c r="M38" s="314"/>
    </row>
    <row r="39" spans="1:13" ht="20.100000000000001" customHeight="1">
      <c r="A39" s="1127" t="s">
        <v>512</v>
      </c>
      <c r="B39" s="2">
        <v>750</v>
      </c>
      <c r="C39" s="2">
        <v>1400</v>
      </c>
      <c r="D39" s="221" t="s">
        <v>1308</v>
      </c>
      <c r="E39" s="56" t="s">
        <v>2462</v>
      </c>
      <c r="F39" s="5" t="s">
        <v>17</v>
      </c>
      <c r="G39" s="5">
        <v>28</v>
      </c>
      <c r="H39" s="5" t="s">
        <v>641</v>
      </c>
      <c r="I39" s="6">
        <v>43056</v>
      </c>
      <c r="J39" s="6">
        <v>43093</v>
      </c>
      <c r="K39" s="167" t="s">
        <v>3060</v>
      </c>
      <c r="L39" s="8" t="s">
        <v>580</v>
      </c>
      <c r="M39" s="313" t="s">
        <v>2478</v>
      </c>
    </row>
    <row r="40" spans="1:13" ht="20.100000000000001" customHeight="1">
      <c r="A40" s="1127" t="s">
        <v>502</v>
      </c>
      <c r="B40" s="13">
        <v>712</v>
      </c>
      <c r="C40" s="13">
        <v>1312</v>
      </c>
      <c r="D40" s="227" t="s">
        <v>1689</v>
      </c>
      <c r="E40" s="4">
        <v>1</v>
      </c>
      <c r="F40" s="5" t="s">
        <v>17</v>
      </c>
      <c r="G40" s="5">
        <v>23</v>
      </c>
      <c r="H40" s="5" t="s">
        <v>643</v>
      </c>
      <c r="I40" s="452">
        <v>43070</v>
      </c>
      <c r="J40" s="452">
        <v>43100</v>
      </c>
      <c r="K40" s="167" t="s">
        <v>3060</v>
      </c>
      <c r="L40" s="8" t="s">
        <v>184</v>
      </c>
      <c r="M40" s="359"/>
    </row>
    <row r="41" spans="1:13" ht="20.100000000000001" customHeight="1">
      <c r="A41" s="1127" t="s">
        <v>502</v>
      </c>
      <c r="B41" s="2">
        <v>750</v>
      </c>
      <c r="C41" s="2">
        <v>1400</v>
      </c>
      <c r="D41" s="221" t="s">
        <v>1308</v>
      </c>
      <c r="E41" s="4">
        <v>1</v>
      </c>
      <c r="F41" s="5" t="s">
        <v>17</v>
      </c>
      <c r="G41" s="5">
        <v>23</v>
      </c>
      <c r="H41" s="5" t="s">
        <v>643</v>
      </c>
      <c r="I41" s="6">
        <v>43059</v>
      </c>
      <c r="J41" s="6">
        <v>43093</v>
      </c>
      <c r="K41" s="167" t="s">
        <v>3060</v>
      </c>
      <c r="L41" s="8" t="s">
        <v>182</v>
      </c>
      <c r="M41" s="313" t="s">
        <v>2478</v>
      </c>
    </row>
    <row r="42" spans="1:13" ht="20.100000000000001" customHeight="1">
      <c r="A42" s="1127" t="s">
        <v>502</v>
      </c>
      <c r="B42" s="2">
        <v>715</v>
      </c>
      <c r="C42" s="2">
        <v>1115</v>
      </c>
      <c r="D42" s="221" t="s">
        <v>22</v>
      </c>
      <c r="E42" s="4">
        <v>1</v>
      </c>
      <c r="F42" s="5" t="s">
        <v>17</v>
      </c>
      <c r="G42" s="5">
        <v>23</v>
      </c>
      <c r="H42" s="5" t="s">
        <v>643</v>
      </c>
      <c r="I42" s="452">
        <v>43054</v>
      </c>
      <c r="J42" s="452">
        <v>43100</v>
      </c>
      <c r="K42" s="167" t="s">
        <v>3060</v>
      </c>
      <c r="L42" s="8" t="s">
        <v>172</v>
      </c>
      <c r="M42" s="314"/>
    </row>
    <row r="43" spans="1:13" ht="20.100000000000001" customHeight="1">
      <c r="A43" s="1127" t="s">
        <v>502</v>
      </c>
      <c r="B43" s="2">
        <v>652</v>
      </c>
      <c r="C43" s="2">
        <v>1172</v>
      </c>
      <c r="D43" s="221" t="s">
        <v>103</v>
      </c>
      <c r="E43" s="56" t="s">
        <v>2462</v>
      </c>
      <c r="F43" s="5" t="s">
        <v>17</v>
      </c>
      <c r="G43" s="5">
        <v>30</v>
      </c>
      <c r="H43" s="5" t="s">
        <v>641</v>
      </c>
      <c r="I43" s="6">
        <v>43040</v>
      </c>
      <c r="J43" s="6">
        <v>43100</v>
      </c>
      <c r="K43" s="167" t="s">
        <v>3060</v>
      </c>
      <c r="L43" s="8" t="s">
        <v>175</v>
      </c>
      <c r="M43" s="314"/>
    </row>
    <row r="44" spans="1:13" ht="20.100000000000001" customHeight="1">
      <c r="A44" s="1127" t="s">
        <v>502</v>
      </c>
      <c r="B44" s="2">
        <v>750</v>
      </c>
      <c r="C44" s="2">
        <v>1400</v>
      </c>
      <c r="D44" s="221" t="s">
        <v>1308</v>
      </c>
      <c r="E44" s="56" t="s">
        <v>2462</v>
      </c>
      <c r="F44" s="5" t="s">
        <v>17</v>
      </c>
      <c r="G44" s="5">
        <v>30</v>
      </c>
      <c r="H44" s="5" t="s">
        <v>641</v>
      </c>
      <c r="I44" s="6">
        <v>43056</v>
      </c>
      <c r="J44" s="6">
        <v>43093</v>
      </c>
      <c r="K44" s="167" t="s">
        <v>3060</v>
      </c>
      <c r="L44" s="8" t="s">
        <v>580</v>
      </c>
      <c r="M44" s="313" t="s">
        <v>2478</v>
      </c>
    </row>
    <row r="45" spans="1:13" ht="20.100000000000001" customHeight="1">
      <c r="A45" s="1127" t="s">
        <v>503</v>
      </c>
      <c r="B45" s="13">
        <v>712</v>
      </c>
      <c r="C45" s="13">
        <v>1312</v>
      </c>
      <c r="D45" s="227" t="s">
        <v>1689</v>
      </c>
      <c r="E45" s="4">
        <v>1</v>
      </c>
      <c r="F45" s="5" t="s">
        <v>17</v>
      </c>
      <c r="G45" s="5">
        <v>24</v>
      </c>
      <c r="H45" s="5" t="s">
        <v>643</v>
      </c>
      <c r="I45" s="452">
        <v>43070</v>
      </c>
      <c r="J45" s="452">
        <v>43100</v>
      </c>
      <c r="K45" s="167" t="s">
        <v>3060</v>
      </c>
      <c r="L45" s="8" t="s">
        <v>184</v>
      </c>
      <c r="M45" s="359"/>
    </row>
    <row r="46" spans="1:13" ht="20.100000000000001" customHeight="1">
      <c r="A46" s="1127" t="s">
        <v>503</v>
      </c>
      <c r="B46" s="2">
        <v>750</v>
      </c>
      <c r="C46" s="2">
        <v>1400</v>
      </c>
      <c r="D46" s="221" t="s">
        <v>1308</v>
      </c>
      <c r="E46" s="4">
        <v>1</v>
      </c>
      <c r="F46" s="5" t="s">
        <v>17</v>
      </c>
      <c r="G46" s="5">
        <v>24</v>
      </c>
      <c r="H46" s="5" t="s">
        <v>643</v>
      </c>
      <c r="I46" s="6">
        <v>43059</v>
      </c>
      <c r="J46" s="6">
        <v>43093</v>
      </c>
      <c r="K46" s="167" t="s">
        <v>3060</v>
      </c>
      <c r="L46" s="8" t="s">
        <v>182</v>
      </c>
      <c r="M46" s="313" t="s">
        <v>2478</v>
      </c>
    </row>
    <row r="47" spans="1:13" ht="20.100000000000001" customHeight="1">
      <c r="A47" s="1127" t="s">
        <v>503</v>
      </c>
      <c r="B47" s="2">
        <v>715</v>
      </c>
      <c r="C47" s="2">
        <v>1115</v>
      </c>
      <c r="D47" s="221" t="s">
        <v>22</v>
      </c>
      <c r="E47" s="4">
        <v>1</v>
      </c>
      <c r="F47" s="5" t="s">
        <v>17</v>
      </c>
      <c r="G47" s="5">
        <v>24</v>
      </c>
      <c r="H47" s="5" t="s">
        <v>643</v>
      </c>
      <c r="I47" s="452">
        <v>43054</v>
      </c>
      <c r="J47" s="452">
        <v>43100</v>
      </c>
      <c r="K47" s="167" t="s">
        <v>3060</v>
      </c>
      <c r="L47" s="8" t="s">
        <v>172</v>
      </c>
      <c r="M47" s="314"/>
    </row>
    <row r="48" spans="1:13" ht="20.100000000000001" customHeight="1">
      <c r="A48" s="1127" t="s">
        <v>503</v>
      </c>
      <c r="B48" s="2">
        <v>652</v>
      </c>
      <c r="C48" s="2">
        <v>1172</v>
      </c>
      <c r="D48" s="221" t="s">
        <v>103</v>
      </c>
      <c r="E48" s="56" t="s">
        <v>2462</v>
      </c>
      <c r="F48" s="5" t="s">
        <v>17</v>
      </c>
      <c r="G48" s="5">
        <v>31</v>
      </c>
      <c r="H48" s="5" t="s">
        <v>641</v>
      </c>
      <c r="I48" s="6">
        <v>43040</v>
      </c>
      <c r="J48" s="6">
        <v>43100</v>
      </c>
      <c r="K48" s="167" t="s">
        <v>3060</v>
      </c>
      <c r="L48" s="8" t="s">
        <v>175</v>
      </c>
      <c r="M48" s="314"/>
    </row>
    <row r="49" spans="1:13" ht="20.100000000000001" customHeight="1">
      <c r="A49" s="1127" t="s">
        <v>503</v>
      </c>
      <c r="B49" s="2">
        <v>750</v>
      </c>
      <c r="C49" s="2">
        <v>1400</v>
      </c>
      <c r="D49" s="221" t="s">
        <v>1308</v>
      </c>
      <c r="E49" s="56" t="s">
        <v>2462</v>
      </c>
      <c r="F49" s="5" t="s">
        <v>17</v>
      </c>
      <c r="G49" s="5">
        <v>31</v>
      </c>
      <c r="H49" s="5" t="s">
        <v>641</v>
      </c>
      <c r="I49" s="6">
        <v>43056</v>
      </c>
      <c r="J49" s="6">
        <v>43093</v>
      </c>
      <c r="K49" s="167" t="s">
        <v>3060</v>
      </c>
      <c r="L49" s="8" t="s">
        <v>580</v>
      </c>
      <c r="M49" s="313" t="s">
        <v>2478</v>
      </c>
    </row>
    <row r="50" spans="1:13" ht="20.100000000000001" customHeight="1">
      <c r="A50" s="1127" t="s">
        <v>496</v>
      </c>
      <c r="B50" s="2">
        <v>652</v>
      </c>
      <c r="C50" s="2">
        <v>1172</v>
      </c>
      <c r="D50" s="221" t="s">
        <v>103</v>
      </c>
      <c r="E50" s="56" t="s">
        <v>2462</v>
      </c>
      <c r="F50" s="5" t="s">
        <v>17</v>
      </c>
      <c r="G50" s="5">
        <v>27</v>
      </c>
      <c r="H50" s="5" t="s">
        <v>641</v>
      </c>
      <c r="I50" s="6">
        <v>43040</v>
      </c>
      <c r="J50" s="6">
        <v>43100</v>
      </c>
      <c r="K50" s="167" t="s">
        <v>3060</v>
      </c>
      <c r="L50" s="8" t="s">
        <v>175</v>
      </c>
      <c r="M50" s="360"/>
    </row>
    <row r="51" spans="1:13" ht="20.100000000000001" customHeight="1">
      <c r="A51" s="1127" t="s">
        <v>496</v>
      </c>
      <c r="B51" s="2">
        <v>750</v>
      </c>
      <c r="C51" s="2">
        <v>1400</v>
      </c>
      <c r="D51" s="221" t="s">
        <v>1308</v>
      </c>
      <c r="E51" s="56" t="s">
        <v>2462</v>
      </c>
      <c r="F51" s="5" t="s">
        <v>17</v>
      </c>
      <c r="G51" s="5">
        <v>27</v>
      </c>
      <c r="H51" s="5" t="s">
        <v>641</v>
      </c>
      <c r="I51" s="6">
        <v>43056</v>
      </c>
      <c r="J51" s="6">
        <v>43093</v>
      </c>
      <c r="K51" s="167" t="s">
        <v>3060</v>
      </c>
      <c r="L51" s="8" t="s">
        <v>580</v>
      </c>
      <c r="M51" s="313" t="s">
        <v>2478</v>
      </c>
    </row>
  </sheetData>
  <autoFilter ref="A2:M51">
    <filterColumn colId="1" showButton="0"/>
  </autoFilter>
  <mergeCells count="23">
    <mergeCell ref="A50:A51"/>
    <mergeCell ref="A45:A49"/>
    <mergeCell ref="A1:M1"/>
    <mergeCell ref="A2:A3"/>
    <mergeCell ref="A26:A27"/>
    <mergeCell ref="M2:M3"/>
    <mergeCell ref="K2:K3"/>
    <mergeCell ref="B2:C2"/>
    <mergeCell ref="H2:H3"/>
    <mergeCell ref="F2:F3"/>
    <mergeCell ref="E2:E3"/>
    <mergeCell ref="D2:D3"/>
    <mergeCell ref="G2:G3"/>
    <mergeCell ref="A30:A34"/>
    <mergeCell ref="A4:A9"/>
    <mergeCell ref="A20:A25"/>
    <mergeCell ref="A40:A44"/>
    <mergeCell ref="A28:A29"/>
    <mergeCell ref="A35:A39"/>
    <mergeCell ref="L2:L3"/>
    <mergeCell ref="J2:J3"/>
    <mergeCell ref="A10:A19"/>
    <mergeCell ref="I2:I3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indexed="10"/>
  </sheetPr>
  <dimension ref="A1:T534"/>
  <sheetViews>
    <sheetView showGridLines="0" zoomScale="115" zoomScaleNormal="115" workbookViewId="0">
      <pane ySplit="3" topLeftCell="A515" activePane="bottomLeft" state="frozen"/>
      <selection activeCell="A5" sqref="A5:G5"/>
      <selection pane="bottomLeft" activeCell="E10" sqref="E10"/>
    </sheetView>
  </sheetViews>
  <sheetFormatPr defaultColWidth="9" defaultRowHeight="20.100000000000001" customHeight="1"/>
  <cols>
    <col min="1" max="1" width="3" style="307" customWidth="1"/>
    <col min="2" max="2" width="10.5" style="521" customWidth="1"/>
    <col min="3" max="3" width="12.875" style="521" customWidth="1"/>
    <col min="4" max="4" width="7.375" style="817" customWidth="1"/>
    <col min="5" max="5" width="8.125" style="817" customWidth="1"/>
    <col min="6" max="6" width="8.25" style="817" customWidth="1"/>
    <col min="7" max="7" width="9.25" style="41" customWidth="1"/>
    <col min="8" max="8" width="8.875" style="41" customWidth="1"/>
    <col min="9" max="9" width="6.25" style="522" customWidth="1"/>
    <col min="10" max="10" width="4.375" style="522" customWidth="1"/>
    <col min="11" max="11" width="8.125" style="523" customWidth="1"/>
    <col min="12" max="12" width="8" style="450" customWidth="1"/>
    <col min="13" max="14" width="10.625" style="450" customWidth="1"/>
    <col min="15" max="15" width="13" style="522" customWidth="1"/>
    <col min="16" max="16" width="5.875" style="522" customWidth="1"/>
    <col min="17" max="17" width="18.875" style="522" customWidth="1"/>
    <col min="18" max="18" width="10.75" style="524" customWidth="1"/>
    <col min="19" max="19" width="22.5" style="324" customWidth="1"/>
    <col min="20" max="20" width="15.5" style="44" customWidth="1"/>
    <col min="21" max="16384" width="9" style="450"/>
  </cols>
  <sheetData>
    <row r="1" spans="1:20" ht="20.100000000000001" customHeight="1">
      <c r="A1" s="1168"/>
      <c r="B1" s="1168"/>
      <c r="C1" s="1168"/>
      <c r="D1" s="1168"/>
      <c r="E1" s="1168"/>
      <c r="F1" s="1168"/>
      <c r="G1" s="1168"/>
      <c r="H1" s="1168"/>
      <c r="I1" s="1168"/>
      <c r="J1" s="1168"/>
      <c r="K1" s="1168"/>
      <c r="L1" s="1168"/>
      <c r="M1" s="1168"/>
      <c r="N1" s="1168"/>
      <c r="O1" s="1168"/>
      <c r="P1" s="1168"/>
      <c r="Q1" s="1168"/>
      <c r="R1" s="1168"/>
      <c r="S1" s="1168"/>
      <c r="T1" s="1168"/>
    </row>
    <row r="2" spans="1:20" s="41" customFormat="1" ht="20.100000000000001" customHeight="1">
      <c r="A2" s="1129" t="s">
        <v>801</v>
      </c>
      <c r="B2" s="1129" t="s">
        <v>802</v>
      </c>
      <c r="C2" s="1129" t="s">
        <v>1075</v>
      </c>
      <c r="D2" s="1133" t="s">
        <v>4525</v>
      </c>
      <c r="E2" s="1133"/>
      <c r="F2" s="1133"/>
      <c r="G2" s="1129" t="s">
        <v>1076</v>
      </c>
      <c r="H2" s="1129" t="s">
        <v>1077</v>
      </c>
      <c r="I2" s="1129" t="s">
        <v>1078</v>
      </c>
      <c r="J2" s="1129" t="s">
        <v>1079</v>
      </c>
      <c r="K2" s="1129" t="s">
        <v>1080</v>
      </c>
      <c r="L2" s="1129" t="s">
        <v>1081</v>
      </c>
      <c r="M2" s="1132" t="s">
        <v>3037</v>
      </c>
      <c r="N2" s="1129" t="s">
        <v>803</v>
      </c>
      <c r="O2" s="1129" t="s">
        <v>804</v>
      </c>
      <c r="P2" s="1129" t="s">
        <v>805</v>
      </c>
      <c r="Q2" s="1129" t="s">
        <v>806</v>
      </c>
      <c r="R2" s="1129" t="s">
        <v>1029</v>
      </c>
      <c r="S2" s="1129" t="s">
        <v>1175</v>
      </c>
      <c r="T2" s="1129" t="s">
        <v>2833</v>
      </c>
    </row>
    <row r="3" spans="1:20" s="41" customFormat="1" ht="20.100000000000001" customHeight="1">
      <c r="A3" s="1129"/>
      <c r="B3" s="1129"/>
      <c r="C3" s="1129"/>
      <c r="D3" s="879" t="s">
        <v>38</v>
      </c>
      <c r="E3" s="879" t="s">
        <v>39</v>
      </c>
      <c r="F3" s="879" t="s">
        <v>40</v>
      </c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</row>
    <row r="4" spans="1:20" ht="20.100000000000001" customHeight="1">
      <c r="A4" s="1128" t="s">
        <v>1093</v>
      </c>
      <c r="B4" s="1143" t="s">
        <v>566</v>
      </c>
      <c r="C4" s="1143" t="s">
        <v>521</v>
      </c>
      <c r="D4" s="726">
        <v>1125</v>
      </c>
      <c r="E4" s="726">
        <v>2250</v>
      </c>
      <c r="F4" s="726">
        <v>2250</v>
      </c>
      <c r="G4" s="3" t="s">
        <v>28</v>
      </c>
      <c r="H4" s="4">
        <v>1</v>
      </c>
      <c r="I4" s="451" t="s">
        <v>17</v>
      </c>
      <c r="J4" s="451"/>
      <c r="K4" s="451">
        <v>18</v>
      </c>
      <c r="L4" s="451" t="s">
        <v>641</v>
      </c>
      <c r="M4" s="452">
        <v>43080</v>
      </c>
      <c r="N4" s="452">
        <v>43093</v>
      </c>
      <c r="O4" s="453"/>
      <c r="P4" s="454"/>
      <c r="Q4" s="455"/>
      <c r="R4" s="456" t="s">
        <v>300</v>
      </c>
      <c r="S4" s="316" t="s">
        <v>1176</v>
      </c>
      <c r="T4" s="689"/>
    </row>
    <row r="5" spans="1:20" ht="20.100000000000001" customHeight="1">
      <c r="A5" s="1128" t="s">
        <v>1093</v>
      </c>
      <c r="B5" s="1143" t="s">
        <v>566</v>
      </c>
      <c r="C5" s="1143" t="s">
        <v>521</v>
      </c>
      <c r="D5" s="726">
        <v>1175</v>
      </c>
      <c r="E5" s="726">
        <v>2350</v>
      </c>
      <c r="F5" s="726">
        <v>2350</v>
      </c>
      <c r="G5" s="3" t="s">
        <v>6</v>
      </c>
      <c r="H5" s="4">
        <v>1</v>
      </c>
      <c r="I5" s="451" t="s">
        <v>17</v>
      </c>
      <c r="J5" s="451"/>
      <c r="K5" s="451">
        <v>18</v>
      </c>
      <c r="L5" s="451" t="s">
        <v>641</v>
      </c>
      <c r="M5" s="457">
        <v>43087</v>
      </c>
      <c r="N5" s="457">
        <v>43093</v>
      </c>
      <c r="O5" s="453"/>
      <c r="P5" s="454"/>
      <c r="Q5" s="455"/>
      <c r="R5" s="456" t="s">
        <v>1332</v>
      </c>
      <c r="S5" s="316" t="s">
        <v>2827</v>
      </c>
      <c r="T5" s="689"/>
    </row>
    <row r="6" spans="1:20" ht="20.100000000000001" customHeight="1">
      <c r="A6" s="1128" t="s">
        <v>2961</v>
      </c>
      <c r="B6" s="1143" t="s">
        <v>566</v>
      </c>
      <c r="C6" s="1143" t="s">
        <v>521</v>
      </c>
      <c r="D6" s="2">
        <v>1175</v>
      </c>
      <c r="E6" s="2">
        <v>2350</v>
      </c>
      <c r="F6" s="2">
        <v>2350</v>
      </c>
      <c r="G6" s="3" t="s">
        <v>13</v>
      </c>
      <c r="H6" s="4">
        <v>1</v>
      </c>
      <c r="I6" s="451" t="s">
        <v>17</v>
      </c>
      <c r="J6" s="451"/>
      <c r="K6" s="451">
        <v>18</v>
      </c>
      <c r="L6" s="451" t="s">
        <v>641</v>
      </c>
      <c r="M6" s="452">
        <v>43080</v>
      </c>
      <c r="N6" s="452">
        <v>43084</v>
      </c>
      <c r="O6" s="453"/>
      <c r="P6" s="454"/>
      <c r="Q6" s="455"/>
      <c r="R6" s="456" t="s">
        <v>301</v>
      </c>
      <c r="S6" s="687" t="s">
        <v>1176</v>
      </c>
      <c r="T6" s="313">
        <v>14</v>
      </c>
    </row>
    <row r="7" spans="1:20" ht="20.100000000000001" customHeight="1">
      <c r="A7" s="1128" t="s">
        <v>2961</v>
      </c>
      <c r="B7" s="1143" t="s">
        <v>566</v>
      </c>
      <c r="C7" s="1143" t="s">
        <v>521</v>
      </c>
      <c r="D7" s="726">
        <v>1100</v>
      </c>
      <c r="E7" s="726">
        <v>2200</v>
      </c>
      <c r="F7" s="726">
        <v>2200</v>
      </c>
      <c r="G7" s="3" t="s">
        <v>558</v>
      </c>
      <c r="H7" s="4">
        <v>1</v>
      </c>
      <c r="I7" s="451" t="s">
        <v>17</v>
      </c>
      <c r="J7" s="451"/>
      <c r="K7" s="451">
        <v>18</v>
      </c>
      <c r="L7" s="451" t="s">
        <v>641</v>
      </c>
      <c r="M7" s="452">
        <v>43080</v>
      </c>
      <c r="N7" s="452">
        <v>43093</v>
      </c>
      <c r="O7" s="453"/>
      <c r="P7" s="454"/>
      <c r="Q7" s="455"/>
      <c r="R7" s="456" t="s">
        <v>300</v>
      </c>
      <c r="S7" s="687"/>
      <c r="T7" s="313">
        <v>14</v>
      </c>
    </row>
    <row r="8" spans="1:20" ht="20.100000000000001" customHeight="1">
      <c r="A8" s="1128" t="s">
        <v>2961</v>
      </c>
      <c r="B8" s="1143" t="s">
        <v>566</v>
      </c>
      <c r="C8" s="1143" t="s">
        <v>521</v>
      </c>
      <c r="D8" s="2">
        <v>1156</v>
      </c>
      <c r="E8" s="2">
        <v>2306</v>
      </c>
      <c r="F8" s="2">
        <v>2306</v>
      </c>
      <c r="G8" s="3" t="s">
        <v>432</v>
      </c>
      <c r="H8" s="4">
        <v>1</v>
      </c>
      <c r="I8" s="451" t="s">
        <v>17</v>
      </c>
      <c r="J8" s="451"/>
      <c r="K8" s="451">
        <v>18</v>
      </c>
      <c r="L8" s="451" t="s">
        <v>641</v>
      </c>
      <c r="M8" s="457">
        <v>43080</v>
      </c>
      <c r="N8" s="457">
        <v>43087</v>
      </c>
      <c r="O8" s="453"/>
      <c r="P8" s="454"/>
      <c r="Q8" s="455"/>
      <c r="R8" s="456" t="s">
        <v>300</v>
      </c>
      <c r="S8" s="687" t="s">
        <v>1176</v>
      </c>
      <c r="T8" s="688" t="s">
        <v>2840</v>
      </c>
    </row>
    <row r="9" spans="1:20" ht="20.100000000000001" customHeight="1">
      <c r="A9" s="1128" t="s">
        <v>2961</v>
      </c>
      <c r="B9" s="1143" t="s">
        <v>566</v>
      </c>
      <c r="C9" s="1143" t="s">
        <v>521</v>
      </c>
      <c r="D9" s="892">
        <v>1162</v>
      </c>
      <c r="E9" s="892">
        <v>2312</v>
      </c>
      <c r="F9" s="892">
        <v>2312</v>
      </c>
      <c r="G9" s="221" t="s">
        <v>103</v>
      </c>
      <c r="H9" s="4">
        <v>2</v>
      </c>
      <c r="I9" s="451" t="s">
        <v>17</v>
      </c>
      <c r="J9" s="451"/>
      <c r="K9" s="451" t="s">
        <v>1392</v>
      </c>
      <c r="L9" s="451" t="s">
        <v>639</v>
      </c>
      <c r="M9" s="452">
        <v>43080</v>
      </c>
      <c r="N9" s="452">
        <v>43114</v>
      </c>
      <c r="O9" s="454"/>
      <c r="P9" s="454"/>
      <c r="Q9" s="455"/>
      <c r="R9" s="456" t="s">
        <v>1393</v>
      </c>
      <c r="S9" s="687" t="s">
        <v>1176</v>
      </c>
      <c r="T9" s="313" t="s">
        <v>2841</v>
      </c>
    </row>
    <row r="10" spans="1:20" ht="20.100000000000001" customHeight="1">
      <c r="A10" s="1128" t="s">
        <v>2961</v>
      </c>
      <c r="B10" s="1143" t="s">
        <v>566</v>
      </c>
      <c r="C10" s="1143" t="s">
        <v>521</v>
      </c>
      <c r="D10" s="2">
        <v>1150</v>
      </c>
      <c r="E10" s="2">
        <v>2300</v>
      </c>
      <c r="F10" s="2">
        <v>2300</v>
      </c>
      <c r="G10" s="221" t="s">
        <v>51</v>
      </c>
      <c r="H10" s="4">
        <v>2</v>
      </c>
      <c r="I10" s="451" t="s">
        <v>17</v>
      </c>
      <c r="J10" s="451"/>
      <c r="K10" s="451" t="s">
        <v>747</v>
      </c>
      <c r="L10" s="451" t="s">
        <v>639</v>
      </c>
      <c r="M10" s="452">
        <v>43080</v>
      </c>
      <c r="N10" s="452">
        <v>43091</v>
      </c>
      <c r="O10" s="455"/>
      <c r="P10" s="458"/>
      <c r="Q10" s="455"/>
      <c r="R10" s="456" t="s">
        <v>1393</v>
      </c>
      <c r="S10" s="687"/>
      <c r="T10" s="689"/>
    </row>
    <row r="11" spans="1:20" ht="20.100000000000001" customHeight="1">
      <c r="A11" s="1128" t="s">
        <v>2961</v>
      </c>
      <c r="B11" s="1143" t="s">
        <v>566</v>
      </c>
      <c r="C11" s="1143" t="s">
        <v>521</v>
      </c>
      <c r="D11" s="2">
        <v>1100</v>
      </c>
      <c r="E11" s="2">
        <v>2200</v>
      </c>
      <c r="F11" s="2">
        <v>2200</v>
      </c>
      <c r="G11" s="221" t="s">
        <v>2846</v>
      </c>
      <c r="H11" s="4">
        <v>2</v>
      </c>
      <c r="I11" s="451" t="s">
        <v>17</v>
      </c>
      <c r="J11" s="451"/>
      <c r="K11" s="451" t="s">
        <v>747</v>
      </c>
      <c r="L11" s="451" t="s">
        <v>639</v>
      </c>
      <c r="M11" s="452">
        <v>43080</v>
      </c>
      <c r="N11" s="6">
        <v>43093</v>
      </c>
      <c r="O11" s="455"/>
      <c r="P11" s="458"/>
      <c r="Q11" s="167"/>
      <c r="R11" s="456" t="s">
        <v>1393</v>
      </c>
      <c r="S11" s="687"/>
      <c r="T11" s="313">
        <v>14</v>
      </c>
    </row>
    <row r="12" spans="1:20" ht="20.100000000000001" customHeight="1">
      <c r="A12" s="1128" t="s">
        <v>2961</v>
      </c>
      <c r="B12" s="1143" t="s">
        <v>566</v>
      </c>
      <c r="C12" s="1143" t="s">
        <v>521</v>
      </c>
      <c r="D12" s="2">
        <v>1175</v>
      </c>
      <c r="E12" s="2">
        <v>2350</v>
      </c>
      <c r="F12" s="2">
        <v>2350</v>
      </c>
      <c r="G12" s="3" t="s">
        <v>37</v>
      </c>
      <c r="H12" s="56">
        <v>2</v>
      </c>
      <c r="I12" s="451" t="s">
        <v>17</v>
      </c>
      <c r="J12" s="451"/>
      <c r="K12" s="451" t="s">
        <v>747</v>
      </c>
      <c r="L12" s="451" t="s">
        <v>639</v>
      </c>
      <c r="M12" s="452">
        <v>43084</v>
      </c>
      <c r="N12" s="452">
        <v>43100</v>
      </c>
      <c r="O12" s="459"/>
      <c r="P12" s="460"/>
      <c r="Q12" s="455"/>
      <c r="R12" s="456" t="s">
        <v>1393</v>
      </c>
      <c r="S12" s="687" t="s">
        <v>1176</v>
      </c>
      <c r="T12" s="688" t="s">
        <v>2842</v>
      </c>
    </row>
    <row r="13" spans="1:20" ht="20.100000000000001" customHeight="1">
      <c r="A13" s="1128" t="s">
        <v>2961</v>
      </c>
      <c r="B13" s="1143" t="s">
        <v>566</v>
      </c>
      <c r="C13" s="1143" t="s">
        <v>521</v>
      </c>
      <c r="D13" s="726">
        <v>1063</v>
      </c>
      <c r="E13" s="726">
        <v>2113</v>
      </c>
      <c r="F13" s="726">
        <v>2113</v>
      </c>
      <c r="G13" s="221" t="s">
        <v>19</v>
      </c>
      <c r="H13" s="56" t="s">
        <v>659</v>
      </c>
      <c r="I13" s="461" t="s">
        <v>17</v>
      </c>
      <c r="J13" s="461"/>
      <c r="K13" s="461" t="s">
        <v>2792</v>
      </c>
      <c r="L13" s="451" t="s">
        <v>641</v>
      </c>
      <c r="M13" s="452">
        <v>43086</v>
      </c>
      <c r="N13" s="452">
        <v>43100</v>
      </c>
      <c r="O13" s="455"/>
      <c r="P13" s="458"/>
      <c r="Q13" s="455"/>
      <c r="R13" s="456" t="s">
        <v>848</v>
      </c>
      <c r="S13" s="687"/>
      <c r="T13" s="313"/>
    </row>
    <row r="14" spans="1:20" ht="20.100000000000001" customHeight="1">
      <c r="A14" s="1128" t="s">
        <v>2961</v>
      </c>
      <c r="B14" s="1143" t="s">
        <v>566</v>
      </c>
      <c r="C14" s="1143" t="s">
        <v>521</v>
      </c>
      <c r="D14" s="11">
        <v>1125</v>
      </c>
      <c r="E14" s="11">
        <v>2250</v>
      </c>
      <c r="F14" s="11">
        <v>2250</v>
      </c>
      <c r="G14" s="3" t="s">
        <v>30</v>
      </c>
      <c r="H14" s="56" t="s">
        <v>659</v>
      </c>
      <c r="I14" s="461" t="s">
        <v>17</v>
      </c>
      <c r="J14" s="461"/>
      <c r="K14" s="461" t="s">
        <v>2792</v>
      </c>
      <c r="L14" s="451" t="s">
        <v>641</v>
      </c>
      <c r="M14" s="399">
        <v>43077</v>
      </c>
      <c r="N14" s="399">
        <v>43083</v>
      </c>
      <c r="O14" s="458"/>
      <c r="P14" s="458"/>
      <c r="Q14" s="455"/>
      <c r="R14" s="456" t="s">
        <v>177</v>
      </c>
      <c r="S14" s="687"/>
      <c r="T14" s="689"/>
    </row>
    <row r="15" spans="1:20" ht="20.100000000000001" customHeight="1">
      <c r="A15" s="1128" t="s">
        <v>2961</v>
      </c>
      <c r="B15" s="1143" t="s">
        <v>566</v>
      </c>
      <c r="C15" s="1143" t="s">
        <v>521</v>
      </c>
      <c r="D15" s="726">
        <v>1100</v>
      </c>
      <c r="E15" s="726">
        <v>2200</v>
      </c>
      <c r="F15" s="726">
        <v>2200</v>
      </c>
      <c r="G15" s="3" t="s">
        <v>558</v>
      </c>
      <c r="H15" s="56" t="s">
        <v>659</v>
      </c>
      <c r="I15" s="461" t="s">
        <v>17</v>
      </c>
      <c r="J15" s="461"/>
      <c r="K15" s="461" t="s">
        <v>2792</v>
      </c>
      <c r="L15" s="451" t="s">
        <v>641</v>
      </c>
      <c r="M15" s="452">
        <v>43080</v>
      </c>
      <c r="N15" s="452">
        <v>43093</v>
      </c>
      <c r="O15" s="453"/>
      <c r="P15" s="460"/>
      <c r="Q15" s="455"/>
      <c r="R15" s="456" t="s">
        <v>1459</v>
      </c>
      <c r="S15" s="687"/>
      <c r="T15" s="313">
        <v>14</v>
      </c>
    </row>
    <row r="16" spans="1:20" ht="20.100000000000001" customHeight="1">
      <c r="A16" s="1128" t="s">
        <v>2961</v>
      </c>
      <c r="B16" s="1143" t="s">
        <v>566</v>
      </c>
      <c r="C16" s="1143" t="s">
        <v>521</v>
      </c>
      <c r="D16" s="2">
        <v>1156</v>
      </c>
      <c r="E16" s="2">
        <v>2306</v>
      </c>
      <c r="F16" s="2">
        <v>2306</v>
      </c>
      <c r="G16" s="3" t="s">
        <v>432</v>
      </c>
      <c r="H16" s="56" t="s">
        <v>659</v>
      </c>
      <c r="I16" s="461" t="s">
        <v>17</v>
      </c>
      <c r="J16" s="461"/>
      <c r="K16" s="461" t="s">
        <v>2792</v>
      </c>
      <c r="L16" s="451" t="s">
        <v>641</v>
      </c>
      <c r="M16" s="457">
        <v>43080</v>
      </c>
      <c r="N16" s="457">
        <v>43087</v>
      </c>
      <c r="O16" s="453"/>
      <c r="P16" s="460"/>
      <c r="Q16" s="455"/>
      <c r="R16" s="456" t="s">
        <v>1459</v>
      </c>
      <c r="S16" s="687" t="s">
        <v>1176</v>
      </c>
      <c r="T16" s="688" t="s">
        <v>2840</v>
      </c>
    </row>
    <row r="17" spans="1:20" ht="20.100000000000001" customHeight="1">
      <c r="A17" s="1128" t="s">
        <v>2961</v>
      </c>
      <c r="B17" s="1143" t="s">
        <v>566</v>
      </c>
      <c r="C17" s="1143" t="s">
        <v>521</v>
      </c>
      <c r="D17" s="978">
        <v>1125</v>
      </c>
      <c r="E17" s="978">
        <v>2250</v>
      </c>
      <c r="F17" s="978">
        <v>2250</v>
      </c>
      <c r="G17" s="3" t="s">
        <v>28</v>
      </c>
      <c r="H17" s="56" t="s">
        <v>659</v>
      </c>
      <c r="I17" s="461" t="s">
        <v>17</v>
      </c>
      <c r="J17" s="461"/>
      <c r="K17" s="461" t="s">
        <v>2792</v>
      </c>
      <c r="L17" s="451" t="s">
        <v>641</v>
      </c>
      <c r="M17" s="452">
        <v>43080</v>
      </c>
      <c r="N17" s="452">
        <v>43093</v>
      </c>
      <c r="O17" s="453"/>
      <c r="P17" s="460"/>
      <c r="Q17" s="455"/>
      <c r="R17" s="456" t="s">
        <v>1082</v>
      </c>
      <c r="S17" s="316" t="s">
        <v>1176</v>
      </c>
      <c r="T17" s="689"/>
    </row>
    <row r="18" spans="1:20" ht="20.100000000000001" customHeight="1">
      <c r="A18" s="1128" t="s">
        <v>2961</v>
      </c>
      <c r="B18" s="1143" t="s">
        <v>566</v>
      </c>
      <c r="C18" s="1143" t="s">
        <v>521</v>
      </c>
      <c r="D18" s="726">
        <v>1175</v>
      </c>
      <c r="E18" s="726">
        <v>2350</v>
      </c>
      <c r="F18" s="726">
        <v>2350</v>
      </c>
      <c r="G18" s="3" t="s">
        <v>6</v>
      </c>
      <c r="H18" s="56" t="s">
        <v>659</v>
      </c>
      <c r="I18" s="461" t="s">
        <v>17</v>
      </c>
      <c r="J18" s="461"/>
      <c r="K18" s="461" t="s">
        <v>2792</v>
      </c>
      <c r="L18" s="451" t="s">
        <v>641</v>
      </c>
      <c r="M18" s="457">
        <v>43087</v>
      </c>
      <c r="N18" s="457">
        <v>43093</v>
      </c>
      <c r="O18" s="453"/>
      <c r="P18" s="458"/>
      <c r="Q18" s="455"/>
      <c r="R18" s="456" t="s">
        <v>1955</v>
      </c>
      <c r="S18" s="316" t="s">
        <v>2827</v>
      </c>
      <c r="T18" s="689"/>
    </row>
    <row r="19" spans="1:20" ht="20.100000000000001" customHeight="1">
      <c r="A19" s="1128" t="s">
        <v>2961</v>
      </c>
      <c r="B19" s="1143" t="s">
        <v>566</v>
      </c>
      <c r="C19" s="1143" t="s">
        <v>521</v>
      </c>
      <c r="D19" s="2">
        <v>1312</v>
      </c>
      <c r="E19" s="2">
        <v>2612</v>
      </c>
      <c r="F19" s="2">
        <v>2612</v>
      </c>
      <c r="G19" s="227" t="s">
        <v>1689</v>
      </c>
      <c r="H19" s="4">
        <v>3</v>
      </c>
      <c r="I19" s="451" t="s">
        <v>17</v>
      </c>
      <c r="J19" s="451"/>
      <c r="K19" s="451">
        <v>15</v>
      </c>
      <c r="L19" s="451" t="s">
        <v>643</v>
      </c>
      <c r="M19" s="452">
        <v>43054</v>
      </c>
      <c r="N19" s="452">
        <v>43100</v>
      </c>
      <c r="O19" s="462"/>
      <c r="P19" s="463"/>
      <c r="Q19" s="455"/>
      <c r="R19" s="456" t="s">
        <v>183</v>
      </c>
      <c r="S19" s="687" t="s">
        <v>1176</v>
      </c>
      <c r="T19" s="689"/>
    </row>
    <row r="20" spans="1:20" ht="20.100000000000001" customHeight="1">
      <c r="A20" s="1128" t="s">
        <v>2961</v>
      </c>
      <c r="B20" s="1143" t="s">
        <v>566</v>
      </c>
      <c r="C20" s="1143" t="s">
        <v>521</v>
      </c>
      <c r="D20" s="2">
        <v>1325</v>
      </c>
      <c r="E20" s="2">
        <v>2625</v>
      </c>
      <c r="F20" s="2">
        <v>2625</v>
      </c>
      <c r="G20" s="227" t="s">
        <v>22</v>
      </c>
      <c r="H20" s="4">
        <v>3</v>
      </c>
      <c r="I20" s="451" t="s">
        <v>17</v>
      </c>
      <c r="J20" s="451"/>
      <c r="K20" s="451">
        <v>15</v>
      </c>
      <c r="L20" s="451" t="s">
        <v>643</v>
      </c>
      <c r="M20" s="452">
        <v>43073</v>
      </c>
      <c r="N20" s="452">
        <v>43100</v>
      </c>
      <c r="O20" s="459"/>
      <c r="P20" s="459"/>
      <c r="Q20" s="455"/>
      <c r="R20" s="456" t="s">
        <v>1914</v>
      </c>
      <c r="S20" s="316" t="s">
        <v>1176</v>
      </c>
      <c r="T20" s="313" t="s">
        <v>2843</v>
      </c>
    </row>
    <row r="21" spans="1:20" ht="20.100000000000001" customHeight="1">
      <c r="A21" s="1128" t="s">
        <v>2961</v>
      </c>
      <c r="B21" s="1143" t="s">
        <v>566</v>
      </c>
      <c r="C21" s="1143" t="s">
        <v>521</v>
      </c>
      <c r="D21" s="2">
        <v>1225</v>
      </c>
      <c r="E21" s="2">
        <v>2450</v>
      </c>
      <c r="F21" s="2">
        <v>2450</v>
      </c>
      <c r="G21" s="3" t="s">
        <v>250</v>
      </c>
      <c r="H21" s="4">
        <v>3</v>
      </c>
      <c r="I21" s="451" t="s">
        <v>17</v>
      </c>
      <c r="J21" s="451"/>
      <c r="K21" s="451">
        <v>15</v>
      </c>
      <c r="L21" s="451" t="s">
        <v>643</v>
      </c>
      <c r="M21" s="452">
        <v>43080</v>
      </c>
      <c r="N21" s="452">
        <v>43100</v>
      </c>
      <c r="O21" s="463"/>
      <c r="P21" s="463"/>
      <c r="Q21" s="455"/>
      <c r="R21" s="456" t="s">
        <v>170</v>
      </c>
      <c r="S21" s="687" t="s">
        <v>1176</v>
      </c>
      <c r="T21" s="689"/>
    </row>
    <row r="22" spans="1:20" ht="20.100000000000001" customHeight="1">
      <c r="A22" s="1128" t="s">
        <v>2961</v>
      </c>
      <c r="B22" s="1143" t="s">
        <v>566</v>
      </c>
      <c r="C22" s="1143" t="s">
        <v>521</v>
      </c>
      <c r="D22" s="892">
        <v>1162</v>
      </c>
      <c r="E22" s="892">
        <v>2312</v>
      </c>
      <c r="F22" s="892">
        <v>2312</v>
      </c>
      <c r="G22" s="221" t="s">
        <v>103</v>
      </c>
      <c r="H22" s="56">
        <v>5</v>
      </c>
      <c r="I22" s="451" t="s">
        <v>17</v>
      </c>
      <c r="J22" s="451"/>
      <c r="K22" s="451" t="s">
        <v>1371</v>
      </c>
      <c r="L22" s="451" t="s">
        <v>639</v>
      </c>
      <c r="M22" s="452">
        <v>43080</v>
      </c>
      <c r="N22" s="452">
        <v>43114</v>
      </c>
      <c r="O22" s="463"/>
      <c r="P22" s="463"/>
      <c r="Q22" s="167"/>
      <c r="R22" s="456" t="s">
        <v>1372</v>
      </c>
      <c r="S22" s="687" t="s">
        <v>1176</v>
      </c>
      <c r="T22" s="313" t="s">
        <v>2841</v>
      </c>
    </row>
    <row r="23" spans="1:20" ht="20.100000000000001" customHeight="1">
      <c r="A23" s="1128" t="s">
        <v>2961</v>
      </c>
      <c r="B23" s="1143" t="s">
        <v>566</v>
      </c>
      <c r="C23" s="1143" t="s">
        <v>521</v>
      </c>
      <c r="D23" s="2">
        <v>1150</v>
      </c>
      <c r="E23" s="2">
        <v>2300</v>
      </c>
      <c r="F23" s="2">
        <v>2300</v>
      </c>
      <c r="G23" s="221" t="s">
        <v>51</v>
      </c>
      <c r="H23" s="56">
        <v>5</v>
      </c>
      <c r="I23" s="451" t="s">
        <v>17</v>
      </c>
      <c r="J23" s="451"/>
      <c r="K23" s="451" t="s">
        <v>1371</v>
      </c>
      <c r="L23" s="451" t="s">
        <v>639</v>
      </c>
      <c r="M23" s="452">
        <v>43080</v>
      </c>
      <c r="N23" s="452">
        <v>43091</v>
      </c>
      <c r="O23" s="455"/>
      <c r="P23" s="463"/>
      <c r="Q23" s="167"/>
      <c r="R23" s="456" t="s">
        <v>1372</v>
      </c>
      <c r="S23" s="687"/>
      <c r="T23" s="689"/>
    </row>
    <row r="24" spans="1:20" ht="20.100000000000001" customHeight="1">
      <c r="A24" s="1128" t="s">
        <v>2961</v>
      </c>
      <c r="B24" s="1143" t="s">
        <v>566</v>
      </c>
      <c r="C24" s="1143" t="s">
        <v>521</v>
      </c>
      <c r="D24" s="2">
        <v>1100</v>
      </c>
      <c r="E24" s="2">
        <v>2200</v>
      </c>
      <c r="F24" s="2">
        <v>2200</v>
      </c>
      <c r="G24" s="221" t="s">
        <v>2846</v>
      </c>
      <c r="H24" s="56">
        <v>5</v>
      </c>
      <c r="I24" s="451" t="s">
        <v>17</v>
      </c>
      <c r="J24" s="451"/>
      <c r="K24" s="451" t="s">
        <v>1371</v>
      </c>
      <c r="L24" s="451" t="s">
        <v>639</v>
      </c>
      <c r="M24" s="452">
        <v>43080</v>
      </c>
      <c r="N24" s="6">
        <v>43093</v>
      </c>
      <c r="O24" s="455"/>
      <c r="P24" s="463"/>
      <c r="Q24" s="167"/>
      <c r="R24" s="456" t="s">
        <v>1372</v>
      </c>
      <c r="S24" s="687"/>
      <c r="T24" s="313">
        <v>14</v>
      </c>
    </row>
    <row r="25" spans="1:20" ht="20.100000000000001" customHeight="1">
      <c r="A25" s="1128" t="s">
        <v>2961</v>
      </c>
      <c r="B25" s="1143" t="s">
        <v>566</v>
      </c>
      <c r="C25" s="1143" t="s">
        <v>521</v>
      </c>
      <c r="D25" s="2">
        <v>1175</v>
      </c>
      <c r="E25" s="2">
        <v>2350</v>
      </c>
      <c r="F25" s="2">
        <v>2350</v>
      </c>
      <c r="G25" s="3" t="s">
        <v>13</v>
      </c>
      <c r="H25" s="56">
        <v>5</v>
      </c>
      <c r="I25" s="451" t="s">
        <v>17</v>
      </c>
      <c r="J25" s="451"/>
      <c r="K25" s="451" t="s">
        <v>746</v>
      </c>
      <c r="L25" s="451" t="s">
        <v>639</v>
      </c>
      <c r="M25" s="452">
        <v>43080</v>
      </c>
      <c r="N25" s="452">
        <v>43084</v>
      </c>
      <c r="O25" s="453"/>
      <c r="P25" s="463"/>
      <c r="Q25" s="167"/>
      <c r="R25" s="456" t="s">
        <v>1389</v>
      </c>
      <c r="S25" s="687" t="s">
        <v>1176</v>
      </c>
      <c r="T25" s="313">
        <v>14</v>
      </c>
    </row>
    <row r="26" spans="1:20" ht="20.100000000000001" customHeight="1">
      <c r="A26" s="1128" t="s">
        <v>2961</v>
      </c>
      <c r="B26" s="1143" t="s">
        <v>566</v>
      </c>
      <c r="C26" s="1143" t="s">
        <v>521</v>
      </c>
      <c r="D26" s="2">
        <v>1175</v>
      </c>
      <c r="E26" s="2">
        <v>2350</v>
      </c>
      <c r="F26" s="2">
        <v>2350</v>
      </c>
      <c r="G26" s="3" t="s">
        <v>37</v>
      </c>
      <c r="H26" s="56">
        <v>5</v>
      </c>
      <c r="I26" s="451" t="s">
        <v>17</v>
      </c>
      <c r="J26" s="451"/>
      <c r="K26" s="451" t="s">
        <v>1371</v>
      </c>
      <c r="L26" s="451" t="s">
        <v>639</v>
      </c>
      <c r="M26" s="452">
        <v>43084</v>
      </c>
      <c r="N26" s="452">
        <v>43100</v>
      </c>
      <c r="O26" s="459"/>
      <c r="P26" s="462"/>
      <c r="Q26" s="167"/>
      <c r="R26" s="456" t="s">
        <v>1372</v>
      </c>
      <c r="S26" s="687" t="s">
        <v>1176</v>
      </c>
      <c r="T26" s="688" t="s">
        <v>2842</v>
      </c>
    </row>
    <row r="27" spans="1:20" ht="20.100000000000001" customHeight="1">
      <c r="A27" s="1128" t="s">
        <v>2961</v>
      </c>
      <c r="B27" s="1143" t="s">
        <v>566</v>
      </c>
      <c r="C27" s="1143" t="s">
        <v>522</v>
      </c>
      <c r="D27" s="2">
        <v>1200</v>
      </c>
      <c r="E27" s="2">
        <v>2400</v>
      </c>
      <c r="F27" s="2">
        <v>2400</v>
      </c>
      <c r="G27" s="221" t="s">
        <v>51</v>
      </c>
      <c r="H27" s="56">
        <v>1</v>
      </c>
      <c r="I27" s="451" t="s">
        <v>17</v>
      </c>
      <c r="J27" s="451"/>
      <c r="K27" s="451">
        <v>13</v>
      </c>
      <c r="L27" s="451" t="s">
        <v>643</v>
      </c>
      <c r="M27" s="452">
        <v>43080</v>
      </c>
      <c r="N27" s="452">
        <v>43091</v>
      </c>
      <c r="O27" s="455"/>
      <c r="P27" s="463"/>
      <c r="Q27" s="455"/>
      <c r="R27" s="456" t="s">
        <v>182</v>
      </c>
      <c r="S27" s="687"/>
      <c r="T27" s="689"/>
    </row>
    <row r="28" spans="1:20" ht="20.100000000000001" customHeight="1">
      <c r="A28" s="1128" t="s">
        <v>2961</v>
      </c>
      <c r="B28" s="1143" t="s">
        <v>566</v>
      </c>
      <c r="C28" s="1143" t="s">
        <v>522</v>
      </c>
      <c r="D28" s="2">
        <v>1100</v>
      </c>
      <c r="E28" s="2">
        <v>2200</v>
      </c>
      <c r="F28" s="2">
        <v>2200</v>
      </c>
      <c r="G28" s="221" t="s">
        <v>2846</v>
      </c>
      <c r="H28" s="56">
        <v>1</v>
      </c>
      <c r="I28" s="451" t="s">
        <v>17</v>
      </c>
      <c r="J28" s="451"/>
      <c r="K28" s="451">
        <v>13</v>
      </c>
      <c r="L28" s="451" t="s">
        <v>643</v>
      </c>
      <c r="M28" s="452">
        <v>43080</v>
      </c>
      <c r="N28" s="6">
        <v>43093</v>
      </c>
      <c r="O28" s="455"/>
      <c r="P28" s="463"/>
      <c r="Q28" s="167"/>
      <c r="R28" s="456" t="s">
        <v>182</v>
      </c>
      <c r="S28" s="687"/>
      <c r="T28" s="313">
        <v>14</v>
      </c>
    </row>
    <row r="29" spans="1:20" ht="20.100000000000001" customHeight="1">
      <c r="A29" s="1128" t="s">
        <v>2961</v>
      </c>
      <c r="B29" s="1143" t="s">
        <v>566</v>
      </c>
      <c r="C29" s="1143" t="s">
        <v>522</v>
      </c>
      <c r="D29" s="726">
        <v>1063</v>
      </c>
      <c r="E29" s="726">
        <v>2113</v>
      </c>
      <c r="F29" s="726">
        <v>2113</v>
      </c>
      <c r="G29" s="221" t="s">
        <v>1208</v>
      </c>
      <c r="H29" s="56">
        <v>1</v>
      </c>
      <c r="I29" s="461" t="s">
        <v>17</v>
      </c>
      <c r="J29" s="461"/>
      <c r="K29" s="461">
        <v>13</v>
      </c>
      <c r="L29" s="451" t="s">
        <v>643</v>
      </c>
      <c r="M29" s="452">
        <v>43086</v>
      </c>
      <c r="N29" s="452">
        <v>43100</v>
      </c>
      <c r="O29" s="464"/>
      <c r="P29" s="463"/>
      <c r="Q29" s="455"/>
      <c r="R29" s="456" t="s">
        <v>1367</v>
      </c>
      <c r="S29" s="687"/>
      <c r="T29" s="689"/>
    </row>
    <row r="30" spans="1:20" ht="20.100000000000001" customHeight="1">
      <c r="A30" s="1128" t="s">
        <v>2961</v>
      </c>
      <c r="B30" s="1143" t="s">
        <v>566</v>
      </c>
      <c r="C30" s="1143" t="s">
        <v>522</v>
      </c>
      <c r="D30" s="2">
        <v>1337</v>
      </c>
      <c r="E30" s="2">
        <v>2662</v>
      </c>
      <c r="F30" s="2">
        <v>2662</v>
      </c>
      <c r="G30" s="227" t="s">
        <v>1689</v>
      </c>
      <c r="H30" s="4">
        <v>1</v>
      </c>
      <c r="I30" s="451" t="s">
        <v>17</v>
      </c>
      <c r="J30" s="451"/>
      <c r="K30" s="451">
        <v>13</v>
      </c>
      <c r="L30" s="451" t="s">
        <v>643</v>
      </c>
      <c r="M30" s="452">
        <v>43054</v>
      </c>
      <c r="N30" s="452">
        <v>43100</v>
      </c>
      <c r="O30" s="462"/>
      <c r="P30" s="463"/>
      <c r="Q30" s="455"/>
      <c r="R30" s="456" t="s">
        <v>184</v>
      </c>
      <c r="S30" s="687" t="s">
        <v>1176</v>
      </c>
      <c r="T30" s="689"/>
    </row>
    <row r="31" spans="1:20" ht="20.100000000000001" customHeight="1">
      <c r="A31" s="1128" t="s">
        <v>2961</v>
      </c>
      <c r="B31" s="1143" t="s">
        <v>566</v>
      </c>
      <c r="C31" s="1143" t="s">
        <v>522</v>
      </c>
      <c r="D31" s="2">
        <v>1375</v>
      </c>
      <c r="E31" s="2">
        <v>2725</v>
      </c>
      <c r="F31" s="2">
        <v>2725</v>
      </c>
      <c r="G31" s="221" t="s">
        <v>22</v>
      </c>
      <c r="H31" s="4">
        <v>1</v>
      </c>
      <c r="I31" s="451" t="s">
        <v>17</v>
      </c>
      <c r="J31" s="451"/>
      <c r="K31" s="451">
        <v>13</v>
      </c>
      <c r="L31" s="451" t="s">
        <v>643</v>
      </c>
      <c r="M31" s="452">
        <v>43073</v>
      </c>
      <c r="N31" s="452">
        <v>43100</v>
      </c>
      <c r="O31" s="459"/>
      <c r="P31" s="459"/>
      <c r="Q31" s="455"/>
      <c r="R31" s="456" t="s">
        <v>172</v>
      </c>
      <c r="S31" s="316" t="s">
        <v>1176</v>
      </c>
      <c r="T31" s="313" t="s">
        <v>2843</v>
      </c>
    </row>
    <row r="32" spans="1:20" ht="20.100000000000001" customHeight="1">
      <c r="A32" s="1128" t="s">
        <v>2961</v>
      </c>
      <c r="B32" s="1143" t="s">
        <v>566</v>
      </c>
      <c r="C32" s="1143" t="s">
        <v>522</v>
      </c>
      <c r="D32" s="726">
        <v>1125</v>
      </c>
      <c r="E32" s="726">
        <v>2250</v>
      </c>
      <c r="F32" s="726">
        <v>2250</v>
      </c>
      <c r="G32" s="3" t="s">
        <v>28</v>
      </c>
      <c r="H32" s="4">
        <v>1</v>
      </c>
      <c r="I32" s="451" t="s">
        <v>17</v>
      </c>
      <c r="J32" s="451"/>
      <c r="K32" s="451">
        <v>25</v>
      </c>
      <c r="L32" s="451" t="s">
        <v>641</v>
      </c>
      <c r="M32" s="452">
        <v>43080</v>
      </c>
      <c r="N32" s="452">
        <v>43093</v>
      </c>
      <c r="O32" s="453"/>
      <c r="P32" s="454"/>
      <c r="Q32" s="455"/>
      <c r="R32" s="456" t="s">
        <v>300</v>
      </c>
      <c r="S32" s="316" t="s">
        <v>1176</v>
      </c>
      <c r="T32" s="689"/>
    </row>
    <row r="33" spans="1:20" ht="20.100000000000001" customHeight="1">
      <c r="A33" s="1128" t="s">
        <v>2961</v>
      </c>
      <c r="B33" s="1143" t="s">
        <v>566</v>
      </c>
      <c r="C33" s="1143" t="s">
        <v>522</v>
      </c>
      <c r="D33" s="726">
        <v>1175</v>
      </c>
      <c r="E33" s="726">
        <v>2350</v>
      </c>
      <c r="F33" s="726">
        <v>2350</v>
      </c>
      <c r="G33" s="3" t="s">
        <v>6</v>
      </c>
      <c r="H33" s="56">
        <v>1</v>
      </c>
      <c r="I33" s="461" t="s">
        <v>17</v>
      </c>
      <c r="J33" s="461"/>
      <c r="K33" s="461">
        <v>25</v>
      </c>
      <c r="L33" s="451" t="s">
        <v>641</v>
      </c>
      <c r="M33" s="457">
        <v>43087</v>
      </c>
      <c r="N33" s="457">
        <v>43093</v>
      </c>
      <c r="O33" s="453"/>
      <c r="P33" s="454"/>
      <c r="Q33" s="455"/>
      <c r="R33" s="456" t="s">
        <v>1332</v>
      </c>
      <c r="S33" s="316" t="s">
        <v>2827</v>
      </c>
      <c r="T33" s="689"/>
    </row>
    <row r="34" spans="1:20" ht="20.100000000000001" customHeight="1">
      <c r="A34" s="1128" t="s">
        <v>2961</v>
      </c>
      <c r="B34" s="1143" t="s">
        <v>566</v>
      </c>
      <c r="C34" s="1143" t="s">
        <v>522</v>
      </c>
      <c r="D34" s="2">
        <v>1175</v>
      </c>
      <c r="E34" s="2">
        <v>2350</v>
      </c>
      <c r="F34" s="2">
        <v>2350</v>
      </c>
      <c r="G34" s="3" t="s">
        <v>13</v>
      </c>
      <c r="H34" s="4">
        <v>1</v>
      </c>
      <c r="I34" s="451" t="s">
        <v>17</v>
      </c>
      <c r="J34" s="451"/>
      <c r="K34" s="451">
        <v>25</v>
      </c>
      <c r="L34" s="451" t="s">
        <v>641</v>
      </c>
      <c r="M34" s="452">
        <v>43080</v>
      </c>
      <c r="N34" s="452">
        <v>43084</v>
      </c>
      <c r="O34" s="453"/>
      <c r="P34" s="454"/>
      <c r="Q34" s="455"/>
      <c r="R34" s="456" t="s">
        <v>301</v>
      </c>
      <c r="S34" s="687" t="s">
        <v>1176</v>
      </c>
      <c r="T34" s="313">
        <v>14</v>
      </c>
    </row>
    <row r="35" spans="1:20" ht="20.100000000000001" customHeight="1">
      <c r="A35" s="1128" t="s">
        <v>2961</v>
      </c>
      <c r="B35" s="1143" t="s">
        <v>566</v>
      </c>
      <c r="C35" s="1143" t="s">
        <v>522</v>
      </c>
      <c r="D35" s="726">
        <v>1100</v>
      </c>
      <c r="E35" s="726">
        <v>2200</v>
      </c>
      <c r="F35" s="726">
        <v>2200</v>
      </c>
      <c r="G35" s="3" t="s">
        <v>558</v>
      </c>
      <c r="H35" s="56">
        <v>1</v>
      </c>
      <c r="I35" s="461" t="s">
        <v>17</v>
      </c>
      <c r="J35" s="461"/>
      <c r="K35" s="461">
        <v>25</v>
      </c>
      <c r="L35" s="451" t="s">
        <v>641</v>
      </c>
      <c r="M35" s="452">
        <v>43080</v>
      </c>
      <c r="N35" s="452">
        <v>43093</v>
      </c>
      <c r="O35" s="453"/>
      <c r="P35" s="454"/>
      <c r="Q35" s="455"/>
      <c r="R35" s="456" t="s">
        <v>300</v>
      </c>
      <c r="S35" s="687"/>
      <c r="T35" s="313">
        <v>14</v>
      </c>
    </row>
    <row r="36" spans="1:20" ht="20.100000000000001" customHeight="1">
      <c r="A36" s="1128" t="s">
        <v>2961</v>
      </c>
      <c r="B36" s="1143" t="s">
        <v>566</v>
      </c>
      <c r="C36" s="1143" t="s">
        <v>522</v>
      </c>
      <c r="D36" s="2">
        <v>1156</v>
      </c>
      <c r="E36" s="2">
        <v>2306</v>
      </c>
      <c r="F36" s="2">
        <v>2306</v>
      </c>
      <c r="G36" s="3" t="s">
        <v>432</v>
      </c>
      <c r="H36" s="4">
        <v>1</v>
      </c>
      <c r="I36" s="451" t="s">
        <v>17</v>
      </c>
      <c r="J36" s="451"/>
      <c r="K36" s="451">
        <v>25</v>
      </c>
      <c r="L36" s="451" t="s">
        <v>641</v>
      </c>
      <c r="M36" s="457">
        <v>43080</v>
      </c>
      <c r="N36" s="457">
        <v>43087</v>
      </c>
      <c r="O36" s="453"/>
      <c r="P36" s="454"/>
      <c r="Q36" s="455"/>
      <c r="R36" s="456" t="s">
        <v>300</v>
      </c>
      <c r="S36" s="687" t="s">
        <v>1176</v>
      </c>
      <c r="T36" s="688" t="s">
        <v>2840</v>
      </c>
    </row>
    <row r="37" spans="1:20" ht="20.100000000000001" customHeight="1">
      <c r="A37" s="1128" t="s">
        <v>2961</v>
      </c>
      <c r="B37" s="1143" t="s">
        <v>566</v>
      </c>
      <c r="C37" s="1143" t="s">
        <v>522</v>
      </c>
      <c r="D37" s="892">
        <v>1162</v>
      </c>
      <c r="E37" s="892">
        <v>2312</v>
      </c>
      <c r="F37" s="892">
        <v>2312</v>
      </c>
      <c r="G37" s="221" t="s">
        <v>103</v>
      </c>
      <c r="H37" s="56">
        <v>2</v>
      </c>
      <c r="I37" s="451" t="s">
        <v>17</v>
      </c>
      <c r="J37" s="451"/>
      <c r="K37" s="451" t="s">
        <v>1394</v>
      </c>
      <c r="L37" s="451" t="s">
        <v>639</v>
      </c>
      <c r="M37" s="452">
        <v>43080</v>
      </c>
      <c r="N37" s="452">
        <v>43114</v>
      </c>
      <c r="O37" s="454"/>
      <c r="P37" s="454"/>
      <c r="Q37" s="455"/>
      <c r="R37" s="456" t="s">
        <v>1393</v>
      </c>
      <c r="S37" s="687" t="s">
        <v>1176</v>
      </c>
      <c r="T37" s="313" t="s">
        <v>2841</v>
      </c>
    </row>
    <row r="38" spans="1:20" ht="20.100000000000001" customHeight="1">
      <c r="A38" s="1128" t="s">
        <v>2961</v>
      </c>
      <c r="B38" s="1143" t="s">
        <v>566</v>
      </c>
      <c r="C38" s="1143" t="s">
        <v>522</v>
      </c>
      <c r="D38" s="2">
        <v>1150</v>
      </c>
      <c r="E38" s="2">
        <v>2300</v>
      </c>
      <c r="F38" s="2">
        <v>2300</v>
      </c>
      <c r="G38" s="221" t="s">
        <v>51</v>
      </c>
      <c r="H38" s="56">
        <v>2</v>
      </c>
      <c r="I38" s="451" t="s">
        <v>17</v>
      </c>
      <c r="J38" s="451"/>
      <c r="K38" s="451" t="s">
        <v>682</v>
      </c>
      <c r="L38" s="451" t="s">
        <v>639</v>
      </c>
      <c r="M38" s="452">
        <v>43080</v>
      </c>
      <c r="N38" s="452">
        <v>43091</v>
      </c>
      <c r="O38" s="455"/>
      <c r="P38" s="458"/>
      <c r="Q38" s="455"/>
      <c r="R38" s="456" t="s">
        <v>1393</v>
      </c>
      <c r="S38" s="687"/>
      <c r="T38" s="680"/>
    </row>
    <row r="39" spans="1:20" ht="20.100000000000001" customHeight="1">
      <c r="A39" s="1128" t="s">
        <v>2961</v>
      </c>
      <c r="B39" s="1143" t="s">
        <v>566</v>
      </c>
      <c r="C39" s="1143" t="s">
        <v>522</v>
      </c>
      <c r="D39" s="2">
        <v>1100</v>
      </c>
      <c r="E39" s="2">
        <v>2200</v>
      </c>
      <c r="F39" s="2">
        <v>2200</v>
      </c>
      <c r="G39" s="221" t="s">
        <v>2846</v>
      </c>
      <c r="H39" s="56">
        <v>2</v>
      </c>
      <c r="I39" s="451" t="s">
        <v>17</v>
      </c>
      <c r="J39" s="451"/>
      <c r="K39" s="451" t="s">
        <v>682</v>
      </c>
      <c r="L39" s="451" t="s">
        <v>639</v>
      </c>
      <c r="M39" s="452">
        <v>43080</v>
      </c>
      <c r="N39" s="6">
        <v>43093</v>
      </c>
      <c r="O39" s="455"/>
      <c r="P39" s="458"/>
      <c r="Q39" s="167"/>
      <c r="R39" s="456" t="s">
        <v>1393</v>
      </c>
      <c r="S39" s="687"/>
      <c r="T39" s="313">
        <v>14</v>
      </c>
    </row>
    <row r="40" spans="1:20" ht="20.100000000000001" customHeight="1">
      <c r="A40" s="1128" t="s">
        <v>2961</v>
      </c>
      <c r="B40" s="1143" t="s">
        <v>566</v>
      </c>
      <c r="C40" s="1143" t="s">
        <v>522</v>
      </c>
      <c r="D40" s="2">
        <v>1175</v>
      </c>
      <c r="E40" s="2">
        <v>2350</v>
      </c>
      <c r="F40" s="2">
        <v>2350</v>
      </c>
      <c r="G40" s="3" t="s">
        <v>37</v>
      </c>
      <c r="H40" s="56">
        <v>2</v>
      </c>
      <c r="I40" s="451" t="s">
        <v>17</v>
      </c>
      <c r="J40" s="451"/>
      <c r="K40" s="451" t="s">
        <v>682</v>
      </c>
      <c r="L40" s="451" t="s">
        <v>639</v>
      </c>
      <c r="M40" s="452">
        <v>43084</v>
      </c>
      <c r="N40" s="452">
        <v>43100</v>
      </c>
      <c r="O40" s="459"/>
      <c r="P40" s="460"/>
      <c r="Q40" s="455"/>
      <c r="R40" s="456" t="s">
        <v>1393</v>
      </c>
      <c r="S40" s="687" t="s">
        <v>1176</v>
      </c>
      <c r="T40" s="688" t="s">
        <v>2842</v>
      </c>
    </row>
    <row r="41" spans="1:20" ht="20.100000000000001" customHeight="1">
      <c r="A41" s="1128" t="s">
        <v>2961</v>
      </c>
      <c r="B41" s="1143" t="s">
        <v>566</v>
      </c>
      <c r="C41" s="1143" t="s">
        <v>522</v>
      </c>
      <c r="D41" s="726">
        <v>1175</v>
      </c>
      <c r="E41" s="726">
        <v>2350</v>
      </c>
      <c r="F41" s="726">
        <v>2350</v>
      </c>
      <c r="G41" s="3" t="s">
        <v>6</v>
      </c>
      <c r="H41" s="56" t="s">
        <v>659</v>
      </c>
      <c r="I41" s="461" t="s">
        <v>17</v>
      </c>
      <c r="J41" s="461"/>
      <c r="K41" s="461" t="s">
        <v>2793</v>
      </c>
      <c r="L41" s="451" t="s">
        <v>641</v>
      </c>
      <c r="M41" s="457">
        <v>43087</v>
      </c>
      <c r="N41" s="457">
        <v>43093</v>
      </c>
      <c r="O41" s="453"/>
      <c r="P41" s="460"/>
      <c r="Q41" s="455"/>
      <c r="R41" s="456" t="s">
        <v>1955</v>
      </c>
      <c r="S41" s="316" t="s">
        <v>2827</v>
      </c>
      <c r="T41" s="688"/>
    </row>
    <row r="42" spans="1:20" ht="20.100000000000001" customHeight="1">
      <c r="A42" s="1128" t="s">
        <v>2961</v>
      </c>
      <c r="B42" s="1143" t="s">
        <v>566</v>
      </c>
      <c r="C42" s="1143" t="s">
        <v>522</v>
      </c>
      <c r="D42" s="726">
        <v>1063</v>
      </c>
      <c r="E42" s="726">
        <v>2113</v>
      </c>
      <c r="F42" s="726">
        <v>2113</v>
      </c>
      <c r="G42" s="221" t="s">
        <v>19</v>
      </c>
      <c r="H42" s="56" t="s">
        <v>659</v>
      </c>
      <c r="I42" s="461" t="s">
        <v>17</v>
      </c>
      <c r="J42" s="461"/>
      <c r="K42" s="461" t="s">
        <v>2793</v>
      </c>
      <c r="L42" s="451" t="s">
        <v>641</v>
      </c>
      <c r="M42" s="452">
        <v>43086</v>
      </c>
      <c r="N42" s="452">
        <v>43100</v>
      </c>
      <c r="O42" s="455"/>
      <c r="P42" s="458"/>
      <c r="Q42" s="455"/>
      <c r="R42" s="456" t="s">
        <v>848</v>
      </c>
      <c r="S42" s="687"/>
      <c r="T42" s="313"/>
    </row>
    <row r="43" spans="1:20" ht="20.100000000000001" customHeight="1">
      <c r="A43" s="1128" t="s">
        <v>2961</v>
      </c>
      <c r="B43" s="1143" t="s">
        <v>566</v>
      </c>
      <c r="C43" s="1143" t="s">
        <v>522</v>
      </c>
      <c r="D43" s="11">
        <v>1125</v>
      </c>
      <c r="E43" s="11">
        <v>2250</v>
      </c>
      <c r="F43" s="11">
        <v>2250</v>
      </c>
      <c r="G43" s="3" t="s">
        <v>30</v>
      </c>
      <c r="H43" s="56" t="s">
        <v>659</v>
      </c>
      <c r="I43" s="461" t="s">
        <v>17</v>
      </c>
      <c r="J43" s="461"/>
      <c r="K43" s="461" t="s">
        <v>2793</v>
      </c>
      <c r="L43" s="451" t="s">
        <v>641</v>
      </c>
      <c r="M43" s="399">
        <v>43077</v>
      </c>
      <c r="N43" s="399">
        <v>43083</v>
      </c>
      <c r="O43" s="458"/>
      <c r="P43" s="458"/>
      <c r="Q43" s="455"/>
      <c r="R43" s="456" t="s">
        <v>177</v>
      </c>
      <c r="S43" s="687"/>
      <c r="T43" s="689"/>
    </row>
    <row r="44" spans="1:20" ht="20.100000000000001" customHeight="1">
      <c r="A44" s="1128" t="s">
        <v>2961</v>
      </c>
      <c r="B44" s="1143" t="s">
        <v>566</v>
      </c>
      <c r="C44" s="1143" t="s">
        <v>522</v>
      </c>
      <c r="D44" s="726">
        <v>1100</v>
      </c>
      <c r="E44" s="726">
        <v>2200</v>
      </c>
      <c r="F44" s="726">
        <v>2200</v>
      </c>
      <c r="G44" s="3" t="s">
        <v>558</v>
      </c>
      <c r="H44" s="56" t="s">
        <v>659</v>
      </c>
      <c r="I44" s="461" t="s">
        <v>17</v>
      </c>
      <c r="J44" s="461"/>
      <c r="K44" s="461" t="s">
        <v>2793</v>
      </c>
      <c r="L44" s="451" t="s">
        <v>641</v>
      </c>
      <c r="M44" s="452">
        <v>43080</v>
      </c>
      <c r="N44" s="452">
        <v>43093</v>
      </c>
      <c r="O44" s="453"/>
      <c r="P44" s="460"/>
      <c r="Q44" s="455"/>
      <c r="R44" s="456" t="s">
        <v>1459</v>
      </c>
      <c r="S44" s="687"/>
      <c r="T44" s="313">
        <v>14</v>
      </c>
    </row>
    <row r="45" spans="1:20" ht="20.100000000000001" customHeight="1">
      <c r="A45" s="1128" t="s">
        <v>2961</v>
      </c>
      <c r="B45" s="1143" t="s">
        <v>566</v>
      </c>
      <c r="C45" s="1143" t="s">
        <v>522</v>
      </c>
      <c r="D45" s="2">
        <v>1156</v>
      </c>
      <c r="E45" s="2">
        <v>2306</v>
      </c>
      <c r="F45" s="2">
        <v>2306</v>
      </c>
      <c r="G45" s="3" t="s">
        <v>432</v>
      </c>
      <c r="H45" s="56" t="s">
        <v>659</v>
      </c>
      <c r="I45" s="461" t="s">
        <v>17</v>
      </c>
      <c r="J45" s="461"/>
      <c r="K45" s="461" t="s">
        <v>2793</v>
      </c>
      <c r="L45" s="451" t="s">
        <v>641</v>
      </c>
      <c r="M45" s="457">
        <v>43080</v>
      </c>
      <c r="N45" s="457">
        <v>43087</v>
      </c>
      <c r="O45" s="453"/>
      <c r="P45" s="460"/>
      <c r="Q45" s="455"/>
      <c r="R45" s="456" t="s">
        <v>1459</v>
      </c>
      <c r="S45" s="687" t="s">
        <v>1176</v>
      </c>
      <c r="T45" s="688" t="s">
        <v>2840</v>
      </c>
    </row>
    <row r="46" spans="1:20" ht="20.100000000000001" customHeight="1">
      <c r="A46" s="1128" t="s">
        <v>2961</v>
      </c>
      <c r="B46" s="1143" t="s">
        <v>566</v>
      </c>
      <c r="C46" s="1143" t="s">
        <v>522</v>
      </c>
      <c r="D46" s="978">
        <v>1125</v>
      </c>
      <c r="E46" s="978">
        <v>2250</v>
      </c>
      <c r="F46" s="978">
        <v>2250</v>
      </c>
      <c r="G46" s="3" t="s">
        <v>28</v>
      </c>
      <c r="H46" s="56" t="s">
        <v>659</v>
      </c>
      <c r="I46" s="461" t="s">
        <v>17</v>
      </c>
      <c r="J46" s="461"/>
      <c r="K46" s="461" t="s">
        <v>2793</v>
      </c>
      <c r="L46" s="451" t="s">
        <v>641</v>
      </c>
      <c r="M46" s="452">
        <v>43080</v>
      </c>
      <c r="N46" s="452">
        <v>43093</v>
      </c>
      <c r="O46" s="453"/>
      <c r="P46" s="460"/>
      <c r="Q46" s="455"/>
      <c r="R46" s="456" t="s">
        <v>1082</v>
      </c>
      <c r="S46" s="316" t="s">
        <v>1176</v>
      </c>
      <c r="T46" s="689"/>
    </row>
    <row r="47" spans="1:20" ht="20.100000000000001" customHeight="1">
      <c r="A47" s="1128" t="s">
        <v>2961</v>
      </c>
      <c r="B47" s="1143" t="s">
        <v>566</v>
      </c>
      <c r="C47" s="1143" t="s">
        <v>522</v>
      </c>
      <c r="D47" s="2">
        <v>1375</v>
      </c>
      <c r="E47" s="2">
        <v>2725</v>
      </c>
      <c r="F47" s="2">
        <v>2725</v>
      </c>
      <c r="G47" s="221" t="s">
        <v>22</v>
      </c>
      <c r="H47" s="4">
        <v>3</v>
      </c>
      <c r="I47" s="451" t="s">
        <v>17</v>
      </c>
      <c r="J47" s="451"/>
      <c r="K47" s="451">
        <v>13</v>
      </c>
      <c r="L47" s="451" t="s">
        <v>643</v>
      </c>
      <c r="M47" s="452">
        <v>43073</v>
      </c>
      <c r="N47" s="452">
        <v>43100</v>
      </c>
      <c r="O47" s="459"/>
      <c r="P47" s="459"/>
      <c r="Q47" s="455"/>
      <c r="R47" s="456" t="s">
        <v>1914</v>
      </c>
      <c r="S47" s="316" t="s">
        <v>1176</v>
      </c>
      <c r="T47" s="313" t="s">
        <v>2843</v>
      </c>
    </row>
    <row r="48" spans="1:20" ht="20.100000000000001" customHeight="1">
      <c r="A48" s="1128" t="s">
        <v>2961</v>
      </c>
      <c r="B48" s="1143" t="s">
        <v>566</v>
      </c>
      <c r="C48" s="1143" t="s">
        <v>522</v>
      </c>
      <c r="D48" s="2">
        <v>1225</v>
      </c>
      <c r="E48" s="2">
        <v>2450</v>
      </c>
      <c r="F48" s="2">
        <v>2450</v>
      </c>
      <c r="G48" s="3" t="s">
        <v>41</v>
      </c>
      <c r="H48" s="4">
        <v>3</v>
      </c>
      <c r="I48" s="451" t="s">
        <v>17</v>
      </c>
      <c r="J48" s="451"/>
      <c r="K48" s="451">
        <v>13</v>
      </c>
      <c r="L48" s="451" t="s">
        <v>643</v>
      </c>
      <c r="M48" s="452">
        <v>43080</v>
      </c>
      <c r="N48" s="452">
        <v>43100</v>
      </c>
      <c r="O48" s="462"/>
      <c r="P48" s="462"/>
      <c r="Q48" s="455"/>
      <c r="R48" s="456" t="s">
        <v>170</v>
      </c>
      <c r="S48" s="687" t="s">
        <v>1176</v>
      </c>
      <c r="T48" s="689"/>
    </row>
    <row r="49" spans="1:20" ht="20.100000000000001" customHeight="1">
      <c r="A49" s="1128" t="s">
        <v>2961</v>
      </c>
      <c r="B49" s="1143" t="s">
        <v>566</v>
      </c>
      <c r="C49" s="1143" t="s">
        <v>522</v>
      </c>
      <c r="D49" s="2">
        <v>1200</v>
      </c>
      <c r="E49" s="2">
        <v>2400</v>
      </c>
      <c r="F49" s="2">
        <v>2400</v>
      </c>
      <c r="G49" s="221" t="s">
        <v>51</v>
      </c>
      <c r="H49" s="56" t="s">
        <v>2462</v>
      </c>
      <c r="I49" s="451" t="s">
        <v>17</v>
      </c>
      <c r="J49" s="451"/>
      <c r="K49" s="451">
        <v>19</v>
      </c>
      <c r="L49" s="451" t="s">
        <v>641</v>
      </c>
      <c r="M49" s="452">
        <v>43080</v>
      </c>
      <c r="N49" s="452">
        <v>43091</v>
      </c>
      <c r="O49" s="455"/>
      <c r="P49" s="462"/>
      <c r="Q49" s="167"/>
      <c r="R49" s="456" t="s">
        <v>580</v>
      </c>
      <c r="S49" s="687"/>
      <c r="T49" s="689"/>
    </row>
    <row r="50" spans="1:20" ht="20.100000000000001" customHeight="1">
      <c r="A50" s="1128" t="s">
        <v>2961</v>
      </c>
      <c r="B50" s="1143" t="s">
        <v>566</v>
      </c>
      <c r="C50" s="1143" t="s">
        <v>522</v>
      </c>
      <c r="D50" s="2">
        <v>1100</v>
      </c>
      <c r="E50" s="2">
        <v>2200</v>
      </c>
      <c r="F50" s="2">
        <v>2200</v>
      </c>
      <c r="G50" s="221" t="s">
        <v>2846</v>
      </c>
      <c r="H50" s="56" t="s">
        <v>2462</v>
      </c>
      <c r="I50" s="451" t="s">
        <v>17</v>
      </c>
      <c r="J50" s="451"/>
      <c r="K50" s="451">
        <v>19</v>
      </c>
      <c r="L50" s="451" t="s">
        <v>641</v>
      </c>
      <c r="M50" s="452">
        <v>43080</v>
      </c>
      <c r="N50" s="6">
        <v>43093</v>
      </c>
      <c r="O50" s="455"/>
      <c r="P50" s="462"/>
      <c r="Q50" s="167"/>
      <c r="R50" s="456" t="s">
        <v>580</v>
      </c>
      <c r="S50" s="687"/>
      <c r="T50" s="313">
        <v>14</v>
      </c>
    </row>
    <row r="51" spans="1:20" ht="20.100000000000001" customHeight="1">
      <c r="A51" s="1128" t="s">
        <v>2961</v>
      </c>
      <c r="B51" s="1143" t="s">
        <v>566</v>
      </c>
      <c r="C51" s="1143" t="s">
        <v>522</v>
      </c>
      <c r="D51" s="892">
        <v>1162</v>
      </c>
      <c r="E51" s="892">
        <v>2312</v>
      </c>
      <c r="F51" s="892">
        <v>2312</v>
      </c>
      <c r="G51" s="221" t="s">
        <v>103</v>
      </c>
      <c r="H51" s="56" t="s">
        <v>2462</v>
      </c>
      <c r="I51" s="451" t="s">
        <v>17</v>
      </c>
      <c r="J51" s="451"/>
      <c r="K51" s="451">
        <v>19</v>
      </c>
      <c r="L51" s="451" t="s">
        <v>641</v>
      </c>
      <c r="M51" s="452">
        <v>43080</v>
      </c>
      <c r="N51" s="452">
        <v>43114</v>
      </c>
      <c r="O51" s="462"/>
      <c r="P51" s="462"/>
      <c r="Q51" s="167"/>
      <c r="R51" s="456" t="s">
        <v>175</v>
      </c>
      <c r="S51" s="687" t="s">
        <v>1176</v>
      </c>
      <c r="T51" s="313" t="s">
        <v>2841</v>
      </c>
    </row>
    <row r="52" spans="1:20" ht="20.100000000000001" customHeight="1">
      <c r="A52" s="1128" t="s">
        <v>2961</v>
      </c>
      <c r="B52" s="1143" t="s">
        <v>566</v>
      </c>
      <c r="C52" s="1143" t="s">
        <v>522</v>
      </c>
      <c r="D52" s="2">
        <v>1175</v>
      </c>
      <c r="E52" s="2">
        <v>2350</v>
      </c>
      <c r="F52" s="2">
        <v>2350</v>
      </c>
      <c r="G52" s="3" t="s">
        <v>37</v>
      </c>
      <c r="H52" s="56" t="s">
        <v>2462</v>
      </c>
      <c r="I52" s="451" t="s">
        <v>17</v>
      </c>
      <c r="J52" s="451"/>
      <c r="K52" s="451">
        <v>19</v>
      </c>
      <c r="L52" s="451" t="s">
        <v>641</v>
      </c>
      <c r="M52" s="452">
        <v>43084</v>
      </c>
      <c r="N52" s="452">
        <v>43100</v>
      </c>
      <c r="O52" s="459"/>
      <c r="P52" s="462"/>
      <c r="Q52" s="167"/>
      <c r="R52" s="456" t="s">
        <v>580</v>
      </c>
      <c r="S52" s="687" t="s">
        <v>1176</v>
      </c>
      <c r="T52" s="688" t="s">
        <v>2842</v>
      </c>
    </row>
    <row r="53" spans="1:20" ht="20.100000000000001" customHeight="1">
      <c r="A53" s="1128" t="s">
        <v>2961</v>
      </c>
      <c r="B53" s="1143" t="s">
        <v>566</v>
      </c>
      <c r="C53" s="1143" t="s">
        <v>522</v>
      </c>
      <c r="D53" s="2">
        <v>1175</v>
      </c>
      <c r="E53" s="2">
        <v>2350</v>
      </c>
      <c r="F53" s="2">
        <v>2350</v>
      </c>
      <c r="G53" s="3" t="s">
        <v>13</v>
      </c>
      <c r="H53" s="56" t="s">
        <v>2462</v>
      </c>
      <c r="I53" s="451" t="s">
        <v>17</v>
      </c>
      <c r="J53" s="451"/>
      <c r="K53" s="451">
        <v>19</v>
      </c>
      <c r="L53" s="451" t="s">
        <v>641</v>
      </c>
      <c r="M53" s="452">
        <v>43080</v>
      </c>
      <c r="N53" s="452">
        <v>43084</v>
      </c>
      <c r="O53" s="453"/>
      <c r="P53" s="462"/>
      <c r="Q53" s="167"/>
      <c r="R53" s="456" t="s">
        <v>501</v>
      </c>
      <c r="S53" s="687" t="s">
        <v>1176</v>
      </c>
      <c r="T53" s="313">
        <v>14</v>
      </c>
    </row>
    <row r="54" spans="1:20" ht="20.100000000000001" customHeight="1">
      <c r="A54" s="1128" t="s">
        <v>2961</v>
      </c>
      <c r="B54" s="1143" t="s">
        <v>566</v>
      </c>
      <c r="C54" s="1143" t="s">
        <v>522</v>
      </c>
      <c r="D54" s="892">
        <v>1162</v>
      </c>
      <c r="E54" s="892">
        <v>2312</v>
      </c>
      <c r="F54" s="892">
        <v>2312</v>
      </c>
      <c r="G54" s="221" t="s">
        <v>103</v>
      </c>
      <c r="H54" s="56">
        <v>5</v>
      </c>
      <c r="I54" s="451" t="s">
        <v>17</v>
      </c>
      <c r="J54" s="451"/>
      <c r="K54" s="451">
        <v>22</v>
      </c>
      <c r="L54" s="451" t="s">
        <v>639</v>
      </c>
      <c r="M54" s="452">
        <v>43080</v>
      </c>
      <c r="N54" s="452">
        <v>43114</v>
      </c>
      <c r="O54" s="462"/>
      <c r="P54" s="462"/>
      <c r="Q54" s="167"/>
      <c r="R54" s="456" t="s">
        <v>1372</v>
      </c>
      <c r="S54" s="687" t="s">
        <v>1176</v>
      </c>
      <c r="T54" s="313" t="s">
        <v>2841</v>
      </c>
    </row>
    <row r="55" spans="1:20" ht="20.100000000000001" customHeight="1">
      <c r="A55" s="1128" t="s">
        <v>2961</v>
      </c>
      <c r="B55" s="1143" t="s">
        <v>566</v>
      </c>
      <c r="C55" s="1143" t="s">
        <v>522</v>
      </c>
      <c r="D55" s="2">
        <v>1150</v>
      </c>
      <c r="E55" s="2">
        <v>2300</v>
      </c>
      <c r="F55" s="2">
        <v>2300</v>
      </c>
      <c r="G55" s="221" t="s">
        <v>51</v>
      </c>
      <c r="H55" s="56">
        <v>5</v>
      </c>
      <c r="I55" s="451" t="s">
        <v>17</v>
      </c>
      <c r="J55" s="451"/>
      <c r="K55" s="451">
        <v>22</v>
      </c>
      <c r="L55" s="451" t="s">
        <v>639</v>
      </c>
      <c r="M55" s="452">
        <v>43080</v>
      </c>
      <c r="N55" s="452">
        <v>43091</v>
      </c>
      <c r="O55" s="455"/>
      <c r="P55" s="462"/>
      <c r="Q55" s="167"/>
      <c r="R55" s="456" t="s">
        <v>1372</v>
      </c>
      <c r="S55" s="687"/>
      <c r="T55" s="689"/>
    </row>
    <row r="56" spans="1:20" ht="20.100000000000001" customHeight="1">
      <c r="A56" s="1128" t="s">
        <v>2961</v>
      </c>
      <c r="B56" s="1143" t="s">
        <v>566</v>
      </c>
      <c r="C56" s="1143" t="s">
        <v>522</v>
      </c>
      <c r="D56" s="2">
        <v>1100</v>
      </c>
      <c r="E56" s="2">
        <v>2200</v>
      </c>
      <c r="F56" s="2">
        <v>2200</v>
      </c>
      <c r="G56" s="221" t="s">
        <v>2846</v>
      </c>
      <c r="H56" s="56">
        <v>5</v>
      </c>
      <c r="I56" s="451" t="s">
        <v>17</v>
      </c>
      <c r="J56" s="451"/>
      <c r="K56" s="451">
        <v>22</v>
      </c>
      <c r="L56" s="451" t="s">
        <v>639</v>
      </c>
      <c r="M56" s="452">
        <v>43080</v>
      </c>
      <c r="N56" s="6">
        <v>43093</v>
      </c>
      <c r="O56" s="455"/>
      <c r="P56" s="462"/>
      <c r="Q56" s="167"/>
      <c r="R56" s="456" t="s">
        <v>1372</v>
      </c>
      <c r="S56" s="687"/>
      <c r="T56" s="313">
        <v>14</v>
      </c>
    </row>
    <row r="57" spans="1:20" ht="20.100000000000001" customHeight="1">
      <c r="A57" s="1128" t="s">
        <v>2961</v>
      </c>
      <c r="B57" s="1143" t="s">
        <v>566</v>
      </c>
      <c r="C57" s="1143" t="s">
        <v>522</v>
      </c>
      <c r="D57" s="2">
        <v>1175</v>
      </c>
      <c r="E57" s="2">
        <v>2350</v>
      </c>
      <c r="F57" s="2">
        <v>2350</v>
      </c>
      <c r="G57" s="3" t="s">
        <v>13</v>
      </c>
      <c r="H57" s="56">
        <v>5</v>
      </c>
      <c r="I57" s="451" t="s">
        <v>17</v>
      </c>
      <c r="J57" s="451"/>
      <c r="K57" s="451">
        <v>22</v>
      </c>
      <c r="L57" s="451" t="s">
        <v>639</v>
      </c>
      <c r="M57" s="452">
        <v>43080</v>
      </c>
      <c r="N57" s="452">
        <v>43084</v>
      </c>
      <c r="O57" s="453"/>
      <c r="P57" s="462"/>
      <c r="Q57" s="167"/>
      <c r="R57" s="456" t="s">
        <v>1389</v>
      </c>
      <c r="S57" s="687" t="s">
        <v>1176</v>
      </c>
      <c r="T57" s="313">
        <v>14</v>
      </c>
    </row>
    <row r="58" spans="1:20" ht="20.100000000000001" customHeight="1">
      <c r="A58" s="1128" t="s">
        <v>2961</v>
      </c>
      <c r="B58" s="1143" t="s">
        <v>566</v>
      </c>
      <c r="C58" s="1143" t="s">
        <v>522</v>
      </c>
      <c r="D58" s="2">
        <v>1175</v>
      </c>
      <c r="E58" s="2">
        <v>2350</v>
      </c>
      <c r="F58" s="2">
        <v>2350</v>
      </c>
      <c r="G58" s="3" t="s">
        <v>37</v>
      </c>
      <c r="H58" s="56">
        <v>5</v>
      </c>
      <c r="I58" s="451" t="s">
        <v>17</v>
      </c>
      <c r="J58" s="451"/>
      <c r="K58" s="451">
        <v>22</v>
      </c>
      <c r="L58" s="451" t="s">
        <v>639</v>
      </c>
      <c r="M58" s="452">
        <v>43084</v>
      </c>
      <c r="N58" s="452">
        <v>43100</v>
      </c>
      <c r="O58" s="459"/>
      <c r="P58" s="462"/>
      <c r="Q58" s="167"/>
      <c r="R58" s="456" t="s">
        <v>1372</v>
      </c>
      <c r="S58" s="687" t="s">
        <v>1176</v>
      </c>
      <c r="T58" s="688" t="s">
        <v>2842</v>
      </c>
    </row>
    <row r="59" spans="1:20" ht="20.100000000000001" customHeight="1">
      <c r="A59" s="1134" t="s">
        <v>2962</v>
      </c>
      <c r="B59" s="1158" t="s">
        <v>566</v>
      </c>
      <c r="C59" s="1134" t="s">
        <v>4523</v>
      </c>
      <c r="D59" s="726">
        <v>1125</v>
      </c>
      <c r="E59" s="726">
        <v>2250</v>
      </c>
      <c r="F59" s="726">
        <v>2250</v>
      </c>
      <c r="G59" s="150" t="s">
        <v>667</v>
      </c>
      <c r="H59" s="151" t="s">
        <v>670</v>
      </c>
      <c r="I59" s="465" t="s">
        <v>870</v>
      </c>
      <c r="J59" s="465"/>
      <c r="K59" s="465" t="s">
        <v>883</v>
      </c>
      <c r="L59" s="465" t="s">
        <v>1026</v>
      </c>
      <c r="M59" s="452">
        <v>43080</v>
      </c>
      <c r="N59" s="452">
        <v>43093</v>
      </c>
      <c r="O59" s="453"/>
      <c r="P59" s="466"/>
      <c r="Q59" s="455"/>
      <c r="R59" s="456" t="s">
        <v>300</v>
      </c>
      <c r="S59" s="316" t="s">
        <v>1176</v>
      </c>
      <c r="T59" s="689"/>
    </row>
    <row r="60" spans="1:20" ht="20.100000000000001" customHeight="1">
      <c r="A60" s="1134" t="s">
        <v>2962</v>
      </c>
      <c r="B60" s="1158" t="s">
        <v>566</v>
      </c>
      <c r="C60" s="1158" t="s">
        <v>1899</v>
      </c>
      <c r="D60" s="726">
        <v>1175</v>
      </c>
      <c r="E60" s="726">
        <v>2350</v>
      </c>
      <c r="F60" s="726">
        <v>2350</v>
      </c>
      <c r="G60" s="150" t="s">
        <v>6</v>
      </c>
      <c r="H60" s="168" t="s">
        <v>670</v>
      </c>
      <c r="I60" s="467" t="s">
        <v>870</v>
      </c>
      <c r="J60" s="467"/>
      <c r="K60" s="467" t="s">
        <v>883</v>
      </c>
      <c r="L60" s="465" t="s">
        <v>1026</v>
      </c>
      <c r="M60" s="457">
        <v>43087</v>
      </c>
      <c r="N60" s="457">
        <v>43093</v>
      </c>
      <c r="O60" s="453"/>
      <c r="P60" s="466"/>
      <c r="Q60" s="455"/>
      <c r="R60" s="456" t="s">
        <v>1332</v>
      </c>
      <c r="S60" s="316" t="s">
        <v>2827</v>
      </c>
      <c r="T60" s="689"/>
    </row>
    <row r="61" spans="1:20" ht="20.100000000000001" customHeight="1">
      <c r="A61" s="1134" t="s">
        <v>2962</v>
      </c>
      <c r="B61" s="1158" t="s">
        <v>566</v>
      </c>
      <c r="C61" s="1158" t="s">
        <v>1899</v>
      </c>
      <c r="D61" s="2">
        <v>1175</v>
      </c>
      <c r="E61" s="2">
        <v>2350</v>
      </c>
      <c r="F61" s="2">
        <v>2350</v>
      </c>
      <c r="G61" s="3" t="s">
        <v>13</v>
      </c>
      <c r="H61" s="151" t="s">
        <v>670</v>
      </c>
      <c r="I61" s="465" t="s">
        <v>870</v>
      </c>
      <c r="J61" s="465"/>
      <c r="K61" s="465" t="s">
        <v>883</v>
      </c>
      <c r="L61" s="465" t="s">
        <v>1026</v>
      </c>
      <c r="M61" s="452">
        <v>43080</v>
      </c>
      <c r="N61" s="452">
        <v>43084</v>
      </c>
      <c r="O61" s="453"/>
      <c r="P61" s="466"/>
      <c r="Q61" s="455"/>
      <c r="R61" s="456" t="s">
        <v>301</v>
      </c>
      <c r="S61" s="687" t="s">
        <v>1176</v>
      </c>
      <c r="T61" s="313">
        <v>14</v>
      </c>
    </row>
    <row r="62" spans="1:20" ht="20.100000000000001" customHeight="1">
      <c r="A62" s="1134" t="s">
        <v>2962</v>
      </c>
      <c r="B62" s="1158" t="s">
        <v>566</v>
      </c>
      <c r="C62" s="1158" t="s">
        <v>1899</v>
      </c>
      <c r="D62" s="726">
        <v>1100</v>
      </c>
      <c r="E62" s="726">
        <v>2200</v>
      </c>
      <c r="F62" s="726">
        <v>2200</v>
      </c>
      <c r="G62" s="3" t="s">
        <v>558</v>
      </c>
      <c r="H62" s="168" t="s">
        <v>670</v>
      </c>
      <c r="I62" s="467" t="s">
        <v>870</v>
      </c>
      <c r="J62" s="467"/>
      <c r="K62" s="467" t="s">
        <v>883</v>
      </c>
      <c r="L62" s="465" t="s">
        <v>1026</v>
      </c>
      <c r="M62" s="452">
        <v>43080</v>
      </c>
      <c r="N62" s="452">
        <v>43093</v>
      </c>
      <c r="O62" s="453"/>
      <c r="P62" s="466"/>
      <c r="Q62" s="455"/>
      <c r="R62" s="456" t="s">
        <v>300</v>
      </c>
      <c r="S62" s="687"/>
      <c r="T62" s="313">
        <v>14</v>
      </c>
    </row>
    <row r="63" spans="1:20" ht="20.100000000000001" customHeight="1">
      <c r="A63" s="1134" t="s">
        <v>2962</v>
      </c>
      <c r="B63" s="1158" t="s">
        <v>566</v>
      </c>
      <c r="C63" s="1158" t="s">
        <v>1899</v>
      </c>
      <c r="D63" s="2">
        <v>1156</v>
      </c>
      <c r="E63" s="2">
        <v>2306</v>
      </c>
      <c r="F63" s="2">
        <v>2306</v>
      </c>
      <c r="G63" s="212" t="s">
        <v>1027</v>
      </c>
      <c r="H63" s="151" t="s">
        <v>670</v>
      </c>
      <c r="I63" s="465" t="s">
        <v>870</v>
      </c>
      <c r="J63" s="465"/>
      <c r="K63" s="465" t="s">
        <v>883</v>
      </c>
      <c r="L63" s="465" t="s">
        <v>1026</v>
      </c>
      <c r="M63" s="457">
        <v>43080</v>
      </c>
      <c r="N63" s="457">
        <v>43087</v>
      </c>
      <c r="O63" s="453"/>
      <c r="P63" s="466"/>
      <c r="Q63" s="455"/>
      <c r="R63" s="456" t="s">
        <v>300</v>
      </c>
      <c r="S63" s="687" t="s">
        <v>1176</v>
      </c>
      <c r="T63" s="688" t="s">
        <v>2840</v>
      </c>
    </row>
    <row r="64" spans="1:20" ht="20.100000000000001" customHeight="1">
      <c r="A64" s="1134" t="s">
        <v>2962</v>
      </c>
      <c r="B64" s="1158" t="s">
        <v>566</v>
      </c>
      <c r="C64" s="1158" t="s">
        <v>1899</v>
      </c>
      <c r="D64" s="892">
        <v>1162</v>
      </c>
      <c r="E64" s="892">
        <v>2312</v>
      </c>
      <c r="F64" s="892">
        <v>2312</v>
      </c>
      <c r="G64" s="223" t="s">
        <v>103</v>
      </c>
      <c r="H64" s="168" t="s">
        <v>668</v>
      </c>
      <c r="I64" s="465" t="s">
        <v>870</v>
      </c>
      <c r="J64" s="465"/>
      <c r="K64" s="465" t="s">
        <v>1395</v>
      </c>
      <c r="L64" s="465" t="s">
        <v>868</v>
      </c>
      <c r="M64" s="452">
        <v>43080</v>
      </c>
      <c r="N64" s="452">
        <v>43114</v>
      </c>
      <c r="O64" s="466"/>
      <c r="P64" s="466"/>
      <c r="Q64" s="455"/>
      <c r="R64" s="456" t="s">
        <v>1393</v>
      </c>
      <c r="S64" s="687" t="s">
        <v>1176</v>
      </c>
      <c r="T64" s="313" t="s">
        <v>2841</v>
      </c>
    </row>
    <row r="65" spans="1:20" ht="20.100000000000001" customHeight="1">
      <c r="A65" s="1134" t="s">
        <v>2962</v>
      </c>
      <c r="B65" s="1158" t="s">
        <v>566</v>
      </c>
      <c r="C65" s="1158" t="s">
        <v>1899</v>
      </c>
      <c r="D65" s="2">
        <v>1150</v>
      </c>
      <c r="E65" s="2">
        <v>2300</v>
      </c>
      <c r="F65" s="2">
        <v>2300</v>
      </c>
      <c r="G65" s="221" t="s">
        <v>51</v>
      </c>
      <c r="H65" s="168" t="s">
        <v>668</v>
      </c>
      <c r="I65" s="465" t="s">
        <v>870</v>
      </c>
      <c r="J65" s="465"/>
      <c r="K65" s="465" t="s">
        <v>723</v>
      </c>
      <c r="L65" s="465" t="s">
        <v>868</v>
      </c>
      <c r="M65" s="452">
        <v>43080</v>
      </c>
      <c r="N65" s="452">
        <v>43091</v>
      </c>
      <c r="O65" s="455"/>
      <c r="P65" s="468"/>
      <c r="Q65" s="455"/>
      <c r="R65" s="456" t="s">
        <v>1393</v>
      </c>
      <c r="S65" s="687"/>
      <c r="T65" s="689"/>
    </row>
    <row r="66" spans="1:20" ht="20.100000000000001" customHeight="1">
      <c r="A66" s="1134" t="s">
        <v>2962</v>
      </c>
      <c r="B66" s="1158" t="s">
        <v>566</v>
      </c>
      <c r="C66" s="1158" t="s">
        <v>1899</v>
      </c>
      <c r="D66" s="2">
        <v>1100</v>
      </c>
      <c r="E66" s="2">
        <v>2200</v>
      </c>
      <c r="F66" s="2">
        <v>2200</v>
      </c>
      <c r="G66" s="221" t="s">
        <v>1308</v>
      </c>
      <c r="H66" s="168" t="s">
        <v>668</v>
      </c>
      <c r="I66" s="465" t="s">
        <v>870</v>
      </c>
      <c r="J66" s="465"/>
      <c r="K66" s="465" t="s">
        <v>723</v>
      </c>
      <c r="L66" s="465" t="s">
        <v>868</v>
      </c>
      <c r="M66" s="452">
        <v>43080</v>
      </c>
      <c r="N66" s="6">
        <v>43093</v>
      </c>
      <c r="O66" s="455"/>
      <c r="P66" s="468"/>
      <c r="Q66" s="167"/>
      <c r="R66" s="456" t="s">
        <v>1393</v>
      </c>
      <c r="S66" s="687"/>
      <c r="T66" s="313">
        <v>14</v>
      </c>
    </row>
    <row r="67" spans="1:20" ht="20.100000000000001" customHeight="1">
      <c r="A67" s="1134" t="s">
        <v>2962</v>
      </c>
      <c r="B67" s="1158" t="s">
        <v>566</v>
      </c>
      <c r="C67" s="1158" t="s">
        <v>1899</v>
      </c>
      <c r="D67" s="2">
        <v>1175</v>
      </c>
      <c r="E67" s="2">
        <v>2350</v>
      </c>
      <c r="F67" s="2">
        <v>2350</v>
      </c>
      <c r="G67" s="150" t="s">
        <v>678</v>
      </c>
      <c r="H67" s="168" t="s">
        <v>668</v>
      </c>
      <c r="I67" s="465" t="s">
        <v>870</v>
      </c>
      <c r="J67" s="465"/>
      <c r="K67" s="465" t="s">
        <v>723</v>
      </c>
      <c r="L67" s="465" t="s">
        <v>868</v>
      </c>
      <c r="M67" s="452">
        <v>43084</v>
      </c>
      <c r="N67" s="452">
        <v>43100</v>
      </c>
      <c r="O67" s="459"/>
      <c r="P67" s="469"/>
      <c r="Q67" s="455"/>
      <c r="R67" s="456" t="s">
        <v>1393</v>
      </c>
      <c r="S67" s="687" t="s">
        <v>1176</v>
      </c>
      <c r="T67" s="688" t="s">
        <v>2842</v>
      </c>
    </row>
    <row r="68" spans="1:20" ht="20.100000000000001" customHeight="1">
      <c r="A68" s="1134" t="s">
        <v>2962</v>
      </c>
      <c r="B68" s="1158" t="s">
        <v>566</v>
      </c>
      <c r="C68" s="1158" t="s">
        <v>1899</v>
      </c>
      <c r="D68" s="726">
        <v>1063</v>
      </c>
      <c r="E68" s="726">
        <v>2113</v>
      </c>
      <c r="F68" s="726">
        <v>2113</v>
      </c>
      <c r="G68" s="221" t="s">
        <v>19</v>
      </c>
      <c r="H68" s="56" t="s">
        <v>659</v>
      </c>
      <c r="I68" s="467" t="s">
        <v>870</v>
      </c>
      <c r="J68" s="467"/>
      <c r="K68" s="467" t="s">
        <v>2791</v>
      </c>
      <c r="L68" s="465" t="s">
        <v>1026</v>
      </c>
      <c r="M68" s="452">
        <v>43086</v>
      </c>
      <c r="N68" s="452">
        <v>43100</v>
      </c>
      <c r="O68" s="455"/>
      <c r="P68" s="468"/>
      <c r="Q68" s="455"/>
      <c r="R68" s="456" t="s">
        <v>848</v>
      </c>
      <c r="S68" s="687"/>
      <c r="T68" s="313"/>
    </row>
    <row r="69" spans="1:20" ht="20.100000000000001" customHeight="1">
      <c r="A69" s="1134" t="s">
        <v>2962</v>
      </c>
      <c r="B69" s="1158" t="s">
        <v>566</v>
      </c>
      <c r="C69" s="1158" t="s">
        <v>1899</v>
      </c>
      <c r="D69" s="11">
        <v>1125</v>
      </c>
      <c r="E69" s="11">
        <v>2250</v>
      </c>
      <c r="F69" s="11">
        <v>2250</v>
      </c>
      <c r="G69" s="150" t="s">
        <v>772</v>
      </c>
      <c r="H69" s="56" t="s">
        <v>659</v>
      </c>
      <c r="I69" s="467" t="s">
        <v>870</v>
      </c>
      <c r="J69" s="467"/>
      <c r="K69" s="467" t="s">
        <v>2791</v>
      </c>
      <c r="L69" s="465" t="s">
        <v>1026</v>
      </c>
      <c r="M69" s="399">
        <v>43077</v>
      </c>
      <c r="N69" s="399">
        <v>43083</v>
      </c>
      <c r="O69" s="470"/>
      <c r="P69" s="470"/>
      <c r="Q69" s="455"/>
      <c r="R69" s="456" t="s">
        <v>177</v>
      </c>
      <c r="S69" s="687"/>
      <c r="T69" s="689"/>
    </row>
    <row r="70" spans="1:20" ht="20.100000000000001" customHeight="1">
      <c r="A70" s="1134" t="s">
        <v>2962</v>
      </c>
      <c r="B70" s="1158" t="s">
        <v>566</v>
      </c>
      <c r="C70" s="1158" t="s">
        <v>1899</v>
      </c>
      <c r="D70" s="726">
        <v>1100</v>
      </c>
      <c r="E70" s="726">
        <v>2200</v>
      </c>
      <c r="F70" s="726">
        <v>2200</v>
      </c>
      <c r="G70" s="150" t="s">
        <v>558</v>
      </c>
      <c r="H70" s="56" t="s">
        <v>659</v>
      </c>
      <c r="I70" s="467" t="s">
        <v>870</v>
      </c>
      <c r="J70" s="467"/>
      <c r="K70" s="467" t="s">
        <v>2791</v>
      </c>
      <c r="L70" s="465" t="s">
        <v>1026</v>
      </c>
      <c r="M70" s="452">
        <v>43080</v>
      </c>
      <c r="N70" s="452">
        <v>43093</v>
      </c>
      <c r="O70" s="453"/>
      <c r="P70" s="469"/>
      <c r="Q70" s="455"/>
      <c r="R70" s="456" t="s">
        <v>1459</v>
      </c>
      <c r="S70" s="687"/>
      <c r="T70" s="313">
        <v>14</v>
      </c>
    </row>
    <row r="71" spans="1:20" ht="20.100000000000001" customHeight="1">
      <c r="A71" s="1134" t="s">
        <v>2962</v>
      </c>
      <c r="B71" s="1158" t="s">
        <v>566</v>
      </c>
      <c r="C71" s="1158" t="s">
        <v>1899</v>
      </c>
      <c r="D71" s="2">
        <v>1156</v>
      </c>
      <c r="E71" s="2">
        <v>2306</v>
      </c>
      <c r="F71" s="2">
        <v>2306</v>
      </c>
      <c r="G71" s="212" t="s">
        <v>1027</v>
      </c>
      <c r="H71" s="56" t="s">
        <v>659</v>
      </c>
      <c r="I71" s="467" t="s">
        <v>870</v>
      </c>
      <c r="J71" s="467"/>
      <c r="K71" s="467" t="s">
        <v>2791</v>
      </c>
      <c r="L71" s="465" t="s">
        <v>1026</v>
      </c>
      <c r="M71" s="457">
        <v>43080</v>
      </c>
      <c r="N71" s="457">
        <v>43087</v>
      </c>
      <c r="O71" s="453"/>
      <c r="P71" s="469"/>
      <c r="Q71" s="455"/>
      <c r="R71" s="456" t="s">
        <v>1459</v>
      </c>
      <c r="S71" s="687" t="s">
        <v>1176</v>
      </c>
      <c r="T71" s="688" t="s">
        <v>2840</v>
      </c>
    </row>
    <row r="72" spans="1:20" ht="20.100000000000001" customHeight="1">
      <c r="A72" s="1134" t="s">
        <v>2962</v>
      </c>
      <c r="B72" s="1158" t="s">
        <v>566</v>
      </c>
      <c r="C72" s="1158" t="s">
        <v>1899</v>
      </c>
      <c r="D72" s="978">
        <v>1125</v>
      </c>
      <c r="E72" s="978">
        <v>2250</v>
      </c>
      <c r="F72" s="978">
        <v>2250</v>
      </c>
      <c r="G72" s="150" t="s">
        <v>28</v>
      </c>
      <c r="H72" s="56" t="s">
        <v>659</v>
      </c>
      <c r="I72" s="467" t="s">
        <v>870</v>
      </c>
      <c r="J72" s="467"/>
      <c r="K72" s="467" t="s">
        <v>2791</v>
      </c>
      <c r="L72" s="465" t="s">
        <v>1026</v>
      </c>
      <c r="M72" s="452">
        <v>43080</v>
      </c>
      <c r="N72" s="452">
        <v>43093</v>
      </c>
      <c r="O72" s="453"/>
      <c r="P72" s="469"/>
      <c r="Q72" s="455"/>
      <c r="R72" s="456" t="s">
        <v>1082</v>
      </c>
      <c r="S72" s="316" t="s">
        <v>1176</v>
      </c>
      <c r="T72" s="689"/>
    </row>
    <row r="73" spans="1:20" ht="20.100000000000001" customHeight="1">
      <c r="A73" s="1134" t="s">
        <v>2962</v>
      </c>
      <c r="B73" s="1158" t="s">
        <v>566</v>
      </c>
      <c r="C73" s="1158" t="s">
        <v>1899</v>
      </c>
      <c r="D73" s="726">
        <v>1175</v>
      </c>
      <c r="E73" s="726">
        <v>2350</v>
      </c>
      <c r="F73" s="726">
        <v>2350</v>
      </c>
      <c r="G73" s="150" t="s">
        <v>673</v>
      </c>
      <c r="H73" s="56" t="s">
        <v>659</v>
      </c>
      <c r="I73" s="467" t="s">
        <v>870</v>
      </c>
      <c r="J73" s="467"/>
      <c r="K73" s="467" t="s">
        <v>2791</v>
      </c>
      <c r="L73" s="465" t="s">
        <v>1026</v>
      </c>
      <c r="M73" s="457">
        <v>43087</v>
      </c>
      <c r="N73" s="457">
        <v>43093</v>
      </c>
      <c r="O73" s="453"/>
      <c r="P73" s="470"/>
      <c r="Q73" s="455"/>
      <c r="R73" s="456" t="s">
        <v>1955</v>
      </c>
      <c r="S73" s="316" t="s">
        <v>2827</v>
      </c>
      <c r="T73" s="689"/>
    </row>
    <row r="74" spans="1:20" ht="20.100000000000001" customHeight="1">
      <c r="A74" s="1134" t="s">
        <v>2962</v>
      </c>
      <c r="B74" s="1158" t="s">
        <v>566</v>
      </c>
      <c r="C74" s="1158" t="s">
        <v>1899</v>
      </c>
      <c r="D74" s="2">
        <v>1312</v>
      </c>
      <c r="E74" s="2">
        <v>2612</v>
      </c>
      <c r="F74" s="2">
        <v>2612</v>
      </c>
      <c r="G74" s="227" t="s">
        <v>1689</v>
      </c>
      <c r="H74" s="151" t="s">
        <v>674</v>
      </c>
      <c r="I74" s="465" t="s">
        <v>870</v>
      </c>
      <c r="J74" s="465"/>
      <c r="K74" s="465" t="s">
        <v>1028</v>
      </c>
      <c r="L74" s="465" t="s">
        <v>860</v>
      </c>
      <c r="M74" s="452">
        <v>43054</v>
      </c>
      <c r="N74" s="452">
        <v>43100</v>
      </c>
      <c r="O74" s="462"/>
      <c r="P74" s="468"/>
      <c r="Q74" s="455"/>
      <c r="R74" s="456" t="s">
        <v>183</v>
      </c>
      <c r="S74" s="687" t="s">
        <v>1176</v>
      </c>
      <c r="T74" s="689"/>
    </row>
    <row r="75" spans="1:20" ht="20.100000000000001" customHeight="1">
      <c r="A75" s="1134" t="s">
        <v>2962</v>
      </c>
      <c r="B75" s="1158" t="s">
        <v>566</v>
      </c>
      <c r="C75" s="1158" t="s">
        <v>1899</v>
      </c>
      <c r="D75" s="2">
        <v>1325</v>
      </c>
      <c r="E75" s="2">
        <v>2625</v>
      </c>
      <c r="F75" s="2">
        <v>2625</v>
      </c>
      <c r="G75" s="227" t="s">
        <v>22</v>
      </c>
      <c r="H75" s="151" t="s">
        <v>674</v>
      </c>
      <c r="I75" s="465" t="s">
        <v>870</v>
      </c>
      <c r="J75" s="465"/>
      <c r="K75" s="465" t="s">
        <v>1028</v>
      </c>
      <c r="L75" s="465" t="s">
        <v>860</v>
      </c>
      <c r="M75" s="452">
        <v>43073</v>
      </c>
      <c r="N75" s="452">
        <v>43100</v>
      </c>
      <c r="O75" s="459"/>
      <c r="P75" s="459"/>
      <c r="Q75" s="455"/>
      <c r="R75" s="456" t="s">
        <v>1914</v>
      </c>
      <c r="S75" s="316" t="s">
        <v>1176</v>
      </c>
      <c r="T75" s="313" t="s">
        <v>2843</v>
      </c>
    </row>
    <row r="76" spans="1:20" ht="20.100000000000001" customHeight="1">
      <c r="A76" s="1134" t="s">
        <v>2962</v>
      </c>
      <c r="B76" s="1158" t="s">
        <v>566</v>
      </c>
      <c r="C76" s="1158" t="s">
        <v>1899</v>
      </c>
      <c r="D76" s="2">
        <v>1225</v>
      </c>
      <c r="E76" s="2">
        <v>2450</v>
      </c>
      <c r="F76" s="2">
        <v>2450</v>
      </c>
      <c r="G76" s="150" t="s">
        <v>864</v>
      </c>
      <c r="H76" s="151" t="s">
        <v>674</v>
      </c>
      <c r="I76" s="465" t="s">
        <v>870</v>
      </c>
      <c r="J76" s="465"/>
      <c r="K76" s="465" t="s">
        <v>1028</v>
      </c>
      <c r="L76" s="465" t="s">
        <v>860</v>
      </c>
      <c r="M76" s="452">
        <v>43080</v>
      </c>
      <c r="N76" s="452">
        <v>43100</v>
      </c>
      <c r="O76" s="468"/>
      <c r="P76" s="468"/>
      <c r="Q76" s="455"/>
      <c r="R76" s="456" t="s">
        <v>170</v>
      </c>
      <c r="S76" s="687" t="s">
        <v>1176</v>
      </c>
      <c r="T76" s="689"/>
    </row>
    <row r="77" spans="1:20" ht="20.100000000000001" customHeight="1">
      <c r="A77" s="1134" t="s">
        <v>2962</v>
      </c>
      <c r="B77" s="1158" t="s">
        <v>566</v>
      </c>
      <c r="C77" s="1158" t="s">
        <v>1899</v>
      </c>
      <c r="D77" s="892">
        <v>1162</v>
      </c>
      <c r="E77" s="892">
        <v>2312</v>
      </c>
      <c r="F77" s="892">
        <v>2312</v>
      </c>
      <c r="G77" s="221" t="s">
        <v>103</v>
      </c>
      <c r="H77" s="151" t="s">
        <v>676</v>
      </c>
      <c r="I77" s="465" t="s">
        <v>870</v>
      </c>
      <c r="J77" s="465"/>
      <c r="K77" s="465" t="s">
        <v>1373</v>
      </c>
      <c r="L77" s="465" t="s">
        <v>868</v>
      </c>
      <c r="M77" s="452">
        <v>43080</v>
      </c>
      <c r="N77" s="452">
        <v>43114</v>
      </c>
      <c r="O77" s="468"/>
      <c r="P77" s="468"/>
      <c r="Q77" s="167"/>
      <c r="R77" s="456" t="s">
        <v>1372</v>
      </c>
      <c r="S77" s="687" t="s">
        <v>1176</v>
      </c>
      <c r="T77" s="313" t="s">
        <v>2841</v>
      </c>
    </row>
    <row r="78" spans="1:20" ht="20.100000000000001" customHeight="1">
      <c r="A78" s="1134" t="s">
        <v>2962</v>
      </c>
      <c r="B78" s="1158" t="s">
        <v>566</v>
      </c>
      <c r="C78" s="1158" t="s">
        <v>1899</v>
      </c>
      <c r="D78" s="2">
        <v>1150</v>
      </c>
      <c r="E78" s="2">
        <v>2300</v>
      </c>
      <c r="F78" s="2">
        <v>2300</v>
      </c>
      <c r="G78" s="221" t="s">
        <v>51</v>
      </c>
      <c r="H78" s="151" t="s">
        <v>676</v>
      </c>
      <c r="I78" s="465" t="s">
        <v>870</v>
      </c>
      <c r="J78" s="465"/>
      <c r="K78" s="465" t="s">
        <v>1373</v>
      </c>
      <c r="L78" s="465" t="s">
        <v>868</v>
      </c>
      <c r="M78" s="452">
        <v>43080</v>
      </c>
      <c r="N78" s="452">
        <v>43091</v>
      </c>
      <c r="O78" s="455"/>
      <c r="P78" s="468"/>
      <c r="Q78" s="167"/>
      <c r="R78" s="456" t="s">
        <v>1372</v>
      </c>
      <c r="S78" s="687"/>
      <c r="T78" s="689"/>
    </row>
    <row r="79" spans="1:20" ht="20.100000000000001" customHeight="1">
      <c r="A79" s="1134" t="s">
        <v>2962</v>
      </c>
      <c r="B79" s="1158" t="s">
        <v>566</v>
      </c>
      <c r="C79" s="1158" t="s">
        <v>1899</v>
      </c>
      <c r="D79" s="2">
        <v>1100</v>
      </c>
      <c r="E79" s="2">
        <v>2200</v>
      </c>
      <c r="F79" s="2">
        <v>2200</v>
      </c>
      <c r="G79" s="221" t="s">
        <v>1308</v>
      </c>
      <c r="H79" s="151" t="s">
        <v>676</v>
      </c>
      <c r="I79" s="465" t="s">
        <v>870</v>
      </c>
      <c r="J79" s="465"/>
      <c r="K79" s="465" t="s">
        <v>1373</v>
      </c>
      <c r="L79" s="465" t="s">
        <v>868</v>
      </c>
      <c r="M79" s="452">
        <v>43080</v>
      </c>
      <c r="N79" s="6">
        <v>43093</v>
      </c>
      <c r="O79" s="455"/>
      <c r="P79" s="468"/>
      <c r="Q79" s="167"/>
      <c r="R79" s="456" t="s">
        <v>1372</v>
      </c>
      <c r="S79" s="687"/>
      <c r="T79" s="313">
        <v>14</v>
      </c>
    </row>
    <row r="80" spans="1:20" ht="20.100000000000001" customHeight="1">
      <c r="A80" s="1134" t="s">
        <v>2962</v>
      </c>
      <c r="B80" s="1158" t="s">
        <v>566</v>
      </c>
      <c r="C80" s="1158" t="s">
        <v>1899</v>
      </c>
      <c r="D80" s="2">
        <v>1175</v>
      </c>
      <c r="E80" s="2">
        <v>2350</v>
      </c>
      <c r="F80" s="2">
        <v>2350</v>
      </c>
      <c r="G80" s="3" t="s">
        <v>13</v>
      </c>
      <c r="H80" s="151" t="s">
        <v>676</v>
      </c>
      <c r="I80" s="465" t="s">
        <v>870</v>
      </c>
      <c r="J80" s="465"/>
      <c r="K80" s="465" t="s">
        <v>747</v>
      </c>
      <c r="L80" s="465" t="s">
        <v>868</v>
      </c>
      <c r="M80" s="452">
        <v>43080</v>
      </c>
      <c r="N80" s="452">
        <v>43084</v>
      </c>
      <c r="O80" s="453"/>
      <c r="P80" s="468"/>
      <c r="Q80" s="167"/>
      <c r="R80" s="456" t="s">
        <v>1389</v>
      </c>
      <c r="S80" s="687" t="s">
        <v>1176</v>
      </c>
      <c r="T80" s="313">
        <v>14</v>
      </c>
    </row>
    <row r="81" spans="1:20" ht="20.100000000000001" customHeight="1">
      <c r="A81" s="1134" t="s">
        <v>2962</v>
      </c>
      <c r="B81" s="1158" t="s">
        <v>566</v>
      </c>
      <c r="C81" s="1158" t="s">
        <v>1899</v>
      </c>
      <c r="D81" s="2">
        <v>1175</v>
      </c>
      <c r="E81" s="2">
        <v>2350</v>
      </c>
      <c r="F81" s="2">
        <v>2350</v>
      </c>
      <c r="G81" s="150" t="s">
        <v>678</v>
      </c>
      <c r="H81" s="151" t="s">
        <v>676</v>
      </c>
      <c r="I81" s="465" t="s">
        <v>870</v>
      </c>
      <c r="J81" s="465"/>
      <c r="K81" s="465" t="s">
        <v>1373</v>
      </c>
      <c r="L81" s="465" t="s">
        <v>868</v>
      </c>
      <c r="M81" s="452">
        <v>43084</v>
      </c>
      <c r="N81" s="452">
        <v>43100</v>
      </c>
      <c r="O81" s="459"/>
      <c r="P81" s="465"/>
      <c r="Q81" s="167"/>
      <c r="R81" s="456" t="s">
        <v>1372</v>
      </c>
      <c r="S81" s="687" t="s">
        <v>1176</v>
      </c>
      <c r="T81" s="688" t="s">
        <v>2842</v>
      </c>
    </row>
    <row r="82" spans="1:20" ht="20.100000000000001" customHeight="1">
      <c r="A82" s="1134" t="s">
        <v>2962</v>
      </c>
      <c r="B82" s="1158" t="s">
        <v>566</v>
      </c>
      <c r="C82" s="1158" t="s">
        <v>523</v>
      </c>
      <c r="D82" s="892">
        <f>D64+525*1</f>
        <v>1687</v>
      </c>
      <c r="E82" s="892">
        <f>E64+925*1</f>
        <v>3237</v>
      </c>
      <c r="F82" s="892">
        <f>F64+925*1</f>
        <v>3237</v>
      </c>
      <c r="G82" s="217" t="s">
        <v>103</v>
      </c>
      <c r="H82" s="4">
        <v>2</v>
      </c>
      <c r="I82" s="451" t="s">
        <v>113</v>
      </c>
      <c r="J82" s="451"/>
      <c r="K82" s="451" t="s">
        <v>1397</v>
      </c>
      <c r="L82" s="451" t="s">
        <v>639</v>
      </c>
      <c r="M82" s="452">
        <v>43080</v>
      </c>
      <c r="N82" s="452">
        <v>43114</v>
      </c>
      <c r="O82" s="465"/>
      <c r="P82" s="465"/>
      <c r="Q82" s="462" t="s">
        <v>174</v>
      </c>
      <c r="R82" s="456" t="s">
        <v>1393</v>
      </c>
      <c r="S82" s="687" t="s">
        <v>1176</v>
      </c>
      <c r="T82" s="313" t="s">
        <v>2841</v>
      </c>
    </row>
    <row r="83" spans="1:20" ht="20.100000000000001" customHeight="1">
      <c r="A83" s="1134" t="s">
        <v>2962</v>
      </c>
      <c r="B83" s="1158" t="s">
        <v>566</v>
      </c>
      <c r="C83" s="1158" t="s">
        <v>523</v>
      </c>
      <c r="D83" s="2">
        <f>D66+630*1</f>
        <v>1730</v>
      </c>
      <c r="E83" s="2">
        <f>E66+920*1</f>
        <v>3120</v>
      </c>
      <c r="F83" s="2">
        <f>F66+920*1</f>
        <v>3120</v>
      </c>
      <c r="G83" s="217" t="s">
        <v>1308</v>
      </c>
      <c r="H83" s="4">
        <v>2</v>
      </c>
      <c r="I83" s="451" t="s">
        <v>113</v>
      </c>
      <c r="J83" s="451"/>
      <c r="K83" s="451" t="s">
        <v>752</v>
      </c>
      <c r="L83" s="451" t="s">
        <v>639</v>
      </c>
      <c r="M83" s="452">
        <v>43080</v>
      </c>
      <c r="N83" s="6">
        <v>43093</v>
      </c>
      <c r="O83" s="455"/>
      <c r="P83" s="458"/>
      <c r="Q83" s="462" t="s">
        <v>174</v>
      </c>
      <c r="R83" s="456" t="s">
        <v>1393</v>
      </c>
      <c r="S83" s="687"/>
      <c r="T83" s="689"/>
    </row>
    <row r="84" spans="1:20" ht="20.100000000000001" customHeight="1">
      <c r="A84" s="1134" t="s">
        <v>2962</v>
      </c>
      <c r="B84" s="1158" t="s">
        <v>566</v>
      </c>
      <c r="C84" s="1158" t="s">
        <v>523</v>
      </c>
      <c r="D84" s="2">
        <f>D67+675*1</f>
        <v>1850</v>
      </c>
      <c r="E84" s="2">
        <f>E67+850*1</f>
        <v>3200</v>
      </c>
      <c r="F84" s="2">
        <f>F67+850*1</f>
        <v>3200</v>
      </c>
      <c r="G84" s="691" t="s">
        <v>37</v>
      </c>
      <c r="H84" s="56">
        <v>2</v>
      </c>
      <c r="I84" s="451" t="s">
        <v>113</v>
      </c>
      <c r="J84" s="451"/>
      <c r="K84" s="451" t="s">
        <v>752</v>
      </c>
      <c r="L84" s="451" t="s">
        <v>639</v>
      </c>
      <c r="M84" s="452">
        <v>43084</v>
      </c>
      <c r="N84" s="452">
        <v>43100</v>
      </c>
      <c r="O84" s="459"/>
      <c r="P84" s="462"/>
      <c r="Q84" s="462" t="s">
        <v>174</v>
      </c>
      <c r="R84" s="456" t="s">
        <v>1393</v>
      </c>
      <c r="S84" s="687" t="s">
        <v>1176</v>
      </c>
      <c r="T84" s="688" t="s">
        <v>2842</v>
      </c>
    </row>
    <row r="85" spans="1:20" ht="20.100000000000001" customHeight="1">
      <c r="A85" s="1134" t="s">
        <v>2962</v>
      </c>
      <c r="B85" s="1158" t="s">
        <v>566</v>
      </c>
      <c r="C85" s="1158" t="s">
        <v>523</v>
      </c>
      <c r="D85" s="2">
        <f>D69+600</f>
        <v>1725</v>
      </c>
      <c r="E85" s="2">
        <f>E69+1100</f>
        <v>3350</v>
      </c>
      <c r="F85" s="2">
        <f>F69+1100</f>
        <v>3350</v>
      </c>
      <c r="G85" s="12" t="s">
        <v>30</v>
      </c>
      <c r="H85" s="56" t="s">
        <v>659</v>
      </c>
      <c r="I85" s="451" t="s">
        <v>113</v>
      </c>
      <c r="J85" s="451"/>
      <c r="K85" s="451" t="s">
        <v>747</v>
      </c>
      <c r="L85" s="451" t="s">
        <v>641</v>
      </c>
      <c r="M85" s="399">
        <v>43077</v>
      </c>
      <c r="N85" s="399">
        <v>43083</v>
      </c>
      <c r="O85" s="458"/>
      <c r="P85" s="458"/>
      <c r="Q85" s="462" t="s">
        <v>304</v>
      </c>
      <c r="R85" s="456" t="s">
        <v>177</v>
      </c>
      <c r="S85" s="687"/>
      <c r="T85" s="689"/>
    </row>
    <row r="86" spans="1:20" ht="20.100000000000001" customHeight="1">
      <c r="A86" s="1134" t="s">
        <v>2962</v>
      </c>
      <c r="B86" s="1158" t="s">
        <v>566</v>
      </c>
      <c r="C86" s="1158" t="s">
        <v>523</v>
      </c>
      <c r="D86" s="2">
        <f>D75+800</f>
        <v>2125</v>
      </c>
      <c r="E86" s="2">
        <f>E75+1600</f>
        <v>4225</v>
      </c>
      <c r="F86" s="2">
        <f>F75+1600</f>
        <v>4225</v>
      </c>
      <c r="G86" s="217" t="s">
        <v>22</v>
      </c>
      <c r="H86" s="56">
        <v>3</v>
      </c>
      <c r="I86" s="451" t="s">
        <v>113</v>
      </c>
      <c r="J86" s="451"/>
      <c r="K86" s="451" t="s">
        <v>727</v>
      </c>
      <c r="L86" s="465" t="s">
        <v>860</v>
      </c>
      <c r="M86" s="452">
        <v>43073</v>
      </c>
      <c r="N86" s="452">
        <v>43100</v>
      </c>
      <c r="O86" s="459"/>
      <c r="P86" s="459"/>
      <c r="Q86" s="462" t="s">
        <v>304</v>
      </c>
      <c r="R86" s="456" t="s">
        <v>181</v>
      </c>
      <c r="S86" s="316" t="s">
        <v>1176</v>
      </c>
      <c r="T86" s="313" t="s">
        <v>2843</v>
      </c>
    </row>
    <row r="87" spans="1:20" ht="20.100000000000001" customHeight="1">
      <c r="A87" s="1134" t="s">
        <v>2962</v>
      </c>
      <c r="B87" s="1158" t="s">
        <v>566</v>
      </c>
      <c r="C87" s="1158" t="s">
        <v>523</v>
      </c>
      <c r="D87" s="2">
        <f>D68+855*1</f>
        <v>1918</v>
      </c>
      <c r="E87" s="2">
        <f>E68+1375*1</f>
        <v>3488</v>
      </c>
      <c r="F87" s="2">
        <f>F68+1375*1</f>
        <v>3488</v>
      </c>
      <c r="G87" s="609" t="s">
        <v>2847</v>
      </c>
      <c r="H87" s="56" t="s">
        <v>659</v>
      </c>
      <c r="I87" s="451" t="s">
        <v>113</v>
      </c>
      <c r="J87" s="451"/>
      <c r="K87" s="451" t="s">
        <v>727</v>
      </c>
      <c r="L87" s="465" t="s">
        <v>1026</v>
      </c>
      <c r="M87" s="452">
        <v>43086</v>
      </c>
      <c r="N87" s="452">
        <v>43100</v>
      </c>
      <c r="O87" s="462"/>
      <c r="P87" s="462"/>
      <c r="Q87" s="462" t="s">
        <v>197</v>
      </c>
      <c r="R87" s="456" t="s">
        <v>848</v>
      </c>
      <c r="S87" s="316"/>
      <c r="T87" s="689"/>
    </row>
    <row r="88" spans="1:20" ht="20.100000000000001" customHeight="1">
      <c r="A88" s="1134" t="s">
        <v>2962</v>
      </c>
      <c r="B88" s="1158" t="s">
        <v>566</v>
      </c>
      <c r="C88" s="1158" t="s">
        <v>523</v>
      </c>
      <c r="D88" s="528">
        <f>D74+375+50</f>
        <v>1737</v>
      </c>
      <c r="E88" s="528">
        <f>E74+750+100</f>
        <v>3462</v>
      </c>
      <c r="F88" s="528">
        <f>F74+750+100</f>
        <v>3462</v>
      </c>
      <c r="G88" s="609" t="s">
        <v>1689</v>
      </c>
      <c r="H88" s="4">
        <v>3</v>
      </c>
      <c r="I88" s="451" t="s">
        <v>113</v>
      </c>
      <c r="J88" s="451"/>
      <c r="K88" s="451" t="s">
        <v>1097</v>
      </c>
      <c r="L88" s="451" t="s">
        <v>643</v>
      </c>
      <c r="M88" s="452">
        <v>43054</v>
      </c>
      <c r="N88" s="452">
        <v>43100</v>
      </c>
      <c r="O88" s="471"/>
      <c r="P88" s="463"/>
      <c r="Q88" s="462" t="s">
        <v>197</v>
      </c>
      <c r="R88" s="456" t="s">
        <v>1408</v>
      </c>
      <c r="S88" s="687"/>
      <c r="T88" s="689"/>
    </row>
    <row r="89" spans="1:20" ht="20.100000000000001" customHeight="1">
      <c r="A89" s="1134" t="s">
        <v>2962</v>
      </c>
      <c r="B89" s="1158" t="s">
        <v>566</v>
      </c>
      <c r="C89" s="1158" t="s">
        <v>523</v>
      </c>
      <c r="D89" s="891">
        <f>D77+525*1</f>
        <v>1687</v>
      </c>
      <c r="E89" s="891">
        <f>E77+925*1</f>
        <v>3237</v>
      </c>
      <c r="F89" s="891">
        <f>F77+925*1</f>
        <v>3237</v>
      </c>
      <c r="G89" s="609" t="s">
        <v>103</v>
      </c>
      <c r="H89" s="4">
        <v>5</v>
      </c>
      <c r="I89" s="451" t="s">
        <v>113</v>
      </c>
      <c r="J89" s="451"/>
      <c r="K89" s="451" t="s">
        <v>1398</v>
      </c>
      <c r="L89" s="451" t="s">
        <v>639</v>
      </c>
      <c r="M89" s="452">
        <v>43080</v>
      </c>
      <c r="N89" s="452">
        <v>43114</v>
      </c>
      <c r="O89" s="471"/>
      <c r="P89" s="463"/>
      <c r="Q89" s="462" t="s">
        <v>174</v>
      </c>
      <c r="R89" s="456" t="s">
        <v>1372</v>
      </c>
      <c r="S89" s="687" t="s">
        <v>1176</v>
      </c>
      <c r="T89" s="313" t="s">
        <v>2841</v>
      </c>
    </row>
    <row r="90" spans="1:20" ht="20.100000000000001" customHeight="1">
      <c r="A90" s="1134" t="s">
        <v>2962</v>
      </c>
      <c r="B90" s="1158" t="s">
        <v>566</v>
      </c>
      <c r="C90" s="1158" t="s">
        <v>523</v>
      </c>
      <c r="D90" s="528">
        <f>D79+630*1</f>
        <v>1730</v>
      </c>
      <c r="E90" s="528">
        <f>E79+920*1</f>
        <v>3120</v>
      </c>
      <c r="F90" s="528">
        <f>F79+920*1</f>
        <v>3120</v>
      </c>
      <c r="G90" s="217" t="s">
        <v>1308</v>
      </c>
      <c r="H90" s="4">
        <v>5</v>
      </c>
      <c r="I90" s="451" t="s">
        <v>113</v>
      </c>
      <c r="J90" s="451"/>
      <c r="K90" s="451" t="s">
        <v>1493</v>
      </c>
      <c r="L90" s="451" t="s">
        <v>639</v>
      </c>
      <c r="M90" s="452">
        <v>43080</v>
      </c>
      <c r="N90" s="6">
        <v>43093</v>
      </c>
      <c r="O90" s="455"/>
      <c r="P90" s="463"/>
      <c r="Q90" s="462" t="s">
        <v>174</v>
      </c>
      <c r="R90" s="456" t="s">
        <v>1372</v>
      </c>
      <c r="S90" s="687"/>
      <c r="T90" s="689"/>
    </row>
    <row r="91" spans="1:20" ht="20.100000000000001" customHeight="1">
      <c r="A91" s="1134" t="s">
        <v>2962</v>
      </c>
      <c r="B91" s="1158" t="s">
        <v>566</v>
      </c>
      <c r="C91" s="1158" t="s">
        <v>523</v>
      </c>
      <c r="D91" s="528">
        <f>D81+675*1</f>
        <v>1850</v>
      </c>
      <c r="E91" s="528">
        <f>E81+850*1</f>
        <v>3200</v>
      </c>
      <c r="F91" s="528">
        <f>F81+850*1</f>
        <v>3200</v>
      </c>
      <c r="G91" s="691" t="s">
        <v>1494</v>
      </c>
      <c r="H91" s="4">
        <v>5</v>
      </c>
      <c r="I91" s="451" t="s">
        <v>113</v>
      </c>
      <c r="J91" s="451"/>
      <c r="K91" s="451" t="s">
        <v>1493</v>
      </c>
      <c r="L91" s="451" t="s">
        <v>639</v>
      </c>
      <c r="M91" s="452">
        <v>43084</v>
      </c>
      <c r="N91" s="452">
        <v>43100</v>
      </c>
      <c r="O91" s="459"/>
      <c r="P91" s="463"/>
      <c r="Q91" s="462" t="s">
        <v>174</v>
      </c>
      <c r="R91" s="456" t="s">
        <v>1372</v>
      </c>
      <c r="S91" s="687" t="s">
        <v>1176</v>
      </c>
      <c r="T91" s="688" t="s">
        <v>2842</v>
      </c>
    </row>
    <row r="92" spans="1:20" ht="20.100000000000001" customHeight="1">
      <c r="A92" s="1128" t="s">
        <v>2961</v>
      </c>
      <c r="B92" s="1143" t="s">
        <v>566</v>
      </c>
      <c r="C92" s="1143" t="s">
        <v>2030</v>
      </c>
      <c r="D92" s="11">
        <v>1012</v>
      </c>
      <c r="E92" s="11"/>
      <c r="F92" s="2">
        <v>2012</v>
      </c>
      <c r="G92" s="221" t="s">
        <v>103</v>
      </c>
      <c r="H92" s="22" t="s">
        <v>2316</v>
      </c>
      <c r="I92" s="451" t="s">
        <v>2317</v>
      </c>
      <c r="J92" s="451"/>
      <c r="K92" s="461">
        <v>30</v>
      </c>
      <c r="L92" s="472" t="s">
        <v>642</v>
      </c>
      <c r="M92" s="452">
        <v>43059</v>
      </c>
      <c r="N92" s="452">
        <v>43100</v>
      </c>
      <c r="O92" s="462"/>
      <c r="P92" s="462"/>
      <c r="Q92" s="455"/>
      <c r="R92" s="21" t="s">
        <v>3059</v>
      </c>
      <c r="S92" s="687" t="s">
        <v>1176</v>
      </c>
      <c r="T92" s="313" t="s">
        <v>2841</v>
      </c>
    </row>
    <row r="93" spans="1:20" ht="20.100000000000001" customHeight="1">
      <c r="A93" s="1128" t="s">
        <v>2961</v>
      </c>
      <c r="B93" s="1143" t="s">
        <v>566</v>
      </c>
      <c r="C93" s="1143" t="s">
        <v>523</v>
      </c>
      <c r="D93" s="2">
        <v>1362</v>
      </c>
      <c r="E93" s="2">
        <v>2712</v>
      </c>
      <c r="F93" s="2">
        <v>2712</v>
      </c>
      <c r="G93" s="227" t="s">
        <v>1689</v>
      </c>
      <c r="H93" s="4" t="s">
        <v>646</v>
      </c>
      <c r="I93" s="451" t="s">
        <v>1905</v>
      </c>
      <c r="J93" s="451"/>
      <c r="K93" s="451" t="s">
        <v>1904</v>
      </c>
      <c r="L93" s="451" t="s">
        <v>643</v>
      </c>
      <c r="M93" s="452">
        <v>43054</v>
      </c>
      <c r="N93" s="452">
        <v>43100</v>
      </c>
      <c r="O93" s="462"/>
      <c r="P93" s="463"/>
      <c r="Q93" s="474"/>
      <c r="R93" s="456" t="s">
        <v>1902</v>
      </c>
      <c r="S93" s="687" t="s">
        <v>1176</v>
      </c>
      <c r="T93" s="689"/>
    </row>
    <row r="94" spans="1:20" ht="20.100000000000001" customHeight="1">
      <c r="A94" s="1128" t="s">
        <v>2961</v>
      </c>
      <c r="B94" s="1143" t="s">
        <v>566</v>
      </c>
      <c r="C94" s="1143" t="s">
        <v>523</v>
      </c>
      <c r="D94" s="2">
        <v>1200</v>
      </c>
      <c r="E94" s="2">
        <v>2400</v>
      </c>
      <c r="F94" s="2">
        <v>2400</v>
      </c>
      <c r="G94" s="221" t="s">
        <v>51</v>
      </c>
      <c r="H94" s="55" t="s">
        <v>629</v>
      </c>
      <c r="I94" s="451" t="s">
        <v>16</v>
      </c>
      <c r="J94" s="451"/>
      <c r="K94" s="475" t="s">
        <v>686</v>
      </c>
      <c r="L94" s="475" t="s">
        <v>637</v>
      </c>
      <c r="M94" s="452">
        <v>43040</v>
      </c>
      <c r="N94" s="452">
        <v>43091</v>
      </c>
      <c r="O94" s="455"/>
      <c r="P94" s="458"/>
      <c r="Q94" s="167" t="s">
        <v>3049</v>
      </c>
      <c r="R94" s="476" t="s">
        <v>2029</v>
      </c>
      <c r="S94" s="319"/>
      <c r="T94" s="689"/>
    </row>
    <row r="95" spans="1:20" ht="20.100000000000001" customHeight="1">
      <c r="A95" s="1128" t="s">
        <v>2961</v>
      </c>
      <c r="B95" s="1143" t="s">
        <v>566</v>
      </c>
      <c r="C95" s="1143" t="s">
        <v>523</v>
      </c>
      <c r="D95" s="2">
        <v>950</v>
      </c>
      <c r="E95" s="2">
        <v>1900</v>
      </c>
      <c r="F95" s="2">
        <v>1900</v>
      </c>
      <c r="G95" s="221" t="s">
        <v>1308</v>
      </c>
      <c r="H95" s="55" t="s">
        <v>629</v>
      </c>
      <c r="I95" s="451" t="s">
        <v>16</v>
      </c>
      <c r="J95" s="451"/>
      <c r="K95" s="451" t="s">
        <v>2034</v>
      </c>
      <c r="L95" s="475" t="s">
        <v>637</v>
      </c>
      <c r="M95" s="452">
        <v>43084</v>
      </c>
      <c r="N95" s="6">
        <v>43093</v>
      </c>
      <c r="O95" s="455"/>
      <c r="P95" s="458"/>
      <c r="Q95" s="455"/>
      <c r="R95" s="476" t="s">
        <v>2036</v>
      </c>
      <c r="S95" s="319"/>
      <c r="T95" s="313">
        <v>14</v>
      </c>
    </row>
    <row r="96" spans="1:20" ht="20.100000000000001" customHeight="1">
      <c r="A96" s="1128" t="s">
        <v>2961</v>
      </c>
      <c r="B96" s="1143" t="s">
        <v>566</v>
      </c>
      <c r="C96" s="1143" t="s">
        <v>523</v>
      </c>
      <c r="D96" s="2">
        <v>1050</v>
      </c>
      <c r="E96" s="2">
        <v>2100</v>
      </c>
      <c r="F96" s="2">
        <v>2100</v>
      </c>
      <c r="G96" s="3" t="s">
        <v>37</v>
      </c>
      <c r="H96" s="48" t="s">
        <v>1875</v>
      </c>
      <c r="I96" s="451" t="s">
        <v>16</v>
      </c>
      <c r="J96" s="451"/>
      <c r="K96" s="451" t="s">
        <v>1505</v>
      </c>
      <c r="L96" s="475" t="s">
        <v>638</v>
      </c>
      <c r="M96" s="452">
        <v>43077</v>
      </c>
      <c r="N96" s="452">
        <v>43100</v>
      </c>
      <c r="O96" s="459"/>
      <c r="P96" s="477"/>
      <c r="Q96" s="455"/>
      <c r="R96" s="476" t="s">
        <v>1876</v>
      </c>
      <c r="S96" s="687" t="s">
        <v>1176</v>
      </c>
      <c r="T96" s="688" t="s">
        <v>2842</v>
      </c>
    </row>
    <row r="97" spans="1:20" ht="20.100000000000001" customHeight="1">
      <c r="A97" s="1128" t="s">
        <v>2961</v>
      </c>
      <c r="B97" s="1143" t="s">
        <v>566</v>
      </c>
      <c r="C97" s="1143" t="s">
        <v>523</v>
      </c>
      <c r="D97" s="726">
        <f>D13+150</f>
        <v>1213</v>
      </c>
      <c r="E97" s="726">
        <f>E13+300</f>
        <v>2413</v>
      </c>
      <c r="F97" s="726">
        <f>F13+300</f>
        <v>2413</v>
      </c>
      <c r="G97" s="217" t="s">
        <v>19</v>
      </c>
      <c r="H97" s="4" t="s">
        <v>742</v>
      </c>
      <c r="I97" s="461" t="s">
        <v>16</v>
      </c>
      <c r="J97" s="461"/>
      <c r="K97" s="461" t="s">
        <v>1319</v>
      </c>
      <c r="L97" s="451" t="s">
        <v>637</v>
      </c>
      <c r="M97" s="452">
        <v>43086</v>
      </c>
      <c r="N97" s="452">
        <v>43100</v>
      </c>
      <c r="O97" s="478"/>
      <c r="P97" s="478"/>
      <c r="Q97" s="455"/>
      <c r="R97" s="476" t="s">
        <v>1368</v>
      </c>
      <c r="S97" s="687"/>
      <c r="T97" s="689"/>
    </row>
    <row r="98" spans="1:20" ht="20.100000000000001" customHeight="1">
      <c r="A98" s="1128" t="s">
        <v>2961</v>
      </c>
      <c r="B98" s="1143" t="s">
        <v>566</v>
      </c>
      <c r="C98" s="1143" t="s">
        <v>523</v>
      </c>
      <c r="D98" s="726">
        <v>1100</v>
      </c>
      <c r="E98" s="726">
        <v>2200</v>
      </c>
      <c r="F98" s="726">
        <v>2200</v>
      </c>
      <c r="G98" s="3" t="s">
        <v>6</v>
      </c>
      <c r="H98" s="4" t="s">
        <v>1875</v>
      </c>
      <c r="I98" s="451" t="s">
        <v>16</v>
      </c>
      <c r="J98" s="451"/>
      <c r="K98" s="451">
        <v>30</v>
      </c>
      <c r="L98" s="451" t="s">
        <v>637</v>
      </c>
      <c r="M98" s="457">
        <v>43073</v>
      </c>
      <c r="N98" s="457">
        <v>43093</v>
      </c>
      <c r="O98" s="458"/>
      <c r="P98" s="458"/>
      <c r="Q98" s="455"/>
      <c r="R98" s="456" t="s">
        <v>1953</v>
      </c>
      <c r="S98" s="316" t="s">
        <v>2827</v>
      </c>
      <c r="T98" s="689"/>
    </row>
    <row r="99" spans="1:20" ht="20.100000000000001" customHeight="1">
      <c r="A99" s="1128" t="s">
        <v>2961</v>
      </c>
      <c r="B99" s="1143" t="s">
        <v>566</v>
      </c>
      <c r="C99" s="1143" t="s">
        <v>523</v>
      </c>
      <c r="D99" s="11">
        <v>1075</v>
      </c>
      <c r="E99" s="11">
        <v>2125</v>
      </c>
      <c r="F99" s="11">
        <v>2125</v>
      </c>
      <c r="G99" s="221" t="s">
        <v>22</v>
      </c>
      <c r="H99" s="4" t="s">
        <v>3053</v>
      </c>
      <c r="I99" s="451" t="s">
        <v>16</v>
      </c>
      <c r="J99" s="451"/>
      <c r="K99" s="451" t="s">
        <v>2280</v>
      </c>
      <c r="L99" s="451" t="s">
        <v>643</v>
      </c>
      <c r="M99" s="452">
        <v>43054</v>
      </c>
      <c r="N99" s="452">
        <v>43100</v>
      </c>
      <c r="O99" s="459"/>
      <c r="P99" s="459"/>
      <c r="Q99" s="474"/>
      <c r="R99" s="456" t="s">
        <v>2278</v>
      </c>
      <c r="S99" s="315" t="s">
        <v>3391</v>
      </c>
      <c r="T99" s="313" t="s">
        <v>2843</v>
      </c>
    </row>
    <row r="100" spans="1:20" ht="20.100000000000001" customHeight="1">
      <c r="A100" s="1128" t="s">
        <v>2961</v>
      </c>
      <c r="B100" s="1143" t="s">
        <v>566</v>
      </c>
      <c r="C100" s="1143" t="s">
        <v>523</v>
      </c>
      <c r="D100" s="892">
        <v>1200</v>
      </c>
      <c r="E100" s="892">
        <v>2400</v>
      </c>
      <c r="F100" s="892">
        <v>2400</v>
      </c>
      <c r="G100" s="3" t="s">
        <v>32</v>
      </c>
      <c r="H100" s="4" t="s">
        <v>725</v>
      </c>
      <c r="I100" s="451" t="s">
        <v>16</v>
      </c>
      <c r="J100" s="451"/>
      <c r="K100" s="451" t="s">
        <v>810</v>
      </c>
      <c r="L100" s="451" t="s">
        <v>649</v>
      </c>
      <c r="M100" s="452">
        <v>43083</v>
      </c>
      <c r="N100" s="452">
        <v>43100</v>
      </c>
      <c r="O100" s="477"/>
      <c r="P100" s="477"/>
      <c r="Q100" s="479"/>
      <c r="R100" s="473" t="s">
        <v>780</v>
      </c>
      <c r="S100" s="687" t="s">
        <v>1176</v>
      </c>
      <c r="T100" s="689"/>
    </row>
    <row r="101" spans="1:20" ht="20.100000000000001" customHeight="1">
      <c r="A101" s="1128" t="s">
        <v>2961</v>
      </c>
      <c r="B101" s="1143" t="s">
        <v>566</v>
      </c>
      <c r="C101" s="1143" t="s">
        <v>523</v>
      </c>
      <c r="D101" s="2">
        <v>1050</v>
      </c>
      <c r="E101" s="2"/>
      <c r="F101" s="2">
        <v>2100</v>
      </c>
      <c r="G101" s="23" t="s">
        <v>827</v>
      </c>
      <c r="H101" s="22" t="s">
        <v>659</v>
      </c>
      <c r="I101" s="461" t="s">
        <v>16</v>
      </c>
      <c r="J101" s="461"/>
      <c r="K101" s="480">
        <v>28</v>
      </c>
      <c r="L101" s="451" t="s">
        <v>643</v>
      </c>
      <c r="M101" s="452">
        <v>43080</v>
      </c>
      <c r="N101" s="452">
        <v>43100</v>
      </c>
      <c r="O101" s="477"/>
      <c r="P101" s="477"/>
      <c r="Q101" s="481"/>
      <c r="R101" s="473" t="s">
        <v>1274</v>
      </c>
      <c r="S101" s="687" t="s">
        <v>1176</v>
      </c>
      <c r="T101" s="689"/>
    </row>
    <row r="102" spans="1:20" ht="20.100000000000001" customHeight="1">
      <c r="A102" s="1128" t="s">
        <v>2961</v>
      </c>
      <c r="B102" s="1143" t="s">
        <v>566</v>
      </c>
      <c r="C102" s="1143" t="s">
        <v>523</v>
      </c>
      <c r="D102" s="2">
        <v>1050</v>
      </c>
      <c r="E102" s="2">
        <v>2100</v>
      </c>
      <c r="F102" s="2">
        <v>2100</v>
      </c>
      <c r="G102" s="3" t="s">
        <v>13</v>
      </c>
      <c r="H102" s="4" t="s">
        <v>2114</v>
      </c>
      <c r="I102" s="451" t="s">
        <v>16</v>
      </c>
      <c r="J102" s="451"/>
      <c r="K102" s="451" t="s">
        <v>1954</v>
      </c>
      <c r="L102" s="475" t="s">
        <v>638</v>
      </c>
      <c r="M102" s="452">
        <v>43080</v>
      </c>
      <c r="N102" s="452">
        <v>43083</v>
      </c>
      <c r="O102" s="458"/>
      <c r="P102" s="458"/>
      <c r="Q102" s="172"/>
      <c r="R102" s="456" t="s">
        <v>2268</v>
      </c>
      <c r="S102" s="687" t="s">
        <v>1176</v>
      </c>
      <c r="T102" s="689"/>
    </row>
    <row r="103" spans="1:20" ht="20.100000000000001" customHeight="1">
      <c r="A103" s="1128" t="s">
        <v>2961</v>
      </c>
      <c r="B103" s="1143" t="s">
        <v>566</v>
      </c>
      <c r="C103" s="1143" t="s">
        <v>534</v>
      </c>
      <c r="D103" s="2">
        <v>1362</v>
      </c>
      <c r="E103" s="2">
        <v>2712</v>
      </c>
      <c r="F103" s="2">
        <v>2712</v>
      </c>
      <c r="G103" s="227" t="s">
        <v>1689</v>
      </c>
      <c r="H103" s="4" t="s">
        <v>646</v>
      </c>
      <c r="I103" s="451" t="s">
        <v>1905</v>
      </c>
      <c r="J103" s="451"/>
      <c r="K103" s="451" t="s">
        <v>1509</v>
      </c>
      <c r="L103" s="451" t="s">
        <v>643</v>
      </c>
      <c r="M103" s="452">
        <v>43054</v>
      </c>
      <c r="N103" s="452">
        <v>43100</v>
      </c>
      <c r="O103" s="462"/>
      <c r="P103" s="463"/>
      <c r="Q103" s="474"/>
      <c r="R103" s="456" t="s">
        <v>1902</v>
      </c>
      <c r="S103" s="687" t="s">
        <v>1176</v>
      </c>
      <c r="T103" s="137"/>
    </row>
    <row r="104" spans="1:20" ht="20.100000000000001" customHeight="1">
      <c r="A104" s="1128" t="s">
        <v>2961</v>
      </c>
      <c r="B104" s="1143" t="s">
        <v>566</v>
      </c>
      <c r="C104" s="1143" t="s">
        <v>534</v>
      </c>
      <c r="D104" s="2">
        <v>1200</v>
      </c>
      <c r="E104" s="2">
        <v>2400</v>
      </c>
      <c r="F104" s="2">
        <v>2400</v>
      </c>
      <c r="G104" s="221" t="s">
        <v>51</v>
      </c>
      <c r="H104" s="55" t="s">
        <v>629</v>
      </c>
      <c r="I104" s="451" t="s">
        <v>16</v>
      </c>
      <c r="J104" s="451"/>
      <c r="K104" s="451" t="s">
        <v>743</v>
      </c>
      <c r="L104" s="475" t="s">
        <v>637</v>
      </c>
      <c r="M104" s="452">
        <v>43040</v>
      </c>
      <c r="N104" s="452">
        <v>43091</v>
      </c>
      <c r="O104" s="455"/>
      <c r="P104" s="458"/>
      <c r="Q104" s="167" t="s">
        <v>3049</v>
      </c>
      <c r="R104" s="476" t="s">
        <v>2029</v>
      </c>
      <c r="S104" s="319"/>
      <c r="T104" s="137"/>
    </row>
    <row r="105" spans="1:20" ht="20.100000000000001" customHeight="1">
      <c r="A105" s="1128" t="s">
        <v>2961</v>
      </c>
      <c r="B105" s="1143" t="s">
        <v>566</v>
      </c>
      <c r="C105" s="1143" t="s">
        <v>534</v>
      </c>
      <c r="D105" s="2">
        <v>950</v>
      </c>
      <c r="E105" s="2">
        <v>1900</v>
      </c>
      <c r="F105" s="2">
        <v>1900</v>
      </c>
      <c r="G105" s="221" t="s">
        <v>1308</v>
      </c>
      <c r="H105" s="55" t="s">
        <v>629</v>
      </c>
      <c r="I105" s="451" t="s">
        <v>16</v>
      </c>
      <c r="J105" s="451"/>
      <c r="K105" s="451" t="s">
        <v>2035</v>
      </c>
      <c r="L105" s="475" t="s">
        <v>637</v>
      </c>
      <c r="M105" s="452">
        <v>43084</v>
      </c>
      <c r="N105" s="6">
        <v>43093</v>
      </c>
      <c r="O105" s="455"/>
      <c r="P105" s="458"/>
      <c r="Q105" s="455"/>
      <c r="R105" s="476" t="s">
        <v>2036</v>
      </c>
      <c r="S105" s="319"/>
      <c r="T105" s="313">
        <v>14</v>
      </c>
    </row>
    <row r="106" spans="1:20" ht="20.100000000000001" customHeight="1">
      <c r="A106" s="1128" t="s">
        <v>2961</v>
      </c>
      <c r="B106" s="1143" t="s">
        <v>566</v>
      </c>
      <c r="C106" s="1143" t="s">
        <v>534</v>
      </c>
      <c r="D106" s="2">
        <v>1050</v>
      </c>
      <c r="E106" s="2">
        <v>2100</v>
      </c>
      <c r="F106" s="2">
        <v>2100</v>
      </c>
      <c r="G106" s="3" t="s">
        <v>37</v>
      </c>
      <c r="H106" s="48" t="s">
        <v>1875</v>
      </c>
      <c r="I106" s="451" t="s">
        <v>16</v>
      </c>
      <c r="J106" s="451"/>
      <c r="K106" s="475" t="s">
        <v>1506</v>
      </c>
      <c r="L106" s="475" t="s">
        <v>638</v>
      </c>
      <c r="M106" s="452">
        <v>43077</v>
      </c>
      <c r="N106" s="452">
        <v>43100</v>
      </c>
      <c r="O106" s="459"/>
      <c r="P106" s="458"/>
      <c r="Q106" s="455"/>
      <c r="R106" s="476" t="s">
        <v>1876</v>
      </c>
      <c r="S106" s="687" t="s">
        <v>1176</v>
      </c>
      <c r="T106" s="688" t="s">
        <v>2842</v>
      </c>
    </row>
    <row r="107" spans="1:20" ht="20.100000000000001" customHeight="1">
      <c r="A107" s="1128" t="s">
        <v>2961</v>
      </c>
      <c r="B107" s="1143" t="s">
        <v>566</v>
      </c>
      <c r="C107" s="1143" t="s">
        <v>534</v>
      </c>
      <c r="D107" s="726">
        <f>D13+150</f>
        <v>1213</v>
      </c>
      <c r="E107" s="726">
        <f>E13+300</f>
        <v>2413</v>
      </c>
      <c r="F107" s="726">
        <f>F13+300</f>
        <v>2413</v>
      </c>
      <c r="G107" s="217" t="s">
        <v>19</v>
      </c>
      <c r="H107" s="4" t="s">
        <v>742</v>
      </c>
      <c r="I107" s="461" t="s">
        <v>16</v>
      </c>
      <c r="J107" s="461"/>
      <c r="K107" s="461" t="s">
        <v>1320</v>
      </c>
      <c r="L107" s="451" t="s">
        <v>637</v>
      </c>
      <c r="M107" s="452">
        <v>43086</v>
      </c>
      <c r="N107" s="452">
        <v>43100</v>
      </c>
      <c r="O107" s="458"/>
      <c r="P107" s="458"/>
      <c r="Q107" s="455"/>
      <c r="R107" s="476" t="s">
        <v>1368</v>
      </c>
      <c r="S107" s="687"/>
      <c r="T107" s="137"/>
    </row>
    <row r="108" spans="1:20" ht="20.100000000000001" customHeight="1">
      <c r="A108" s="1128" t="s">
        <v>2961</v>
      </c>
      <c r="B108" s="1143" t="s">
        <v>566</v>
      </c>
      <c r="C108" s="1143" t="s">
        <v>534</v>
      </c>
      <c r="D108" s="726">
        <v>1100</v>
      </c>
      <c r="E108" s="726">
        <v>2200</v>
      </c>
      <c r="F108" s="726">
        <v>2200</v>
      </c>
      <c r="G108" s="3" t="s">
        <v>215</v>
      </c>
      <c r="H108" s="4" t="s">
        <v>1875</v>
      </c>
      <c r="I108" s="451" t="s">
        <v>16</v>
      </c>
      <c r="J108" s="451"/>
      <c r="K108" s="451">
        <v>18</v>
      </c>
      <c r="L108" s="451" t="s">
        <v>637</v>
      </c>
      <c r="M108" s="457">
        <v>43073</v>
      </c>
      <c r="N108" s="457">
        <v>43093</v>
      </c>
      <c r="O108" s="458"/>
      <c r="P108" s="458"/>
      <c r="Q108" s="455"/>
      <c r="R108" s="456" t="s">
        <v>1953</v>
      </c>
      <c r="S108" s="316" t="s">
        <v>2827</v>
      </c>
      <c r="T108" s="689"/>
    </row>
    <row r="109" spans="1:20" ht="20.100000000000001" customHeight="1">
      <c r="A109" s="1128" t="s">
        <v>2961</v>
      </c>
      <c r="B109" s="1143" t="s">
        <v>566</v>
      </c>
      <c r="C109" s="1143" t="s">
        <v>534</v>
      </c>
      <c r="D109" s="11">
        <v>1125</v>
      </c>
      <c r="E109" s="11">
        <v>2250</v>
      </c>
      <c r="F109" s="11">
        <v>2250</v>
      </c>
      <c r="G109" s="3" t="s">
        <v>30</v>
      </c>
      <c r="H109" s="56" t="s">
        <v>742</v>
      </c>
      <c r="I109" s="451" t="s">
        <v>16</v>
      </c>
      <c r="J109" s="451"/>
      <c r="K109" s="451">
        <v>16</v>
      </c>
      <c r="L109" s="475" t="s">
        <v>637</v>
      </c>
      <c r="M109" s="399">
        <v>43077</v>
      </c>
      <c r="N109" s="399">
        <v>43100</v>
      </c>
      <c r="O109" s="458"/>
      <c r="P109" s="458"/>
      <c r="Q109" s="167"/>
      <c r="R109" s="476" t="s">
        <v>1977</v>
      </c>
      <c r="S109" s="687"/>
      <c r="T109" s="689"/>
    </row>
    <row r="110" spans="1:20" ht="20.100000000000001" customHeight="1">
      <c r="A110" s="1128" t="s">
        <v>2961</v>
      </c>
      <c r="B110" s="1143" t="s">
        <v>566</v>
      </c>
      <c r="C110" s="1143" t="s">
        <v>534</v>
      </c>
      <c r="D110" s="11">
        <v>1012</v>
      </c>
      <c r="E110" s="11"/>
      <c r="F110" s="2">
        <v>2012</v>
      </c>
      <c r="G110" s="221" t="s">
        <v>103</v>
      </c>
      <c r="H110" s="22" t="s">
        <v>2316</v>
      </c>
      <c r="I110" s="451" t="s">
        <v>2317</v>
      </c>
      <c r="J110" s="461"/>
      <c r="K110" s="461">
        <v>20</v>
      </c>
      <c r="L110" s="472" t="s">
        <v>642</v>
      </c>
      <c r="M110" s="452">
        <v>43059</v>
      </c>
      <c r="N110" s="452">
        <v>43100</v>
      </c>
      <c r="O110" s="483"/>
      <c r="P110" s="483"/>
      <c r="Q110" s="455"/>
      <c r="R110" s="473" t="s">
        <v>2318</v>
      </c>
      <c r="S110" s="687" t="s">
        <v>1176</v>
      </c>
      <c r="T110" s="313" t="s">
        <v>2841</v>
      </c>
    </row>
    <row r="111" spans="1:20" ht="20.100000000000001" customHeight="1">
      <c r="A111" s="1128" t="s">
        <v>2961</v>
      </c>
      <c r="B111" s="1143" t="s">
        <v>566</v>
      </c>
      <c r="C111" s="1143" t="s">
        <v>534</v>
      </c>
      <c r="D111" s="11">
        <v>1075</v>
      </c>
      <c r="E111" s="11">
        <v>2125</v>
      </c>
      <c r="F111" s="11">
        <v>2125</v>
      </c>
      <c r="G111" s="221" t="s">
        <v>22</v>
      </c>
      <c r="H111" s="4" t="s">
        <v>3053</v>
      </c>
      <c r="I111" s="451" t="s">
        <v>16</v>
      </c>
      <c r="J111" s="451"/>
      <c r="K111" s="451" t="s">
        <v>2279</v>
      </c>
      <c r="L111" s="451" t="s">
        <v>643</v>
      </c>
      <c r="M111" s="452">
        <v>43054</v>
      </c>
      <c r="N111" s="452">
        <v>43100</v>
      </c>
      <c r="O111" s="459"/>
      <c r="P111" s="459"/>
      <c r="Q111" s="474"/>
      <c r="R111" s="456" t="s">
        <v>2278</v>
      </c>
      <c r="S111" s="315" t="s">
        <v>3054</v>
      </c>
      <c r="T111" s="313" t="s">
        <v>2843</v>
      </c>
    </row>
    <row r="112" spans="1:20" ht="20.100000000000001" customHeight="1">
      <c r="A112" s="1128" t="s">
        <v>2961</v>
      </c>
      <c r="B112" s="1143" t="s">
        <v>566</v>
      </c>
      <c r="C112" s="1143" t="s">
        <v>534</v>
      </c>
      <c r="D112" s="892">
        <v>1200</v>
      </c>
      <c r="E112" s="892">
        <v>2400</v>
      </c>
      <c r="F112" s="892">
        <v>2400</v>
      </c>
      <c r="G112" s="3" t="s">
        <v>31</v>
      </c>
      <c r="H112" s="4" t="s">
        <v>725</v>
      </c>
      <c r="I112" s="451" t="s">
        <v>16</v>
      </c>
      <c r="J112" s="451"/>
      <c r="K112" s="451" t="s">
        <v>811</v>
      </c>
      <c r="L112" s="451" t="s">
        <v>809</v>
      </c>
      <c r="M112" s="452">
        <v>43083</v>
      </c>
      <c r="N112" s="452">
        <v>43100</v>
      </c>
      <c r="O112" s="460"/>
      <c r="P112" s="460"/>
      <c r="Q112" s="479"/>
      <c r="R112" s="473" t="s">
        <v>780</v>
      </c>
      <c r="S112" s="687" t="s">
        <v>1176</v>
      </c>
      <c r="T112" s="689"/>
    </row>
    <row r="113" spans="1:20" ht="20.100000000000001" customHeight="1">
      <c r="A113" s="1128" t="s">
        <v>2961</v>
      </c>
      <c r="B113" s="1143" t="s">
        <v>566</v>
      </c>
      <c r="C113" s="1143" t="s">
        <v>534</v>
      </c>
      <c r="D113" s="2">
        <v>1050</v>
      </c>
      <c r="E113" s="2"/>
      <c r="F113" s="2">
        <v>2100</v>
      </c>
      <c r="G113" s="673" t="s">
        <v>18</v>
      </c>
      <c r="H113" s="56">
        <v>3</v>
      </c>
      <c r="I113" s="451" t="s">
        <v>17</v>
      </c>
      <c r="J113" s="451"/>
      <c r="K113" s="475">
        <v>26</v>
      </c>
      <c r="L113" s="451" t="s">
        <v>643</v>
      </c>
      <c r="M113" s="452">
        <v>43080</v>
      </c>
      <c r="N113" s="452">
        <v>43100</v>
      </c>
      <c r="O113" s="477"/>
      <c r="P113" s="477"/>
      <c r="Q113" s="455"/>
      <c r="R113" s="456" t="s">
        <v>170</v>
      </c>
      <c r="S113" s="687" t="s">
        <v>1176</v>
      </c>
      <c r="T113" s="680"/>
    </row>
    <row r="114" spans="1:20" ht="20.100000000000001" customHeight="1">
      <c r="A114" s="1128" t="s">
        <v>2961</v>
      </c>
      <c r="B114" s="1143" t="s">
        <v>566</v>
      </c>
      <c r="C114" s="1143" t="s">
        <v>534</v>
      </c>
      <c r="D114" s="2">
        <v>1050</v>
      </c>
      <c r="E114" s="2">
        <v>2100</v>
      </c>
      <c r="F114" s="2">
        <v>2100</v>
      </c>
      <c r="G114" s="3" t="s">
        <v>13</v>
      </c>
      <c r="H114" s="4" t="s">
        <v>2114</v>
      </c>
      <c r="I114" s="451" t="s">
        <v>16</v>
      </c>
      <c r="J114" s="451"/>
      <c r="K114" s="451" t="s">
        <v>1957</v>
      </c>
      <c r="L114" s="475" t="s">
        <v>638</v>
      </c>
      <c r="M114" s="452">
        <v>43080</v>
      </c>
      <c r="N114" s="452">
        <v>43083</v>
      </c>
      <c r="O114" s="458"/>
      <c r="P114" s="458"/>
      <c r="Q114" s="172"/>
      <c r="R114" s="456" t="s">
        <v>2268</v>
      </c>
      <c r="S114" s="687" t="s">
        <v>1176</v>
      </c>
      <c r="T114" s="680"/>
    </row>
    <row r="115" spans="1:20" ht="20.100000000000001" customHeight="1">
      <c r="A115" s="1128" t="s">
        <v>2961</v>
      </c>
      <c r="B115" s="1143" t="s">
        <v>566</v>
      </c>
      <c r="C115" s="1143" t="s">
        <v>533</v>
      </c>
      <c r="D115" s="2">
        <f>D107+715*1</f>
        <v>1928</v>
      </c>
      <c r="E115" s="2">
        <f>E107+870*1</f>
        <v>3283</v>
      </c>
      <c r="F115" s="2">
        <f>F107+870*1</f>
        <v>3283</v>
      </c>
      <c r="G115" s="609" t="s">
        <v>2847</v>
      </c>
      <c r="H115" s="4" t="s">
        <v>1214</v>
      </c>
      <c r="I115" s="451" t="s">
        <v>42</v>
      </c>
      <c r="J115" s="451"/>
      <c r="K115" s="451" t="s">
        <v>1215</v>
      </c>
      <c r="L115" s="451" t="s">
        <v>637</v>
      </c>
      <c r="M115" s="452">
        <v>43086</v>
      </c>
      <c r="N115" s="452">
        <v>43100</v>
      </c>
      <c r="O115" s="458"/>
      <c r="P115" s="458"/>
      <c r="Q115" s="463" t="s">
        <v>24</v>
      </c>
      <c r="R115" s="476" t="s">
        <v>1368</v>
      </c>
      <c r="S115" s="687"/>
      <c r="T115" s="680"/>
    </row>
    <row r="116" spans="1:20" ht="20.100000000000001" customHeight="1">
      <c r="A116" s="1128" t="s">
        <v>2961</v>
      </c>
      <c r="B116" s="1143" t="s">
        <v>566</v>
      </c>
      <c r="C116" s="1143" t="s">
        <v>533</v>
      </c>
      <c r="D116" s="2">
        <f>D103+800*1+50</f>
        <v>2212</v>
      </c>
      <c r="E116" s="2">
        <f>E103+900*1+100</f>
        <v>3712</v>
      </c>
      <c r="F116" s="2">
        <f>F103+900*1+100</f>
        <v>3712</v>
      </c>
      <c r="G116" s="609" t="s">
        <v>1689</v>
      </c>
      <c r="H116" s="4" t="s">
        <v>646</v>
      </c>
      <c r="I116" s="451" t="s">
        <v>42</v>
      </c>
      <c r="J116" s="451"/>
      <c r="K116" s="451" t="s">
        <v>1903</v>
      </c>
      <c r="L116" s="451" t="s">
        <v>643</v>
      </c>
      <c r="M116" s="452">
        <v>43054</v>
      </c>
      <c r="N116" s="452">
        <v>43100</v>
      </c>
      <c r="O116" s="458"/>
      <c r="P116" s="463"/>
      <c r="Q116" s="463" t="s">
        <v>305</v>
      </c>
      <c r="R116" s="456" t="s">
        <v>1902</v>
      </c>
      <c r="S116" s="687"/>
      <c r="T116" s="689"/>
    </row>
    <row r="117" spans="1:20" ht="20.100000000000001" customHeight="1">
      <c r="A117" s="1128" t="s">
        <v>2961</v>
      </c>
      <c r="B117" s="1143" t="s">
        <v>566</v>
      </c>
      <c r="C117" s="1143" t="s">
        <v>533</v>
      </c>
      <c r="D117" s="2">
        <f>D106+1225*1</f>
        <v>2275</v>
      </c>
      <c r="E117" s="2">
        <f>E106+1525*1</f>
        <v>3625</v>
      </c>
      <c r="F117" s="2">
        <f>F106+1525*1</f>
        <v>3625</v>
      </c>
      <c r="G117" s="692" t="s">
        <v>1528</v>
      </c>
      <c r="H117" s="48" t="s">
        <v>1875</v>
      </c>
      <c r="I117" s="451" t="s">
        <v>42</v>
      </c>
      <c r="J117" s="451"/>
      <c r="K117" s="475" t="s">
        <v>1529</v>
      </c>
      <c r="L117" s="475" t="s">
        <v>637</v>
      </c>
      <c r="M117" s="452">
        <v>43077</v>
      </c>
      <c r="N117" s="452">
        <v>43100</v>
      </c>
      <c r="O117" s="459"/>
      <c r="P117" s="458"/>
      <c r="Q117" s="463" t="s">
        <v>24</v>
      </c>
      <c r="R117" s="476" t="s">
        <v>1876</v>
      </c>
      <c r="S117" s="687" t="s">
        <v>1176</v>
      </c>
      <c r="T117" s="688" t="s">
        <v>2842</v>
      </c>
    </row>
    <row r="118" spans="1:20" ht="20.100000000000001" customHeight="1">
      <c r="A118" s="1128" t="s">
        <v>2961</v>
      </c>
      <c r="B118" s="1143" t="s">
        <v>566</v>
      </c>
      <c r="C118" s="1143" t="s">
        <v>533</v>
      </c>
      <c r="D118" s="11">
        <f>D110+950*1</f>
        <v>1962</v>
      </c>
      <c r="E118" s="11"/>
      <c r="F118" s="2">
        <f>F110+950*1</f>
        <v>2962</v>
      </c>
      <c r="G118" s="609" t="s">
        <v>103</v>
      </c>
      <c r="H118" s="22" t="s">
        <v>2316</v>
      </c>
      <c r="I118" s="451" t="s">
        <v>42</v>
      </c>
      <c r="J118" s="461"/>
      <c r="K118" s="461" t="s">
        <v>1182</v>
      </c>
      <c r="L118" s="472" t="s">
        <v>642</v>
      </c>
      <c r="M118" s="452">
        <v>43059</v>
      </c>
      <c r="N118" s="452">
        <v>43100</v>
      </c>
      <c r="O118" s="483"/>
      <c r="P118" s="483"/>
      <c r="Q118" s="463" t="s">
        <v>24</v>
      </c>
      <c r="R118" s="473" t="s">
        <v>2318</v>
      </c>
      <c r="S118" s="687" t="s">
        <v>1176</v>
      </c>
      <c r="T118" s="313" t="s">
        <v>2841</v>
      </c>
    </row>
    <row r="119" spans="1:20" ht="20.100000000000001" customHeight="1">
      <c r="A119" s="1128" t="s">
        <v>2961</v>
      </c>
      <c r="B119" s="1143" t="s">
        <v>566</v>
      </c>
      <c r="C119" s="1143" t="s">
        <v>1681</v>
      </c>
      <c r="D119" s="2">
        <v>2425</v>
      </c>
      <c r="E119" s="2">
        <v>4700</v>
      </c>
      <c r="F119" s="2">
        <v>4700</v>
      </c>
      <c r="G119" s="3" t="s">
        <v>13</v>
      </c>
      <c r="H119" s="4" t="s">
        <v>729</v>
      </c>
      <c r="I119" s="451" t="s">
        <v>113</v>
      </c>
      <c r="J119" s="451"/>
      <c r="K119" s="451">
        <v>28</v>
      </c>
      <c r="L119" s="475" t="s">
        <v>638</v>
      </c>
      <c r="M119" s="452">
        <v>43023</v>
      </c>
      <c r="N119" s="452">
        <v>43039</v>
      </c>
      <c r="O119" s="484"/>
      <c r="P119" s="484"/>
      <c r="Q119" s="471" t="s">
        <v>458</v>
      </c>
      <c r="R119" s="456" t="s">
        <v>301</v>
      </c>
      <c r="S119" s="687" t="s">
        <v>1176</v>
      </c>
      <c r="T119" s="689"/>
    </row>
    <row r="120" spans="1:20" ht="20.100000000000001" customHeight="1">
      <c r="A120" s="1128" t="s">
        <v>2961</v>
      </c>
      <c r="B120" s="1143" t="s">
        <v>566</v>
      </c>
      <c r="C120" s="1143" t="s">
        <v>532</v>
      </c>
      <c r="D120" s="2">
        <f>D74+1650*1</f>
        <v>2962</v>
      </c>
      <c r="E120" s="2">
        <f>E74+2650*1</f>
        <v>5262</v>
      </c>
      <c r="F120" s="2">
        <f>F74+2650*1</f>
        <v>5262</v>
      </c>
      <c r="G120" s="609" t="s">
        <v>1689</v>
      </c>
      <c r="H120" s="4">
        <v>3</v>
      </c>
      <c r="I120" s="451" t="s">
        <v>113</v>
      </c>
      <c r="J120" s="451"/>
      <c r="K120" s="451">
        <v>25</v>
      </c>
      <c r="L120" s="451" t="s">
        <v>643</v>
      </c>
      <c r="M120" s="452">
        <v>43054</v>
      </c>
      <c r="N120" s="452">
        <v>43100</v>
      </c>
      <c r="O120" s="458"/>
      <c r="P120" s="485"/>
      <c r="Q120" s="485" t="s">
        <v>306</v>
      </c>
      <c r="R120" s="456" t="s">
        <v>183</v>
      </c>
      <c r="S120" s="687" t="s">
        <v>1176</v>
      </c>
      <c r="T120" s="689"/>
    </row>
    <row r="121" spans="1:20" ht="20.100000000000001" customHeight="1">
      <c r="A121" s="1128" t="s">
        <v>2961</v>
      </c>
      <c r="B121" s="1143" t="s">
        <v>566</v>
      </c>
      <c r="C121" s="1143" t="s">
        <v>532</v>
      </c>
      <c r="D121" s="892">
        <v>1700</v>
      </c>
      <c r="E121" s="892">
        <v>3400</v>
      </c>
      <c r="F121" s="892">
        <v>3400</v>
      </c>
      <c r="G121" s="23" t="s">
        <v>759</v>
      </c>
      <c r="H121" s="4">
        <v>3</v>
      </c>
      <c r="I121" s="451" t="s">
        <v>113</v>
      </c>
      <c r="J121" s="451"/>
      <c r="K121" s="486" t="s">
        <v>680</v>
      </c>
      <c r="L121" s="451" t="s">
        <v>643</v>
      </c>
      <c r="M121" s="452">
        <v>43083</v>
      </c>
      <c r="N121" s="452">
        <v>43100</v>
      </c>
      <c r="O121" s="477"/>
      <c r="P121" s="477"/>
      <c r="Q121" s="455"/>
      <c r="R121" s="456" t="s">
        <v>176</v>
      </c>
      <c r="S121" s="687" t="s">
        <v>1176</v>
      </c>
      <c r="T121" s="689"/>
    </row>
    <row r="122" spans="1:20" ht="20.100000000000001" customHeight="1">
      <c r="A122" s="1128" t="s">
        <v>2961</v>
      </c>
      <c r="B122" s="1143" t="s">
        <v>566</v>
      </c>
      <c r="C122" s="1143" t="s">
        <v>532</v>
      </c>
      <c r="D122" s="892">
        <v>1700</v>
      </c>
      <c r="E122" s="892">
        <v>3400</v>
      </c>
      <c r="F122" s="892">
        <v>3400</v>
      </c>
      <c r="G122" s="23" t="s">
        <v>759</v>
      </c>
      <c r="H122" s="4" t="s">
        <v>725</v>
      </c>
      <c r="I122" s="451" t="s">
        <v>16</v>
      </c>
      <c r="J122" s="451"/>
      <c r="K122" s="451" t="s">
        <v>683</v>
      </c>
      <c r="L122" s="451" t="s">
        <v>809</v>
      </c>
      <c r="M122" s="452">
        <v>43083</v>
      </c>
      <c r="N122" s="452">
        <v>43100</v>
      </c>
      <c r="O122" s="477"/>
      <c r="P122" s="477"/>
      <c r="Q122" s="479"/>
      <c r="R122" s="473" t="s">
        <v>780</v>
      </c>
      <c r="S122" s="687" t="s">
        <v>1176</v>
      </c>
      <c r="T122" s="689"/>
    </row>
    <row r="123" spans="1:20" ht="20.100000000000001" customHeight="1">
      <c r="A123" s="1128" t="s">
        <v>2961</v>
      </c>
      <c r="B123" s="1143" t="s">
        <v>566</v>
      </c>
      <c r="C123" s="1143" t="s">
        <v>532</v>
      </c>
      <c r="D123" s="11"/>
      <c r="E123" s="11"/>
      <c r="F123" s="11"/>
      <c r="G123" s="693" t="s">
        <v>139</v>
      </c>
      <c r="H123" s="766"/>
      <c r="I123" s="451" t="s">
        <v>17</v>
      </c>
      <c r="J123" s="451"/>
      <c r="K123" s="475" t="s">
        <v>737</v>
      </c>
      <c r="L123" s="475" t="s">
        <v>635</v>
      </c>
      <c r="M123" s="452">
        <v>43040</v>
      </c>
      <c r="N123" s="452">
        <v>43100</v>
      </c>
      <c r="O123" s="458" t="s">
        <v>624</v>
      </c>
      <c r="P123" s="458"/>
      <c r="Q123" s="458"/>
      <c r="R123" s="456"/>
      <c r="S123" s="687"/>
      <c r="T123" s="680"/>
    </row>
    <row r="124" spans="1:20" ht="20.100000000000001" customHeight="1">
      <c r="A124" s="1144" t="s">
        <v>2961</v>
      </c>
      <c r="B124" s="1147" t="s">
        <v>566</v>
      </c>
      <c r="C124" s="1144" t="s">
        <v>3486</v>
      </c>
      <c r="D124" s="2">
        <v>2225</v>
      </c>
      <c r="E124" s="2">
        <v>4200</v>
      </c>
      <c r="F124" s="2">
        <v>4200</v>
      </c>
      <c r="G124" s="3" t="s">
        <v>13</v>
      </c>
      <c r="H124" s="4" t="s">
        <v>729</v>
      </c>
      <c r="I124" s="451" t="s">
        <v>113</v>
      </c>
      <c r="J124" s="451"/>
      <c r="K124" s="451">
        <v>26</v>
      </c>
      <c r="L124" s="475" t="s">
        <v>638</v>
      </c>
      <c r="M124" s="452">
        <v>43023</v>
      </c>
      <c r="N124" s="452">
        <v>43039</v>
      </c>
      <c r="O124" s="484"/>
      <c r="P124" s="484"/>
      <c r="Q124" s="471" t="s">
        <v>457</v>
      </c>
      <c r="R124" s="456" t="s">
        <v>301</v>
      </c>
      <c r="S124" s="687" t="s">
        <v>1176</v>
      </c>
      <c r="T124" s="689"/>
    </row>
    <row r="125" spans="1:20" ht="20.100000000000001" customHeight="1">
      <c r="A125" s="1145" t="s">
        <v>2961</v>
      </c>
      <c r="B125" s="1148" t="s">
        <v>566</v>
      </c>
      <c r="C125" s="1148" t="s">
        <v>553</v>
      </c>
      <c r="D125" s="2">
        <f>D66+1200*1</f>
        <v>2300</v>
      </c>
      <c r="E125" s="2">
        <f>E66+2250*1</f>
        <v>4450</v>
      </c>
      <c r="F125" s="2">
        <f>F66+2250*1</f>
        <v>4450</v>
      </c>
      <c r="G125" s="217" t="s">
        <v>1308</v>
      </c>
      <c r="H125" s="4">
        <v>2</v>
      </c>
      <c r="I125" s="451" t="s">
        <v>113</v>
      </c>
      <c r="J125" s="451"/>
      <c r="K125" s="451" t="s">
        <v>752</v>
      </c>
      <c r="L125" s="451" t="s">
        <v>639</v>
      </c>
      <c r="M125" s="452">
        <v>43080</v>
      </c>
      <c r="N125" s="6">
        <v>43093</v>
      </c>
      <c r="O125" s="455"/>
      <c r="P125" s="458"/>
      <c r="Q125" s="462" t="s">
        <v>174</v>
      </c>
      <c r="R125" s="456" t="s">
        <v>1393</v>
      </c>
      <c r="S125" s="687"/>
      <c r="T125" s="689"/>
    </row>
    <row r="126" spans="1:20" ht="20.100000000000001" customHeight="1">
      <c r="A126" s="1145" t="s">
        <v>2961</v>
      </c>
      <c r="B126" s="1148" t="s">
        <v>566</v>
      </c>
      <c r="C126" s="1148" t="s">
        <v>553</v>
      </c>
      <c r="D126" s="2">
        <f>D68+1950*1</f>
        <v>3013</v>
      </c>
      <c r="E126" s="2">
        <f>E68+3270*1</f>
        <v>5383</v>
      </c>
      <c r="F126" s="2">
        <f>F68+3270*1</f>
        <v>5383</v>
      </c>
      <c r="G126" s="609" t="s">
        <v>2847</v>
      </c>
      <c r="H126" s="56" t="s">
        <v>659</v>
      </c>
      <c r="I126" s="451" t="s">
        <v>113</v>
      </c>
      <c r="J126" s="451"/>
      <c r="K126" s="451" t="s">
        <v>680</v>
      </c>
      <c r="L126" s="465" t="s">
        <v>1026</v>
      </c>
      <c r="M126" s="452">
        <v>43086</v>
      </c>
      <c r="N126" s="452">
        <v>43100</v>
      </c>
      <c r="O126" s="458"/>
      <c r="P126" s="458"/>
      <c r="Q126" s="485" t="s">
        <v>174</v>
      </c>
      <c r="R126" s="456" t="s">
        <v>848</v>
      </c>
      <c r="S126" s="687"/>
      <c r="T126" s="689"/>
    </row>
    <row r="127" spans="1:20" ht="20.100000000000001" customHeight="1">
      <c r="A127" s="1145" t="s">
        <v>2961</v>
      </c>
      <c r="B127" s="1148" t="s">
        <v>566</v>
      </c>
      <c r="C127" s="1148" t="s">
        <v>553</v>
      </c>
      <c r="D127" s="2">
        <f>D74+1450*1</f>
        <v>2762</v>
      </c>
      <c r="E127" s="2">
        <f>E74+2400*1</f>
        <v>5012</v>
      </c>
      <c r="F127" s="2">
        <f>F74+2400*1</f>
        <v>5012</v>
      </c>
      <c r="G127" s="609" t="s">
        <v>1689</v>
      </c>
      <c r="H127" s="4">
        <v>3</v>
      </c>
      <c r="I127" s="451" t="s">
        <v>113</v>
      </c>
      <c r="J127" s="451"/>
      <c r="K127" s="451">
        <v>25</v>
      </c>
      <c r="L127" s="451" t="s">
        <v>643</v>
      </c>
      <c r="M127" s="452">
        <v>43054</v>
      </c>
      <c r="N127" s="452">
        <v>43100</v>
      </c>
      <c r="O127" s="458"/>
      <c r="P127" s="485"/>
      <c r="Q127" s="485" t="s">
        <v>306</v>
      </c>
      <c r="R127" s="456" t="s">
        <v>183</v>
      </c>
      <c r="S127" s="687" t="s">
        <v>1176</v>
      </c>
      <c r="T127" s="689"/>
    </row>
    <row r="128" spans="1:20" ht="20.100000000000001" customHeight="1">
      <c r="A128" s="1145" t="s">
        <v>2961</v>
      </c>
      <c r="B128" s="1148" t="s">
        <v>566</v>
      </c>
      <c r="C128" s="1148" t="s">
        <v>553</v>
      </c>
      <c r="D128" s="892">
        <f>D77+1350</f>
        <v>2512</v>
      </c>
      <c r="E128" s="892"/>
      <c r="F128" s="892">
        <f>F77+1750</f>
        <v>4062</v>
      </c>
      <c r="G128" s="609" t="s">
        <v>103</v>
      </c>
      <c r="H128" s="56" t="s">
        <v>645</v>
      </c>
      <c r="I128" s="451" t="s">
        <v>113</v>
      </c>
      <c r="J128" s="451"/>
      <c r="K128" s="451" t="s">
        <v>1399</v>
      </c>
      <c r="L128" s="451" t="s">
        <v>637</v>
      </c>
      <c r="M128" s="452">
        <v>43080</v>
      </c>
      <c r="N128" s="452">
        <v>43114</v>
      </c>
      <c r="O128" s="485"/>
      <c r="P128" s="485"/>
      <c r="Q128" s="463" t="s">
        <v>306</v>
      </c>
      <c r="R128" s="456" t="s">
        <v>1396</v>
      </c>
      <c r="S128" s="687" t="s">
        <v>1176</v>
      </c>
      <c r="T128" s="313" t="s">
        <v>2841</v>
      </c>
    </row>
    <row r="129" spans="1:20" ht="20.100000000000001" customHeight="1">
      <c r="A129" s="1146" t="s">
        <v>2961</v>
      </c>
      <c r="B129" s="1149" t="s">
        <v>566</v>
      </c>
      <c r="C129" s="1149" t="s">
        <v>553</v>
      </c>
      <c r="D129" s="2">
        <f>D79+1200*1</f>
        <v>2300</v>
      </c>
      <c r="E129" s="2">
        <f>E79+2250*1</f>
        <v>4450</v>
      </c>
      <c r="F129" s="2">
        <f>F79+2250*1</f>
        <v>4450</v>
      </c>
      <c r="G129" s="217" t="s">
        <v>1308</v>
      </c>
      <c r="H129" s="4">
        <v>5</v>
      </c>
      <c r="I129" s="451" t="s">
        <v>113</v>
      </c>
      <c r="J129" s="451"/>
      <c r="K129" s="451" t="s">
        <v>680</v>
      </c>
      <c r="L129" s="451" t="s">
        <v>639</v>
      </c>
      <c r="M129" s="452">
        <v>43080</v>
      </c>
      <c r="N129" s="6">
        <v>43093</v>
      </c>
      <c r="O129" s="455"/>
      <c r="P129" s="463"/>
      <c r="Q129" s="462" t="s">
        <v>174</v>
      </c>
      <c r="R129" s="456" t="s">
        <v>1372</v>
      </c>
      <c r="S129" s="687"/>
      <c r="T129" s="313"/>
    </row>
    <row r="130" spans="1:20" ht="20.100000000000001" customHeight="1">
      <c r="A130" s="1144" t="s">
        <v>2961</v>
      </c>
      <c r="B130" s="1147" t="s">
        <v>566</v>
      </c>
      <c r="C130" s="1147" t="s">
        <v>2460</v>
      </c>
      <c r="D130" s="2">
        <v>2325</v>
      </c>
      <c r="E130" s="2">
        <v>4150</v>
      </c>
      <c r="F130" s="2">
        <v>4150</v>
      </c>
      <c r="G130" s="3" t="s">
        <v>13</v>
      </c>
      <c r="H130" s="4" t="s">
        <v>729</v>
      </c>
      <c r="I130" s="451" t="s">
        <v>113</v>
      </c>
      <c r="J130" s="451"/>
      <c r="K130" s="451">
        <v>26</v>
      </c>
      <c r="L130" s="475" t="s">
        <v>638</v>
      </c>
      <c r="M130" s="452">
        <v>43023</v>
      </c>
      <c r="N130" s="452">
        <v>43039</v>
      </c>
      <c r="O130" s="484"/>
      <c r="P130" s="484"/>
      <c r="Q130" s="471" t="s">
        <v>457</v>
      </c>
      <c r="R130" s="456" t="s">
        <v>301</v>
      </c>
      <c r="S130" s="687" t="s">
        <v>1176</v>
      </c>
      <c r="T130" s="689"/>
    </row>
    <row r="131" spans="1:20" ht="20.100000000000001" customHeight="1">
      <c r="A131" s="1145" t="s">
        <v>2961</v>
      </c>
      <c r="B131" s="1148" t="s">
        <v>566</v>
      </c>
      <c r="C131" s="1148" t="s">
        <v>531</v>
      </c>
      <c r="D131" s="2">
        <f>D66+1100*1</f>
        <v>2200</v>
      </c>
      <c r="E131" s="2">
        <f>E66+1550*1</f>
        <v>3750</v>
      </c>
      <c r="F131" s="2">
        <f>F66+1550*1</f>
        <v>3750</v>
      </c>
      <c r="G131" s="217" t="s">
        <v>1308</v>
      </c>
      <c r="H131" s="4">
        <v>2</v>
      </c>
      <c r="I131" s="451" t="s">
        <v>113</v>
      </c>
      <c r="J131" s="451"/>
      <c r="K131" s="451" t="s">
        <v>752</v>
      </c>
      <c r="L131" s="451" t="s">
        <v>639</v>
      </c>
      <c r="M131" s="452">
        <v>43080</v>
      </c>
      <c r="N131" s="6">
        <v>43093</v>
      </c>
      <c r="O131" s="455"/>
      <c r="P131" s="458"/>
      <c r="Q131" s="462" t="s">
        <v>174</v>
      </c>
      <c r="R131" s="456" t="s">
        <v>1393</v>
      </c>
      <c r="S131" s="687"/>
      <c r="T131" s="689"/>
    </row>
    <row r="132" spans="1:20" ht="20.100000000000001" customHeight="1">
      <c r="A132" s="1145" t="s">
        <v>2961</v>
      </c>
      <c r="B132" s="1148" t="s">
        <v>566</v>
      </c>
      <c r="C132" s="1148" t="s">
        <v>531</v>
      </c>
      <c r="D132" s="2">
        <f>D68+2097*1</f>
        <v>3160</v>
      </c>
      <c r="E132" s="2">
        <f>E68+3435*1</f>
        <v>5548</v>
      </c>
      <c r="F132" s="2">
        <f>F68+3435*1</f>
        <v>5548</v>
      </c>
      <c r="G132" s="609" t="s">
        <v>2847</v>
      </c>
      <c r="H132" s="56" t="s">
        <v>659</v>
      </c>
      <c r="I132" s="451" t="s">
        <v>113</v>
      </c>
      <c r="J132" s="451"/>
      <c r="K132" s="451" t="s">
        <v>680</v>
      </c>
      <c r="L132" s="465" t="s">
        <v>1026</v>
      </c>
      <c r="M132" s="452">
        <v>43086</v>
      </c>
      <c r="N132" s="452">
        <v>43100</v>
      </c>
      <c r="O132" s="458"/>
      <c r="P132" s="458"/>
      <c r="Q132" s="485" t="s">
        <v>174</v>
      </c>
      <c r="R132" s="456" t="s">
        <v>848</v>
      </c>
      <c r="S132" s="687"/>
      <c r="T132" s="689"/>
    </row>
    <row r="133" spans="1:20" ht="20.100000000000001" customHeight="1">
      <c r="A133" s="1145" t="s">
        <v>2961</v>
      </c>
      <c r="B133" s="1148" t="s">
        <v>566</v>
      </c>
      <c r="C133" s="1148" t="s">
        <v>531</v>
      </c>
      <c r="D133" s="2">
        <f>D74+1200*1</f>
        <v>2512</v>
      </c>
      <c r="E133" s="2">
        <f>E74+2400*1</f>
        <v>5012</v>
      </c>
      <c r="F133" s="2">
        <f>F74+2400*1</f>
        <v>5012</v>
      </c>
      <c r="G133" s="609" t="s">
        <v>1689</v>
      </c>
      <c r="H133" s="56">
        <v>3</v>
      </c>
      <c r="I133" s="451" t="s">
        <v>113</v>
      </c>
      <c r="J133" s="451"/>
      <c r="K133" s="451">
        <v>25</v>
      </c>
      <c r="L133" s="451" t="s">
        <v>643</v>
      </c>
      <c r="M133" s="452">
        <v>43054</v>
      </c>
      <c r="N133" s="452">
        <v>43100</v>
      </c>
      <c r="O133" s="458"/>
      <c r="P133" s="485"/>
      <c r="Q133" s="485" t="s">
        <v>306</v>
      </c>
      <c r="R133" s="456" t="s">
        <v>183</v>
      </c>
      <c r="S133" s="687" t="s">
        <v>1176</v>
      </c>
      <c r="T133" s="689"/>
    </row>
    <row r="134" spans="1:20" ht="20.100000000000001" customHeight="1">
      <c r="A134" s="1145" t="s">
        <v>2961</v>
      </c>
      <c r="B134" s="1148" t="s">
        <v>566</v>
      </c>
      <c r="C134" s="1148" t="s">
        <v>531</v>
      </c>
      <c r="D134" s="2">
        <f>D75+1350</f>
        <v>2675</v>
      </c>
      <c r="E134" s="2">
        <f>E75+2700</f>
        <v>5325</v>
      </c>
      <c r="F134" s="2">
        <f>F75+2700</f>
        <v>5325</v>
      </c>
      <c r="G134" s="217" t="s">
        <v>22</v>
      </c>
      <c r="H134" s="56">
        <v>3</v>
      </c>
      <c r="I134" s="451" t="s">
        <v>113</v>
      </c>
      <c r="J134" s="451"/>
      <c r="K134" s="451" t="s">
        <v>1976</v>
      </c>
      <c r="L134" s="451" t="s">
        <v>643</v>
      </c>
      <c r="M134" s="452">
        <v>43073</v>
      </c>
      <c r="N134" s="452">
        <v>43100</v>
      </c>
      <c r="O134" s="459"/>
      <c r="P134" s="459"/>
      <c r="Q134" s="455"/>
      <c r="R134" s="456" t="s">
        <v>181</v>
      </c>
      <c r="S134" s="316" t="s">
        <v>1176</v>
      </c>
      <c r="T134" s="313" t="s">
        <v>2843</v>
      </c>
    </row>
    <row r="135" spans="1:20" ht="20.100000000000001" customHeight="1">
      <c r="A135" s="1146" t="s">
        <v>2961</v>
      </c>
      <c r="B135" s="1149" t="s">
        <v>566</v>
      </c>
      <c r="C135" s="1149" t="s">
        <v>531</v>
      </c>
      <c r="D135" s="2">
        <f>D79+1100*1</f>
        <v>2200</v>
      </c>
      <c r="E135" s="2">
        <f>E79+1550*1</f>
        <v>3750</v>
      </c>
      <c r="F135" s="2">
        <f>F79+1550*1</f>
        <v>3750</v>
      </c>
      <c r="G135" s="217" t="s">
        <v>1308</v>
      </c>
      <c r="H135" s="56">
        <v>5</v>
      </c>
      <c r="I135" s="451" t="s">
        <v>113</v>
      </c>
      <c r="J135" s="451"/>
      <c r="K135" s="451" t="s">
        <v>680</v>
      </c>
      <c r="L135" s="451" t="s">
        <v>639</v>
      </c>
      <c r="M135" s="452">
        <v>43080</v>
      </c>
      <c r="N135" s="6">
        <v>43093</v>
      </c>
      <c r="O135" s="455"/>
      <c r="P135" s="463"/>
      <c r="Q135" s="462" t="s">
        <v>174</v>
      </c>
      <c r="R135" s="456" t="s">
        <v>1372</v>
      </c>
      <c r="S135" s="316"/>
      <c r="T135" s="313"/>
    </row>
    <row r="136" spans="1:20" ht="20.100000000000001" customHeight="1">
      <c r="A136" s="1144" t="s">
        <v>2961</v>
      </c>
      <c r="B136" s="1147" t="s">
        <v>566</v>
      </c>
      <c r="C136" s="1147" t="s">
        <v>1216</v>
      </c>
      <c r="D136" s="2">
        <v>2575</v>
      </c>
      <c r="E136" s="2">
        <v>4950</v>
      </c>
      <c r="F136" s="2">
        <v>4950</v>
      </c>
      <c r="G136" s="3" t="s">
        <v>13</v>
      </c>
      <c r="H136" s="56" t="s">
        <v>729</v>
      </c>
      <c r="I136" s="451" t="s">
        <v>113</v>
      </c>
      <c r="J136" s="451"/>
      <c r="K136" s="451">
        <v>28</v>
      </c>
      <c r="L136" s="475" t="s">
        <v>638</v>
      </c>
      <c r="M136" s="452">
        <v>43023</v>
      </c>
      <c r="N136" s="452">
        <v>43039</v>
      </c>
      <c r="O136" s="484"/>
      <c r="P136" s="484"/>
      <c r="Q136" s="471" t="s">
        <v>458</v>
      </c>
      <c r="R136" s="456" t="s">
        <v>301</v>
      </c>
      <c r="S136" s="687" t="s">
        <v>1176</v>
      </c>
      <c r="T136" s="689"/>
    </row>
    <row r="137" spans="1:20" ht="20.100000000000001" customHeight="1">
      <c r="A137" s="1145" t="s">
        <v>2961</v>
      </c>
      <c r="B137" s="1148" t="s">
        <v>566</v>
      </c>
      <c r="C137" s="1148" t="s">
        <v>530</v>
      </c>
      <c r="D137" s="2">
        <f>D66+1700*1</f>
        <v>2800</v>
      </c>
      <c r="E137" s="2">
        <f>E66+2150*1</f>
        <v>4350</v>
      </c>
      <c r="F137" s="2">
        <f>F66+2150*1</f>
        <v>4350</v>
      </c>
      <c r="G137" s="217" t="s">
        <v>1308</v>
      </c>
      <c r="H137" s="56">
        <v>2</v>
      </c>
      <c r="I137" s="451" t="s">
        <v>113</v>
      </c>
      <c r="J137" s="451"/>
      <c r="K137" s="451" t="s">
        <v>752</v>
      </c>
      <c r="L137" s="451" t="s">
        <v>639</v>
      </c>
      <c r="M137" s="452">
        <v>43080</v>
      </c>
      <c r="N137" s="6">
        <v>43093</v>
      </c>
      <c r="O137" s="455"/>
      <c r="P137" s="458"/>
      <c r="Q137" s="462" t="s">
        <v>174</v>
      </c>
      <c r="R137" s="456" t="s">
        <v>1393</v>
      </c>
      <c r="S137" s="687"/>
      <c r="T137" s="689"/>
    </row>
    <row r="138" spans="1:20" ht="20.100000000000001" customHeight="1">
      <c r="A138" s="1145" t="s">
        <v>2961</v>
      </c>
      <c r="B138" s="1148" t="s">
        <v>566</v>
      </c>
      <c r="C138" s="1148" t="s">
        <v>530</v>
      </c>
      <c r="D138" s="2">
        <f>D68+2638*1</f>
        <v>3701</v>
      </c>
      <c r="E138" s="2">
        <f>E68+4005*1</f>
        <v>6118</v>
      </c>
      <c r="F138" s="2">
        <f>F68+4005*1</f>
        <v>6118</v>
      </c>
      <c r="G138" s="609" t="s">
        <v>2847</v>
      </c>
      <c r="H138" s="56" t="s">
        <v>659</v>
      </c>
      <c r="I138" s="451" t="s">
        <v>113</v>
      </c>
      <c r="J138" s="451"/>
      <c r="K138" s="451" t="s">
        <v>680</v>
      </c>
      <c r="L138" s="465" t="s">
        <v>1026</v>
      </c>
      <c r="M138" s="452">
        <v>43086</v>
      </c>
      <c r="N138" s="452">
        <v>43100</v>
      </c>
      <c r="O138" s="458"/>
      <c r="P138" s="458"/>
      <c r="Q138" s="485" t="s">
        <v>174</v>
      </c>
      <c r="R138" s="456" t="s">
        <v>848</v>
      </c>
      <c r="S138" s="687"/>
      <c r="T138" s="689"/>
    </row>
    <row r="139" spans="1:20" ht="20.100000000000001" customHeight="1">
      <c r="A139" s="1145" t="s">
        <v>2961</v>
      </c>
      <c r="B139" s="1148" t="s">
        <v>566</v>
      </c>
      <c r="C139" s="1148" t="s">
        <v>530</v>
      </c>
      <c r="D139" s="2">
        <f>D74+1700*1</f>
        <v>3012</v>
      </c>
      <c r="E139" s="2">
        <f>E74+2700*1</f>
        <v>5312</v>
      </c>
      <c r="F139" s="2">
        <f>F74+2700*1</f>
        <v>5312</v>
      </c>
      <c r="G139" s="609" t="s">
        <v>1689</v>
      </c>
      <c r="H139" s="4">
        <v>3</v>
      </c>
      <c r="I139" s="451" t="s">
        <v>113</v>
      </c>
      <c r="J139" s="451"/>
      <c r="K139" s="451">
        <v>25</v>
      </c>
      <c r="L139" s="451" t="s">
        <v>643</v>
      </c>
      <c r="M139" s="452">
        <v>43054</v>
      </c>
      <c r="N139" s="452">
        <v>43100</v>
      </c>
      <c r="O139" s="458"/>
      <c r="P139" s="485"/>
      <c r="Q139" s="485" t="s">
        <v>306</v>
      </c>
      <c r="R139" s="456" t="s">
        <v>183</v>
      </c>
      <c r="S139" s="687" t="s">
        <v>1176</v>
      </c>
      <c r="T139" s="689"/>
    </row>
    <row r="140" spans="1:20" ht="20.100000000000001" customHeight="1">
      <c r="A140" s="1145" t="s">
        <v>2961</v>
      </c>
      <c r="B140" s="1148" t="s">
        <v>566</v>
      </c>
      <c r="C140" s="1148" t="s">
        <v>530</v>
      </c>
      <c r="D140" s="892">
        <f>D77+1950</f>
        <v>3112</v>
      </c>
      <c r="E140" s="892"/>
      <c r="F140" s="892">
        <f>F77+2550</f>
        <v>4862</v>
      </c>
      <c r="G140" s="609" t="s">
        <v>103</v>
      </c>
      <c r="H140" s="56" t="s">
        <v>645</v>
      </c>
      <c r="I140" s="451" t="s">
        <v>113</v>
      </c>
      <c r="J140" s="451"/>
      <c r="K140" s="451" t="s">
        <v>1399</v>
      </c>
      <c r="L140" s="451" t="s">
        <v>637</v>
      </c>
      <c r="M140" s="452">
        <v>43080</v>
      </c>
      <c r="N140" s="452">
        <v>43114</v>
      </c>
      <c r="O140" s="485"/>
      <c r="P140" s="485"/>
      <c r="Q140" s="463" t="s">
        <v>465</v>
      </c>
      <c r="R140" s="456" t="s">
        <v>1396</v>
      </c>
      <c r="S140" s="687" t="s">
        <v>1176</v>
      </c>
      <c r="T140" s="313" t="s">
        <v>2841</v>
      </c>
    </row>
    <row r="141" spans="1:20" ht="20.100000000000001" customHeight="1">
      <c r="A141" s="1145" t="s">
        <v>2961</v>
      </c>
      <c r="B141" s="1148" t="s">
        <v>566</v>
      </c>
      <c r="C141" s="1148" t="s">
        <v>530</v>
      </c>
      <c r="D141" s="2"/>
      <c r="E141" s="2"/>
      <c r="F141" s="2"/>
      <c r="G141" s="673" t="s">
        <v>18</v>
      </c>
      <c r="H141" s="56" t="s">
        <v>828</v>
      </c>
      <c r="I141" s="451" t="s">
        <v>113</v>
      </c>
      <c r="J141" s="451"/>
      <c r="K141" s="451" t="s">
        <v>829</v>
      </c>
      <c r="L141" s="451" t="s">
        <v>643</v>
      </c>
      <c r="M141" s="452">
        <v>43080</v>
      </c>
      <c r="N141" s="452">
        <v>43100</v>
      </c>
      <c r="O141" s="463"/>
      <c r="P141" s="463"/>
      <c r="Q141" s="455"/>
      <c r="R141" s="456" t="s">
        <v>170</v>
      </c>
      <c r="S141" s="687" t="s">
        <v>1176</v>
      </c>
      <c r="T141" s="689"/>
    </row>
    <row r="142" spans="1:20" ht="20.100000000000001" customHeight="1">
      <c r="A142" s="1146" t="s">
        <v>2961</v>
      </c>
      <c r="B142" s="1149" t="s">
        <v>566</v>
      </c>
      <c r="C142" s="1149" t="s">
        <v>530</v>
      </c>
      <c r="D142" s="2">
        <f>D79+1700*1</f>
        <v>2800</v>
      </c>
      <c r="E142" s="2">
        <f>E79+2150*1</f>
        <v>4350</v>
      </c>
      <c r="F142" s="2">
        <f>F79+2150*1</f>
        <v>4350</v>
      </c>
      <c r="G142" s="217" t="s">
        <v>1308</v>
      </c>
      <c r="H142" s="4">
        <v>5</v>
      </c>
      <c r="I142" s="451" t="s">
        <v>113</v>
      </c>
      <c r="J142" s="451"/>
      <c r="K142" s="451" t="s">
        <v>680</v>
      </c>
      <c r="L142" s="451" t="s">
        <v>639</v>
      </c>
      <c r="M142" s="452">
        <v>43080</v>
      </c>
      <c r="N142" s="6">
        <v>43093</v>
      </c>
      <c r="O142" s="455"/>
      <c r="P142" s="463"/>
      <c r="Q142" s="462" t="s">
        <v>174</v>
      </c>
      <c r="R142" s="456" t="s">
        <v>1372</v>
      </c>
      <c r="S142" s="687"/>
      <c r="T142" s="689"/>
    </row>
    <row r="143" spans="1:20" ht="20.100000000000001" customHeight="1">
      <c r="A143" s="1157" t="s">
        <v>2961</v>
      </c>
      <c r="B143" s="1156" t="s">
        <v>566</v>
      </c>
      <c r="C143" s="1156" t="s">
        <v>1213</v>
      </c>
      <c r="D143" s="2">
        <v>2425</v>
      </c>
      <c r="E143" s="2">
        <v>4700</v>
      </c>
      <c r="F143" s="2">
        <v>4700</v>
      </c>
      <c r="G143" s="3" t="s">
        <v>13</v>
      </c>
      <c r="H143" s="4" t="s">
        <v>729</v>
      </c>
      <c r="I143" s="451" t="s">
        <v>113</v>
      </c>
      <c r="J143" s="451"/>
      <c r="K143" s="451">
        <v>28</v>
      </c>
      <c r="L143" s="475" t="s">
        <v>638</v>
      </c>
      <c r="M143" s="452">
        <v>43023</v>
      </c>
      <c r="N143" s="452">
        <v>43039</v>
      </c>
      <c r="O143" s="484"/>
      <c r="P143" s="484"/>
      <c r="Q143" s="471" t="s">
        <v>458</v>
      </c>
      <c r="R143" s="456" t="s">
        <v>301</v>
      </c>
      <c r="S143" s="687" t="s">
        <v>1176</v>
      </c>
      <c r="T143" s="689"/>
    </row>
    <row r="144" spans="1:20" ht="20.100000000000001" customHeight="1">
      <c r="A144" s="1157" t="s">
        <v>2961</v>
      </c>
      <c r="B144" s="1156" t="s">
        <v>566</v>
      </c>
      <c r="C144" s="1156" t="s">
        <v>1213</v>
      </c>
      <c r="D144" s="2">
        <f>D68+2562*1</f>
        <v>3625</v>
      </c>
      <c r="E144" s="2">
        <f>E68+3982*1</f>
        <v>6095</v>
      </c>
      <c r="F144" s="2">
        <f>F68+3982*1</f>
        <v>6095</v>
      </c>
      <c r="G144" s="609" t="s">
        <v>2847</v>
      </c>
      <c r="H144" s="56" t="s">
        <v>659</v>
      </c>
      <c r="I144" s="451" t="s">
        <v>113</v>
      </c>
      <c r="J144" s="451"/>
      <c r="K144" s="451" t="s">
        <v>680</v>
      </c>
      <c r="L144" s="465" t="s">
        <v>1026</v>
      </c>
      <c r="M144" s="452">
        <v>43086</v>
      </c>
      <c r="N144" s="452">
        <v>43100</v>
      </c>
      <c r="O144" s="458"/>
      <c r="P144" s="458"/>
      <c r="Q144" s="485" t="s">
        <v>174</v>
      </c>
      <c r="R144" s="456" t="s">
        <v>848</v>
      </c>
      <c r="S144" s="687"/>
      <c r="T144" s="689"/>
    </row>
    <row r="145" spans="1:20" ht="20.100000000000001" customHeight="1">
      <c r="A145" s="1157" t="s">
        <v>2961</v>
      </c>
      <c r="B145" s="1156" t="s">
        <v>566</v>
      </c>
      <c r="C145" s="1156" t="s">
        <v>529</v>
      </c>
      <c r="D145" s="2">
        <f>D74+1500*1</f>
        <v>2812</v>
      </c>
      <c r="E145" s="2">
        <f>E74+2600*1</f>
        <v>5212</v>
      </c>
      <c r="F145" s="2">
        <f>F74+2600*1</f>
        <v>5212</v>
      </c>
      <c r="G145" s="609" t="s">
        <v>1689</v>
      </c>
      <c r="H145" s="4">
        <v>3</v>
      </c>
      <c r="I145" s="451" t="s">
        <v>113</v>
      </c>
      <c r="J145" s="451"/>
      <c r="K145" s="451">
        <v>30</v>
      </c>
      <c r="L145" s="451" t="s">
        <v>643</v>
      </c>
      <c r="M145" s="452">
        <v>43054</v>
      </c>
      <c r="N145" s="452">
        <v>43100</v>
      </c>
      <c r="O145" s="458"/>
      <c r="P145" s="485"/>
      <c r="Q145" s="485" t="s">
        <v>306</v>
      </c>
      <c r="R145" s="456" t="s">
        <v>183</v>
      </c>
      <c r="S145" s="687" t="s">
        <v>1176</v>
      </c>
      <c r="T145" s="689"/>
    </row>
    <row r="146" spans="1:20" ht="20.100000000000001" customHeight="1">
      <c r="A146" s="1157" t="s">
        <v>2961</v>
      </c>
      <c r="B146" s="1156" t="s">
        <v>566</v>
      </c>
      <c r="C146" s="1156" t="s">
        <v>529</v>
      </c>
      <c r="D146" s="892">
        <f>D77+1600</f>
        <v>2762</v>
      </c>
      <c r="E146" s="892"/>
      <c r="F146" s="892">
        <f>F77+2400</f>
        <v>4712</v>
      </c>
      <c r="G146" s="609" t="s">
        <v>103</v>
      </c>
      <c r="H146" s="56" t="s">
        <v>645</v>
      </c>
      <c r="I146" s="451" t="s">
        <v>113</v>
      </c>
      <c r="J146" s="451"/>
      <c r="K146" s="451" t="s">
        <v>1399</v>
      </c>
      <c r="L146" s="451" t="s">
        <v>637</v>
      </c>
      <c r="M146" s="452">
        <v>43080</v>
      </c>
      <c r="N146" s="452">
        <v>43114</v>
      </c>
      <c r="O146" s="485"/>
      <c r="P146" s="485"/>
      <c r="Q146" s="463" t="s">
        <v>465</v>
      </c>
      <c r="R146" s="456" t="s">
        <v>1396</v>
      </c>
      <c r="S146" s="687" t="s">
        <v>1176</v>
      </c>
      <c r="T146" s="313" t="s">
        <v>2841</v>
      </c>
    </row>
    <row r="147" spans="1:20" ht="20.100000000000001" customHeight="1">
      <c r="A147" s="1128" t="s">
        <v>2961</v>
      </c>
      <c r="B147" s="1143" t="s">
        <v>566</v>
      </c>
      <c r="C147" s="1143" t="s">
        <v>1561</v>
      </c>
      <c r="D147" s="11">
        <v>1500</v>
      </c>
      <c r="E147" s="11"/>
      <c r="F147" s="11">
        <v>3000</v>
      </c>
      <c r="G147" s="29" t="s">
        <v>49</v>
      </c>
      <c r="H147" s="771" t="s">
        <v>3088</v>
      </c>
      <c r="I147" s="451" t="s">
        <v>17</v>
      </c>
      <c r="J147" s="451"/>
      <c r="K147" s="475" t="s">
        <v>743</v>
      </c>
      <c r="L147" s="451" t="s">
        <v>641</v>
      </c>
      <c r="M147" s="452">
        <v>42979</v>
      </c>
      <c r="N147" s="452">
        <v>43069</v>
      </c>
      <c r="O147" s="464"/>
      <c r="P147" s="458"/>
      <c r="Q147" s="458" t="s">
        <v>632</v>
      </c>
      <c r="R147" s="456" t="s">
        <v>185</v>
      </c>
      <c r="S147" s="687"/>
      <c r="T147" s="689"/>
    </row>
    <row r="148" spans="1:20" ht="20.100000000000001" customHeight="1">
      <c r="A148" s="1128" t="s">
        <v>2961</v>
      </c>
      <c r="B148" s="1143" t="s">
        <v>566</v>
      </c>
      <c r="C148" s="1143" t="s">
        <v>1561</v>
      </c>
      <c r="D148" s="11">
        <f>D97+5100*1</f>
        <v>6313</v>
      </c>
      <c r="E148" s="11">
        <f>E97+5715*1</f>
        <v>8128</v>
      </c>
      <c r="F148" s="11">
        <f>F97+5715*1</f>
        <v>8128</v>
      </c>
      <c r="G148" s="609" t="s">
        <v>2847</v>
      </c>
      <c r="H148" s="56" t="s">
        <v>742</v>
      </c>
      <c r="I148" s="461" t="s">
        <v>1562</v>
      </c>
      <c r="J148" s="461"/>
      <c r="K148" s="461" t="s">
        <v>687</v>
      </c>
      <c r="L148" s="451" t="s">
        <v>637</v>
      </c>
      <c r="M148" s="452">
        <v>43086</v>
      </c>
      <c r="N148" s="452">
        <v>43100</v>
      </c>
      <c r="O148" s="478"/>
      <c r="P148" s="478"/>
      <c r="Q148" s="462" t="s">
        <v>197</v>
      </c>
      <c r="R148" s="476" t="s">
        <v>187</v>
      </c>
      <c r="S148" s="687"/>
      <c r="T148" s="689"/>
    </row>
    <row r="149" spans="1:20" ht="20.100000000000001" customHeight="1">
      <c r="A149" s="1128" t="s">
        <v>2961</v>
      </c>
      <c r="B149" s="1143" t="s">
        <v>566</v>
      </c>
      <c r="C149" s="1143" t="s">
        <v>528</v>
      </c>
      <c r="D149" s="888">
        <v>1312</v>
      </c>
      <c r="E149" s="888">
        <v>2612</v>
      </c>
      <c r="F149" s="888">
        <v>2612</v>
      </c>
      <c r="G149" s="221" t="s">
        <v>103</v>
      </c>
      <c r="H149" s="22" t="s">
        <v>659</v>
      </c>
      <c r="I149" s="451" t="s">
        <v>16</v>
      </c>
      <c r="J149" s="451"/>
      <c r="K149" s="475">
        <v>16</v>
      </c>
      <c r="L149" s="472" t="s">
        <v>641</v>
      </c>
      <c r="M149" s="452">
        <v>43070</v>
      </c>
      <c r="N149" s="452">
        <v>43100</v>
      </c>
      <c r="O149" s="458"/>
      <c r="P149" s="458"/>
      <c r="Q149" s="455"/>
      <c r="R149" s="456" t="s">
        <v>826</v>
      </c>
      <c r="S149" s="687" t="s">
        <v>1176</v>
      </c>
      <c r="T149" s="313" t="s">
        <v>2841</v>
      </c>
    </row>
    <row r="150" spans="1:20" ht="20.100000000000001" customHeight="1">
      <c r="A150" s="1128" t="s">
        <v>2961</v>
      </c>
      <c r="B150" s="1143" t="s">
        <v>566</v>
      </c>
      <c r="C150" s="1143" t="s">
        <v>528</v>
      </c>
      <c r="D150" s="2">
        <f>D74+7000*1</f>
        <v>8312</v>
      </c>
      <c r="E150" s="2">
        <f>E74+8000*1</f>
        <v>10612</v>
      </c>
      <c r="F150" s="2">
        <f>F74+8000*1</f>
        <v>10612</v>
      </c>
      <c r="G150" s="609" t="s">
        <v>1689</v>
      </c>
      <c r="H150" s="4">
        <v>3</v>
      </c>
      <c r="I150" s="451" t="s">
        <v>113</v>
      </c>
      <c r="J150" s="451"/>
      <c r="K150" s="451">
        <v>30</v>
      </c>
      <c r="L150" s="451" t="s">
        <v>643</v>
      </c>
      <c r="M150" s="452">
        <v>43054</v>
      </c>
      <c r="N150" s="452">
        <v>43100</v>
      </c>
      <c r="O150" s="458"/>
      <c r="P150" s="462"/>
      <c r="Q150" s="462" t="s">
        <v>304</v>
      </c>
      <c r="R150" s="456" t="s">
        <v>183</v>
      </c>
      <c r="S150" s="687"/>
      <c r="T150" s="689"/>
    </row>
    <row r="151" spans="1:20" ht="20.100000000000001" customHeight="1">
      <c r="A151" s="1128" t="s">
        <v>2961</v>
      </c>
      <c r="B151" s="1143" t="s">
        <v>566</v>
      </c>
      <c r="C151" s="1143" t="s">
        <v>528</v>
      </c>
      <c r="D151" s="32">
        <v>1500</v>
      </c>
      <c r="E151" s="32">
        <v>3000</v>
      </c>
      <c r="F151" s="32">
        <v>3000</v>
      </c>
      <c r="G151" s="29" t="s">
        <v>1003</v>
      </c>
      <c r="H151" s="56" t="s">
        <v>944</v>
      </c>
      <c r="I151" s="475" t="s">
        <v>16</v>
      </c>
      <c r="J151" s="451"/>
      <c r="K151" s="475">
        <v>18</v>
      </c>
      <c r="L151" s="475" t="s">
        <v>638</v>
      </c>
      <c r="M151" s="452">
        <v>43040</v>
      </c>
      <c r="N151" s="452">
        <v>43100</v>
      </c>
      <c r="O151" s="458" t="s">
        <v>624</v>
      </c>
      <c r="P151" s="458"/>
      <c r="Q151" s="458"/>
      <c r="R151" s="456"/>
      <c r="S151" s="687"/>
      <c r="T151" s="680"/>
    </row>
    <row r="152" spans="1:20" ht="20.100000000000001" customHeight="1">
      <c r="A152" s="1128" t="s">
        <v>2961</v>
      </c>
      <c r="B152" s="1143" t="s">
        <v>566</v>
      </c>
      <c r="C152" s="1143" t="s">
        <v>527</v>
      </c>
      <c r="D152" s="11">
        <v>1500</v>
      </c>
      <c r="E152" s="11"/>
      <c r="F152" s="11">
        <v>3000</v>
      </c>
      <c r="G152" s="29" t="s">
        <v>72</v>
      </c>
      <c r="H152" s="771" t="s">
        <v>3088</v>
      </c>
      <c r="I152" s="451" t="s">
        <v>17</v>
      </c>
      <c r="J152" s="451"/>
      <c r="K152" s="475" t="s">
        <v>685</v>
      </c>
      <c r="L152" s="451" t="s">
        <v>641</v>
      </c>
      <c r="M152" s="452">
        <v>42979</v>
      </c>
      <c r="N152" s="452">
        <v>43069</v>
      </c>
      <c r="O152" s="464"/>
      <c r="P152" s="458"/>
      <c r="Q152" s="458" t="s">
        <v>632</v>
      </c>
      <c r="R152" s="456" t="s">
        <v>185</v>
      </c>
      <c r="S152" s="687"/>
      <c r="T152" s="689"/>
    </row>
    <row r="153" spans="1:20" ht="20.100000000000001" customHeight="1">
      <c r="A153" s="1128" t="s">
        <v>2961</v>
      </c>
      <c r="B153" s="1143" t="s">
        <v>566</v>
      </c>
      <c r="C153" s="1143" t="s">
        <v>527</v>
      </c>
      <c r="D153" s="11">
        <f>D29+2150*1</f>
        <v>3213</v>
      </c>
      <c r="E153" s="11">
        <f>E29+3100*1</f>
        <v>5213</v>
      </c>
      <c r="F153" s="11">
        <f>F29+3100*1</f>
        <v>5213</v>
      </c>
      <c r="G153" s="609" t="s">
        <v>2847</v>
      </c>
      <c r="H153" s="56">
        <v>1</v>
      </c>
      <c r="I153" s="451" t="s">
        <v>111</v>
      </c>
      <c r="J153" s="451"/>
      <c r="K153" s="451" t="s">
        <v>1210</v>
      </c>
      <c r="L153" s="451" t="s">
        <v>643</v>
      </c>
      <c r="M153" s="452">
        <v>43086</v>
      </c>
      <c r="N153" s="452">
        <v>43100</v>
      </c>
      <c r="O153" s="458"/>
      <c r="P153" s="458"/>
      <c r="Q153" s="458" t="s">
        <v>1211</v>
      </c>
      <c r="R153" s="456" t="s">
        <v>1367</v>
      </c>
      <c r="S153" s="687"/>
      <c r="T153" s="680"/>
    </row>
    <row r="154" spans="1:20" ht="20.100000000000001" customHeight="1">
      <c r="A154" s="1128" t="s">
        <v>2961</v>
      </c>
      <c r="B154" s="1143" t="s">
        <v>566</v>
      </c>
      <c r="C154" s="1143" t="s">
        <v>527</v>
      </c>
      <c r="D154" s="2">
        <f>D30+2400*1</f>
        <v>3737</v>
      </c>
      <c r="E154" s="2">
        <f>E30+3600*1</f>
        <v>6262</v>
      </c>
      <c r="F154" s="2">
        <f>F30+3600*1</f>
        <v>6262</v>
      </c>
      <c r="G154" s="609" t="s">
        <v>1689</v>
      </c>
      <c r="H154" s="4">
        <v>1</v>
      </c>
      <c r="I154" s="451" t="s">
        <v>111</v>
      </c>
      <c r="J154" s="451"/>
      <c r="K154" s="451">
        <v>30</v>
      </c>
      <c r="L154" s="451" t="s">
        <v>643</v>
      </c>
      <c r="M154" s="452">
        <v>43054</v>
      </c>
      <c r="N154" s="452">
        <v>43100</v>
      </c>
      <c r="O154" s="458"/>
      <c r="P154" s="462"/>
      <c r="Q154" s="462" t="s">
        <v>304</v>
      </c>
      <c r="R154" s="456" t="s">
        <v>184</v>
      </c>
      <c r="S154" s="687"/>
      <c r="T154" s="680"/>
    </row>
    <row r="155" spans="1:20" ht="20.100000000000001" customHeight="1">
      <c r="A155" s="1128" t="s">
        <v>2961</v>
      </c>
      <c r="B155" s="1143" t="s">
        <v>566</v>
      </c>
      <c r="C155" s="1143" t="s">
        <v>527</v>
      </c>
      <c r="D155" s="2"/>
      <c r="E155" s="2"/>
      <c r="F155" s="2"/>
      <c r="G155" s="3" t="s">
        <v>13</v>
      </c>
      <c r="H155" s="4" t="s">
        <v>634</v>
      </c>
      <c r="I155" s="475" t="s">
        <v>111</v>
      </c>
      <c r="J155" s="475"/>
      <c r="K155" s="475">
        <v>27</v>
      </c>
      <c r="L155" s="475" t="s">
        <v>638</v>
      </c>
      <c r="M155" s="452">
        <v>43023</v>
      </c>
      <c r="N155" s="452">
        <v>43039</v>
      </c>
      <c r="O155" s="458"/>
      <c r="P155" s="458"/>
      <c r="Q155" s="458" t="s">
        <v>304</v>
      </c>
      <c r="R155" s="456" t="s">
        <v>1388</v>
      </c>
      <c r="S155" s="687" t="s">
        <v>1176</v>
      </c>
      <c r="T155" s="689"/>
    </row>
    <row r="156" spans="1:20" ht="20.100000000000001" customHeight="1">
      <c r="A156" s="1128" t="s">
        <v>2961</v>
      </c>
      <c r="B156" s="1143" t="s">
        <v>566</v>
      </c>
      <c r="C156" s="1143" t="s">
        <v>527</v>
      </c>
      <c r="D156" s="2">
        <v>1212</v>
      </c>
      <c r="E156" s="2">
        <v>2412</v>
      </c>
      <c r="F156" s="2">
        <v>2412</v>
      </c>
      <c r="G156" s="221" t="s">
        <v>103</v>
      </c>
      <c r="H156" s="22" t="s">
        <v>659</v>
      </c>
      <c r="I156" s="451" t="s">
        <v>16</v>
      </c>
      <c r="J156" s="451"/>
      <c r="K156" s="475" t="s">
        <v>2356</v>
      </c>
      <c r="L156" s="472" t="s">
        <v>641</v>
      </c>
      <c r="M156" s="452">
        <v>43040</v>
      </c>
      <c r="N156" s="452">
        <v>43100</v>
      </c>
      <c r="O156" s="458"/>
      <c r="P156" s="458"/>
      <c r="Q156" s="455"/>
      <c r="R156" s="456" t="s">
        <v>826</v>
      </c>
      <c r="S156" s="687" t="s">
        <v>1176</v>
      </c>
      <c r="T156" s="313" t="s">
        <v>2841</v>
      </c>
    </row>
    <row r="157" spans="1:20" ht="20.100000000000001" customHeight="1">
      <c r="A157" s="1128" t="s">
        <v>2961</v>
      </c>
      <c r="B157" s="1143" t="s">
        <v>566</v>
      </c>
      <c r="C157" s="1143" t="s">
        <v>527</v>
      </c>
      <c r="D157" s="2">
        <f>D39+2500*1</f>
        <v>3600</v>
      </c>
      <c r="E157" s="2">
        <f>E39+3500*1</f>
        <v>5700</v>
      </c>
      <c r="F157" s="2">
        <f>F39+3500*1</f>
        <v>5700</v>
      </c>
      <c r="G157" s="217" t="s">
        <v>1308</v>
      </c>
      <c r="H157" s="4">
        <v>2</v>
      </c>
      <c r="I157" s="475" t="s">
        <v>111</v>
      </c>
      <c r="J157" s="475"/>
      <c r="K157" s="475">
        <v>25</v>
      </c>
      <c r="L157" s="451" t="s">
        <v>639</v>
      </c>
      <c r="M157" s="452">
        <v>43080</v>
      </c>
      <c r="N157" s="6">
        <v>43093</v>
      </c>
      <c r="O157" s="455"/>
      <c r="P157" s="458"/>
      <c r="Q157" s="471" t="s">
        <v>2434</v>
      </c>
      <c r="R157" s="456" t="s">
        <v>1393</v>
      </c>
      <c r="S157" s="315" t="s">
        <v>2828</v>
      </c>
      <c r="T157" s="689"/>
    </row>
    <row r="158" spans="1:20" ht="20.100000000000001" customHeight="1">
      <c r="A158" s="1128" t="s">
        <v>2961</v>
      </c>
      <c r="B158" s="1143" t="s">
        <v>566</v>
      </c>
      <c r="C158" s="1143" t="s">
        <v>527</v>
      </c>
      <c r="D158" s="2">
        <f>D48+1800+50</f>
        <v>3075</v>
      </c>
      <c r="E158" s="2">
        <f>E48+3650+100</f>
        <v>6200</v>
      </c>
      <c r="F158" s="2">
        <f>F48+3650+100</f>
        <v>6200</v>
      </c>
      <c r="G158" s="678" t="s">
        <v>827</v>
      </c>
      <c r="H158" s="56" t="s">
        <v>828</v>
      </c>
      <c r="I158" s="451" t="s">
        <v>111</v>
      </c>
      <c r="J158" s="451"/>
      <c r="K158" s="451" t="s">
        <v>830</v>
      </c>
      <c r="L158" s="451" t="s">
        <v>643</v>
      </c>
      <c r="M158" s="452">
        <v>43080</v>
      </c>
      <c r="N158" s="452">
        <v>43100</v>
      </c>
      <c r="O158" s="463"/>
      <c r="P158" s="463"/>
      <c r="Q158" s="455"/>
      <c r="R158" s="456" t="s">
        <v>170</v>
      </c>
      <c r="S158" s="687" t="s">
        <v>1176</v>
      </c>
      <c r="T158" s="689"/>
    </row>
    <row r="159" spans="1:20" ht="20.100000000000001" customHeight="1">
      <c r="A159" s="1128" t="s">
        <v>2961</v>
      </c>
      <c r="B159" s="1143" t="s">
        <v>566</v>
      </c>
      <c r="C159" s="1143" t="s">
        <v>527</v>
      </c>
      <c r="D159" s="32">
        <v>1450</v>
      </c>
      <c r="E159" s="32">
        <v>2900</v>
      </c>
      <c r="F159" s="32">
        <v>2900</v>
      </c>
      <c r="G159" s="693" t="s">
        <v>139</v>
      </c>
      <c r="H159" s="56" t="s">
        <v>944</v>
      </c>
      <c r="I159" s="475" t="s">
        <v>16</v>
      </c>
      <c r="J159" s="475"/>
      <c r="K159" s="475">
        <v>55</v>
      </c>
      <c r="L159" s="475" t="s">
        <v>638</v>
      </c>
      <c r="M159" s="452">
        <v>43054</v>
      </c>
      <c r="N159" s="452">
        <v>43100</v>
      </c>
      <c r="O159" s="458" t="s">
        <v>624</v>
      </c>
      <c r="P159" s="458"/>
      <c r="Q159" s="458"/>
      <c r="R159" s="456"/>
      <c r="S159" s="687"/>
      <c r="T159" s="680"/>
    </row>
    <row r="160" spans="1:20" ht="20.100000000000001" customHeight="1">
      <c r="A160" s="1128" t="s">
        <v>2961</v>
      </c>
      <c r="B160" s="1143" t="s">
        <v>566</v>
      </c>
      <c r="C160" s="1143" t="s">
        <v>527</v>
      </c>
      <c r="D160" s="11">
        <v>1800</v>
      </c>
      <c r="E160" s="11">
        <v>3600</v>
      </c>
      <c r="F160" s="11">
        <v>3600</v>
      </c>
      <c r="G160" s="628" t="s">
        <v>965</v>
      </c>
      <c r="H160" s="4" t="s">
        <v>967</v>
      </c>
      <c r="I160" s="475" t="s">
        <v>25</v>
      </c>
      <c r="J160" s="475"/>
      <c r="K160" s="475" t="s">
        <v>970</v>
      </c>
      <c r="L160" s="475" t="s">
        <v>966</v>
      </c>
      <c r="M160" s="452">
        <v>42979</v>
      </c>
      <c r="N160" s="452">
        <v>43069</v>
      </c>
      <c r="O160" s="458"/>
      <c r="P160" s="458"/>
      <c r="Q160" s="483"/>
      <c r="R160" s="456" t="s">
        <v>971</v>
      </c>
      <c r="S160" s="687"/>
      <c r="T160" s="680"/>
    </row>
    <row r="161" spans="1:20" ht="20.100000000000001" customHeight="1">
      <c r="A161" s="1128" t="s">
        <v>2961</v>
      </c>
      <c r="B161" s="1143" t="s">
        <v>566</v>
      </c>
      <c r="C161" s="1143" t="s">
        <v>527</v>
      </c>
      <c r="D161" s="11">
        <f>D56+2500*1</f>
        <v>3600</v>
      </c>
      <c r="E161" s="11">
        <f>E56+3500*1</f>
        <v>5700</v>
      </c>
      <c r="F161" s="11">
        <f>F56+3500*1</f>
        <v>5700</v>
      </c>
      <c r="G161" s="217" t="s">
        <v>1308</v>
      </c>
      <c r="H161" s="4" t="s">
        <v>2428</v>
      </c>
      <c r="I161" s="475" t="s">
        <v>111</v>
      </c>
      <c r="J161" s="475"/>
      <c r="K161" s="475" t="s">
        <v>2429</v>
      </c>
      <c r="L161" s="451" t="s">
        <v>639</v>
      </c>
      <c r="M161" s="452">
        <v>43080</v>
      </c>
      <c r="N161" s="6">
        <v>43093</v>
      </c>
      <c r="O161" s="455"/>
      <c r="P161" s="458"/>
      <c r="Q161" s="471" t="s">
        <v>2434</v>
      </c>
      <c r="R161" s="456" t="s">
        <v>1372</v>
      </c>
      <c r="S161" s="315" t="s">
        <v>2828</v>
      </c>
      <c r="T161" s="680"/>
    </row>
    <row r="162" spans="1:20" ht="20.100000000000001" customHeight="1">
      <c r="A162" s="1128" t="s">
        <v>2961</v>
      </c>
      <c r="B162" s="1143" t="s">
        <v>566</v>
      </c>
      <c r="C162" s="1143" t="s">
        <v>527</v>
      </c>
      <c r="D162" s="32">
        <v>1450</v>
      </c>
      <c r="E162" s="32">
        <v>2900</v>
      </c>
      <c r="F162" s="32">
        <v>2900</v>
      </c>
      <c r="G162" s="693" t="s">
        <v>71</v>
      </c>
      <c r="H162" s="28" t="s">
        <v>4197</v>
      </c>
      <c r="I162" s="475" t="s">
        <v>846</v>
      </c>
      <c r="J162" s="475"/>
      <c r="K162" s="475" t="s">
        <v>743</v>
      </c>
      <c r="L162" s="475" t="s">
        <v>847</v>
      </c>
      <c r="M162" s="452">
        <v>43054</v>
      </c>
      <c r="N162" s="452">
        <v>43100</v>
      </c>
      <c r="O162" s="458" t="s">
        <v>600</v>
      </c>
      <c r="P162" s="458"/>
      <c r="Q162" s="458"/>
      <c r="R162" s="456"/>
      <c r="S162" s="687"/>
      <c r="T162" s="680"/>
    </row>
    <row r="163" spans="1:20" ht="20.100000000000001" customHeight="1">
      <c r="A163" s="1150" t="s">
        <v>2961</v>
      </c>
      <c r="B163" s="1153" t="s">
        <v>566</v>
      </c>
      <c r="C163" s="1153" t="s">
        <v>1209</v>
      </c>
      <c r="D163" s="11">
        <f>D29+2170*1</f>
        <v>3233</v>
      </c>
      <c r="E163" s="11">
        <f>E29+3640*1</f>
        <v>5753</v>
      </c>
      <c r="F163" s="11">
        <f>F29+3640*1</f>
        <v>5753</v>
      </c>
      <c r="G163" s="609" t="s">
        <v>2847</v>
      </c>
      <c r="H163" s="56">
        <v>1</v>
      </c>
      <c r="I163" s="451" t="s">
        <v>111</v>
      </c>
      <c r="J163" s="451"/>
      <c r="K163" s="451" t="s">
        <v>1210</v>
      </c>
      <c r="L163" s="451" t="s">
        <v>643</v>
      </c>
      <c r="M163" s="452">
        <v>43086</v>
      </c>
      <c r="N163" s="452">
        <v>43100</v>
      </c>
      <c r="O163" s="458"/>
      <c r="P163" s="458"/>
      <c r="Q163" s="458" t="s">
        <v>1211</v>
      </c>
      <c r="R163" s="456" t="s">
        <v>1367</v>
      </c>
      <c r="S163" s="687"/>
      <c r="T163" s="680"/>
    </row>
    <row r="164" spans="1:20" ht="20.100000000000001" customHeight="1">
      <c r="A164" s="1151" t="s">
        <v>2961</v>
      </c>
      <c r="B164" s="1154" t="s">
        <v>566</v>
      </c>
      <c r="C164" s="1154" t="s">
        <v>1209</v>
      </c>
      <c r="D164" s="11">
        <f>D39+2350*1</f>
        <v>3450</v>
      </c>
      <c r="E164" s="11">
        <f>E39+3250*1</f>
        <v>5450</v>
      </c>
      <c r="F164" s="11">
        <f>F39+3250*1</f>
        <v>5450</v>
      </c>
      <c r="G164" s="217" t="s">
        <v>1308</v>
      </c>
      <c r="H164" s="4">
        <v>2</v>
      </c>
      <c r="I164" s="475" t="s">
        <v>111</v>
      </c>
      <c r="J164" s="475"/>
      <c r="K164" s="475">
        <v>25</v>
      </c>
      <c r="L164" s="451" t="s">
        <v>639</v>
      </c>
      <c r="M164" s="452">
        <v>43080</v>
      </c>
      <c r="N164" s="6">
        <v>43093</v>
      </c>
      <c r="O164" s="455"/>
      <c r="P164" s="458"/>
      <c r="Q164" s="471" t="s">
        <v>2434</v>
      </c>
      <c r="R164" s="456" t="s">
        <v>1393</v>
      </c>
      <c r="S164" s="315" t="s">
        <v>2829</v>
      </c>
      <c r="T164" s="680"/>
    </row>
    <row r="165" spans="1:20" ht="20.100000000000001" customHeight="1">
      <c r="A165" s="1151" t="s">
        <v>2961</v>
      </c>
      <c r="B165" s="1154" t="s">
        <v>566</v>
      </c>
      <c r="C165" s="1154" t="s">
        <v>1209</v>
      </c>
      <c r="D165" s="2">
        <f>D19+1850*1</f>
        <v>3162</v>
      </c>
      <c r="E165" s="2">
        <f>E19+3700*1</f>
        <v>6312</v>
      </c>
      <c r="F165" s="2">
        <f>F19+3700*1</f>
        <v>6312</v>
      </c>
      <c r="G165" s="609" t="s">
        <v>1689</v>
      </c>
      <c r="H165" s="4">
        <v>3</v>
      </c>
      <c r="I165" s="451" t="s">
        <v>302</v>
      </c>
      <c r="J165" s="451"/>
      <c r="K165" s="451">
        <v>30</v>
      </c>
      <c r="L165" s="451" t="s">
        <v>643</v>
      </c>
      <c r="M165" s="452">
        <v>43054</v>
      </c>
      <c r="N165" s="452">
        <v>43100</v>
      </c>
      <c r="O165" s="458"/>
      <c r="P165" s="462"/>
      <c r="Q165" s="462" t="s">
        <v>304</v>
      </c>
      <c r="R165" s="456" t="s">
        <v>183</v>
      </c>
      <c r="S165" s="687"/>
      <c r="T165" s="680"/>
    </row>
    <row r="166" spans="1:20" ht="20.100000000000001" customHeight="1">
      <c r="A166" s="1152" t="s">
        <v>2961</v>
      </c>
      <c r="B166" s="1155" t="s">
        <v>566</v>
      </c>
      <c r="C166" s="1155" t="s">
        <v>1209</v>
      </c>
      <c r="D166" s="2">
        <f>D56+2350*1</f>
        <v>3450</v>
      </c>
      <c r="E166" s="2">
        <f>E56+3250*1</f>
        <v>5450</v>
      </c>
      <c r="F166" s="2">
        <f>F56+3250*1</f>
        <v>5450</v>
      </c>
      <c r="G166" s="217" t="s">
        <v>1308</v>
      </c>
      <c r="H166" s="4" t="s">
        <v>681</v>
      </c>
      <c r="I166" s="475" t="s">
        <v>111</v>
      </c>
      <c r="J166" s="475"/>
      <c r="K166" s="475" t="s">
        <v>665</v>
      </c>
      <c r="L166" s="451" t="s">
        <v>639</v>
      </c>
      <c r="M166" s="452">
        <v>43080</v>
      </c>
      <c r="N166" s="6">
        <v>43093</v>
      </c>
      <c r="O166" s="455"/>
      <c r="P166" s="458"/>
      <c r="Q166" s="471" t="s">
        <v>2434</v>
      </c>
      <c r="R166" s="456" t="s">
        <v>1372</v>
      </c>
      <c r="S166" s="315" t="s">
        <v>2829</v>
      </c>
      <c r="T166" s="680"/>
    </row>
    <row r="167" spans="1:20" ht="20.100000000000001" customHeight="1">
      <c r="A167" s="1128" t="s">
        <v>2961</v>
      </c>
      <c r="B167" s="1143" t="s">
        <v>566</v>
      </c>
      <c r="C167" s="1143" t="s">
        <v>2426</v>
      </c>
      <c r="D167" s="2">
        <f>D29+3350*1</f>
        <v>4413</v>
      </c>
      <c r="E167" s="2">
        <f>E29+6000*1</f>
        <v>8113</v>
      </c>
      <c r="F167" s="2">
        <f>F29+6000*1</f>
        <v>8113</v>
      </c>
      <c r="G167" s="609" t="s">
        <v>2847</v>
      </c>
      <c r="H167" s="56">
        <v>1</v>
      </c>
      <c r="I167" s="451" t="s">
        <v>111</v>
      </c>
      <c r="J167" s="451"/>
      <c r="K167" s="451" t="s">
        <v>1210</v>
      </c>
      <c r="L167" s="451" t="s">
        <v>643</v>
      </c>
      <c r="M167" s="452">
        <v>43086</v>
      </c>
      <c r="N167" s="452">
        <v>43100</v>
      </c>
      <c r="O167" s="458"/>
      <c r="P167" s="458"/>
      <c r="Q167" s="458" t="s">
        <v>1211</v>
      </c>
      <c r="R167" s="456" t="s">
        <v>1367</v>
      </c>
      <c r="S167" s="687"/>
      <c r="T167" s="680"/>
    </row>
    <row r="168" spans="1:20" ht="20.100000000000001" customHeight="1">
      <c r="A168" s="1128" t="s">
        <v>2961</v>
      </c>
      <c r="B168" s="1143" t="s">
        <v>566</v>
      </c>
      <c r="C168" s="1143" t="s">
        <v>526</v>
      </c>
      <c r="D168" s="11">
        <f>D152+1600+100</f>
        <v>3200</v>
      </c>
      <c r="E168" s="11"/>
      <c r="F168" s="11">
        <f>F152+2400+200</f>
        <v>5600</v>
      </c>
      <c r="G168" s="12" t="s">
        <v>49</v>
      </c>
      <c r="H168" s="771" t="s">
        <v>3088</v>
      </c>
      <c r="I168" s="475" t="s">
        <v>115</v>
      </c>
      <c r="J168" s="475"/>
      <c r="K168" s="475" t="s">
        <v>777</v>
      </c>
      <c r="L168" s="451" t="s">
        <v>641</v>
      </c>
      <c r="M168" s="452">
        <v>42979</v>
      </c>
      <c r="N168" s="452">
        <v>43069</v>
      </c>
      <c r="O168" s="464"/>
      <c r="P168" s="487"/>
      <c r="Q168" s="458" t="s">
        <v>632</v>
      </c>
      <c r="R168" s="456" t="s">
        <v>185</v>
      </c>
      <c r="S168" s="687"/>
      <c r="T168" s="680"/>
    </row>
    <row r="169" spans="1:20" ht="20.100000000000001" customHeight="1">
      <c r="A169" s="1128" t="s">
        <v>2961</v>
      </c>
      <c r="B169" s="1143" t="s">
        <v>566</v>
      </c>
      <c r="C169" s="1143" t="s">
        <v>525</v>
      </c>
      <c r="D169" s="11">
        <f>D29+2170*1</f>
        <v>3233</v>
      </c>
      <c r="E169" s="11">
        <f>E29+3640*1</f>
        <v>5753</v>
      </c>
      <c r="F169" s="11">
        <f>F29+3640*1</f>
        <v>5753</v>
      </c>
      <c r="G169" s="609" t="s">
        <v>2847</v>
      </c>
      <c r="H169" s="56">
        <v>1</v>
      </c>
      <c r="I169" s="451" t="s">
        <v>111</v>
      </c>
      <c r="J169" s="451"/>
      <c r="K169" s="451" t="s">
        <v>743</v>
      </c>
      <c r="L169" s="451" t="s">
        <v>643</v>
      </c>
      <c r="M169" s="452">
        <v>43086</v>
      </c>
      <c r="N169" s="452">
        <v>43100</v>
      </c>
      <c r="O169" s="458"/>
      <c r="P169" s="458"/>
      <c r="Q169" s="471" t="s">
        <v>197</v>
      </c>
      <c r="R169" s="456" t="s">
        <v>1367</v>
      </c>
      <c r="S169" s="687"/>
      <c r="T169" s="680"/>
    </row>
    <row r="170" spans="1:20" ht="20.100000000000001" customHeight="1">
      <c r="A170" s="1128" t="s">
        <v>2961</v>
      </c>
      <c r="B170" s="1143" t="s">
        <v>566</v>
      </c>
      <c r="C170" s="1143" t="s">
        <v>525</v>
      </c>
      <c r="D170" s="2">
        <f>D39+2000*1</f>
        <v>3100</v>
      </c>
      <c r="E170" s="2">
        <f>E39+2750*1</f>
        <v>4950</v>
      </c>
      <c r="F170" s="2">
        <f>F39+2750*1</f>
        <v>4950</v>
      </c>
      <c r="G170" s="217" t="s">
        <v>1308</v>
      </c>
      <c r="H170" s="4">
        <v>2</v>
      </c>
      <c r="I170" s="475" t="s">
        <v>111</v>
      </c>
      <c r="J170" s="475"/>
      <c r="K170" s="475">
        <v>25</v>
      </c>
      <c r="L170" s="451" t="s">
        <v>639</v>
      </c>
      <c r="M170" s="452">
        <v>43080</v>
      </c>
      <c r="N170" s="6">
        <v>43093</v>
      </c>
      <c r="O170" s="455"/>
      <c r="P170" s="458"/>
      <c r="Q170" s="471" t="s">
        <v>2434</v>
      </c>
      <c r="R170" s="456" t="s">
        <v>1393</v>
      </c>
      <c r="S170" s="315" t="s">
        <v>2830</v>
      </c>
      <c r="T170" s="689"/>
    </row>
    <row r="171" spans="1:20" ht="20.100000000000001" customHeight="1">
      <c r="A171" s="1128" t="s">
        <v>2961</v>
      </c>
      <c r="B171" s="1143" t="s">
        <v>566</v>
      </c>
      <c r="C171" s="1143" t="s">
        <v>525</v>
      </c>
      <c r="D171" s="2">
        <f>D56+2000*1</f>
        <v>3100</v>
      </c>
      <c r="E171" s="2">
        <f>E56+2750*1</f>
        <v>4950</v>
      </c>
      <c r="F171" s="2">
        <f>F56+2750*1</f>
        <v>4950</v>
      </c>
      <c r="G171" s="217" t="s">
        <v>1308</v>
      </c>
      <c r="H171" s="4" t="s">
        <v>2428</v>
      </c>
      <c r="I171" s="475" t="s">
        <v>111</v>
      </c>
      <c r="J171" s="475"/>
      <c r="K171" s="475" t="s">
        <v>2429</v>
      </c>
      <c r="L171" s="451" t="s">
        <v>639</v>
      </c>
      <c r="M171" s="452">
        <v>43080</v>
      </c>
      <c r="N171" s="6">
        <v>43093</v>
      </c>
      <c r="O171" s="455"/>
      <c r="P171" s="458"/>
      <c r="Q171" s="471" t="s">
        <v>2434</v>
      </c>
      <c r="R171" s="456" t="s">
        <v>1372</v>
      </c>
      <c r="S171" s="315" t="s">
        <v>2830</v>
      </c>
      <c r="T171" s="689"/>
    </row>
    <row r="172" spans="1:20" ht="20.100000000000001" customHeight="1">
      <c r="A172" s="1128" t="s">
        <v>2961</v>
      </c>
      <c r="B172" s="1143" t="s">
        <v>566</v>
      </c>
      <c r="C172" s="1143" t="s">
        <v>1212</v>
      </c>
      <c r="D172" s="2">
        <f>D29+1800*1</f>
        <v>2863</v>
      </c>
      <c r="E172" s="2">
        <f>E29+3000*1</f>
        <v>5113</v>
      </c>
      <c r="F172" s="2">
        <f>F29+3000*1</f>
        <v>5113</v>
      </c>
      <c r="G172" s="609" t="s">
        <v>2847</v>
      </c>
      <c r="H172" s="56">
        <v>1</v>
      </c>
      <c r="I172" s="451" t="s">
        <v>111</v>
      </c>
      <c r="J172" s="451"/>
      <c r="K172" s="451" t="s">
        <v>1210</v>
      </c>
      <c r="L172" s="451" t="s">
        <v>643</v>
      </c>
      <c r="M172" s="452">
        <v>43086</v>
      </c>
      <c r="N172" s="452">
        <v>43100</v>
      </c>
      <c r="O172" s="458"/>
      <c r="P172" s="458"/>
      <c r="Q172" s="458" t="s">
        <v>1211</v>
      </c>
      <c r="R172" s="456" t="s">
        <v>1367</v>
      </c>
      <c r="S172" s="687"/>
      <c r="T172" s="689"/>
    </row>
    <row r="173" spans="1:20" ht="20.100000000000001" customHeight="1">
      <c r="A173" s="1128" t="s">
        <v>2961</v>
      </c>
      <c r="B173" s="1143" t="s">
        <v>566</v>
      </c>
      <c r="C173" s="1143" t="s">
        <v>1212</v>
      </c>
      <c r="D173" s="11">
        <v>1800</v>
      </c>
      <c r="E173" s="11">
        <f>D173*2</f>
        <v>3600</v>
      </c>
      <c r="F173" s="11">
        <f>E173+300</f>
        <v>3900</v>
      </c>
      <c r="G173" s="693" t="s">
        <v>4204</v>
      </c>
      <c r="H173" s="56" t="s">
        <v>944</v>
      </c>
      <c r="I173" s="475" t="s">
        <v>16</v>
      </c>
      <c r="J173" s="475"/>
      <c r="K173" s="475">
        <v>49</v>
      </c>
      <c r="L173" s="475" t="s">
        <v>638</v>
      </c>
      <c r="M173" s="452">
        <v>43040</v>
      </c>
      <c r="N173" s="452">
        <v>43100</v>
      </c>
      <c r="O173" s="458" t="s">
        <v>624</v>
      </c>
      <c r="P173" s="458"/>
      <c r="Q173" s="458"/>
      <c r="R173" s="456"/>
      <c r="S173" s="687"/>
      <c r="T173" s="680"/>
    </row>
    <row r="174" spans="1:20" ht="20.100000000000001" customHeight="1">
      <c r="A174" s="1128" t="s">
        <v>2961</v>
      </c>
      <c r="B174" s="1143" t="s">
        <v>566</v>
      </c>
      <c r="C174" s="1143" t="s">
        <v>524</v>
      </c>
      <c r="D174" s="2"/>
      <c r="E174" s="2"/>
      <c r="F174" s="2"/>
      <c r="G174" s="3" t="s">
        <v>13</v>
      </c>
      <c r="H174" s="4" t="s">
        <v>634</v>
      </c>
      <c r="I174" s="475" t="s">
        <v>111</v>
      </c>
      <c r="J174" s="475"/>
      <c r="K174" s="475">
        <v>27</v>
      </c>
      <c r="L174" s="475" t="s">
        <v>638</v>
      </c>
      <c r="M174" s="452">
        <v>43023</v>
      </c>
      <c r="N174" s="452">
        <v>43039</v>
      </c>
      <c r="O174" s="458"/>
      <c r="P174" s="458"/>
      <c r="Q174" s="458" t="s">
        <v>197</v>
      </c>
      <c r="R174" s="456" t="s">
        <v>1388</v>
      </c>
      <c r="S174" s="687" t="s">
        <v>1176</v>
      </c>
      <c r="T174" s="689"/>
    </row>
    <row r="175" spans="1:20" ht="20.100000000000001" customHeight="1">
      <c r="A175" s="1134" t="s">
        <v>2961</v>
      </c>
      <c r="B175" s="1158" t="s">
        <v>566</v>
      </c>
      <c r="C175" s="1158" t="s">
        <v>1217</v>
      </c>
      <c r="D175" s="726"/>
      <c r="E175" s="726"/>
      <c r="F175" s="726"/>
      <c r="G175" s="3" t="s">
        <v>13</v>
      </c>
      <c r="H175" s="4" t="s">
        <v>729</v>
      </c>
      <c r="I175" s="465" t="s">
        <v>866</v>
      </c>
      <c r="J175" s="465"/>
      <c r="K175" s="488" t="s">
        <v>867</v>
      </c>
      <c r="L175" s="488" t="s">
        <v>856</v>
      </c>
      <c r="M175" s="452">
        <v>43023</v>
      </c>
      <c r="N175" s="452">
        <v>43039</v>
      </c>
      <c r="O175" s="458"/>
      <c r="P175" s="458"/>
      <c r="Q175" s="458" t="s">
        <v>304</v>
      </c>
      <c r="R175" s="456" t="s">
        <v>301</v>
      </c>
      <c r="S175" s="687" t="s">
        <v>1176</v>
      </c>
      <c r="T175" s="689"/>
    </row>
    <row r="176" spans="1:20" ht="20.100000000000001" customHeight="1">
      <c r="A176" s="1134" t="s">
        <v>2961</v>
      </c>
      <c r="B176" s="1158" t="s">
        <v>566</v>
      </c>
      <c r="C176" s="1158" t="s">
        <v>1217</v>
      </c>
      <c r="D176" s="850">
        <f>D11+1200*1</f>
        <v>2300</v>
      </c>
      <c r="E176" s="850">
        <f>E11+1850*1</f>
        <v>4050</v>
      </c>
      <c r="F176" s="850">
        <f>F11+1850*1</f>
        <v>4050</v>
      </c>
      <c r="G176" s="217" t="s">
        <v>1308</v>
      </c>
      <c r="H176" s="151" t="s">
        <v>668</v>
      </c>
      <c r="I176" s="465" t="s">
        <v>866</v>
      </c>
      <c r="J176" s="465"/>
      <c r="K176" s="465" t="s">
        <v>675</v>
      </c>
      <c r="L176" s="465" t="s">
        <v>868</v>
      </c>
      <c r="M176" s="452">
        <v>43080</v>
      </c>
      <c r="N176" s="6">
        <v>43093</v>
      </c>
      <c r="O176" s="455"/>
      <c r="P176" s="458"/>
      <c r="Q176" s="471" t="s">
        <v>197</v>
      </c>
      <c r="R176" s="456" t="s">
        <v>1393</v>
      </c>
      <c r="S176" s="315" t="s">
        <v>2829</v>
      </c>
      <c r="T176" s="689"/>
    </row>
    <row r="177" spans="1:20" ht="20.100000000000001" customHeight="1">
      <c r="A177" s="1134" t="s">
        <v>2961</v>
      </c>
      <c r="B177" s="1158" t="s">
        <v>566</v>
      </c>
      <c r="C177" s="1158" t="s">
        <v>1217</v>
      </c>
      <c r="D177" s="726">
        <f>D13+1215*1</f>
        <v>2278</v>
      </c>
      <c r="E177" s="726">
        <f>E13+1600*1</f>
        <v>3713</v>
      </c>
      <c r="F177" s="726">
        <f>F13+1600*1</f>
        <v>3713</v>
      </c>
      <c r="G177" s="609" t="s">
        <v>2847</v>
      </c>
      <c r="H177" s="56" t="s">
        <v>659</v>
      </c>
      <c r="I177" s="465" t="s">
        <v>866</v>
      </c>
      <c r="J177" s="451"/>
      <c r="K177" s="451" t="s">
        <v>1218</v>
      </c>
      <c r="L177" s="451" t="s">
        <v>641</v>
      </c>
      <c r="M177" s="452">
        <v>43086</v>
      </c>
      <c r="N177" s="452">
        <v>43100</v>
      </c>
      <c r="O177" s="458"/>
      <c r="P177" s="458"/>
      <c r="Q177" s="471" t="s">
        <v>197</v>
      </c>
      <c r="R177" s="456" t="s">
        <v>848</v>
      </c>
      <c r="S177" s="687"/>
      <c r="T177" s="689"/>
    </row>
    <row r="178" spans="1:20" ht="20.100000000000001" customHeight="1">
      <c r="A178" s="1134" t="s">
        <v>2961</v>
      </c>
      <c r="B178" s="1158" t="s">
        <v>566</v>
      </c>
      <c r="C178" s="1158" t="s">
        <v>1217</v>
      </c>
      <c r="D178" s="726">
        <f>D19+1200*1</f>
        <v>2512</v>
      </c>
      <c r="E178" s="726">
        <f>E19+1800*1</f>
        <v>4412</v>
      </c>
      <c r="F178" s="726">
        <f>F19+1800*1</f>
        <v>4412</v>
      </c>
      <c r="G178" s="609" t="s">
        <v>1689</v>
      </c>
      <c r="H178" s="151" t="s">
        <v>674</v>
      </c>
      <c r="I178" s="465" t="s">
        <v>866</v>
      </c>
      <c r="J178" s="465"/>
      <c r="K178" s="465" t="s">
        <v>672</v>
      </c>
      <c r="L178" s="465" t="s">
        <v>860</v>
      </c>
      <c r="M178" s="452">
        <v>43054</v>
      </c>
      <c r="N178" s="452">
        <v>43100</v>
      </c>
      <c r="O178" s="458"/>
      <c r="P178" s="463"/>
      <c r="Q178" s="463" t="s">
        <v>304</v>
      </c>
      <c r="R178" s="456" t="s">
        <v>183</v>
      </c>
      <c r="S178" s="687"/>
      <c r="T178" s="689"/>
    </row>
    <row r="179" spans="1:20" ht="20.100000000000001" customHeight="1">
      <c r="A179" s="1134" t="s">
        <v>2961</v>
      </c>
      <c r="B179" s="1158" t="s">
        <v>566</v>
      </c>
      <c r="C179" s="1158" t="s">
        <v>865</v>
      </c>
      <c r="D179" s="726">
        <f>D24+1200*1</f>
        <v>2300</v>
      </c>
      <c r="E179" s="726">
        <f>E24+1850*1</f>
        <v>4050</v>
      </c>
      <c r="F179" s="726">
        <f>F24+1850*1</f>
        <v>4050</v>
      </c>
      <c r="G179" s="217" t="s">
        <v>1308</v>
      </c>
      <c r="H179" s="4" t="s">
        <v>681</v>
      </c>
      <c r="I179" s="465" t="s">
        <v>866</v>
      </c>
      <c r="J179" s="475"/>
      <c r="K179" s="475" t="s">
        <v>723</v>
      </c>
      <c r="L179" s="451" t="s">
        <v>639</v>
      </c>
      <c r="M179" s="452">
        <v>43080</v>
      </c>
      <c r="N179" s="6">
        <v>43093</v>
      </c>
      <c r="O179" s="455"/>
      <c r="P179" s="458"/>
      <c r="Q179" s="471" t="s">
        <v>197</v>
      </c>
      <c r="R179" s="456" t="s">
        <v>1372</v>
      </c>
      <c r="S179" s="315" t="s">
        <v>2829</v>
      </c>
      <c r="T179" s="689"/>
    </row>
    <row r="180" spans="1:20" ht="20.100000000000001" customHeight="1">
      <c r="A180" s="1134" t="s">
        <v>2961</v>
      </c>
      <c r="B180" s="1158" t="s">
        <v>566</v>
      </c>
      <c r="C180" s="1158" t="s">
        <v>1217</v>
      </c>
      <c r="D180" s="726">
        <v>1550</v>
      </c>
      <c r="E180" s="726">
        <v>3100</v>
      </c>
      <c r="F180" s="726">
        <v>3400</v>
      </c>
      <c r="G180" s="150" t="s">
        <v>869</v>
      </c>
      <c r="H180" s="28" t="s">
        <v>3834</v>
      </c>
      <c r="I180" s="465" t="s">
        <v>870</v>
      </c>
      <c r="J180" s="465"/>
      <c r="K180" s="488" t="s">
        <v>1008</v>
      </c>
      <c r="L180" s="488" t="s">
        <v>871</v>
      </c>
      <c r="M180" s="452">
        <v>43040</v>
      </c>
      <c r="N180" s="452">
        <v>43100</v>
      </c>
      <c r="O180" s="458" t="s">
        <v>624</v>
      </c>
      <c r="P180" s="458"/>
      <c r="Q180" s="458"/>
      <c r="R180" s="456"/>
      <c r="S180" s="687"/>
      <c r="T180" s="680"/>
    </row>
    <row r="181" spans="1:20" ht="20.100000000000001" customHeight="1">
      <c r="A181" s="1134" t="s">
        <v>2962</v>
      </c>
      <c r="B181" s="1158" t="s">
        <v>566</v>
      </c>
      <c r="C181" s="1158" t="s">
        <v>1219</v>
      </c>
      <c r="D181" s="726">
        <f>D68+950*1</f>
        <v>2013</v>
      </c>
      <c r="E181" s="726">
        <f>E68+950*1</f>
        <v>3063</v>
      </c>
      <c r="F181" s="726">
        <f>F68+950*1</f>
        <v>3063</v>
      </c>
      <c r="G181" s="609" t="s">
        <v>2847</v>
      </c>
      <c r="H181" s="56" t="s">
        <v>659</v>
      </c>
      <c r="I181" s="451" t="s">
        <v>113</v>
      </c>
      <c r="J181" s="451"/>
      <c r="K181" s="451" t="s">
        <v>1220</v>
      </c>
      <c r="L181" s="465" t="s">
        <v>1026</v>
      </c>
      <c r="M181" s="452">
        <v>43086</v>
      </c>
      <c r="N181" s="452">
        <v>43100</v>
      </c>
      <c r="O181" s="458"/>
      <c r="P181" s="458"/>
      <c r="Q181" s="471" t="s">
        <v>24</v>
      </c>
      <c r="R181" s="456" t="s">
        <v>848</v>
      </c>
      <c r="S181" s="687"/>
      <c r="T181" s="680"/>
    </row>
    <row r="182" spans="1:20" ht="20.100000000000001" customHeight="1">
      <c r="A182" s="1134" t="s">
        <v>2962</v>
      </c>
      <c r="B182" s="1158" t="s">
        <v>566</v>
      </c>
      <c r="C182" s="1158" t="s">
        <v>1219</v>
      </c>
      <c r="D182" s="11">
        <v>1550</v>
      </c>
      <c r="E182" s="11">
        <f>D182*2</f>
        <v>3100</v>
      </c>
      <c r="F182" s="11">
        <f>E182+300</f>
        <v>3400</v>
      </c>
      <c r="G182" s="29" t="s">
        <v>71</v>
      </c>
      <c r="H182" s="28" t="s">
        <v>3834</v>
      </c>
      <c r="I182" s="451" t="s">
        <v>17</v>
      </c>
      <c r="J182" s="451"/>
      <c r="K182" s="475" t="s">
        <v>1009</v>
      </c>
      <c r="L182" s="475" t="s">
        <v>635</v>
      </c>
      <c r="M182" s="452">
        <v>43040</v>
      </c>
      <c r="N182" s="452">
        <v>43100</v>
      </c>
      <c r="O182" s="458" t="s">
        <v>624</v>
      </c>
      <c r="P182" s="458"/>
      <c r="Q182" s="458"/>
      <c r="R182" s="456"/>
      <c r="S182" s="687"/>
      <c r="T182" s="689"/>
    </row>
    <row r="183" spans="1:20" ht="20.100000000000001" customHeight="1">
      <c r="A183" s="1128" t="s">
        <v>1093</v>
      </c>
      <c r="B183" s="1143" t="s">
        <v>566</v>
      </c>
      <c r="C183" s="1143" t="s">
        <v>2465</v>
      </c>
      <c r="D183" s="2">
        <f>D11+3100*1</f>
        <v>4200</v>
      </c>
      <c r="E183" s="2">
        <f>E11+3100*1</f>
        <v>5300</v>
      </c>
      <c r="F183" s="2">
        <f>F11+3100*1</f>
        <v>5300</v>
      </c>
      <c r="G183" s="217" t="s">
        <v>1308</v>
      </c>
      <c r="H183" s="4">
        <v>2</v>
      </c>
      <c r="I183" s="451" t="s">
        <v>302</v>
      </c>
      <c r="J183" s="451"/>
      <c r="K183" s="475" t="s">
        <v>841</v>
      </c>
      <c r="L183" s="451" t="s">
        <v>639</v>
      </c>
      <c r="M183" s="452">
        <v>43080</v>
      </c>
      <c r="N183" s="6">
        <v>43093</v>
      </c>
      <c r="O183" s="455"/>
      <c r="P183" s="458"/>
      <c r="Q183" s="471" t="s">
        <v>24</v>
      </c>
      <c r="R183" s="456" t="s">
        <v>1393</v>
      </c>
      <c r="S183" s="315" t="s">
        <v>2829</v>
      </c>
      <c r="T183" s="689"/>
    </row>
    <row r="184" spans="1:20" ht="20.100000000000001" customHeight="1">
      <c r="A184" s="1128" t="s">
        <v>2961</v>
      </c>
      <c r="B184" s="1143" t="s">
        <v>566</v>
      </c>
      <c r="C184" s="1143" t="s">
        <v>1221</v>
      </c>
      <c r="D184" s="2">
        <f>D13+2450*1</f>
        <v>3513</v>
      </c>
      <c r="E184" s="2">
        <f t="shared" ref="E184:F184" si="0">E13+2450*1</f>
        <v>4563</v>
      </c>
      <c r="F184" s="2">
        <f t="shared" si="0"/>
        <v>4563</v>
      </c>
      <c r="G184" s="609" t="s">
        <v>2847</v>
      </c>
      <c r="H184" s="56" t="s">
        <v>659</v>
      </c>
      <c r="I184" s="465" t="s">
        <v>866</v>
      </c>
      <c r="J184" s="451"/>
      <c r="K184" s="451" t="s">
        <v>750</v>
      </c>
      <c r="L184" s="451" t="s">
        <v>641</v>
      </c>
      <c r="M184" s="452">
        <v>43086</v>
      </c>
      <c r="N184" s="452">
        <v>43100</v>
      </c>
      <c r="O184" s="458"/>
      <c r="P184" s="458"/>
      <c r="Q184" s="471" t="s">
        <v>24</v>
      </c>
      <c r="R184" s="456" t="s">
        <v>848</v>
      </c>
      <c r="S184" s="687"/>
      <c r="T184" s="689"/>
    </row>
    <row r="185" spans="1:20" ht="20.100000000000001" customHeight="1">
      <c r="A185" s="1128" t="s">
        <v>2961</v>
      </c>
      <c r="B185" s="1143" t="s">
        <v>566</v>
      </c>
      <c r="C185" s="1143" t="s">
        <v>1221</v>
      </c>
      <c r="D185" s="2">
        <f>D24+3100*1</f>
        <v>4200</v>
      </c>
      <c r="E185" s="2">
        <f>E24+3100*1</f>
        <v>5300</v>
      </c>
      <c r="F185" s="2">
        <f>F24+3100*1</f>
        <v>5300</v>
      </c>
      <c r="G185" s="217" t="s">
        <v>1308</v>
      </c>
      <c r="H185" s="4" t="s">
        <v>2428</v>
      </c>
      <c r="I185" s="451" t="s">
        <v>302</v>
      </c>
      <c r="J185" s="475"/>
      <c r="K185" s="475" t="s">
        <v>2430</v>
      </c>
      <c r="L185" s="451" t="s">
        <v>639</v>
      </c>
      <c r="M185" s="452">
        <v>43080</v>
      </c>
      <c r="N185" s="6">
        <v>43093</v>
      </c>
      <c r="O185" s="455"/>
      <c r="P185" s="458"/>
      <c r="Q185" s="471" t="s">
        <v>24</v>
      </c>
      <c r="R185" s="456" t="s">
        <v>1372</v>
      </c>
      <c r="S185" s="315" t="s">
        <v>2829</v>
      </c>
      <c r="T185" s="689"/>
    </row>
    <row r="186" spans="1:20" ht="20.100000000000001" customHeight="1">
      <c r="A186" s="733" t="s">
        <v>2965</v>
      </c>
      <c r="B186" s="489" t="s">
        <v>1563</v>
      </c>
      <c r="C186" s="489" t="s">
        <v>1581</v>
      </c>
      <c r="D186" s="2">
        <f>D29+565*1</f>
        <v>1628</v>
      </c>
      <c r="E186" s="2">
        <f>E29+665*1</f>
        <v>2778</v>
      </c>
      <c r="F186" s="2">
        <f>F29+665*1</f>
        <v>2778</v>
      </c>
      <c r="G186" s="609" t="s">
        <v>2847</v>
      </c>
      <c r="H186" s="56">
        <v>1</v>
      </c>
      <c r="I186" s="451" t="s">
        <v>111</v>
      </c>
      <c r="J186" s="451" t="s">
        <v>1582</v>
      </c>
      <c r="K186" s="451" t="s">
        <v>743</v>
      </c>
      <c r="L186" s="451" t="s">
        <v>643</v>
      </c>
      <c r="M186" s="452">
        <v>43086</v>
      </c>
      <c r="N186" s="452">
        <v>43100</v>
      </c>
      <c r="O186" s="458"/>
      <c r="P186" s="458"/>
      <c r="Q186" s="471" t="s">
        <v>24</v>
      </c>
      <c r="R186" s="456" t="s">
        <v>1367</v>
      </c>
      <c r="S186" s="687"/>
      <c r="T186" s="689"/>
    </row>
    <row r="187" spans="1:20" ht="20.100000000000001" customHeight="1">
      <c r="A187" s="733" t="s">
        <v>2965</v>
      </c>
      <c r="B187" s="489" t="s">
        <v>1563</v>
      </c>
      <c r="C187" s="852" t="s">
        <v>4183</v>
      </c>
      <c r="D187" s="2">
        <f>D13+605*1</f>
        <v>1668</v>
      </c>
      <c r="E187" s="2">
        <f>E13+715*1</f>
        <v>2828</v>
      </c>
      <c r="F187" s="2">
        <f>F13+715*1</f>
        <v>2828</v>
      </c>
      <c r="G187" s="609" t="s">
        <v>2847</v>
      </c>
      <c r="H187" s="56" t="s">
        <v>659</v>
      </c>
      <c r="I187" s="465" t="s">
        <v>866</v>
      </c>
      <c r="J187" s="451"/>
      <c r="K187" s="451" t="s">
        <v>750</v>
      </c>
      <c r="L187" s="451" t="s">
        <v>641</v>
      </c>
      <c r="M187" s="452">
        <v>43086</v>
      </c>
      <c r="N187" s="452">
        <v>43100</v>
      </c>
      <c r="O187" s="458"/>
      <c r="P187" s="458"/>
      <c r="Q187" s="471" t="s">
        <v>24</v>
      </c>
      <c r="R187" s="456" t="s">
        <v>848</v>
      </c>
      <c r="S187" s="687"/>
      <c r="T187" s="689"/>
    </row>
    <row r="188" spans="1:20" ht="20.100000000000001" customHeight="1">
      <c r="A188" s="733" t="s">
        <v>2965</v>
      </c>
      <c r="B188" s="489" t="s">
        <v>1563</v>
      </c>
      <c r="C188" s="489" t="s">
        <v>1580</v>
      </c>
      <c r="D188" s="2">
        <f>D13+585*1</f>
        <v>1648</v>
      </c>
      <c r="E188" s="2">
        <f>E13+685*1</f>
        <v>2798</v>
      </c>
      <c r="F188" s="2">
        <f>F13+685*1</f>
        <v>2798</v>
      </c>
      <c r="G188" s="609" t="s">
        <v>2847</v>
      </c>
      <c r="H188" s="56" t="s">
        <v>659</v>
      </c>
      <c r="I188" s="465" t="s">
        <v>866</v>
      </c>
      <c r="J188" s="451"/>
      <c r="K188" s="451" t="s">
        <v>750</v>
      </c>
      <c r="L188" s="451" t="s">
        <v>641</v>
      </c>
      <c r="M188" s="452">
        <v>43086</v>
      </c>
      <c r="N188" s="452">
        <v>43100</v>
      </c>
      <c r="O188" s="458"/>
      <c r="P188" s="458"/>
      <c r="Q188" s="471" t="s">
        <v>24</v>
      </c>
      <c r="R188" s="456" t="s">
        <v>848</v>
      </c>
      <c r="S188" s="687"/>
      <c r="T188" s="689"/>
    </row>
    <row r="189" spans="1:20" ht="20.100000000000001" customHeight="1">
      <c r="A189" s="733" t="s">
        <v>2965</v>
      </c>
      <c r="B189" s="489" t="s">
        <v>1563</v>
      </c>
      <c r="C189" s="489" t="s">
        <v>1578</v>
      </c>
      <c r="D189" s="2">
        <f>D68+870*1</f>
        <v>1933</v>
      </c>
      <c r="E189" s="2">
        <f>E68+965*1</f>
        <v>3078</v>
      </c>
      <c r="F189" s="2">
        <f>F68+965*1</f>
        <v>3078</v>
      </c>
      <c r="G189" s="609" t="s">
        <v>2847</v>
      </c>
      <c r="H189" s="56" t="s">
        <v>659</v>
      </c>
      <c r="I189" s="465" t="s">
        <v>1564</v>
      </c>
      <c r="J189" s="451" t="s">
        <v>1579</v>
      </c>
      <c r="K189" s="451" t="s">
        <v>752</v>
      </c>
      <c r="L189" s="465" t="s">
        <v>1026</v>
      </c>
      <c r="M189" s="452">
        <v>43086</v>
      </c>
      <c r="N189" s="452">
        <v>43100</v>
      </c>
      <c r="O189" s="458"/>
      <c r="P189" s="458"/>
      <c r="Q189" s="471" t="s">
        <v>24</v>
      </c>
      <c r="R189" s="456" t="s">
        <v>848</v>
      </c>
      <c r="S189" s="687"/>
      <c r="T189" s="689"/>
    </row>
    <row r="190" spans="1:20" ht="20.100000000000001" customHeight="1">
      <c r="A190" s="733" t="s">
        <v>2965</v>
      </c>
      <c r="B190" s="489" t="s">
        <v>1563</v>
      </c>
      <c r="C190" s="852" t="s">
        <v>4179</v>
      </c>
      <c r="D190" s="2">
        <f>D29+565*1</f>
        <v>1628</v>
      </c>
      <c r="E190" s="2">
        <f>E29+665*1</f>
        <v>2778</v>
      </c>
      <c r="F190" s="2">
        <f>F29+665*1</f>
        <v>2778</v>
      </c>
      <c r="G190" s="609" t="s">
        <v>2847</v>
      </c>
      <c r="H190" s="56">
        <v>1</v>
      </c>
      <c r="I190" s="451" t="s">
        <v>111</v>
      </c>
      <c r="J190" s="451"/>
      <c r="K190" s="451" t="s">
        <v>743</v>
      </c>
      <c r="L190" s="451" t="s">
        <v>643</v>
      </c>
      <c r="M190" s="452">
        <v>43086</v>
      </c>
      <c r="N190" s="452">
        <v>43100</v>
      </c>
      <c r="O190" s="458"/>
      <c r="P190" s="458"/>
      <c r="Q190" s="471" t="s">
        <v>24</v>
      </c>
      <c r="R190" s="456" t="s">
        <v>1367</v>
      </c>
      <c r="S190" s="687"/>
      <c r="T190" s="689"/>
    </row>
    <row r="191" spans="1:20" ht="20.100000000000001" customHeight="1">
      <c r="A191" s="733" t="s">
        <v>2965</v>
      </c>
      <c r="B191" s="489" t="s">
        <v>1563</v>
      </c>
      <c r="C191" s="489" t="s">
        <v>1577</v>
      </c>
      <c r="D191" s="2"/>
      <c r="E191" s="2">
        <f>E68+725*1</f>
        <v>2838</v>
      </c>
      <c r="F191" s="2">
        <f>F68+725*1</f>
        <v>2838</v>
      </c>
      <c r="G191" s="609" t="s">
        <v>2847</v>
      </c>
      <c r="H191" s="56" t="s">
        <v>659</v>
      </c>
      <c r="I191" s="465" t="s">
        <v>1564</v>
      </c>
      <c r="J191" s="451"/>
      <c r="K191" s="451" t="s">
        <v>752</v>
      </c>
      <c r="L191" s="465" t="s">
        <v>1026</v>
      </c>
      <c r="M191" s="452">
        <v>43086</v>
      </c>
      <c r="N191" s="452">
        <v>43100</v>
      </c>
      <c r="O191" s="458"/>
      <c r="P191" s="458"/>
      <c r="Q191" s="471" t="s">
        <v>24</v>
      </c>
      <c r="R191" s="456" t="s">
        <v>848</v>
      </c>
      <c r="S191" s="687"/>
      <c r="T191" s="689"/>
    </row>
    <row r="192" spans="1:20" ht="20.100000000000001" customHeight="1">
      <c r="A192" s="733" t="s">
        <v>2965</v>
      </c>
      <c r="B192" s="489" t="s">
        <v>1563</v>
      </c>
      <c r="C192" s="489" t="s">
        <v>1575</v>
      </c>
      <c r="D192" s="2">
        <f>D29+545*1</f>
        <v>1608</v>
      </c>
      <c r="E192" s="2">
        <f>E29+625*1</f>
        <v>2738</v>
      </c>
      <c r="F192" s="2">
        <f>F29+625*1</f>
        <v>2738</v>
      </c>
      <c r="G192" s="609" t="s">
        <v>2847</v>
      </c>
      <c r="H192" s="56">
        <v>1</v>
      </c>
      <c r="I192" s="451" t="s">
        <v>111</v>
      </c>
      <c r="J192" s="451" t="s">
        <v>1576</v>
      </c>
      <c r="K192" s="451" t="s">
        <v>743</v>
      </c>
      <c r="L192" s="451" t="s">
        <v>643</v>
      </c>
      <c r="M192" s="452">
        <v>43086</v>
      </c>
      <c r="N192" s="452">
        <v>43100</v>
      </c>
      <c r="O192" s="458"/>
      <c r="P192" s="458"/>
      <c r="Q192" s="471" t="s">
        <v>24</v>
      </c>
      <c r="R192" s="456" t="s">
        <v>1367</v>
      </c>
      <c r="S192" s="687"/>
      <c r="T192" s="689"/>
    </row>
    <row r="193" spans="1:20" ht="20.100000000000001" customHeight="1">
      <c r="A193" s="733" t="s">
        <v>2965</v>
      </c>
      <c r="B193" s="489" t="s">
        <v>1563</v>
      </c>
      <c r="C193" s="489" t="s">
        <v>1573</v>
      </c>
      <c r="D193" s="2">
        <f>D13+777*1</f>
        <v>1840</v>
      </c>
      <c r="E193" s="2">
        <f>E13+940*1</f>
        <v>3053</v>
      </c>
      <c r="F193" s="2">
        <f>F13+940*1</f>
        <v>3053</v>
      </c>
      <c r="G193" s="609" t="s">
        <v>2847</v>
      </c>
      <c r="H193" s="56" t="s">
        <v>659</v>
      </c>
      <c r="I193" s="465" t="s">
        <v>866</v>
      </c>
      <c r="J193" s="451" t="s">
        <v>1574</v>
      </c>
      <c r="K193" s="451" t="s">
        <v>750</v>
      </c>
      <c r="L193" s="451" t="s">
        <v>641</v>
      </c>
      <c r="M193" s="452">
        <v>43086</v>
      </c>
      <c r="N193" s="452">
        <v>43100</v>
      </c>
      <c r="O193" s="458"/>
      <c r="P193" s="458"/>
      <c r="Q193" s="471" t="s">
        <v>24</v>
      </c>
      <c r="R193" s="456" t="s">
        <v>848</v>
      </c>
      <c r="S193" s="687"/>
      <c r="T193" s="689"/>
    </row>
    <row r="194" spans="1:20" ht="20.100000000000001" customHeight="1">
      <c r="A194" s="733" t="s">
        <v>2965</v>
      </c>
      <c r="B194" s="489" t="s">
        <v>1563</v>
      </c>
      <c r="C194" s="852" t="s">
        <v>4178</v>
      </c>
      <c r="D194" s="2">
        <f>D97+450*1</f>
        <v>1663</v>
      </c>
      <c r="E194" s="2">
        <f>E97+520*1</f>
        <v>2933</v>
      </c>
      <c r="F194" s="2">
        <f>F97+520*1</f>
        <v>2933</v>
      </c>
      <c r="G194" s="609" t="s">
        <v>2847</v>
      </c>
      <c r="H194" s="56" t="s">
        <v>742</v>
      </c>
      <c r="I194" s="461" t="s">
        <v>1562</v>
      </c>
      <c r="J194" s="461" t="s">
        <v>1571</v>
      </c>
      <c r="K194" s="461" t="s">
        <v>687</v>
      </c>
      <c r="L194" s="451" t="s">
        <v>637</v>
      </c>
      <c r="M194" s="452">
        <v>43086</v>
      </c>
      <c r="N194" s="452">
        <v>43100</v>
      </c>
      <c r="O194" s="478"/>
      <c r="P194" s="478"/>
      <c r="Q194" s="463" t="s">
        <v>24</v>
      </c>
      <c r="R194" s="476" t="s">
        <v>187</v>
      </c>
      <c r="S194" s="687"/>
      <c r="T194" s="689"/>
    </row>
    <row r="195" spans="1:20" ht="20.100000000000001" customHeight="1">
      <c r="A195" s="733" t="s">
        <v>2965</v>
      </c>
      <c r="B195" s="489" t="s">
        <v>1563</v>
      </c>
      <c r="C195" s="489" t="s">
        <v>1565</v>
      </c>
      <c r="D195" s="2">
        <f>D13+645*1</f>
        <v>1708</v>
      </c>
      <c r="E195" s="2">
        <f>E13+810*1</f>
        <v>2923</v>
      </c>
      <c r="F195" s="2">
        <f>F13+810*1</f>
        <v>2923</v>
      </c>
      <c r="G195" s="609" t="s">
        <v>2847</v>
      </c>
      <c r="H195" s="56" t="s">
        <v>659</v>
      </c>
      <c r="I195" s="465" t="s">
        <v>866</v>
      </c>
      <c r="J195" s="451"/>
      <c r="K195" s="451" t="s">
        <v>750</v>
      </c>
      <c r="L195" s="451" t="s">
        <v>641</v>
      </c>
      <c r="M195" s="452">
        <v>43086</v>
      </c>
      <c r="N195" s="452">
        <v>43100</v>
      </c>
      <c r="O195" s="458"/>
      <c r="P195" s="458"/>
      <c r="Q195" s="471" t="s">
        <v>24</v>
      </c>
      <c r="R195" s="456" t="s">
        <v>848</v>
      </c>
      <c r="S195" s="687"/>
      <c r="T195" s="689"/>
    </row>
    <row r="196" spans="1:20" ht="20.100000000000001" customHeight="1">
      <c r="A196" s="733" t="s">
        <v>2965</v>
      </c>
      <c r="B196" s="489" t="s">
        <v>1563</v>
      </c>
      <c r="C196" s="489" t="s">
        <v>1569</v>
      </c>
      <c r="D196" s="2"/>
      <c r="E196" s="2"/>
      <c r="F196" s="2"/>
      <c r="G196" s="609" t="s">
        <v>2847</v>
      </c>
      <c r="H196" s="56" t="s">
        <v>659</v>
      </c>
      <c r="I196" s="465" t="s">
        <v>1564</v>
      </c>
      <c r="J196" s="451" t="s">
        <v>1570</v>
      </c>
      <c r="K196" s="451" t="s">
        <v>752</v>
      </c>
      <c r="L196" s="465" t="s">
        <v>1026</v>
      </c>
      <c r="M196" s="452">
        <v>43086</v>
      </c>
      <c r="N196" s="452">
        <v>43100</v>
      </c>
      <c r="O196" s="458"/>
      <c r="P196" s="458"/>
      <c r="Q196" s="471" t="s">
        <v>24</v>
      </c>
      <c r="R196" s="456" t="s">
        <v>848</v>
      </c>
      <c r="S196" s="687"/>
      <c r="T196" s="689"/>
    </row>
    <row r="197" spans="1:20" ht="20.100000000000001" customHeight="1">
      <c r="A197" s="733" t="s">
        <v>2965</v>
      </c>
      <c r="B197" s="489" t="s">
        <v>1563</v>
      </c>
      <c r="C197" s="489" t="s">
        <v>1567</v>
      </c>
      <c r="D197" s="2">
        <f>D68+585*1</f>
        <v>1648</v>
      </c>
      <c r="E197" s="2">
        <f>E68+640*1</f>
        <v>2753</v>
      </c>
      <c r="F197" s="2">
        <f>F68+640*1</f>
        <v>2753</v>
      </c>
      <c r="G197" s="609" t="s">
        <v>2847</v>
      </c>
      <c r="H197" s="56" t="s">
        <v>659</v>
      </c>
      <c r="I197" s="465" t="s">
        <v>1564</v>
      </c>
      <c r="J197" s="451" t="s">
        <v>1568</v>
      </c>
      <c r="K197" s="451" t="s">
        <v>752</v>
      </c>
      <c r="L197" s="465" t="s">
        <v>1026</v>
      </c>
      <c r="M197" s="452">
        <v>43086</v>
      </c>
      <c r="N197" s="452">
        <v>43100</v>
      </c>
      <c r="O197" s="458"/>
      <c r="P197" s="458"/>
      <c r="Q197" s="471" t="s">
        <v>24</v>
      </c>
      <c r="R197" s="456" t="s">
        <v>848</v>
      </c>
      <c r="S197" s="687"/>
      <c r="T197" s="689"/>
    </row>
    <row r="198" spans="1:20" ht="20.100000000000001" customHeight="1">
      <c r="A198" s="733" t="s">
        <v>2965</v>
      </c>
      <c r="B198" s="489" t="s">
        <v>1563</v>
      </c>
      <c r="C198" s="489" t="s">
        <v>1572</v>
      </c>
      <c r="D198" s="2">
        <f>D13+1215*1</f>
        <v>2278</v>
      </c>
      <c r="E198" s="2">
        <f>E13+1600*1</f>
        <v>3713</v>
      </c>
      <c r="F198" s="2">
        <f>F13+1600*1</f>
        <v>3713</v>
      </c>
      <c r="G198" s="609" t="s">
        <v>2847</v>
      </c>
      <c r="H198" s="56" t="s">
        <v>659</v>
      </c>
      <c r="I198" s="465" t="s">
        <v>866</v>
      </c>
      <c r="J198" s="451" t="s">
        <v>1566</v>
      </c>
      <c r="K198" s="451" t="s">
        <v>750</v>
      </c>
      <c r="L198" s="451" t="s">
        <v>641</v>
      </c>
      <c r="M198" s="452">
        <v>43086</v>
      </c>
      <c r="N198" s="452">
        <v>43100</v>
      </c>
      <c r="O198" s="458"/>
      <c r="P198" s="458"/>
      <c r="Q198" s="463" t="s">
        <v>197</v>
      </c>
      <c r="R198" s="456" t="s">
        <v>848</v>
      </c>
      <c r="S198" s="687"/>
      <c r="T198" s="689"/>
    </row>
    <row r="199" spans="1:20" ht="20.100000000000001" customHeight="1">
      <c r="A199" s="733" t="s">
        <v>2965</v>
      </c>
      <c r="B199" s="489" t="s">
        <v>1563</v>
      </c>
      <c r="C199" s="489" t="s">
        <v>1613</v>
      </c>
      <c r="D199" s="2">
        <f>D29+545*1</f>
        <v>1608</v>
      </c>
      <c r="E199" s="2">
        <f>E29+625*1</f>
        <v>2738</v>
      </c>
      <c r="F199" s="2">
        <f>F29+625*1</f>
        <v>2738</v>
      </c>
      <c r="G199" s="609" t="s">
        <v>2847</v>
      </c>
      <c r="H199" s="56">
        <v>1</v>
      </c>
      <c r="I199" s="451" t="s">
        <v>111</v>
      </c>
      <c r="J199" s="451"/>
      <c r="K199" s="451" t="s">
        <v>743</v>
      </c>
      <c r="L199" s="451" t="s">
        <v>643</v>
      </c>
      <c r="M199" s="452">
        <v>43086</v>
      </c>
      <c r="N199" s="452">
        <v>43100</v>
      </c>
      <c r="O199" s="458"/>
      <c r="P199" s="458"/>
      <c r="Q199" s="471" t="s">
        <v>24</v>
      </c>
      <c r="R199" s="456" t="s">
        <v>1367</v>
      </c>
      <c r="S199" s="687"/>
      <c r="T199" s="689"/>
    </row>
    <row r="200" spans="1:20" ht="20.100000000000001" customHeight="1">
      <c r="A200" s="733" t="s">
        <v>2965</v>
      </c>
      <c r="B200" s="489" t="s">
        <v>1563</v>
      </c>
      <c r="C200" s="489" t="s">
        <v>1614</v>
      </c>
      <c r="D200" s="2">
        <f>D13+625*1</f>
        <v>1688</v>
      </c>
      <c r="E200" s="2">
        <f>E13+810*1</f>
        <v>2923</v>
      </c>
      <c r="F200" s="2">
        <f>F13+810*1</f>
        <v>2923</v>
      </c>
      <c r="G200" s="609" t="s">
        <v>2847</v>
      </c>
      <c r="H200" s="56" t="s">
        <v>659</v>
      </c>
      <c r="I200" s="465" t="s">
        <v>866</v>
      </c>
      <c r="J200" s="451"/>
      <c r="K200" s="451" t="s">
        <v>750</v>
      </c>
      <c r="L200" s="451" t="s">
        <v>641</v>
      </c>
      <c r="M200" s="452">
        <v>43086</v>
      </c>
      <c r="N200" s="452">
        <v>43100</v>
      </c>
      <c r="O200" s="458"/>
      <c r="P200" s="458"/>
      <c r="Q200" s="471" t="s">
        <v>24</v>
      </c>
      <c r="R200" s="456" t="s">
        <v>848</v>
      </c>
      <c r="S200" s="687"/>
      <c r="T200" s="689"/>
    </row>
    <row r="201" spans="1:20" ht="20.100000000000001" customHeight="1">
      <c r="A201" s="733" t="s">
        <v>2965</v>
      </c>
      <c r="B201" s="489" t="s">
        <v>1563</v>
      </c>
      <c r="C201" s="489" t="s">
        <v>1615</v>
      </c>
      <c r="D201" s="2">
        <f>D13+777*1</f>
        <v>1840</v>
      </c>
      <c r="E201" s="2">
        <f>E13+940*1</f>
        <v>3053</v>
      </c>
      <c r="F201" s="2">
        <f>F13+940*1</f>
        <v>3053</v>
      </c>
      <c r="G201" s="609" t="s">
        <v>2847</v>
      </c>
      <c r="H201" s="56" t="s">
        <v>659</v>
      </c>
      <c r="I201" s="465" t="s">
        <v>866</v>
      </c>
      <c r="J201" s="451" t="s">
        <v>1616</v>
      </c>
      <c r="K201" s="451" t="s">
        <v>750</v>
      </c>
      <c r="L201" s="451" t="s">
        <v>641</v>
      </c>
      <c r="M201" s="452">
        <v>43086</v>
      </c>
      <c r="N201" s="452">
        <v>43100</v>
      </c>
      <c r="O201" s="458"/>
      <c r="P201" s="458"/>
      <c r="Q201" s="471" t="s">
        <v>24</v>
      </c>
      <c r="R201" s="456" t="s">
        <v>848</v>
      </c>
      <c r="S201" s="687"/>
      <c r="T201" s="689"/>
    </row>
    <row r="202" spans="1:20" ht="20.100000000000001" customHeight="1">
      <c r="A202" s="733" t="s">
        <v>2965</v>
      </c>
      <c r="B202" s="489" t="s">
        <v>1563</v>
      </c>
      <c r="C202" s="489" t="s">
        <v>1617</v>
      </c>
      <c r="D202" s="2">
        <f>D29+2150*1</f>
        <v>3213</v>
      </c>
      <c r="E202" s="2">
        <f>E29+3100*1</f>
        <v>5213</v>
      </c>
      <c r="F202" s="2">
        <f>F29+3100*1</f>
        <v>5213</v>
      </c>
      <c r="G202" s="609" t="s">
        <v>2847</v>
      </c>
      <c r="H202" s="56">
        <v>1</v>
      </c>
      <c r="I202" s="451" t="s">
        <v>111</v>
      </c>
      <c r="J202" s="451"/>
      <c r="K202" s="451" t="s">
        <v>743</v>
      </c>
      <c r="L202" s="451" t="s">
        <v>643</v>
      </c>
      <c r="M202" s="452">
        <v>43086</v>
      </c>
      <c r="N202" s="452">
        <v>43100</v>
      </c>
      <c r="O202" s="458"/>
      <c r="P202" s="458"/>
      <c r="Q202" s="463" t="s">
        <v>197</v>
      </c>
      <c r="R202" s="456" t="s">
        <v>1367</v>
      </c>
      <c r="S202" s="687"/>
      <c r="T202" s="689"/>
    </row>
    <row r="203" spans="1:20" ht="20.100000000000001" customHeight="1">
      <c r="A203" s="733" t="s">
        <v>2965</v>
      </c>
      <c r="B203" s="489" t="s">
        <v>1563</v>
      </c>
      <c r="C203" s="489" t="s">
        <v>1618</v>
      </c>
      <c r="D203" s="2">
        <f>D107+715*1</f>
        <v>1928</v>
      </c>
      <c r="E203" s="2">
        <f>E107+870*1</f>
        <v>3283</v>
      </c>
      <c r="F203" s="2">
        <f>F107+870*1</f>
        <v>3283</v>
      </c>
      <c r="G203" s="609" t="s">
        <v>2847</v>
      </c>
      <c r="H203" s="56" t="s">
        <v>1619</v>
      </c>
      <c r="I203" s="451" t="s">
        <v>1620</v>
      </c>
      <c r="J203" s="451"/>
      <c r="K203" s="451" t="s">
        <v>684</v>
      </c>
      <c r="L203" s="451" t="s">
        <v>637</v>
      </c>
      <c r="M203" s="452">
        <v>43086</v>
      </c>
      <c r="N203" s="452">
        <v>43100</v>
      </c>
      <c r="O203" s="458"/>
      <c r="P203" s="458"/>
      <c r="Q203" s="463" t="s">
        <v>24</v>
      </c>
      <c r="R203" s="476" t="s">
        <v>187</v>
      </c>
      <c r="S203" s="687"/>
      <c r="T203" s="689"/>
    </row>
    <row r="204" spans="1:20" ht="20.100000000000001" customHeight="1">
      <c r="A204" s="733" t="s">
        <v>2965</v>
      </c>
      <c r="B204" s="489" t="s">
        <v>1563</v>
      </c>
      <c r="C204" s="489" t="s">
        <v>1621</v>
      </c>
      <c r="D204" s="2">
        <f>D13+605*1</f>
        <v>1668</v>
      </c>
      <c r="E204" s="2">
        <f>E13+710*1</f>
        <v>2823</v>
      </c>
      <c r="F204" s="2">
        <f>F13+710*1</f>
        <v>2823</v>
      </c>
      <c r="G204" s="609" t="s">
        <v>2847</v>
      </c>
      <c r="H204" s="56" t="s">
        <v>659</v>
      </c>
      <c r="I204" s="465" t="s">
        <v>866</v>
      </c>
      <c r="J204" s="451"/>
      <c r="K204" s="451" t="s">
        <v>750</v>
      </c>
      <c r="L204" s="451" t="s">
        <v>641</v>
      </c>
      <c r="M204" s="452">
        <v>43086</v>
      </c>
      <c r="N204" s="452">
        <v>43100</v>
      </c>
      <c r="O204" s="458"/>
      <c r="P204" s="458"/>
      <c r="Q204" s="471" t="s">
        <v>24</v>
      </c>
      <c r="R204" s="456" t="s">
        <v>848</v>
      </c>
      <c r="S204" s="687"/>
      <c r="T204" s="689"/>
    </row>
    <row r="205" spans="1:20" ht="20.100000000000001" customHeight="1">
      <c r="A205" s="733" t="s">
        <v>2965</v>
      </c>
      <c r="B205" s="489" t="s">
        <v>1563</v>
      </c>
      <c r="C205" s="489" t="s">
        <v>1622</v>
      </c>
      <c r="D205" s="2">
        <f>D13+645*1</f>
        <v>1708</v>
      </c>
      <c r="E205" s="2">
        <f>E13+810*1</f>
        <v>2923</v>
      </c>
      <c r="F205" s="2">
        <f>F13+810*1</f>
        <v>2923</v>
      </c>
      <c r="G205" s="609" t="s">
        <v>2847</v>
      </c>
      <c r="H205" s="56" t="s">
        <v>659</v>
      </c>
      <c r="I205" s="465" t="s">
        <v>866</v>
      </c>
      <c r="J205" s="451"/>
      <c r="K205" s="451" t="s">
        <v>750</v>
      </c>
      <c r="L205" s="451" t="s">
        <v>641</v>
      </c>
      <c r="M205" s="452">
        <v>43086</v>
      </c>
      <c r="N205" s="452">
        <v>43100</v>
      </c>
      <c r="O205" s="458"/>
      <c r="P205" s="458"/>
      <c r="Q205" s="471" t="s">
        <v>24</v>
      </c>
      <c r="R205" s="456" t="s">
        <v>848</v>
      </c>
      <c r="S205" s="687"/>
      <c r="T205" s="689"/>
    </row>
    <row r="206" spans="1:20" ht="20.100000000000001" customHeight="1">
      <c r="A206" s="733" t="s">
        <v>2965</v>
      </c>
      <c r="B206" s="489" t="s">
        <v>1563</v>
      </c>
      <c r="C206" s="852" t="s">
        <v>4180</v>
      </c>
      <c r="D206" s="2">
        <f>D29+720*1</f>
        <v>1783</v>
      </c>
      <c r="E206" s="2">
        <f>E29+815*1</f>
        <v>2928</v>
      </c>
      <c r="F206" s="2">
        <f>F29+815*1</f>
        <v>2928</v>
      </c>
      <c r="G206" s="609" t="s">
        <v>2847</v>
      </c>
      <c r="H206" s="56">
        <v>1</v>
      </c>
      <c r="I206" s="451" t="s">
        <v>111</v>
      </c>
      <c r="J206" s="451"/>
      <c r="K206" s="451" t="s">
        <v>743</v>
      </c>
      <c r="L206" s="451" t="s">
        <v>643</v>
      </c>
      <c r="M206" s="452">
        <v>43086</v>
      </c>
      <c r="N206" s="452">
        <v>43100</v>
      </c>
      <c r="O206" s="458"/>
      <c r="P206" s="458"/>
      <c r="Q206" s="471" t="s">
        <v>24</v>
      </c>
      <c r="R206" s="456" t="s">
        <v>1367</v>
      </c>
      <c r="S206" s="687"/>
      <c r="T206" s="689"/>
    </row>
    <row r="207" spans="1:20" ht="20.100000000000001" customHeight="1">
      <c r="A207" s="733" t="s">
        <v>2965</v>
      </c>
      <c r="B207" s="489" t="s">
        <v>1563</v>
      </c>
      <c r="C207" s="489" t="s">
        <v>1623</v>
      </c>
      <c r="D207" s="2">
        <f>D13+777*1</f>
        <v>1840</v>
      </c>
      <c r="E207" s="2"/>
      <c r="F207" s="2"/>
      <c r="G207" s="609" t="s">
        <v>2847</v>
      </c>
      <c r="H207" s="56" t="s">
        <v>659</v>
      </c>
      <c r="I207" s="465" t="s">
        <v>866</v>
      </c>
      <c r="J207" s="451"/>
      <c r="K207" s="451" t="s">
        <v>750</v>
      </c>
      <c r="L207" s="451" t="s">
        <v>641</v>
      </c>
      <c r="M207" s="452">
        <v>43086</v>
      </c>
      <c r="N207" s="452">
        <v>43100</v>
      </c>
      <c r="O207" s="458"/>
      <c r="P207" s="458"/>
      <c r="Q207" s="471" t="s">
        <v>24</v>
      </c>
      <c r="R207" s="456" t="s">
        <v>848</v>
      </c>
      <c r="S207" s="687"/>
      <c r="T207" s="689"/>
    </row>
    <row r="208" spans="1:20" ht="20.100000000000001" customHeight="1">
      <c r="A208" s="733" t="s">
        <v>2965</v>
      </c>
      <c r="B208" s="489" t="s">
        <v>1563</v>
      </c>
      <c r="C208" s="489" t="s">
        <v>1624</v>
      </c>
      <c r="D208" s="2"/>
      <c r="E208" s="2"/>
      <c r="F208" s="2"/>
      <c r="G208" s="609" t="s">
        <v>2847</v>
      </c>
      <c r="H208" s="56">
        <v>1</v>
      </c>
      <c r="I208" s="451" t="s">
        <v>111</v>
      </c>
      <c r="J208" s="451" t="s">
        <v>1625</v>
      </c>
      <c r="K208" s="451" t="s">
        <v>743</v>
      </c>
      <c r="L208" s="451" t="s">
        <v>643</v>
      </c>
      <c r="M208" s="452">
        <v>43086</v>
      </c>
      <c r="N208" s="452">
        <v>43100</v>
      </c>
      <c r="O208" s="458"/>
      <c r="P208" s="458"/>
      <c r="Q208" s="471" t="s">
        <v>24</v>
      </c>
      <c r="R208" s="456" t="s">
        <v>1367</v>
      </c>
      <c r="S208" s="687"/>
      <c r="T208" s="689"/>
    </row>
    <row r="209" spans="1:20" ht="20.100000000000001" customHeight="1">
      <c r="A209" s="733" t="s">
        <v>2965</v>
      </c>
      <c r="B209" s="489" t="s">
        <v>1563</v>
      </c>
      <c r="C209" s="489" t="s">
        <v>1626</v>
      </c>
      <c r="D209" s="2">
        <f>D68+650*1</f>
        <v>1713</v>
      </c>
      <c r="E209" s="2">
        <f>E68+725*1</f>
        <v>2838</v>
      </c>
      <c r="F209" s="2">
        <f>F68+725*1</f>
        <v>2838</v>
      </c>
      <c r="G209" s="609" t="s">
        <v>2847</v>
      </c>
      <c r="H209" s="56" t="s">
        <v>659</v>
      </c>
      <c r="I209" s="465" t="s">
        <v>1564</v>
      </c>
      <c r="J209" s="451" t="s">
        <v>1627</v>
      </c>
      <c r="K209" s="451" t="s">
        <v>752</v>
      </c>
      <c r="L209" s="465" t="s">
        <v>1026</v>
      </c>
      <c r="M209" s="452">
        <v>43086</v>
      </c>
      <c r="N209" s="452">
        <v>43100</v>
      </c>
      <c r="O209" s="458"/>
      <c r="P209" s="458"/>
      <c r="Q209" s="471" t="s">
        <v>24</v>
      </c>
      <c r="R209" s="456" t="s">
        <v>848</v>
      </c>
      <c r="S209" s="687"/>
      <c r="T209" s="689"/>
    </row>
    <row r="210" spans="1:20" ht="20.100000000000001" customHeight="1">
      <c r="A210" s="733" t="s">
        <v>2965</v>
      </c>
      <c r="B210" s="489" t="s">
        <v>1563</v>
      </c>
      <c r="C210" s="489" t="s">
        <v>1628</v>
      </c>
      <c r="D210" s="2">
        <f>D29+2170*1</f>
        <v>3233</v>
      </c>
      <c r="E210" s="2">
        <f>E29+3640*1</f>
        <v>5753</v>
      </c>
      <c r="F210" s="2">
        <f>F29+3640*1</f>
        <v>5753</v>
      </c>
      <c r="G210" s="609" t="s">
        <v>2847</v>
      </c>
      <c r="H210" s="56">
        <v>1</v>
      </c>
      <c r="I210" s="451" t="s">
        <v>111</v>
      </c>
      <c r="J210" s="451" t="s">
        <v>1629</v>
      </c>
      <c r="K210" s="451" t="s">
        <v>743</v>
      </c>
      <c r="L210" s="451" t="s">
        <v>643</v>
      </c>
      <c r="M210" s="452">
        <v>43086</v>
      </c>
      <c r="N210" s="452">
        <v>43100</v>
      </c>
      <c r="O210" s="458"/>
      <c r="P210" s="458"/>
      <c r="Q210" s="463" t="s">
        <v>197</v>
      </c>
      <c r="R210" s="456" t="s">
        <v>1367</v>
      </c>
      <c r="S210" s="687"/>
      <c r="T210" s="689"/>
    </row>
    <row r="211" spans="1:20" ht="20.100000000000001" customHeight="1">
      <c r="A211" s="733" t="s">
        <v>2965</v>
      </c>
      <c r="B211" s="489" t="s">
        <v>1563</v>
      </c>
      <c r="C211" s="489" t="s">
        <v>1630</v>
      </c>
      <c r="D211" s="2">
        <f>D13+605*1</f>
        <v>1668</v>
      </c>
      <c r="E211" s="2">
        <f>E13+710*1</f>
        <v>2823</v>
      </c>
      <c r="F211" s="2">
        <f>F13+710*1</f>
        <v>2823</v>
      </c>
      <c r="G211" s="609" t="s">
        <v>2847</v>
      </c>
      <c r="H211" s="56" t="s">
        <v>659</v>
      </c>
      <c r="I211" s="465" t="s">
        <v>866</v>
      </c>
      <c r="J211" s="451" t="s">
        <v>1631</v>
      </c>
      <c r="K211" s="451" t="s">
        <v>750</v>
      </c>
      <c r="L211" s="451" t="s">
        <v>641</v>
      </c>
      <c r="M211" s="452">
        <v>43086</v>
      </c>
      <c r="N211" s="452">
        <v>43100</v>
      </c>
      <c r="O211" s="458"/>
      <c r="P211" s="458"/>
      <c r="Q211" s="471" t="s">
        <v>24</v>
      </c>
      <c r="R211" s="456" t="s">
        <v>848</v>
      </c>
      <c r="S211" s="687"/>
      <c r="T211" s="689"/>
    </row>
    <row r="212" spans="1:20" ht="20.100000000000001" customHeight="1">
      <c r="A212" s="733" t="s">
        <v>2965</v>
      </c>
      <c r="B212" s="489" t="s">
        <v>1563</v>
      </c>
      <c r="C212" s="489" t="s">
        <v>1632</v>
      </c>
      <c r="D212" s="2">
        <f>D13+1700*1</f>
        <v>2763</v>
      </c>
      <c r="E212" s="2">
        <f t="shared" ref="E212:F212" si="1">E13+1700*1</f>
        <v>3813</v>
      </c>
      <c r="F212" s="2">
        <f t="shared" si="1"/>
        <v>3813</v>
      </c>
      <c r="G212" s="609" t="s">
        <v>2847</v>
      </c>
      <c r="H212" s="56" t="s">
        <v>659</v>
      </c>
      <c r="I212" s="465" t="s">
        <v>866</v>
      </c>
      <c r="J212" s="451"/>
      <c r="K212" s="451" t="s">
        <v>750</v>
      </c>
      <c r="L212" s="451" t="s">
        <v>641</v>
      </c>
      <c r="M212" s="452">
        <v>43086</v>
      </c>
      <c r="N212" s="452">
        <v>43100</v>
      </c>
      <c r="O212" s="458"/>
      <c r="P212" s="458"/>
      <c r="Q212" s="471" t="s">
        <v>24</v>
      </c>
      <c r="R212" s="456" t="s">
        <v>848</v>
      </c>
      <c r="S212" s="687"/>
      <c r="T212" s="689"/>
    </row>
    <row r="213" spans="1:20" ht="20.100000000000001" customHeight="1">
      <c r="A213" s="733" t="s">
        <v>2965</v>
      </c>
      <c r="B213" s="489" t="s">
        <v>1563</v>
      </c>
      <c r="C213" s="489" t="s">
        <v>1633</v>
      </c>
      <c r="D213" s="2">
        <f>D13+645*1</f>
        <v>1708</v>
      </c>
      <c r="E213" s="2">
        <f>E13+810*1</f>
        <v>2923</v>
      </c>
      <c r="F213" s="2">
        <f>F13+810*1</f>
        <v>2923</v>
      </c>
      <c r="G213" s="609" t="s">
        <v>2847</v>
      </c>
      <c r="H213" s="56" t="s">
        <v>659</v>
      </c>
      <c r="I213" s="465" t="s">
        <v>866</v>
      </c>
      <c r="J213" s="451" t="s">
        <v>1634</v>
      </c>
      <c r="K213" s="451" t="s">
        <v>750</v>
      </c>
      <c r="L213" s="451" t="s">
        <v>641</v>
      </c>
      <c r="M213" s="452">
        <v>43086</v>
      </c>
      <c r="N213" s="452">
        <v>43100</v>
      </c>
      <c r="O213" s="458"/>
      <c r="P213" s="458"/>
      <c r="Q213" s="471" t="s">
        <v>24</v>
      </c>
      <c r="R213" s="456" t="s">
        <v>848</v>
      </c>
      <c r="S213" s="687"/>
      <c r="T213" s="689"/>
    </row>
    <row r="214" spans="1:20" ht="20.100000000000001" customHeight="1">
      <c r="A214" s="733" t="s">
        <v>2965</v>
      </c>
      <c r="B214" s="489" t="s">
        <v>1563</v>
      </c>
      <c r="C214" s="489" t="s">
        <v>1635</v>
      </c>
      <c r="D214" s="2"/>
      <c r="E214" s="2"/>
      <c r="F214" s="2"/>
      <c r="G214" s="609" t="s">
        <v>2847</v>
      </c>
      <c r="H214" s="56" t="s">
        <v>659</v>
      </c>
      <c r="I214" s="465" t="s">
        <v>866</v>
      </c>
      <c r="J214" s="451"/>
      <c r="K214" s="451" t="s">
        <v>750</v>
      </c>
      <c r="L214" s="451" t="s">
        <v>641</v>
      </c>
      <c r="M214" s="452">
        <v>43086</v>
      </c>
      <c r="N214" s="452">
        <v>43100</v>
      </c>
      <c r="O214" s="458"/>
      <c r="P214" s="458"/>
      <c r="Q214" s="471" t="s">
        <v>24</v>
      </c>
      <c r="R214" s="456" t="s">
        <v>848</v>
      </c>
      <c r="S214" s="687"/>
      <c r="T214" s="689"/>
    </row>
    <row r="215" spans="1:20" ht="20.100000000000001" customHeight="1">
      <c r="A215" s="733" t="s">
        <v>2965</v>
      </c>
      <c r="B215" s="489" t="s">
        <v>1563</v>
      </c>
      <c r="C215" s="489" t="s">
        <v>1636</v>
      </c>
      <c r="D215" s="2">
        <f>D68+745*1</f>
        <v>1808</v>
      </c>
      <c r="E215" s="2">
        <f>E68+830*1</f>
        <v>2943</v>
      </c>
      <c r="F215" s="2">
        <f>F68+830*1</f>
        <v>2943</v>
      </c>
      <c r="G215" s="609" t="s">
        <v>2847</v>
      </c>
      <c r="H215" s="56" t="s">
        <v>659</v>
      </c>
      <c r="I215" s="465" t="s">
        <v>1564</v>
      </c>
      <c r="J215" s="451" t="s">
        <v>1637</v>
      </c>
      <c r="K215" s="451" t="s">
        <v>752</v>
      </c>
      <c r="L215" s="465" t="s">
        <v>1026</v>
      </c>
      <c r="M215" s="452">
        <v>43086</v>
      </c>
      <c r="N215" s="452">
        <v>43100</v>
      </c>
      <c r="O215" s="458"/>
      <c r="P215" s="458"/>
      <c r="Q215" s="471" t="s">
        <v>24</v>
      </c>
      <c r="R215" s="456" t="s">
        <v>848</v>
      </c>
      <c r="S215" s="687"/>
      <c r="T215" s="689"/>
    </row>
    <row r="216" spans="1:20" ht="20.100000000000001" customHeight="1">
      <c r="A216" s="733" t="s">
        <v>2965</v>
      </c>
      <c r="B216" s="489" t="s">
        <v>1563</v>
      </c>
      <c r="C216" s="489" t="s">
        <v>1638</v>
      </c>
      <c r="D216" s="2">
        <f>D68+745*1</f>
        <v>1808</v>
      </c>
      <c r="E216" s="2">
        <f>E68+830*1</f>
        <v>2943</v>
      </c>
      <c r="F216" s="2">
        <f>F68+830*1</f>
        <v>2943</v>
      </c>
      <c r="G216" s="609" t="s">
        <v>2847</v>
      </c>
      <c r="H216" s="56" t="s">
        <v>659</v>
      </c>
      <c r="I216" s="465" t="s">
        <v>1564</v>
      </c>
      <c r="J216" s="451" t="s">
        <v>1639</v>
      </c>
      <c r="K216" s="451" t="s">
        <v>752</v>
      </c>
      <c r="L216" s="465" t="s">
        <v>1026</v>
      </c>
      <c r="M216" s="452">
        <v>43086</v>
      </c>
      <c r="N216" s="452">
        <v>43100</v>
      </c>
      <c r="O216" s="458"/>
      <c r="P216" s="458"/>
      <c r="Q216" s="471" t="s">
        <v>24</v>
      </c>
      <c r="R216" s="456" t="s">
        <v>848</v>
      </c>
      <c r="S216" s="687"/>
      <c r="T216" s="689"/>
    </row>
    <row r="217" spans="1:20" ht="20.100000000000001" customHeight="1">
      <c r="A217" s="733" t="s">
        <v>2965</v>
      </c>
      <c r="B217" s="489" t="s">
        <v>1563</v>
      </c>
      <c r="C217" s="489" t="s">
        <v>2458</v>
      </c>
      <c r="D217" s="2">
        <f>D13+645*1</f>
        <v>1708</v>
      </c>
      <c r="E217" s="2">
        <f>E13+810*1</f>
        <v>2923</v>
      </c>
      <c r="F217" s="2">
        <f>F13+810*1</f>
        <v>2923</v>
      </c>
      <c r="G217" s="609" t="s">
        <v>2847</v>
      </c>
      <c r="H217" s="56" t="s">
        <v>659</v>
      </c>
      <c r="I217" s="465" t="s">
        <v>866</v>
      </c>
      <c r="J217" s="451"/>
      <c r="K217" s="451" t="s">
        <v>750</v>
      </c>
      <c r="L217" s="451" t="s">
        <v>641</v>
      </c>
      <c r="M217" s="452">
        <v>43086</v>
      </c>
      <c r="N217" s="452">
        <v>43100</v>
      </c>
      <c r="O217" s="458"/>
      <c r="P217" s="458"/>
      <c r="Q217" s="471" t="s">
        <v>24</v>
      </c>
      <c r="R217" s="456" t="s">
        <v>848</v>
      </c>
      <c r="S217" s="687"/>
      <c r="T217" s="689"/>
    </row>
    <row r="218" spans="1:20" ht="20.100000000000001" customHeight="1">
      <c r="A218" s="733" t="s">
        <v>2965</v>
      </c>
      <c r="B218" s="489" t="s">
        <v>1563</v>
      </c>
      <c r="C218" s="489" t="s">
        <v>1640</v>
      </c>
      <c r="D218" s="2">
        <f>D68+855*1</f>
        <v>1918</v>
      </c>
      <c r="E218" s="2">
        <f>E68+1375*1</f>
        <v>3488</v>
      </c>
      <c r="F218" s="2">
        <f>F68+1375*1</f>
        <v>3488</v>
      </c>
      <c r="G218" s="609" t="s">
        <v>2847</v>
      </c>
      <c r="H218" s="56" t="s">
        <v>659</v>
      </c>
      <c r="I218" s="465" t="s">
        <v>1564</v>
      </c>
      <c r="J218" s="451" t="s">
        <v>1641</v>
      </c>
      <c r="K218" s="451" t="s">
        <v>752</v>
      </c>
      <c r="L218" s="465" t="s">
        <v>1026</v>
      </c>
      <c r="M218" s="452">
        <v>43086</v>
      </c>
      <c r="N218" s="452">
        <v>43100</v>
      </c>
      <c r="O218" s="458"/>
      <c r="P218" s="458"/>
      <c r="Q218" s="463" t="s">
        <v>197</v>
      </c>
      <c r="R218" s="456" t="s">
        <v>848</v>
      </c>
      <c r="S218" s="687"/>
      <c r="T218" s="689"/>
    </row>
    <row r="219" spans="1:20" ht="20.100000000000001" customHeight="1">
      <c r="A219" s="733" t="s">
        <v>2965</v>
      </c>
      <c r="B219" s="489" t="s">
        <v>1563</v>
      </c>
      <c r="C219" s="852" t="s">
        <v>4181</v>
      </c>
      <c r="D219" s="2">
        <f>D29+565*1</f>
        <v>1628</v>
      </c>
      <c r="E219" s="2"/>
      <c r="F219" s="2"/>
      <c r="G219" s="609" t="s">
        <v>2847</v>
      </c>
      <c r="H219" s="56">
        <v>1</v>
      </c>
      <c r="I219" s="451" t="s">
        <v>111</v>
      </c>
      <c r="J219" s="451" t="s">
        <v>1642</v>
      </c>
      <c r="K219" s="451" t="s">
        <v>743</v>
      </c>
      <c r="L219" s="451" t="s">
        <v>643</v>
      </c>
      <c r="M219" s="452">
        <v>43086</v>
      </c>
      <c r="N219" s="452">
        <v>43100</v>
      </c>
      <c r="O219" s="458"/>
      <c r="P219" s="458"/>
      <c r="Q219" s="471" t="s">
        <v>24</v>
      </c>
      <c r="R219" s="456" t="s">
        <v>1367</v>
      </c>
      <c r="S219" s="687"/>
      <c r="T219" s="689"/>
    </row>
    <row r="220" spans="1:20" ht="20.100000000000001" customHeight="1">
      <c r="A220" s="733" t="s">
        <v>2965</v>
      </c>
      <c r="B220" s="489" t="s">
        <v>1563</v>
      </c>
      <c r="C220" s="852" t="s">
        <v>4182</v>
      </c>
      <c r="D220" s="2">
        <f>D107+740*1</f>
        <v>1953</v>
      </c>
      <c r="E220" s="2">
        <f>E107+900*1</f>
        <v>3313</v>
      </c>
      <c r="F220" s="2">
        <f>F107+900*1</f>
        <v>3313</v>
      </c>
      <c r="G220" s="609" t="s">
        <v>2847</v>
      </c>
      <c r="H220" s="56" t="s">
        <v>1619</v>
      </c>
      <c r="I220" s="451" t="s">
        <v>1620</v>
      </c>
      <c r="J220" s="451" t="s">
        <v>1643</v>
      </c>
      <c r="K220" s="451" t="s">
        <v>684</v>
      </c>
      <c r="L220" s="451" t="s">
        <v>637</v>
      </c>
      <c r="M220" s="452">
        <v>43086</v>
      </c>
      <c r="N220" s="452">
        <v>43100</v>
      </c>
      <c r="O220" s="458"/>
      <c r="P220" s="458"/>
      <c r="Q220" s="463" t="s">
        <v>24</v>
      </c>
      <c r="R220" s="476" t="s">
        <v>187</v>
      </c>
      <c r="S220" s="687"/>
      <c r="T220" s="689"/>
    </row>
    <row r="221" spans="1:20" ht="20.100000000000001" customHeight="1">
      <c r="A221" s="733" t="s">
        <v>2965</v>
      </c>
      <c r="B221" s="489" t="s">
        <v>1563</v>
      </c>
      <c r="C221" s="489" t="s">
        <v>1644</v>
      </c>
      <c r="D221" s="2">
        <f>D68+950*1</f>
        <v>2013</v>
      </c>
      <c r="E221" s="2">
        <f t="shared" ref="E221:F221" si="2">E68+950*1</f>
        <v>3063</v>
      </c>
      <c r="F221" s="2">
        <f t="shared" si="2"/>
        <v>3063</v>
      </c>
      <c r="G221" s="609" t="s">
        <v>2847</v>
      </c>
      <c r="H221" s="56" t="s">
        <v>659</v>
      </c>
      <c r="I221" s="465" t="s">
        <v>1564</v>
      </c>
      <c r="J221" s="451" t="s">
        <v>1645</v>
      </c>
      <c r="K221" s="451" t="s">
        <v>752</v>
      </c>
      <c r="L221" s="465" t="s">
        <v>1026</v>
      </c>
      <c r="M221" s="452">
        <v>43086</v>
      </c>
      <c r="N221" s="452">
        <v>43100</v>
      </c>
      <c r="O221" s="458"/>
      <c r="P221" s="458"/>
      <c r="Q221" s="471" t="s">
        <v>24</v>
      </c>
      <c r="R221" s="456" t="s">
        <v>848</v>
      </c>
      <c r="S221" s="687"/>
      <c r="T221" s="689"/>
    </row>
    <row r="222" spans="1:20" ht="20.100000000000001" customHeight="1">
      <c r="A222" s="733" t="s">
        <v>2965</v>
      </c>
      <c r="B222" s="489" t="s">
        <v>1563</v>
      </c>
      <c r="C222" s="489" t="s">
        <v>1646</v>
      </c>
      <c r="D222" s="2">
        <f>D13+605*1</f>
        <v>1668</v>
      </c>
      <c r="E222" s="2">
        <f>E13+710*1</f>
        <v>2823</v>
      </c>
      <c r="F222" s="2">
        <f>F13+710*1</f>
        <v>2823</v>
      </c>
      <c r="G222" s="609" t="s">
        <v>2847</v>
      </c>
      <c r="H222" s="56" t="s">
        <v>659</v>
      </c>
      <c r="I222" s="465" t="s">
        <v>866</v>
      </c>
      <c r="J222" s="451" t="s">
        <v>1647</v>
      </c>
      <c r="K222" s="451" t="s">
        <v>750</v>
      </c>
      <c r="L222" s="451" t="s">
        <v>641</v>
      </c>
      <c r="M222" s="452">
        <v>43086</v>
      </c>
      <c r="N222" s="452">
        <v>43100</v>
      </c>
      <c r="O222" s="458"/>
      <c r="P222" s="458"/>
      <c r="Q222" s="471" t="s">
        <v>24</v>
      </c>
      <c r="R222" s="456" t="s">
        <v>848</v>
      </c>
      <c r="S222" s="687"/>
      <c r="T222" s="689"/>
    </row>
    <row r="223" spans="1:20" ht="20.100000000000001" customHeight="1">
      <c r="A223" s="733" t="s">
        <v>2965</v>
      </c>
      <c r="B223" s="489" t="s">
        <v>1563</v>
      </c>
      <c r="C223" s="489" t="s">
        <v>1648</v>
      </c>
      <c r="D223" s="2">
        <f>D68+585*1</f>
        <v>1648</v>
      </c>
      <c r="E223" s="2">
        <f>E68+640*1</f>
        <v>2753</v>
      </c>
      <c r="F223" s="2">
        <f>F68+640*1</f>
        <v>2753</v>
      </c>
      <c r="G223" s="609" t="s">
        <v>2847</v>
      </c>
      <c r="H223" s="56" t="s">
        <v>659</v>
      </c>
      <c r="I223" s="465" t="s">
        <v>1564</v>
      </c>
      <c r="J223" s="451" t="s">
        <v>1649</v>
      </c>
      <c r="K223" s="451" t="s">
        <v>752</v>
      </c>
      <c r="L223" s="465" t="s">
        <v>1026</v>
      </c>
      <c r="M223" s="452">
        <v>43086</v>
      </c>
      <c r="N223" s="452">
        <v>43100</v>
      </c>
      <c r="O223" s="458"/>
      <c r="P223" s="458"/>
      <c r="Q223" s="471" t="s">
        <v>24</v>
      </c>
      <c r="R223" s="456" t="s">
        <v>848</v>
      </c>
      <c r="S223" s="687"/>
      <c r="T223" s="689"/>
    </row>
    <row r="224" spans="1:20" ht="20.100000000000001" customHeight="1">
      <c r="A224" s="733" t="s">
        <v>2965</v>
      </c>
      <c r="B224" s="489" t="s">
        <v>1563</v>
      </c>
      <c r="C224" s="489" t="s">
        <v>1650</v>
      </c>
      <c r="D224" s="2">
        <f>D68+585*1</f>
        <v>1648</v>
      </c>
      <c r="E224" s="2">
        <f>E68+640*1</f>
        <v>2753</v>
      </c>
      <c r="F224" s="2">
        <f>F68+640*1</f>
        <v>2753</v>
      </c>
      <c r="G224" s="609" t="s">
        <v>2847</v>
      </c>
      <c r="H224" s="56" t="s">
        <v>659</v>
      </c>
      <c r="I224" s="465" t="s">
        <v>1564</v>
      </c>
      <c r="J224" s="451"/>
      <c r="K224" s="451" t="s">
        <v>752</v>
      </c>
      <c r="L224" s="465" t="s">
        <v>1026</v>
      </c>
      <c r="M224" s="452">
        <v>43086</v>
      </c>
      <c r="N224" s="452">
        <v>43100</v>
      </c>
      <c r="O224" s="458"/>
      <c r="P224" s="458"/>
      <c r="Q224" s="471" t="s">
        <v>24</v>
      </c>
      <c r="R224" s="456" t="s">
        <v>848</v>
      </c>
      <c r="S224" s="687"/>
      <c r="T224" s="689"/>
    </row>
    <row r="225" spans="1:20" ht="20.100000000000001" customHeight="1">
      <c r="A225" s="1127" t="s">
        <v>2961</v>
      </c>
      <c r="B225" s="1141" t="s">
        <v>435</v>
      </c>
      <c r="C225" s="1141" t="s">
        <v>1682</v>
      </c>
      <c r="D225" s="13">
        <v>912</v>
      </c>
      <c r="E225" s="13">
        <v>1612</v>
      </c>
      <c r="F225" s="13">
        <v>1612</v>
      </c>
      <c r="G225" s="227" t="s">
        <v>1689</v>
      </c>
      <c r="H225" s="4">
        <v>1</v>
      </c>
      <c r="I225" s="451" t="s">
        <v>17</v>
      </c>
      <c r="J225" s="451"/>
      <c r="K225" s="461">
        <v>18</v>
      </c>
      <c r="L225" s="451" t="s">
        <v>643</v>
      </c>
      <c r="M225" s="452">
        <v>43070</v>
      </c>
      <c r="N225" s="452">
        <v>43100</v>
      </c>
      <c r="O225" s="462"/>
      <c r="P225" s="463"/>
      <c r="Q225" s="455"/>
      <c r="R225" s="456" t="s">
        <v>184</v>
      </c>
      <c r="S225" s="687" t="s">
        <v>1176</v>
      </c>
      <c r="T225" s="689"/>
    </row>
    <row r="226" spans="1:20" ht="20.100000000000001" customHeight="1">
      <c r="A226" s="1127" t="s">
        <v>2961</v>
      </c>
      <c r="B226" s="1141" t="s">
        <v>435</v>
      </c>
      <c r="C226" s="1141" t="s">
        <v>237</v>
      </c>
      <c r="D226" s="2">
        <v>800</v>
      </c>
      <c r="E226" s="2">
        <v>1500</v>
      </c>
      <c r="F226" s="2">
        <v>1500</v>
      </c>
      <c r="G226" s="221" t="s">
        <v>1308</v>
      </c>
      <c r="H226" s="4">
        <v>1</v>
      </c>
      <c r="I226" s="451" t="s">
        <v>17</v>
      </c>
      <c r="J226" s="451"/>
      <c r="K226" s="461">
        <v>18</v>
      </c>
      <c r="L226" s="451" t="s">
        <v>643</v>
      </c>
      <c r="M226" s="452">
        <v>43080</v>
      </c>
      <c r="N226" s="6">
        <v>43093</v>
      </c>
      <c r="O226" s="455"/>
      <c r="P226" s="458"/>
      <c r="Q226" s="455"/>
      <c r="R226" s="456" t="s">
        <v>182</v>
      </c>
      <c r="S226" s="687"/>
      <c r="T226" s="313">
        <v>14</v>
      </c>
    </row>
    <row r="227" spans="1:20" ht="20.100000000000001" customHeight="1">
      <c r="A227" s="1127" t="s">
        <v>2961</v>
      </c>
      <c r="B227" s="1141" t="s">
        <v>435</v>
      </c>
      <c r="C227" s="1141" t="s">
        <v>237</v>
      </c>
      <c r="D227" s="2">
        <v>850</v>
      </c>
      <c r="E227" s="2">
        <v>1600</v>
      </c>
      <c r="F227" s="2">
        <v>1600</v>
      </c>
      <c r="G227" s="221" t="s">
        <v>51</v>
      </c>
      <c r="H227" s="4">
        <v>1</v>
      </c>
      <c r="I227" s="451" t="s">
        <v>17</v>
      </c>
      <c r="J227" s="451"/>
      <c r="K227" s="461">
        <v>18</v>
      </c>
      <c r="L227" s="451" t="s">
        <v>643</v>
      </c>
      <c r="M227" s="452">
        <v>43054</v>
      </c>
      <c r="N227" s="452">
        <v>43091</v>
      </c>
      <c r="O227" s="455"/>
      <c r="P227" s="458"/>
      <c r="Q227" s="455"/>
      <c r="R227" s="456" t="s">
        <v>182</v>
      </c>
      <c r="S227" s="687"/>
      <c r="T227" s="690"/>
    </row>
    <row r="228" spans="1:20" ht="20.100000000000001" customHeight="1">
      <c r="A228" s="1127" t="s">
        <v>2961</v>
      </c>
      <c r="B228" s="1141" t="s">
        <v>435</v>
      </c>
      <c r="C228" s="1141" t="s">
        <v>237</v>
      </c>
      <c r="D228" s="2">
        <v>915</v>
      </c>
      <c r="E228" s="2">
        <v>1615</v>
      </c>
      <c r="F228" s="2">
        <v>1615</v>
      </c>
      <c r="G228" s="221" t="s">
        <v>238</v>
      </c>
      <c r="H228" s="4">
        <v>1</v>
      </c>
      <c r="I228" s="451" t="s">
        <v>17</v>
      </c>
      <c r="J228" s="451"/>
      <c r="K228" s="461">
        <v>18</v>
      </c>
      <c r="L228" s="451" t="s">
        <v>643</v>
      </c>
      <c r="M228" s="452">
        <v>43054</v>
      </c>
      <c r="N228" s="452">
        <v>43100</v>
      </c>
      <c r="O228" s="462"/>
      <c r="P228" s="462"/>
      <c r="Q228" s="455"/>
      <c r="R228" s="456" t="s">
        <v>172</v>
      </c>
      <c r="S228" s="316" t="s">
        <v>1176</v>
      </c>
      <c r="T228" s="313" t="s">
        <v>2841</v>
      </c>
    </row>
    <row r="229" spans="1:20" ht="20.100000000000001" customHeight="1">
      <c r="A229" s="1127" t="s">
        <v>2961</v>
      </c>
      <c r="B229" s="1141" t="s">
        <v>435</v>
      </c>
      <c r="C229" s="1141" t="s">
        <v>237</v>
      </c>
      <c r="D229" s="2">
        <v>812</v>
      </c>
      <c r="E229" s="2">
        <v>1462</v>
      </c>
      <c r="F229" s="2">
        <v>1462</v>
      </c>
      <c r="G229" s="221" t="s">
        <v>103</v>
      </c>
      <c r="H229" s="56" t="s">
        <v>2462</v>
      </c>
      <c r="I229" s="451" t="s">
        <v>17</v>
      </c>
      <c r="J229" s="451"/>
      <c r="K229" s="451">
        <v>23</v>
      </c>
      <c r="L229" s="451" t="s">
        <v>641</v>
      </c>
      <c r="M229" s="452">
        <v>43040</v>
      </c>
      <c r="N229" s="452">
        <v>43100</v>
      </c>
      <c r="O229" s="458"/>
      <c r="P229" s="458"/>
      <c r="Q229" s="167"/>
      <c r="R229" s="456" t="s">
        <v>581</v>
      </c>
      <c r="S229" s="687" t="s">
        <v>1176</v>
      </c>
      <c r="T229" s="313" t="s">
        <v>2841</v>
      </c>
    </row>
    <row r="230" spans="1:20" ht="20.100000000000001" customHeight="1">
      <c r="A230" s="1127" t="s">
        <v>2961</v>
      </c>
      <c r="B230" s="1141" t="s">
        <v>435</v>
      </c>
      <c r="C230" s="1141" t="s">
        <v>237</v>
      </c>
      <c r="D230" s="2">
        <v>825</v>
      </c>
      <c r="E230" s="2">
        <v>1550</v>
      </c>
      <c r="F230" s="2">
        <v>1550</v>
      </c>
      <c r="G230" s="221" t="s">
        <v>51</v>
      </c>
      <c r="H230" s="56" t="s">
        <v>2462</v>
      </c>
      <c r="I230" s="451" t="s">
        <v>17</v>
      </c>
      <c r="J230" s="451"/>
      <c r="K230" s="451">
        <v>23</v>
      </c>
      <c r="L230" s="451" t="s">
        <v>641</v>
      </c>
      <c r="M230" s="452">
        <v>43054</v>
      </c>
      <c r="N230" s="452">
        <v>43091</v>
      </c>
      <c r="O230" s="455"/>
      <c r="P230" s="477"/>
      <c r="Q230" s="167"/>
      <c r="R230" s="456" t="s">
        <v>580</v>
      </c>
      <c r="S230" s="687"/>
      <c r="T230" s="690"/>
    </row>
    <row r="231" spans="1:20" ht="20.100000000000001" customHeight="1">
      <c r="A231" s="1127" t="s">
        <v>2961</v>
      </c>
      <c r="B231" s="1141" t="s">
        <v>435</v>
      </c>
      <c r="C231" s="1141" t="s">
        <v>237</v>
      </c>
      <c r="D231" s="2">
        <v>875</v>
      </c>
      <c r="E231" s="2">
        <v>1650</v>
      </c>
      <c r="F231" s="2">
        <v>1650</v>
      </c>
      <c r="G231" s="3" t="s">
        <v>37</v>
      </c>
      <c r="H231" s="56" t="s">
        <v>2462</v>
      </c>
      <c r="I231" s="451" t="s">
        <v>17</v>
      </c>
      <c r="J231" s="451"/>
      <c r="K231" s="451">
        <v>23</v>
      </c>
      <c r="L231" s="451" t="s">
        <v>641</v>
      </c>
      <c r="M231" s="452">
        <v>43077</v>
      </c>
      <c r="N231" s="452">
        <v>43100</v>
      </c>
      <c r="O231" s="455"/>
      <c r="P231" s="477"/>
      <c r="Q231" s="167"/>
      <c r="R231" s="456" t="s">
        <v>580</v>
      </c>
      <c r="S231" s="687" t="s">
        <v>1176</v>
      </c>
      <c r="T231" s="688" t="s">
        <v>2844</v>
      </c>
    </row>
    <row r="232" spans="1:20" ht="20.100000000000001" customHeight="1">
      <c r="A232" s="1127" t="s">
        <v>2961</v>
      </c>
      <c r="B232" s="1141" t="s">
        <v>435</v>
      </c>
      <c r="C232" s="1141" t="s">
        <v>237</v>
      </c>
      <c r="D232" s="2">
        <v>825</v>
      </c>
      <c r="E232" s="2">
        <v>1500</v>
      </c>
      <c r="F232" s="2">
        <v>1500</v>
      </c>
      <c r="G232" s="3" t="s">
        <v>13</v>
      </c>
      <c r="H232" s="56" t="s">
        <v>2462</v>
      </c>
      <c r="I232" s="451" t="s">
        <v>17</v>
      </c>
      <c r="J232" s="451"/>
      <c r="K232" s="451">
        <v>23</v>
      </c>
      <c r="L232" s="451" t="s">
        <v>641</v>
      </c>
      <c r="M232" s="452">
        <v>43070</v>
      </c>
      <c r="N232" s="452">
        <v>43083</v>
      </c>
      <c r="O232" s="477"/>
      <c r="P232" s="477"/>
      <c r="Q232" s="167"/>
      <c r="R232" s="456" t="s">
        <v>501</v>
      </c>
      <c r="S232" s="687" t="s">
        <v>1176</v>
      </c>
      <c r="T232" s="690"/>
    </row>
    <row r="233" spans="1:20" ht="20.100000000000001" customHeight="1">
      <c r="A233" s="1127" t="s">
        <v>2961</v>
      </c>
      <c r="B233" s="1141" t="s">
        <v>435</v>
      </c>
      <c r="C233" s="1141" t="s">
        <v>237</v>
      </c>
      <c r="D233" s="2">
        <v>800</v>
      </c>
      <c r="E233" s="2">
        <v>1500</v>
      </c>
      <c r="F233" s="2">
        <v>1500</v>
      </c>
      <c r="G233" s="221" t="s">
        <v>1308</v>
      </c>
      <c r="H233" s="56" t="s">
        <v>2462</v>
      </c>
      <c r="I233" s="451" t="s">
        <v>17</v>
      </c>
      <c r="J233" s="451"/>
      <c r="K233" s="451">
        <v>23</v>
      </c>
      <c r="L233" s="451" t="s">
        <v>641</v>
      </c>
      <c r="M233" s="452">
        <v>43080</v>
      </c>
      <c r="N233" s="6">
        <v>43093</v>
      </c>
      <c r="O233" s="455"/>
      <c r="P233" s="477"/>
      <c r="Q233" s="167"/>
      <c r="R233" s="456" t="s">
        <v>580</v>
      </c>
      <c r="S233" s="687"/>
      <c r="T233" s="313">
        <v>14</v>
      </c>
    </row>
    <row r="234" spans="1:20" ht="20.100000000000001" customHeight="1">
      <c r="A234" s="1127" t="s">
        <v>2961</v>
      </c>
      <c r="B234" s="1141" t="s">
        <v>435</v>
      </c>
      <c r="C234" s="1141" t="s">
        <v>237</v>
      </c>
      <c r="D234" s="13">
        <v>1000</v>
      </c>
      <c r="E234" s="13">
        <v>2000</v>
      </c>
      <c r="F234" s="13">
        <v>2000</v>
      </c>
      <c r="G234" s="3" t="s">
        <v>240</v>
      </c>
      <c r="H234" s="56" t="s">
        <v>2462</v>
      </c>
      <c r="I234" s="451" t="s">
        <v>17</v>
      </c>
      <c r="J234" s="451"/>
      <c r="K234" s="451">
        <v>23</v>
      </c>
      <c r="L234" s="451" t="s">
        <v>641</v>
      </c>
      <c r="M234" s="457">
        <v>43040</v>
      </c>
      <c r="N234" s="457">
        <v>43093</v>
      </c>
      <c r="O234" s="455"/>
      <c r="P234" s="458"/>
      <c r="Q234" s="455"/>
      <c r="R234" s="456" t="s">
        <v>1496</v>
      </c>
      <c r="S234" s="316" t="s">
        <v>2831</v>
      </c>
      <c r="T234" s="650">
        <v>14</v>
      </c>
    </row>
    <row r="235" spans="1:20" ht="20.100000000000001" customHeight="1">
      <c r="A235" s="1127" t="s">
        <v>2961</v>
      </c>
      <c r="B235" s="1141" t="s">
        <v>435</v>
      </c>
      <c r="C235" s="1141" t="s">
        <v>237</v>
      </c>
      <c r="D235" s="2">
        <v>725</v>
      </c>
      <c r="E235" s="2">
        <v>1200</v>
      </c>
      <c r="F235" s="2">
        <v>1200</v>
      </c>
      <c r="G235" s="221" t="s">
        <v>1308</v>
      </c>
      <c r="H235" s="55" t="s">
        <v>629</v>
      </c>
      <c r="I235" s="451" t="s">
        <v>16</v>
      </c>
      <c r="J235" s="451"/>
      <c r="K235" s="451" t="s">
        <v>665</v>
      </c>
      <c r="L235" s="475" t="s">
        <v>637</v>
      </c>
      <c r="M235" s="452">
        <v>43040</v>
      </c>
      <c r="N235" s="6">
        <v>43093</v>
      </c>
      <c r="O235" s="455"/>
      <c r="P235" s="490"/>
      <c r="Q235" s="455"/>
      <c r="R235" s="476" t="s">
        <v>2029</v>
      </c>
      <c r="S235" s="319"/>
      <c r="T235" s="313">
        <v>14</v>
      </c>
    </row>
    <row r="236" spans="1:20" ht="20.100000000000001" customHeight="1">
      <c r="A236" s="1127" t="s">
        <v>2961</v>
      </c>
      <c r="B236" s="1141" t="s">
        <v>435</v>
      </c>
      <c r="C236" s="1141" t="s">
        <v>237</v>
      </c>
      <c r="D236" s="2">
        <v>1300</v>
      </c>
      <c r="E236" s="2">
        <v>2600</v>
      </c>
      <c r="F236" s="2">
        <v>2600</v>
      </c>
      <c r="G236" s="3" t="s">
        <v>241</v>
      </c>
      <c r="H236" s="4">
        <v>3</v>
      </c>
      <c r="I236" s="451" t="s">
        <v>302</v>
      </c>
      <c r="J236" s="451"/>
      <c r="K236" s="486">
        <v>29</v>
      </c>
      <c r="L236" s="451" t="s">
        <v>643</v>
      </c>
      <c r="M236" s="452">
        <v>43054</v>
      </c>
      <c r="N236" s="452">
        <v>43100</v>
      </c>
      <c r="O236" s="477"/>
      <c r="P236" s="477"/>
      <c r="Q236" s="455"/>
      <c r="R236" s="456" t="s">
        <v>176</v>
      </c>
      <c r="S236" s="687" t="s">
        <v>1176</v>
      </c>
      <c r="T236" s="680"/>
    </row>
    <row r="237" spans="1:20" ht="20.100000000000001" customHeight="1">
      <c r="A237" s="1127" t="s">
        <v>2961</v>
      </c>
      <c r="B237" s="1141" t="s">
        <v>435</v>
      </c>
      <c r="C237" s="1141" t="s">
        <v>237</v>
      </c>
      <c r="D237" s="2">
        <v>975</v>
      </c>
      <c r="E237" s="2">
        <v>1750</v>
      </c>
      <c r="F237" s="2">
        <v>1750</v>
      </c>
      <c r="G237" s="3" t="s">
        <v>31</v>
      </c>
      <c r="H237" s="4" t="s">
        <v>725</v>
      </c>
      <c r="I237" s="451" t="s">
        <v>16</v>
      </c>
      <c r="J237" s="451"/>
      <c r="K237" s="486">
        <v>44</v>
      </c>
      <c r="L237" s="451" t="s">
        <v>809</v>
      </c>
      <c r="M237" s="452">
        <v>43054</v>
      </c>
      <c r="N237" s="452">
        <v>43100</v>
      </c>
      <c r="O237" s="477"/>
      <c r="P237" s="477"/>
      <c r="Q237" s="479"/>
      <c r="R237" s="473" t="s">
        <v>780</v>
      </c>
      <c r="S237" s="687" t="s">
        <v>1176</v>
      </c>
      <c r="T237" s="680"/>
    </row>
    <row r="238" spans="1:20" ht="20.100000000000001" customHeight="1">
      <c r="A238" s="1127" t="s">
        <v>2961</v>
      </c>
      <c r="B238" s="1141" t="s">
        <v>435</v>
      </c>
      <c r="C238" s="1141" t="s">
        <v>237</v>
      </c>
      <c r="D238" s="11">
        <v>825</v>
      </c>
      <c r="E238" s="11">
        <v>1440</v>
      </c>
      <c r="F238" s="11">
        <v>1440</v>
      </c>
      <c r="G238" s="3" t="s">
        <v>239</v>
      </c>
      <c r="H238" s="22" t="s">
        <v>1233</v>
      </c>
      <c r="I238" s="461" t="s">
        <v>613</v>
      </c>
      <c r="J238" s="461"/>
      <c r="K238" s="480" t="s">
        <v>1235</v>
      </c>
      <c r="L238" s="451" t="s">
        <v>643</v>
      </c>
      <c r="M238" s="452">
        <v>43054</v>
      </c>
      <c r="N238" s="452">
        <v>43100</v>
      </c>
      <c r="O238" s="483"/>
      <c r="P238" s="479"/>
      <c r="Q238" s="481"/>
      <c r="R238" s="473" t="s">
        <v>1366</v>
      </c>
      <c r="S238" s="687" t="s">
        <v>1176</v>
      </c>
      <c r="T238" s="680"/>
    </row>
    <row r="239" spans="1:20" ht="20.100000000000001" customHeight="1">
      <c r="A239" s="1127" t="s">
        <v>2961</v>
      </c>
      <c r="B239" s="1141" t="s">
        <v>435</v>
      </c>
      <c r="C239" s="1141" t="s">
        <v>2419</v>
      </c>
      <c r="D239" s="13">
        <v>912</v>
      </c>
      <c r="E239" s="13">
        <v>1612</v>
      </c>
      <c r="F239" s="13">
        <v>1612</v>
      </c>
      <c r="G239" s="227" t="s">
        <v>1689</v>
      </c>
      <c r="H239" s="4">
        <v>1</v>
      </c>
      <c r="I239" s="451" t="s">
        <v>17</v>
      </c>
      <c r="J239" s="451"/>
      <c r="K239" s="486">
        <v>21</v>
      </c>
      <c r="L239" s="451" t="s">
        <v>643</v>
      </c>
      <c r="M239" s="452">
        <v>43070</v>
      </c>
      <c r="N239" s="452">
        <v>43100</v>
      </c>
      <c r="O239" s="462"/>
      <c r="P239" s="463"/>
      <c r="Q239" s="455"/>
      <c r="R239" s="456" t="s">
        <v>184</v>
      </c>
      <c r="S239" s="687" t="s">
        <v>1176</v>
      </c>
      <c r="T239" s="689"/>
    </row>
    <row r="240" spans="1:20" ht="20.100000000000001" customHeight="1">
      <c r="A240" s="1127" t="s">
        <v>2961</v>
      </c>
      <c r="B240" s="1141" t="s">
        <v>435</v>
      </c>
      <c r="C240" s="1141" t="s">
        <v>512</v>
      </c>
      <c r="D240" s="2">
        <v>800</v>
      </c>
      <c r="E240" s="2">
        <v>1500</v>
      </c>
      <c r="F240" s="2">
        <v>1500</v>
      </c>
      <c r="G240" s="221" t="s">
        <v>1308</v>
      </c>
      <c r="H240" s="4">
        <v>1</v>
      </c>
      <c r="I240" s="451" t="s">
        <v>17</v>
      </c>
      <c r="J240" s="451"/>
      <c r="K240" s="486">
        <v>21</v>
      </c>
      <c r="L240" s="451" t="s">
        <v>643</v>
      </c>
      <c r="M240" s="452">
        <v>43080</v>
      </c>
      <c r="N240" s="6">
        <v>43093</v>
      </c>
      <c r="O240" s="455"/>
      <c r="P240" s="458"/>
      <c r="Q240" s="455"/>
      <c r="R240" s="456" t="s">
        <v>182</v>
      </c>
      <c r="S240" s="687"/>
      <c r="T240" s="313">
        <v>14</v>
      </c>
    </row>
    <row r="241" spans="1:20" ht="20.100000000000001" customHeight="1">
      <c r="A241" s="1127" t="s">
        <v>2961</v>
      </c>
      <c r="B241" s="1141" t="s">
        <v>435</v>
      </c>
      <c r="C241" s="1141" t="s">
        <v>512</v>
      </c>
      <c r="D241" s="2">
        <v>850</v>
      </c>
      <c r="E241" s="2">
        <v>1600</v>
      </c>
      <c r="F241" s="2">
        <v>1600</v>
      </c>
      <c r="G241" s="221" t="s">
        <v>51</v>
      </c>
      <c r="H241" s="4">
        <v>1</v>
      </c>
      <c r="I241" s="451" t="s">
        <v>17</v>
      </c>
      <c r="J241" s="451"/>
      <c r="K241" s="486">
        <v>21</v>
      </c>
      <c r="L241" s="451" t="s">
        <v>643</v>
      </c>
      <c r="M241" s="452">
        <v>43054</v>
      </c>
      <c r="N241" s="452">
        <v>43091</v>
      </c>
      <c r="O241" s="455"/>
      <c r="P241" s="458"/>
      <c r="Q241" s="455"/>
      <c r="R241" s="456" t="s">
        <v>182</v>
      </c>
      <c r="S241" s="687"/>
      <c r="T241" s="690"/>
    </row>
    <row r="242" spans="1:20" ht="20.100000000000001" customHeight="1">
      <c r="A242" s="1127" t="s">
        <v>2961</v>
      </c>
      <c r="B242" s="1141" t="s">
        <v>435</v>
      </c>
      <c r="C242" s="1141" t="s">
        <v>512</v>
      </c>
      <c r="D242" s="2">
        <v>915</v>
      </c>
      <c r="E242" s="2">
        <v>1615</v>
      </c>
      <c r="F242" s="2">
        <v>1615</v>
      </c>
      <c r="G242" s="221" t="s">
        <v>22</v>
      </c>
      <c r="H242" s="4">
        <v>1</v>
      </c>
      <c r="I242" s="451" t="s">
        <v>17</v>
      </c>
      <c r="J242" s="451"/>
      <c r="K242" s="486">
        <v>21</v>
      </c>
      <c r="L242" s="451" t="s">
        <v>643</v>
      </c>
      <c r="M242" s="452">
        <v>43054</v>
      </c>
      <c r="N242" s="452">
        <v>43100</v>
      </c>
      <c r="O242" s="462"/>
      <c r="P242" s="462"/>
      <c r="Q242" s="455"/>
      <c r="R242" s="456" t="s">
        <v>172</v>
      </c>
      <c r="S242" s="316" t="s">
        <v>1176</v>
      </c>
      <c r="T242" s="313" t="s">
        <v>2841</v>
      </c>
    </row>
    <row r="243" spans="1:20" ht="20.100000000000001" customHeight="1">
      <c r="A243" s="1127" t="s">
        <v>2961</v>
      </c>
      <c r="B243" s="1141" t="s">
        <v>435</v>
      </c>
      <c r="C243" s="1141" t="s">
        <v>512</v>
      </c>
      <c r="D243" s="2">
        <v>812</v>
      </c>
      <c r="E243" s="2">
        <v>1462</v>
      </c>
      <c r="F243" s="2">
        <v>1462</v>
      </c>
      <c r="G243" s="221" t="s">
        <v>103</v>
      </c>
      <c r="H243" s="56" t="s">
        <v>2462</v>
      </c>
      <c r="I243" s="451" t="s">
        <v>17</v>
      </c>
      <c r="J243" s="451"/>
      <c r="K243" s="451">
        <v>28</v>
      </c>
      <c r="L243" s="451" t="s">
        <v>641</v>
      </c>
      <c r="M243" s="452">
        <v>43040</v>
      </c>
      <c r="N243" s="452">
        <v>43100</v>
      </c>
      <c r="O243" s="458"/>
      <c r="P243" s="458"/>
      <c r="Q243" s="167"/>
      <c r="R243" s="456" t="s">
        <v>175</v>
      </c>
      <c r="S243" s="687" t="s">
        <v>1176</v>
      </c>
      <c r="T243" s="313" t="s">
        <v>2841</v>
      </c>
    </row>
    <row r="244" spans="1:20" ht="20.100000000000001" customHeight="1">
      <c r="A244" s="1127" t="s">
        <v>2961</v>
      </c>
      <c r="B244" s="1141" t="s">
        <v>435</v>
      </c>
      <c r="C244" s="1141" t="s">
        <v>512</v>
      </c>
      <c r="D244" s="2">
        <v>825</v>
      </c>
      <c r="E244" s="2">
        <v>1550</v>
      </c>
      <c r="F244" s="2">
        <v>1550</v>
      </c>
      <c r="G244" s="221" t="s">
        <v>51</v>
      </c>
      <c r="H244" s="56" t="s">
        <v>2462</v>
      </c>
      <c r="I244" s="451" t="s">
        <v>17</v>
      </c>
      <c r="J244" s="451"/>
      <c r="K244" s="451">
        <v>28</v>
      </c>
      <c r="L244" s="451" t="s">
        <v>641</v>
      </c>
      <c r="M244" s="452">
        <v>43054</v>
      </c>
      <c r="N244" s="452">
        <v>43091</v>
      </c>
      <c r="O244" s="455"/>
      <c r="P244" s="477"/>
      <c r="Q244" s="167"/>
      <c r="R244" s="456" t="s">
        <v>580</v>
      </c>
      <c r="S244" s="687"/>
      <c r="T244" s="690"/>
    </row>
    <row r="245" spans="1:20" ht="20.100000000000001" customHeight="1">
      <c r="A245" s="1127" t="s">
        <v>2961</v>
      </c>
      <c r="B245" s="1141" t="s">
        <v>435</v>
      </c>
      <c r="C245" s="1141" t="s">
        <v>512</v>
      </c>
      <c r="D245" s="2">
        <v>875</v>
      </c>
      <c r="E245" s="2">
        <v>1650</v>
      </c>
      <c r="F245" s="2">
        <v>1650</v>
      </c>
      <c r="G245" s="3" t="s">
        <v>37</v>
      </c>
      <c r="H245" s="56" t="s">
        <v>2462</v>
      </c>
      <c r="I245" s="451" t="s">
        <v>17</v>
      </c>
      <c r="J245" s="451"/>
      <c r="K245" s="451">
        <v>28</v>
      </c>
      <c r="L245" s="451" t="s">
        <v>641</v>
      </c>
      <c r="M245" s="452">
        <v>43077</v>
      </c>
      <c r="N245" s="452">
        <v>43100</v>
      </c>
      <c r="O245" s="455"/>
      <c r="P245" s="477"/>
      <c r="Q245" s="167"/>
      <c r="R245" s="456" t="s">
        <v>580</v>
      </c>
      <c r="S245" s="687" t="s">
        <v>1176</v>
      </c>
      <c r="T245" s="688" t="s">
        <v>2844</v>
      </c>
    </row>
    <row r="246" spans="1:20" ht="20.100000000000001" customHeight="1">
      <c r="A246" s="1127" t="s">
        <v>2961</v>
      </c>
      <c r="B246" s="1141" t="s">
        <v>435</v>
      </c>
      <c r="C246" s="1141" t="s">
        <v>512</v>
      </c>
      <c r="D246" s="2">
        <v>825</v>
      </c>
      <c r="E246" s="2">
        <v>1500</v>
      </c>
      <c r="F246" s="2">
        <v>1500</v>
      </c>
      <c r="G246" s="3" t="s">
        <v>13</v>
      </c>
      <c r="H246" s="56" t="s">
        <v>2462</v>
      </c>
      <c r="I246" s="451" t="s">
        <v>17</v>
      </c>
      <c r="J246" s="451"/>
      <c r="K246" s="451">
        <v>28</v>
      </c>
      <c r="L246" s="451" t="s">
        <v>641</v>
      </c>
      <c r="M246" s="452">
        <v>43070</v>
      </c>
      <c r="N246" s="452">
        <v>43083</v>
      </c>
      <c r="O246" s="477"/>
      <c r="P246" s="477"/>
      <c r="Q246" s="167"/>
      <c r="R246" s="456" t="s">
        <v>501</v>
      </c>
      <c r="S246" s="687" t="s">
        <v>1176</v>
      </c>
      <c r="T246" s="690"/>
    </row>
    <row r="247" spans="1:20" ht="20.100000000000001" customHeight="1">
      <c r="A247" s="1127" t="s">
        <v>2961</v>
      </c>
      <c r="B247" s="1141" t="s">
        <v>435</v>
      </c>
      <c r="C247" s="1141" t="s">
        <v>512</v>
      </c>
      <c r="D247" s="2">
        <v>800</v>
      </c>
      <c r="E247" s="2">
        <v>1500</v>
      </c>
      <c r="F247" s="2">
        <v>1500</v>
      </c>
      <c r="G247" s="221" t="s">
        <v>1308</v>
      </c>
      <c r="H247" s="56" t="s">
        <v>2462</v>
      </c>
      <c r="I247" s="451" t="s">
        <v>17</v>
      </c>
      <c r="J247" s="451"/>
      <c r="K247" s="451">
        <v>28</v>
      </c>
      <c r="L247" s="451" t="s">
        <v>641</v>
      </c>
      <c r="M247" s="452">
        <v>43080</v>
      </c>
      <c r="N247" s="6">
        <v>43093</v>
      </c>
      <c r="O247" s="455"/>
      <c r="P247" s="477"/>
      <c r="Q247" s="167"/>
      <c r="R247" s="456" t="s">
        <v>580</v>
      </c>
      <c r="S247" s="687"/>
      <c r="T247" s="313">
        <v>14</v>
      </c>
    </row>
    <row r="248" spans="1:20" ht="20.100000000000001" customHeight="1">
      <c r="A248" s="1127" t="s">
        <v>2961</v>
      </c>
      <c r="B248" s="1141" t="s">
        <v>435</v>
      </c>
      <c r="C248" s="1141" t="s">
        <v>512</v>
      </c>
      <c r="D248" s="13">
        <v>1000</v>
      </c>
      <c r="E248" s="13">
        <v>2000</v>
      </c>
      <c r="F248" s="13">
        <v>2000</v>
      </c>
      <c r="G248" s="3" t="s">
        <v>6</v>
      </c>
      <c r="H248" s="56" t="s">
        <v>2462</v>
      </c>
      <c r="I248" s="451" t="s">
        <v>17</v>
      </c>
      <c r="J248" s="451"/>
      <c r="K248" s="451">
        <v>28</v>
      </c>
      <c r="L248" s="451" t="s">
        <v>641</v>
      </c>
      <c r="M248" s="457">
        <v>43040</v>
      </c>
      <c r="N248" s="457">
        <v>43093</v>
      </c>
      <c r="O248" s="455"/>
      <c r="P248" s="458"/>
      <c r="Q248" s="455"/>
      <c r="R248" s="456" t="s">
        <v>1496</v>
      </c>
      <c r="S248" s="319" t="s">
        <v>1176</v>
      </c>
      <c r="T248" s="650">
        <v>14</v>
      </c>
    </row>
    <row r="249" spans="1:20" ht="20.100000000000001" customHeight="1">
      <c r="A249" s="1127" t="s">
        <v>2961</v>
      </c>
      <c r="B249" s="1141" t="s">
        <v>435</v>
      </c>
      <c r="C249" s="1141" t="s">
        <v>512</v>
      </c>
      <c r="D249" s="2">
        <v>725</v>
      </c>
      <c r="E249" s="2">
        <v>1200</v>
      </c>
      <c r="F249" s="2">
        <v>1200</v>
      </c>
      <c r="G249" s="221" t="s">
        <v>1308</v>
      </c>
      <c r="H249" s="55" t="s">
        <v>629</v>
      </c>
      <c r="I249" s="451" t="s">
        <v>16</v>
      </c>
      <c r="J249" s="451"/>
      <c r="K249" s="451" t="s">
        <v>688</v>
      </c>
      <c r="L249" s="475" t="s">
        <v>637</v>
      </c>
      <c r="M249" s="452">
        <v>43040</v>
      </c>
      <c r="N249" s="6">
        <v>43093</v>
      </c>
      <c r="O249" s="455"/>
      <c r="P249" s="490"/>
      <c r="Q249" s="455"/>
      <c r="R249" s="476" t="s">
        <v>2029</v>
      </c>
      <c r="S249" s="319"/>
      <c r="T249" s="313">
        <v>14</v>
      </c>
    </row>
    <row r="250" spans="1:20" ht="20.100000000000001" customHeight="1">
      <c r="A250" s="1127" t="s">
        <v>2961</v>
      </c>
      <c r="B250" s="1141" t="s">
        <v>435</v>
      </c>
      <c r="C250" s="1141" t="s">
        <v>512</v>
      </c>
      <c r="D250" s="2">
        <v>1300</v>
      </c>
      <c r="E250" s="2">
        <v>2600</v>
      </c>
      <c r="F250" s="2">
        <v>2600</v>
      </c>
      <c r="G250" s="3" t="s">
        <v>241</v>
      </c>
      <c r="H250" s="4">
        <v>3</v>
      </c>
      <c r="I250" s="451" t="s">
        <v>302</v>
      </c>
      <c r="J250" s="451"/>
      <c r="K250" s="451">
        <v>22</v>
      </c>
      <c r="L250" s="451" t="s">
        <v>643</v>
      </c>
      <c r="M250" s="452">
        <v>43054</v>
      </c>
      <c r="N250" s="452">
        <v>43100</v>
      </c>
      <c r="O250" s="477"/>
      <c r="P250" s="477"/>
      <c r="Q250" s="455"/>
      <c r="R250" s="456" t="s">
        <v>176</v>
      </c>
      <c r="S250" s="687" t="s">
        <v>1176</v>
      </c>
      <c r="T250" s="680"/>
    </row>
    <row r="251" spans="1:20" ht="20.100000000000001" customHeight="1">
      <c r="A251" s="1127" t="s">
        <v>2961</v>
      </c>
      <c r="B251" s="1141" t="s">
        <v>435</v>
      </c>
      <c r="C251" s="1141" t="s">
        <v>512</v>
      </c>
      <c r="D251" s="2">
        <v>975</v>
      </c>
      <c r="E251" s="2">
        <v>1750</v>
      </c>
      <c r="F251" s="2">
        <v>1750</v>
      </c>
      <c r="G251" s="3" t="s">
        <v>31</v>
      </c>
      <c r="H251" s="4" t="s">
        <v>725</v>
      </c>
      <c r="I251" s="451" t="s">
        <v>16</v>
      </c>
      <c r="J251" s="451"/>
      <c r="K251" s="451">
        <v>32</v>
      </c>
      <c r="L251" s="451" t="s">
        <v>809</v>
      </c>
      <c r="M251" s="452">
        <v>43054</v>
      </c>
      <c r="N251" s="452">
        <v>43100</v>
      </c>
      <c r="O251" s="477"/>
      <c r="P251" s="477"/>
      <c r="Q251" s="479"/>
      <c r="R251" s="473" t="s">
        <v>780</v>
      </c>
      <c r="S251" s="687" t="s">
        <v>1176</v>
      </c>
      <c r="T251" s="680"/>
    </row>
    <row r="252" spans="1:20" ht="20.100000000000001" customHeight="1">
      <c r="A252" s="1127" t="s">
        <v>2961</v>
      </c>
      <c r="B252" s="1141" t="s">
        <v>435</v>
      </c>
      <c r="C252" s="1141" t="s">
        <v>512</v>
      </c>
      <c r="D252" s="11">
        <v>825</v>
      </c>
      <c r="E252" s="11">
        <v>1440</v>
      </c>
      <c r="F252" s="11">
        <v>1440</v>
      </c>
      <c r="G252" s="3" t="s">
        <v>239</v>
      </c>
      <c r="H252" s="22" t="s">
        <v>706</v>
      </c>
      <c r="I252" s="461" t="s">
        <v>613</v>
      </c>
      <c r="J252" s="461"/>
      <c r="K252" s="461" t="s">
        <v>663</v>
      </c>
      <c r="L252" s="451" t="s">
        <v>643</v>
      </c>
      <c r="M252" s="452">
        <v>43054</v>
      </c>
      <c r="N252" s="452">
        <v>43100</v>
      </c>
      <c r="O252" s="483"/>
      <c r="P252" s="479"/>
      <c r="Q252" s="481"/>
      <c r="R252" s="473" t="s">
        <v>1366</v>
      </c>
      <c r="S252" s="687" t="s">
        <v>1176</v>
      </c>
      <c r="T252" s="680"/>
    </row>
    <row r="253" spans="1:20" ht="20.100000000000001" customHeight="1">
      <c r="A253" s="1127" t="s">
        <v>2961</v>
      </c>
      <c r="B253" s="1141" t="s">
        <v>435</v>
      </c>
      <c r="C253" s="1141" t="s">
        <v>2446</v>
      </c>
      <c r="D253" s="13">
        <v>912</v>
      </c>
      <c r="E253" s="13">
        <v>1612</v>
      </c>
      <c r="F253" s="13">
        <v>1612</v>
      </c>
      <c r="G253" s="227" t="s">
        <v>1689</v>
      </c>
      <c r="H253" s="4">
        <v>1</v>
      </c>
      <c r="I253" s="451" t="s">
        <v>17</v>
      </c>
      <c r="J253" s="451"/>
      <c r="K253" s="451">
        <v>23</v>
      </c>
      <c r="L253" s="451" t="s">
        <v>643</v>
      </c>
      <c r="M253" s="452">
        <v>43070</v>
      </c>
      <c r="N253" s="452">
        <v>43100</v>
      </c>
      <c r="O253" s="462"/>
      <c r="P253" s="463"/>
      <c r="Q253" s="455"/>
      <c r="R253" s="456" t="s">
        <v>184</v>
      </c>
      <c r="S253" s="687" t="s">
        <v>1176</v>
      </c>
      <c r="T253" s="689"/>
    </row>
    <row r="254" spans="1:20" ht="20.100000000000001" customHeight="1">
      <c r="A254" s="1127" t="s">
        <v>2961</v>
      </c>
      <c r="B254" s="1141" t="s">
        <v>435</v>
      </c>
      <c r="C254" s="1141" t="s">
        <v>502</v>
      </c>
      <c r="D254" s="2">
        <v>800</v>
      </c>
      <c r="E254" s="2">
        <v>1500</v>
      </c>
      <c r="F254" s="2">
        <v>1500</v>
      </c>
      <c r="G254" s="221" t="s">
        <v>1308</v>
      </c>
      <c r="H254" s="4">
        <v>1</v>
      </c>
      <c r="I254" s="451" t="s">
        <v>17</v>
      </c>
      <c r="J254" s="451"/>
      <c r="K254" s="451">
        <v>23</v>
      </c>
      <c r="L254" s="451" t="s">
        <v>643</v>
      </c>
      <c r="M254" s="452">
        <v>43080</v>
      </c>
      <c r="N254" s="6">
        <v>43093</v>
      </c>
      <c r="O254" s="455"/>
      <c r="P254" s="458"/>
      <c r="Q254" s="455"/>
      <c r="R254" s="456" t="s">
        <v>182</v>
      </c>
      <c r="S254" s="687"/>
      <c r="T254" s="313">
        <v>14</v>
      </c>
    </row>
    <row r="255" spans="1:20" ht="20.100000000000001" customHeight="1">
      <c r="A255" s="1127" t="s">
        <v>2961</v>
      </c>
      <c r="B255" s="1141" t="s">
        <v>435</v>
      </c>
      <c r="C255" s="1141" t="s">
        <v>502</v>
      </c>
      <c r="D255" s="2">
        <v>850</v>
      </c>
      <c r="E255" s="2">
        <v>1600</v>
      </c>
      <c r="F255" s="2">
        <v>1600</v>
      </c>
      <c r="G255" s="221" t="s">
        <v>51</v>
      </c>
      <c r="H255" s="4">
        <v>1</v>
      </c>
      <c r="I255" s="451" t="s">
        <v>17</v>
      </c>
      <c r="J255" s="451"/>
      <c r="K255" s="451">
        <v>23</v>
      </c>
      <c r="L255" s="451" t="s">
        <v>643</v>
      </c>
      <c r="M255" s="452">
        <v>43054</v>
      </c>
      <c r="N255" s="452">
        <v>43091</v>
      </c>
      <c r="O255" s="455"/>
      <c r="P255" s="458"/>
      <c r="Q255" s="455"/>
      <c r="R255" s="456" t="s">
        <v>182</v>
      </c>
      <c r="S255" s="687"/>
      <c r="T255" s="690"/>
    </row>
    <row r="256" spans="1:20" ht="20.100000000000001" customHeight="1">
      <c r="A256" s="1127" t="s">
        <v>2961</v>
      </c>
      <c r="B256" s="1141" t="s">
        <v>435</v>
      </c>
      <c r="C256" s="1141" t="s">
        <v>502</v>
      </c>
      <c r="D256" s="2">
        <v>915</v>
      </c>
      <c r="E256" s="2">
        <v>1615</v>
      </c>
      <c r="F256" s="2">
        <v>1615</v>
      </c>
      <c r="G256" s="221" t="s">
        <v>22</v>
      </c>
      <c r="H256" s="4">
        <v>1</v>
      </c>
      <c r="I256" s="451" t="s">
        <v>17</v>
      </c>
      <c r="J256" s="451"/>
      <c r="K256" s="451">
        <v>23</v>
      </c>
      <c r="L256" s="451" t="s">
        <v>643</v>
      </c>
      <c r="M256" s="452">
        <v>43054</v>
      </c>
      <c r="N256" s="452">
        <v>43100</v>
      </c>
      <c r="O256" s="462"/>
      <c r="P256" s="462"/>
      <c r="Q256" s="455"/>
      <c r="R256" s="456" t="s">
        <v>172</v>
      </c>
      <c r="S256" s="316" t="s">
        <v>1176</v>
      </c>
      <c r="T256" s="313" t="s">
        <v>2841</v>
      </c>
    </row>
    <row r="257" spans="1:20" ht="20.100000000000001" customHeight="1">
      <c r="A257" s="1127" t="s">
        <v>2961</v>
      </c>
      <c r="B257" s="1141" t="s">
        <v>435</v>
      </c>
      <c r="C257" s="1141" t="s">
        <v>502</v>
      </c>
      <c r="D257" s="2">
        <v>812</v>
      </c>
      <c r="E257" s="2">
        <v>1462</v>
      </c>
      <c r="F257" s="2">
        <v>1462</v>
      </c>
      <c r="G257" s="221" t="s">
        <v>103</v>
      </c>
      <c r="H257" s="56" t="s">
        <v>2462</v>
      </c>
      <c r="I257" s="451" t="s">
        <v>17</v>
      </c>
      <c r="J257" s="451"/>
      <c r="K257" s="451">
        <v>30</v>
      </c>
      <c r="L257" s="451" t="s">
        <v>641</v>
      </c>
      <c r="M257" s="452">
        <v>43040</v>
      </c>
      <c r="N257" s="452">
        <v>43100</v>
      </c>
      <c r="O257" s="458"/>
      <c r="P257" s="458"/>
      <c r="Q257" s="167"/>
      <c r="R257" s="456" t="s">
        <v>175</v>
      </c>
      <c r="S257" s="687" t="s">
        <v>1176</v>
      </c>
      <c r="T257" s="313" t="s">
        <v>2841</v>
      </c>
    </row>
    <row r="258" spans="1:20" ht="20.100000000000001" customHeight="1">
      <c r="A258" s="1127" t="s">
        <v>2961</v>
      </c>
      <c r="B258" s="1141" t="s">
        <v>435</v>
      </c>
      <c r="C258" s="1141" t="s">
        <v>502</v>
      </c>
      <c r="D258" s="2">
        <v>825</v>
      </c>
      <c r="E258" s="2">
        <v>1550</v>
      </c>
      <c r="F258" s="2">
        <v>1550</v>
      </c>
      <c r="G258" s="221" t="s">
        <v>51</v>
      </c>
      <c r="H258" s="56" t="s">
        <v>2462</v>
      </c>
      <c r="I258" s="451" t="s">
        <v>17</v>
      </c>
      <c r="J258" s="451"/>
      <c r="K258" s="451">
        <v>30</v>
      </c>
      <c r="L258" s="451" t="s">
        <v>641</v>
      </c>
      <c r="M258" s="452">
        <v>43054</v>
      </c>
      <c r="N258" s="452">
        <v>43091</v>
      </c>
      <c r="O258" s="455"/>
      <c r="P258" s="477"/>
      <c r="Q258" s="167"/>
      <c r="R258" s="456" t="s">
        <v>580</v>
      </c>
      <c r="S258" s="687"/>
      <c r="T258" s="690"/>
    </row>
    <row r="259" spans="1:20" ht="20.100000000000001" customHeight="1">
      <c r="A259" s="1127" t="s">
        <v>2961</v>
      </c>
      <c r="B259" s="1141" t="s">
        <v>435</v>
      </c>
      <c r="C259" s="1141" t="s">
        <v>502</v>
      </c>
      <c r="D259" s="2">
        <v>875</v>
      </c>
      <c r="E259" s="2">
        <v>1650</v>
      </c>
      <c r="F259" s="2">
        <v>1650</v>
      </c>
      <c r="G259" s="3" t="s">
        <v>37</v>
      </c>
      <c r="H259" s="56" t="s">
        <v>2462</v>
      </c>
      <c r="I259" s="451" t="s">
        <v>17</v>
      </c>
      <c r="J259" s="451"/>
      <c r="K259" s="451">
        <v>30</v>
      </c>
      <c r="L259" s="451" t="s">
        <v>641</v>
      </c>
      <c r="M259" s="452">
        <v>43077</v>
      </c>
      <c r="N259" s="452">
        <v>43100</v>
      </c>
      <c r="O259" s="455"/>
      <c r="P259" s="477"/>
      <c r="Q259" s="167"/>
      <c r="R259" s="456" t="s">
        <v>580</v>
      </c>
      <c r="S259" s="687" t="s">
        <v>1176</v>
      </c>
      <c r="T259" s="688" t="s">
        <v>2844</v>
      </c>
    </row>
    <row r="260" spans="1:20" ht="20.100000000000001" customHeight="1">
      <c r="A260" s="1127" t="s">
        <v>2961</v>
      </c>
      <c r="B260" s="1141" t="s">
        <v>435</v>
      </c>
      <c r="C260" s="1141" t="s">
        <v>502</v>
      </c>
      <c r="D260" s="2">
        <v>825</v>
      </c>
      <c r="E260" s="2">
        <v>1500</v>
      </c>
      <c r="F260" s="2">
        <v>1500</v>
      </c>
      <c r="G260" s="3" t="s">
        <v>13</v>
      </c>
      <c r="H260" s="56" t="s">
        <v>2462</v>
      </c>
      <c r="I260" s="451" t="s">
        <v>17</v>
      </c>
      <c r="J260" s="451"/>
      <c r="K260" s="451">
        <v>30</v>
      </c>
      <c r="L260" s="451" t="s">
        <v>641</v>
      </c>
      <c r="M260" s="452">
        <v>43070</v>
      </c>
      <c r="N260" s="452">
        <v>43083</v>
      </c>
      <c r="O260" s="477"/>
      <c r="P260" s="477"/>
      <c r="Q260" s="167"/>
      <c r="R260" s="456" t="s">
        <v>501</v>
      </c>
      <c r="S260" s="687" t="s">
        <v>1176</v>
      </c>
      <c r="T260" s="690"/>
    </row>
    <row r="261" spans="1:20" ht="20.100000000000001" customHeight="1">
      <c r="A261" s="1127" t="s">
        <v>2961</v>
      </c>
      <c r="B261" s="1141" t="s">
        <v>435</v>
      </c>
      <c r="C261" s="1141" t="s">
        <v>502</v>
      </c>
      <c r="D261" s="2">
        <v>800</v>
      </c>
      <c r="E261" s="2">
        <v>1500</v>
      </c>
      <c r="F261" s="2">
        <v>1500</v>
      </c>
      <c r="G261" s="221" t="s">
        <v>1308</v>
      </c>
      <c r="H261" s="56" t="s">
        <v>2462</v>
      </c>
      <c r="I261" s="451" t="s">
        <v>17</v>
      </c>
      <c r="J261" s="451"/>
      <c r="K261" s="451">
        <v>30</v>
      </c>
      <c r="L261" s="451" t="s">
        <v>641</v>
      </c>
      <c r="M261" s="452">
        <v>43080</v>
      </c>
      <c r="N261" s="6">
        <v>43093</v>
      </c>
      <c r="O261" s="455"/>
      <c r="P261" s="477"/>
      <c r="Q261" s="167"/>
      <c r="R261" s="456" t="s">
        <v>580</v>
      </c>
      <c r="S261" s="687"/>
      <c r="T261" s="313">
        <v>14</v>
      </c>
    </row>
    <row r="262" spans="1:20" ht="20.100000000000001" customHeight="1">
      <c r="A262" s="1127" t="s">
        <v>2961</v>
      </c>
      <c r="B262" s="1141" t="s">
        <v>435</v>
      </c>
      <c r="C262" s="1141" t="s">
        <v>502</v>
      </c>
      <c r="D262" s="13">
        <v>1000</v>
      </c>
      <c r="E262" s="13">
        <v>2000</v>
      </c>
      <c r="F262" s="13">
        <v>2000</v>
      </c>
      <c r="G262" s="3" t="s">
        <v>6</v>
      </c>
      <c r="H262" s="56" t="s">
        <v>2462</v>
      </c>
      <c r="I262" s="451" t="s">
        <v>17</v>
      </c>
      <c r="J262" s="451"/>
      <c r="K262" s="451">
        <v>30</v>
      </c>
      <c r="L262" s="451" t="s">
        <v>641</v>
      </c>
      <c r="M262" s="457">
        <v>43040</v>
      </c>
      <c r="N262" s="457">
        <v>43093</v>
      </c>
      <c r="O262" s="455"/>
      <c r="P262" s="458"/>
      <c r="Q262" s="455"/>
      <c r="R262" s="456" t="s">
        <v>1496</v>
      </c>
      <c r="S262" s="316" t="s">
        <v>2831</v>
      </c>
      <c r="T262" s="650">
        <v>14</v>
      </c>
    </row>
    <row r="263" spans="1:20" ht="20.100000000000001" customHeight="1">
      <c r="A263" s="1127" t="s">
        <v>2961</v>
      </c>
      <c r="B263" s="1141" t="s">
        <v>435</v>
      </c>
      <c r="C263" s="1141" t="s">
        <v>502</v>
      </c>
      <c r="D263" s="2">
        <v>725</v>
      </c>
      <c r="E263" s="2">
        <v>1200</v>
      </c>
      <c r="F263" s="2">
        <v>1200</v>
      </c>
      <c r="G263" s="221" t="s">
        <v>1308</v>
      </c>
      <c r="H263" s="55" t="s">
        <v>629</v>
      </c>
      <c r="I263" s="451" t="s">
        <v>16</v>
      </c>
      <c r="J263" s="451"/>
      <c r="K263" s="451" t="s">
        <v>661</v>
      </c>
      <c r="L263" s="475" t="s">
        <v>637</v>
      </c>
      <c r="M263" s="452">
        <v>43040</v>
      </c>
      <c r="N263" s="6">
        <v>43093</v>
      </c>
      <c r="O263" s="455"/>
      <c r="P263" s="490"/>
      <c r="Q263" s="455"/>
      <c r="R263" s="476" t="s">
        <v>2029</v>
      </c>
      <c r="S263" s="319"/>
      <c r="T263" s="313">
        <v>14</v>
      </c>
    </row>
    <row r="264" spans="1:20" ht="20.100000000000001" customHeight="1">
      <c r="A264" s="1127" t="s">
        <v>2961</v>
      </c>
      <c r="B264" s="1141" t="s">
        <v>435</v>
      </c>
      <c r="C264" s="1141" t="s">
        <v>502</v>
      </c>
      <c r="D264" s="2"/>
      <c r="E264" s="2"/>
      <c r="F264" s="2"/>
      <c r="G264" s="3" t="s">
        <v>241</v>
      </c>
      <c r="H264" s="4">
        <v>3</v>
      </c>
      <c r="I264" s="451" t="s">
        <v>302</v>
      </c>
      <c r="J264" s="451"/>
      <c r="K264" s="451">
        <v>26</v>
      </c>
      <c r="L264" s="451" t="s">
        <v>643</v>
      </c>
      <c r="M264" s="452">
        <v>43054</v>
      </c>
      <c r="N264" s="452">
        <v>43100</v>
      </c>
      <c r="O264" s="477"/>
      <c r="P264" s="477"/>
      <c r="Q264" s="455"/>
      <c r="R264" s="456" t="s">
        <v>176</v>
      </c>
      <c r="S264" s="687" t="s">
        <v>1176</v>
      </c>
      <c r="T264" s="690"/>
    </row>
    <row r="265" spans="1:20" ht="20.100000000000001" customHeight="1">
      <c r="A265" s="1127" t="s">
        <v>2961</v>
      </c>
      <c r="B265" s="1141" t="s">
        <v>435</v>
      </c>
      <c r="C265" s="1141" t="s">
        <v>502</v>
      </c>
      <c r="D265" s="2">
        <v>975</v>
      </c>
      <c r="E265" s="2">
        <v>1750</v>
      </c>
      <c r="F265" s="2">
        <v>1750</v>
      </c>
      <c r="G265" s="3" t="s">
        <v>31</v>
      </c>
      <c r="H265" s="4" t="s">
        <v>725</v>
      </c>
      <c r="I265" s="451" t="s">
        <v>16</v>
      </c>
      <c r="J265" s="451"/>
      <c r="K265" s="451">
        <v>42</v>
      </c>
      <c r="L265" s="451" t="s">
        <v>809</v>
      </c>
      <c r="M265" s="452">
        <v>43054</v>
      </c>
      <c r="N265" s="452">
        <v>43100</v>
      </c>
      <c r="O265" s="477"/>
      <c r="P265" s="477"/>
      <c r="Q265" s="479"/>
      <c r="R265" s="473" t="s">
        <v>780</v>
      </c>
      <c r="S265" s="687" t="s">
        <v>1176</v>
      </c>
      <c r="T265" s="690"/>
    </row>
    <row r="266" spans="1:20" ht="20.100000000000001" customHeight="1">
      <c r="A266" s="1127" t="s">
        <v>2961</v>
      </c>
      <c r="B266" s="1141" t="s">
        <v>435</v>
      </c>
      <c r="C266" s="1141" t="s">
        <v>502</v>
      </c>
      <c r="D266" s="11">
        <v>825</v>
      </c>
      <c r="E266" s="11">
        <v>1440</v>
      </c>
      <c r="F266" s="11">
        <v>1440</v>
      </c>
      <c r="G266" s="3" t="s">
        <v>582</v>
      </c>
      <c r="H266" s="22" t="s">
        <v>659</v>
      </c>
      <c r="I266" s="461" t="s">
        <v>16</v>
      </c>
      <c r="J266" s="451"/>
      <c r="K266" s="451" t="s">
        <v>1258</v>
      </c>
      <c r="L266" s="451" t="s">
        <v>643</v>
      </c>
      <c r="M266" s="452">
        <v>43054</v>
      </c>
      <c r="N266" s="452">
        <v>43100</v>
      </c>
      <c r="O266" s="477"/>
      <c r="P266" s="477"/>
      <c r="Q266" s="481"/>
      <c r="R266" s="473" t="s">
        <v>1274</v>
      </c>
      <c r="S266" s="687" t="s">
        <v>1176</v>
      </c>
      <c r="T266" s="690"/>
    </row>
    <row r="267" spans="1:20" ht="20.100000000000001" customHeight="1">
      <c r="A267" s="1127" t="s">
        <v>2961</v>
      </c>
      <c r="B267" s="1141" t="s">
        <v>435</v>
      </c>
      <c r="C267" s="1127" t="s">
        <v>2990</v>
      </c>
      <c r="D267" s="13">
        <v>912</v>
      </c>
      <c r="E267" s="13">
        <v>1612</v>
      </c>
      <c r="F267" s="13">
        <v>1612</v>
      </c>
      <c r="G267" s="227" t="s">
        <v>1689</v>
      </c>
      <c r="H267" s="4">
        <v>1</v>
      </c>
      <c r="I267" s="451" t="s">
        <v>17</v>
      </c>
      <c r="J267" s="451"/>
      <c r="K267" s="451">
        <v>24</v>
      </c>
      <c r="L267" s="451" t="s">
        <v>643</v>
      </c>
      <c r="M267" s="452">
        <v>43070</v>
      </c>
      <c r="N267" s="452">
        <v>43100</v>
      </c>
      <c r="O267" s="462"/>
      <c r="P267" s="463"/>
      <c r="Q267" s="455"/>
      <c r="R267" s="456" t="s">
        <v>184</v>
      </c>
      <c r="S267" s="687" t="s">
        <v>1176</v>
      </c>
      <c r="T267" s="689"/>
    </row>
    <row r="268" spans="1:20" ht="20.100000000000001" customHeight="1">
      <c r="A268" s="1127" t="s">
        <v>2961</v>
      </c>
      <c r="B268" s="1141" t="s">
        <v>435</v>
      </c>
      <c r="C268" s="1141" t="s">
        <v>503</v>
      </c>
      <c r="D268" s="2">
        <v>800</v>
      </c>
      <c r="E268" s="2">
        <v>1500</v>
      </c>
      <c r="F268" s="2">
        <v>1500</v>
      </c>
      <c r="G268" s="221" t="s">
        <v>1308</v>
      </c>
      <c r="H268" s="4">
        <v>1</v>
      </c>
      <c r="I268" s="451" t="s">
        <v>17</v>
      </c>
      <c r="J268" s="451"/>
      <c r="K268" s="451">
        <v>24</v>
      </c>
      <c r="L268" s="451" t="s">
        <v>643</v>
      </c>
      <c r="M268" s="452">
        <v>43080</v>
      </c>
      <c r="N268" s="6">
        <v>43093</v>
      </c>
      <c r="O268" s="455"/>
      <c r="P268" s="458"/>
      <c r="Q268" s="455"/>
      <c r="R268" s="456" t="s">
        <v>182</v>
      </c>
      <c r="S268" s="687"/>
      <c r="T268" s="313">
        <v>14</v>
      </c>
    </row>
    <row r="269" spans="1:20" ht="20.100000000000001" customHeight="1">
      <c r="A269" s="1127" t="s">
        <v>2961</v>
      </c>
      <c r="B269" s="1141" t="s">
        <v>435</v>
      </c>
      <c r="C269" s="1141" t="s">
        <v>503</v>
      </c>
      <c r="D269" s="2">
        <v>850</v>
      </c>
      <c r="E269" s="2">
        <v>1600</v>
      </c>
      <c r="F269" s="2">
        <v>1600</v>
      </c>
      <c r="G269" s="221" t="s">
        <v>51</v>
      </c>
      <c r="H269" s="4">
        <v>1</v>
      </c>
      <c r="I269" s="451" t="s">
        <v>17</v>
      </c>
      <c r="J269" s="451"/>
      <c r="K269" s="451">
        <v>24</v>
      </c>
      <c r="L269" s="451" t="s">
        <v>643</v>
      </c>
      <c r="M269" s="452">
        <v>43054</v>
      </c>
      <c r="N269" s="452">
        <v>43091</v>
      </c>
      <c r="O269" s="455"/>
      <c r="P269" s="458"/>
      <c r="Q269" s="455"/>
      <c r="R269" s="456" t="s">
        <v>182</v>
      </c>
      <c r="S269" s="687"/>
      <c r="T269" s="690"/>
    </row>
    <row r="270" spans="1:20" ht="20.100000000000001" customHeight="1">
      <c r="A270" s="1127" t="s">
        <v>2961</v>
      </c>
      <c r="B270" s="1141" t="s">
        <v>435</v>
      </c>
      <c r="C270" s="1141" t="s">
        <v>503</v>
      </c>
      <c r="D270" s="2">
        <v>915</v>
      </c>
      <c r="E270" s="2">
        <v>1615</v>
      </c>
      <c r="F270" s="2">
        <v>1615</v>
      </c>
      <c r="G270" s="221" t="s">
        <v>22</v>
      </c>
      <c r="H270" s="4">
        <v>1</v>
      </c>
      <c r="I270" s="451" t="s">
        <v>17</v>
      </c>
      <c r="J270" s="451"/>
      <c r="K270" s="451">
        <v>24</v>
      </c>
      <c r="L270" s="451" t="s">
        <v>643</v>
      </c>
      <c r="M270" s="452">
        <v>43054</v>
      </c>
      <c r="N270" s="452">
        <v>43100</v>
      </c>
      <c r="O270" s="462"/>
      <c r="P270" s="462"/>
      <c r="Q270" s="455"/>
      <c r="R270" s="456" t="s">
        <v>172</v>
      </c>
      <c r="S270" s="316" t="s">
        <v>1176</v>
      </c>
      <c r="T270" s="313" t="s">
        <v>2841</v>
      </c>
    </row>
    <row r="271" spans="1:20" ht="20.100000000000001" customHeight="1">
      <c r="A271" s="1127" t="s">
        <v>2961</v>
      </c>
      <c r="B271" s="1141" t="s">
        <v>435</v>
      </c>
      <c r="C271" s="1141" t="s">
        <v>503</v>
      </c>
      <c r="D271" s="2">
        <v>812</v>
      </c>
      <c r="E271" s="2">
        <v>1462</v>
      </c>
      <c r="F271" s="2">
        <v>1462</v>
      </c>
      <c r="G271" s="221" t="s">
        <v>103</v>
      </c>
      <c r="H271" s="56" t="s">
        <v>2462</v>
      </c>
      <c r="I271" s="451" t="s">
        <v>17</v>
      </c>
      <c r="J271" s="451"/>
      <c r="K271" s="451">
        <v>31</v>
      </c>
      <c r="L271" s="451" t="s">
        <v>641</v>
      </c>
      <c r="M271" s="452">
        <v>43040</v>
      </c>
      <c r="N271" s="452">
        <v>43100</v>
      </c>
      <c r="O271" s="458"/>
      <c r="P271" s="458"/>
      <c r="Q271" s="167"/>
      <c r="R271" s="456" t="s">
        <v>175</v>
      </c>
      <c r="S271" s="687" t="s">
        <v>1176</v>
      </c>
      <c r="T271" s="313" t="s">
        <v>2841</v>
      </c>
    </row>
    <row r="272" spans="1:20" ht="20.100000000000001" customHeight="1">
      <c r="A272" s="1127" t="s">
        <v>2961</v>
      </c>
      <c r="B272" s="1141" t="s">
        <v>435</v>
      </c>
      <c r="C272" s="1141" t="s">
        <v>503</v>
      </c>
      <c r="D272" s="2">
        <v>825</v>
      </c>
      <c r="E272" s="2">
        <v>1550</v>
      </c>
      <c r="F272" s="2">
        <v>1550</v>
      </c>
      <c r="G272" s="221" t="s">
        <v>51</v>
      </c>
      <c r="H272" s="56" t="s">
        <v>2462</v>
      </c>
      <c r="I272" s="451" t="s">
        <v>17</v>
      </c>
      <c r="J272" s="451"/>
      <c r="K272" s="451">
        <v>31</v>
      </c>
      <c r="L272" s="451" t="s">
        <v>641</v>
      </c>
      <c r="M272" s="452">
        <v>43054</v>
      </c>
      <c r="N272" s="452">
        <v>43091</v>
      </c>
      <c r="O272" s="455"/>
      <c r="P272" s="477"/>
      <c r="Q272" s="167"/>
      <c r="R272" s="456" t="s">
        <v>580</v>
      </c>
      <c r="S272" s="687"/>
      <c r="T272" s="690"/>
    </row>
    <row r="273" spans="1:20" ht="20.100000000000001" customHeight="1">
      <c r="A273" s="1127" t="s">
        <v>2961</v>
      </c>
      <c r="B273" s="1141" t="s">
        <v>435</v>
      </c>
      <c r="C273" s="1141" t="s">
        <v>503</v>
      </c>
      <c r="D273" s="2">
        <v>875</v>
      </c>
      <c r="E273" s="2">
        <v>1650</v>
      </c>
      <c r="F273" s="2">
        <v>1650</v>
      </c>
      <c r="G273" s="3" t="s">
        <v>37</v>
      </c>
      <c r="H273" s="56" t="s">
        <v>2462</v>
      </c>
      <c r="I273" s="451" t="s">
        <v>17</v>
      </c>
      <c r="J273" s="451"/>
      <c r="K273" s="451">
        <v>31</v>
      </c>
      <c r="L273" s="451" t="s">
        <v>641</v>
      </c>
      <c r="M273" s="452">
        <v>43077</v>
      </c>
      <c r="N273" s="452">
        <v>43100</v>
      </c>
      <c r="O273" s="455"/>
      <c r="P273" s="477"/>
      <c r="Q273" s="167"/>
      <c r="R273" s="456" t="s">
        <v>580</v>
      </c>
      <c r="S273" s="687" t="s">
        <v>1176</v>
      </c>
      <c r="T273" s="688" t="s">
        <v>2844</v>
      </c>
    </row>
    <row r="274" spans="1:20" ht="20.100000000000001" customHeight="1">
      <c r="A274" s="1127" t="s">
        <v>2961</v>
      </c>
      <c r="B274" s="1141" t="s">
        <v>435</v>
      </c>
      <c r="C274" s="1141" t="s">
        <v>503</v>
      </c>
      <c r="D274" s="2">
        <v>825</v>
      </c>
      <c r="E274" s="2">
        <v>1500</v>
      </c>
      <c r="F274" s="2">
        <v>1500</v>
      </c>
      <c r="G274" s="3" t="s">
        <v>13</v>
      </c>
      <c r="H274" s="56" t="s">
        <v>2462</v>
      </c>
      <c r="I274" s="451" t="s">
        <v>17</v>
      </c>
      <c r="J274" s="451"/>
      <c r="K274" s="451">
        <v>31</v>
      </c>
      <c r="L274" s="451" t="s">
        <v>641</v>
      </c>
      <c r="M274" s="452">
        <v>43070</v>
      </c>
      <c r="N274" s="452">
        <v>43083</v>
      </c>
      <c r="O274" s="477"/>
      <c r="P274" s="477"/>
      <c r="Q274" s="167"/>
      <c r="R274" s="456" t="s">
        <v>501</v>
      </c>
      <c r="S274" s="687" t="s">
        <v>1176</v>
      </c>
      <c r="T274" s="690"/>
    </row>
    <row r="275" spans="1:20" ht="20.100000000000001" customHeight="1">
      <c r="A275" s="1127" t="s">
        <v>2961</v>
      </c>
      <c r="B275" s="1141" t="s">
        <v>435</v>
      </c>
      <c r="C275" s="1141" t="s">
        <v>503</v>
      </c>
      <c r="D275" s="2">
        <v>800</v>
      </c>
      <c r="E275" s="2">
        <v>1500</v>
      </c>
      <c r="F275" s="2">
        <v>1500</v>
      </c>
      <c r="G275" s="221" t="s">
        <v>1308</v>
      </c>
      <c r="H275" s="56" t="s">
        <v>2462</v>
      </c>
      <c r="I275" s="451" t="s">
        <v>17</v>
      </c>
      <c r="J275" s="451"/>
      <c r="K275" s="451">
        <v>31</v>
      </c>
      <c r="L275" s="451" t="s">
        <v>641</v>
      </c>
      <c r="M275" s="452">
        <v>43080</v>
      </c>
      <c r="N275" s="6">
        <v>43093</v>
      </c>
      <c r="O275" s="455"/>
      <c r="P275" s="477"/>
      <c r="Q275" s="167"/>
      <c r="R275" s="456" t="s">
        <v>580</v>
      </c>
      <c r="S275" s="687"/>
      <c r="T275" s="313">
        <v>14</v>
      </c>
    </row>
    <row r="276" spans="1:20" ht="20.100000000000001" customHeight="1">
      <c r="A276" s="1127" t="s">
        <v>2961</v>
      </c>
      <c r="B276" s="1141" t="s">
        <v>435</v>
      </c>
      <c r="C276" s="1141" t="s">
        <v>503</v>
      </c>
      <c r="D276" s="13">
        <v>1000</v>
      </c>
      <c r="E276" s="13">
        <v>2000</v>
      </c>
      <c r="F276" s="13">
        <v>2000</v>
      </c>
      <c r="G276" s="3" t="s">
        <v>240</v>
      </c>
      <c r="H276" s="56" t="s">
        <v>2462</v>
      </c>
      <c r="I276" s="451" t="s">
        <v>17</v>
      </c>
      <c r="J276" s="451"/>
      <c r="K276" s="451">
        <v>31</v>
      </c>
      <c r="L276" s="451" t="s">
        <v>641</v>
      </c>
      <c r="M276" s="457">
        <v>43040</v>
      </c>
      <c r="N276" s="457">
        <v>43093</v>
      </c>
      <c r="O276" s="455"/>
      <c r="P276" s="458"/>
      <c r="Q276" s="455"/>
      <c r="R276" s="456" t="s">
        <v>1496</v>
      </c>
      <c r="S276" s="319" t="s">
        <v>1176</v>
      </c>
      <c r="T276" s="650">
        <v>14</v>
      </c>
    </row>
    <row r="277" spans="1:20" ht="20.100000000000001" customHeight="1">
      <c r="A277" s="1127" t="s">
        <v>2961</v>
      </c>
      <c r="B277" s="1141" t="s">
        <v>435</v>
      </c>
      <c r="C277" s="1141" t="s">
        <v>503</v>
      </c>
      <c r="D277" s="11">
        <v>825</v>
      </c>
      <c r="E277" s="11">
        <v>1440</v>
      </c>
      <c r="F277" s="11">
        <v>1440</v>
      </c>
      <c r="G277" s="3" t="s">
        <v>239</v>
      </c>
      <c r="H277" s="22" t="s">
        <v>1233</v>
      </c>
      <c r="I277" s="461" t="s">
        <v>17</v>
      </c>
      <c r="J277" s="461"/>
      <c r="K277" s="461" t="s">
        <v>1234</v>
      </c>
      <c r="L277" s="451" t="s">
        <v>643</v>
      </c>
      <c r="M277" s="452">
        <v>43054</v>
      </c>
      <c r="N277" s="452">
        <v>43100</v>
      </c>
      <c r="O277" s="483"/>
      <c r="P277" s="479"/>
      <c r="Q277" s="481"/>
      <c r="R277" s="473" t="s">
        <v>1366</v>
      </c>
      <c r="S277" s="687" t="s">
        <v>1176</v>
      </c>
      <c r="T277" s="690"/>
    </row>
    <row r="278" spans="1:20" ht="20.100000000000001" customHeight="1">
      <c r="A278" s="1127" t="s">
        <v>2961</v>
      </c>
      <c r="B278" s="1141" t="s">
        <v>435</v>
      </c>
      <c r="C278" s="1141" t="s">
        <v>503</v>
      </c>
      <c r="D278" s="2">
        <v>725</v>
      </c>
      <c r="E278" s="2">
        <v>1200</v>
      </c>
      <c r="F278" s="2">
        <v>1200</v>
      </c>
      <c r="G278" s="221" t="s">
        <v>1308</v>
      </c>
      <c r="H278" s="55" t="s">
        <v>629</v>
      </c>
      <c r="I278" s="451" t="s">
        <v>16</v>
      </c>
      <c r="J278" s="451"/>
      <c r="K278" s="451" t="s">
        <v>683</v>
      </c>
      <c r="L278" s="475" t="s">
        <v>637</v>
      </c>
      <c r="M278" s="452">
        <v>43040</v>
      </c>
      <c r="N278" s="6">
        <v>43093</v>
      </c>
      <c r="O278" s="455"/>
      <c r="P278" s="490"/>
      <c r="Q278" s="455"/>
      <c r="R278" s="476" t="s">
        <v>2029</v>
      </c>
      <c r="S278" s="319"/>
      <c r="T278" s="313">
        <v>14</v>
      </c>
    </row>
    <row r="279" spans="1:20" ht="20.100000000000001" customHeight="1">
      <c r="A279" s="1127" t="s">
        <v>2961</v>
      </c>
      <c r="B279" s="1141" t="s">
        <v>435</v>
      </c>
      <c r="C279" s="1141" t="s">
        <v>503</v>
      </c>
      <c r="D279" s="2">
        <v>1300</v>
      </c>
      <c r="E279" s="2">
        <v>2600</v>
      </c>
      <c r="F279" s="2">
        <v>2600</v>
      </c>
      <c r="G279" s="3" t="s">
        <v>241</v>
      </c>
      <c r="H279" s="4">
        <v>3</v>
      </c>
      <c r="I279" s="451" t="s">
        <v>302</v>
      </c>
      <c r="J279" s="451"/>
      <c r="K279" s="451">
        <v>24</v>
      </c>
      <c r="L279" s="451" t="s">
        <v>643</v>
      </c>
      <c r="M279" s="452">
        <v>43054</v>
      </c>
      <c r="N279" s="452">
        <v>43100</v>
      </c>
      <c r="O279" s="477"/>
      <c r="P279" s="477"/>
      <c r="Q279" s="455"/>
      <c r="R279" s="456" t="s">
        <v>176</v>
      </c>
      <c r="S279" s="687" t="s">
        <v>1176</v>
      </c>
      <c r="T279" s="680"/>
    </row>
    <row r="280" spans="1:20" ht="20.100000000000001" customHeight="1">
      <c r="A280" s="1127" t="s">
        <v>2961</v>
      </c>
      <c r="B280" s="1141" t="s">
        <v>435</v>
      </c>
      <c r="C280" s="1141" t="s">
        <v>503</v>
      </c>
      <c r="D280" s="2">
        <v>975</v>
      </c>
      <c r="E280" s="2">
        <v>1750</v>
      </c>
      <c r="F280" s="2">
        <v>1750</v>
      </c>
      <c r="G280" s="3" t="s">
        <v>31</v>
      </c>
      <c r="H280" s="4" t="s">
        <v>725</v>
      </c>
      <c r="I280" s="451" t="s">
        <v>16</v>
      </c>
      <c r="J280" s="451"/>
      <c r="K280" s="451">
        <v>43</v>
      </c>
      <c r="L280" s="451" t="s">
        <v>809</v>
      </c>
      <c r="M280" s="452">
        <v>43054</v>
      </c>
      <c r="N280" s="452">
        <v>43100</v>
      </c>
      <c r="O280" s="477"/>
      <c r="P280" s="477"/>
      <c r="Q280" s="479"/>
      <c r="R280" s="473" t="s">
        <v>780</v>
      </c>
      <c r="S280" s="687" t="s">
        <v>1176</v>
      </c>
      <c r="T280" s="680"/>
    </row>
    <row r="281" spans="1:20" ht="20.100000000000001" customHeight="1">
      <c r="A281" s="1127" t="s">
        <v>2961</v>
      </c>
      <c r="B281" s="1141" t="s">
        <v>435</v>
      </c>
      <c r="C281" s="1127" t="s">
        <v>2989</v>
      </c>
      <c r="D281" s="2">
        <v>812</v>
      </c>
      <c r="E281" s="2">
        <v>1462</v>
      </c>
      <c r="F281" s="2">
        <v>1462</v>
      </c>
      <c r="G281" s="221" t="s">
        <v>103</v>
      </c>
      <c r="H281" s="56" t="s">
        <v>2462</v>
      </c>
      <c r="I281" s="451" t="s">
        <v>17</v>
      </c>
      <c r="J281" s="451"/>
      <c r="K281" s="451">
        <v>27</v>
      </c>
      <c r="L281" s="451" t="s">
        <v>641</v>
      </c>
      <c r="M281" s="452">
        <v>43040</v>
      </c>
      <c r="N281" s="452">
        <v>43100</v>
      </c>
      <c r="O281" s="458"/>
      <c r="P281" s="458"/>
      <c r="Q281" s="167"/>
      <c r="R281" s="456" t="s">
        <v>175</v>
      </c>
      <c r="S281" s="687" t="s">
        <v>1176</v>
      </c>
      <c r="T281" s="313" t="s">
        <v>2841</v>
      </c>
    </row>
    <row r="282" spans="1:20" ht="20.100000000000001" customHeight="1">
      <c r="A282" s="1127" t="s">
        <v>2961</v>
      </c>
      <c r="B282" s="1141" t="s">
        <v>435</v>
      </c>
      <c r="C282" s="1141" t="s">
        <v>496</v>
      </c>
      <c r="D282" s="2">
        <v>825</v>
      </c>
      <c r="E282" s="2">
        <v>1550</v>
      </c>
      <c r="F282" s="2">
        <v>1550</v>
      </c>
      <c r="G282" s="221" t="s">
        <v>51</v>
      </c>
      <c r="H282" s="56" t="s">
        <v>2462</v>
      </c>
      <c r="I282" s="451" t="s">
        <v>17</v>
      </c>
      <c r="J282" s="451"/>
      <c r="K282" s="451">
        <v>27</v>
      </c>
      <c r="L282" s="451" t="s">
        <v>641</v>
      </c>
      <c r="M282" s="452">
        <v>43054</v>
      </c>
      <c r="N282" s="452">
        <v>43091</v>
      </c>
      <c r="O282" s="455"/>
      <c r="P282" s="477"/>
      <c r="Q282" s="167"/>
      <c r="R282" s="456" t="s">
        <v>580</v>
      </c>
      <c r="S282" s="687"/>
      <c r="T282" s="680"/>
    </row>
    <row r="283" spans="1:20" ht="20.100000000000001" customHeight="1">
      <c r="A283" s="1127" t="s">
        <v>2961</v>
      </c>
      <c r="B283" s="1141" t="s">
        <v>435</v>
      </c>
      <c r="C283" s="1141" t="s">
        <v>496</v>
      </c>
      <c r="D283" s="2">
        <v>875</v>
      </c>
      <c r="E283" s="2">
        <v>1650</v>
      </c>
      <c r="F283" s="2">
        <v>1650</v>
      </c>
      <c r="G283" s="3" t="s">
        <v>37</v>
      </c>
      <c r="H283" s="56" t="s">
        <v>2462</v>
      </c>
      <c r="I283" s="451" t="s">
        <v>17</v>
      </c>
      <c r="J283" s="451"/>
      <c r="K283" s="451">
        <v>27</v>
      </c>
      <c r="L283" s="451" t="s">
        <v>641</v>
      </c>
      <c r="M283" s="452">
        <v>43077</v>
      </c>
      <c r="N283" s="452">
        <v>43100</v>
      </c>
      <c r="O283" s="455"/>
      <c r="P283" s="477"/>
      <c r="Q283" s="167"/>
      <c r="R283" s="456" t="s">
        <v>580</v>
      </c>
      <c r="S283" s="687" t="s">
        <v>1176</v>
      </c>
      <c r="T283" s="688" t="s">
        <v>2844</v>
      </c>
    </row>
    <row r="284" spans="1:20" ht="20.100000000000001" customHeight="1">
      <c r="A284" s="1127" t="s">
        <v>2961</v>
      </c>
      <c r="B284" s="1141" t="s">
        <v>435</v>
      </c>
      <c r="C284" s="1141" t="s">
        <v>496</v>
      </c>
      <c r="D284" s="2">
        <v>825</v>
      </c>
      <c r="E284" s="2">
        <v>1500</v>
      </c>
      <c r="F284" s="2">
        <v>1500</v>
      </c>
      <c r="G284" s="3" t="s">
        <v>13</v>
      </c>
      <c r="H284" s="56" t="s">
        <v>2462</v>
      </c>
      <c r="I284" s="451" t="s">
        <v>17</v>
      </c>
      <c r="J284" s="451"/>
      <c r="K284" s="451">
        <v>27</v>
      </c>
      <c r="L284" s="451" t="s">
        <v>641</v>
      </c>
      <c r="M284" s="452">
        <v>43070</v>
      </c>
      <c r="N284" s="452">
        <v>43083</v>
      </c>
      <c r="O284" s="477"/>
      <c r="P284" s="477"/>
      <c r="Q284" s="167"/>
      <c r="R284" s="456" t="s">
        <v>501</v>
      </c>
      <c r="S284" s="687" t="s">
        <v>1176</v>
      </c>
      <c r="T284" s="680"/>
    </row>
    <row r="285" spans="1:20" ht="20.100000000000001" customHeight="1">
      <c r="A285" s="1127" t="s">
        <v>2961</v>
      </c>
      <c r="B285" s="1141" t="s">
        <v>435</v>
      </c>
      <c r="C285" s="1141" t="s">
        <v>496</v>
      </c>
      <c r="D285" s="2">
        <v>800</v>
      </c>
      <c r="E285" s="2">
        <v>1500</v>
      </c>
      <c r="F285" s="2">
        <v>1500</v>
      </c>
      <c r="G285" s="221" t="s">
        <v>1308</v>
      </c>
      <c r="H285" s="56" t="s">
        <v>2462</v>
      </c>
      <c r="I285" s="451" t="s">
        <v>17</v>
      </c>
      <c r="J285" s="451"/>
      <c r="K285" s="451">
        <v>27</v>
      </c>
      <c r="L285" s="451" t="s">
        <v>641</v>
      </c>
      <c r="M285" s="452">
        <v>43080</v>
      </c>
      <c r="N285" s="6">
        <v>43093</v>
      </c>
      <c r="O285" s="455"/>
      <c r="P285" s="477"/>
      <c r="Q285" s="167"/>
      <c r="R285" s="456" t="s">
        <v>580</v>
      </c>
      <c r="S285" s="687"/>
      <c r="T285" s="313">
        <v>14</v>
      </c>
    </row>
    <row r="286" spans="1:20" ht="20.100000000000001" customHeight="1">
      <c r="A286" s="1127" t="s">
        <v>2961</v>
      </c>
      <c r="B286" s="1141" t="s">
        <v>435</v>
      </c>
      <c r="C286" s="1141" t="s">
        <v>496</v>
      </c>
      <c r="D286" s="536">
        <f>D225+300</f>
        <v>1212</v>
      </c>
      <c r="E286" s="536">
        <f>E225+600</f>
        <v>2212</v>
      </c>
      <c r="F286" s="536">
        <f>F225+600</f>
        <v>2212</v>
      </c>
      <c r="G286" s="609" t="s">
        <v>1689</v>
      </c>
      <c r="H286" s="4">
        <v>1</v>
      </c>
      <c r="I286" s="451" t="s">
        <v>116</v>
      </c>
      <c r="J286" s="451"/>
      <c r="K286" s="491">
        <v>21</v>
      </c>
      <c r="L286" s="451" t="s">
        <v>643</v>
      </c>
      <c r="M286" s="452">
        <v>43070</v>
      </c>
      <c r="N286" s="452">
        <v>43100</v>
      </c>
      <c r="O286" s="458"/>
      <c r="P286" s="485"/>
      <c r="Q286" s="485" t="s">
        <v>306</v>
      </c>
      <c r="R286" s="456" t="s">
        <v>184</v>
      </c>
      <c r="S286" s="687" t="s">
        <v>1176</v>
      </c>
      <c r="T286" s="680"/>
    </row>
    <row r="287" spans="1:20" ht="20.100000000000001" customHeight="1">
      <c r="A287" s="1127" t="s">
        <v>2961</v>
      </c>
      <c r="B287" s="1141" t="s">
        <v>435</v>
      </c>
      <c r="C287" s="1141" t="s">
        <v>496</v>
      </c>
      <c r="D287" s="536">
        <f>D239+500*1</f>
        <v>1412</v>
      </c>
      <c r="E287" s="536">
        <f>E239+1000*1</f>
        <v>2612</v>
      </c>
      <c r="F287" s="536">
        <f>F239+1000*1</f>
        <v>2612</v>
      </c>
      <c r="G287" s="609" t="s">
        <v>1689</v>
      </c>
      <c r="H287" s="4">
        <v>1</v>
      </c>
      <c r="I287" s="451" t="s">
        <v>112</v>
      </c>
      <c r="J287" s="451"/>
      <c r="K287" s="492">
        <v>22</v>
      </c>
      <c r="L287" s="451" t="s">
        <v>643</v>
      </c>
      <c r="M287" s="452">
        <v>43070</v>
      </c>
      <c r="N287" s="452">
        <v>43100</v>
      </c>
      <c r="O287" s="458"/>
      <c r="P287" s="462"/>
      <c r="Q287" s="462" t="s">
        <v>197</v>
      </c>
      <c r="R287" s="456" t="s">
        <v>184</v>
      </c>
      <c r="S287" s="687"/>
      <c r="T287" s="680"/>
    </row>
    <row r="288" spans="1:20" ht="20.100000000000001" customHeight="1">
      <c r="A288" s="1127" t="s">
        <v>2961</v>
      </c>
      <c r="B288" s="1141" t="s">
        <v>435</v>
      </c>
      <c r="C288" s="1141" t="s">
        <v>496</v>
      </c>
      <c r="D288" s="2">
        <v>1300</v>
      </c>
      <c r="E288" s="2">
        <v>2600</v>
      </c>
      <c r="F288" s="2">
        <v>2600</v>
      </c>
      <c r="G288" s="3" t="s">
        <v>31</v>
      </c>
      <c r="H288" s="4">
        <v>3</v>
      </c>
      <c r="I288" s="451" t="s">
        <v>302</v>
      </c>
      <c r="J288" s="451"/>
      <c r="K288" s="451">
        <v>20</v>
      </c>
      <c r="L288" s="451" t="s">
        <v>643</v>
      </c>
      <c r="M288" s="452">
        <v>43054</v>
      </c>
      <c r="N288" s="452">
        <v>43100</v>
      </c>
      <c r="O288" s="477"/>
      <c r="P288" s="477"/>
      <c r="Q288" s="455"/>
      <c r="R288" s="456" t="s">
        <v>176</v>
      </c>
      <c r="S288" s="687" t="s">
        <v>1176</v>
      </c>
      <c r="T288" s="680"/>
    </row>
    <row r="289" spans="1:20" ht="20.100000000000001" customHeight="1">
      <c r="A289" s="1127" t="s">
        <v>2961</v>
      </c>
      <c r="B289" s="1141" t="s">
        <v>435</v>
      </c>
      <c r="C289" s="1141" t="s">
        <v>496</v>
      </c>
      <c r="D289" s="2">
        <v>975</v>
      </c>
      <c r="E289" s="2">
        <v>1750</v>
      </c>
      <c r="F289" s="2">
        <v>1750</v>
      </c>
      <c r="G289" s="3" t="s">
        <v>31</v>
      </c>
      <c r="H289" s="4" t="s">
        <v>725</v>
      </c>
      <c r="I289" s="451" t="s">
        <v>16</v>
      </c>
      <c r="J289" s="451"/>
      <c r="K289" s="451">
        <v>30</v>
      </c>
      <c r="L289" s="451" t="s">
        <v>809</v>
      </c>
      <c r="M289" s="452">
        <v>43054</v>
      </c>
      <c r="N289" s="452">
        <v>43100</v>
      </c>
      <c r="O289" s="477"/>
      <c r="P289" s="477"/>
      <c r="Q289" s="479"/>
      <c r="R289" s="473" t="s">
        <v>780</v>
      </c>
      <c r="S289" s="687" t="s">
        <v>1176</v>
      </c>
      <c r="T289" s="680"/>
    </row>
    <row r="290" spans="1:20" ht="20.100000000000001" customHeight="1">
      <c r="A290" s="1127" t="s">
        <v>2961</v>
      </c>
      <c r="B290" s="1141" t="s">
        <v>435</v>
      </c>
      <c r="C290" s="1141" t="s">
        <v>496</v>
      </c>
      <c r="D290" s="11">
        <v>825</v>
      </c>
      <c r="E290" s="11">
        <v>1440</v>
      </c>
      <c r="F290" s="11">
        <v>1440</v>
      </c>
      <c r="G290" s="3" t="s">
        <v>18</v>
      </c>
      <c r="H290" s="22" t="s">
        <v>706</v>
      </c>
      <c r="I290" s="461" t="s">
        <v>613</v>
      </c>
      <c r="J290" s="461"/>
      <c r="K290" s="461" t="s">
        <v>1262</v>
      </c>
      <c r="L290" s="451" t="s">
        <v>643</v>
      </c>
      <c r="M290" s="452">
        <v>43054</v>
      </c>
      <c r="N290" s="452">
        <v>43100</v>
      </c>
      <c r="O290" s="483"/>
      <c r="P290" s="479"/>
      <c r="Q290" s="481"/>
      <c r="R290" s="473" t="s">
        <v>1366</v>
      </c>
      <c r="S290" s="687" t="s">
        <v>1176</v>
      </c>
      <c r="T290" s="680"/>
    </row>
    <row r="291" spans="1:20" ht="20.100000000000001" customHeight="1">
      <c r="A291" s="1162" t="s">
        <v>2961</v>
      </c>
      <c r="B291" s="1165" t="s">
        <v>435</v>
      </c>
      <c r="C291" s="1162" t="s">
        <v>4079</v>
      </c>
      <c r="D291" s="13"/>
      <c r="E291" s="13"/>
      <c r="F291" s="13"/>
      <c r="G291" s="609" t="s">
        <v>1689</v>
      </c>
      <c r="H291" s="4">
        <v>1</v>
      </c>
      <c r="I291" s="451" t="s">
        <v>91</v>
      </c>
      <c r="J291" s="451"/>
      <c r="K291" s="451">
        <v>24</v>
      </c>
      <c r="L291" s="451" t="s">
        <v>643</v>
      </c>
      <c r="M291" s="452">
        <v>43070</v>
      </c>
      <c r="N291" s="452">
        <v>43100</v>
      </c>
      <c r="O291" s="458"/>
      <c r="P291" s="462"/>
      <c r="Q291" s="462" t="s">
        <v>304</v>
      </c>
      <c r="R291" s="456" t="s">
        <v>184</v>
      </c>
      <c r="S291" s="687"/>
      <c r="T291" s="689"/>
    </row>
    <row r="292" spans="1:20" ht="20.100000000000001" customHeight="1">
      <c r="A292" s="1166" t="s">
        <v>2961</v>
      </c>
      <c r="B292" s="1163" t="s">
        <v>435</v>
      </c>
      <c r="C292" s="1163" t="s">
        <v>467</v>
      </c>
      <c r="D292" s="13">
        <f>D226+200</f>
        <v>1000</v>
      </c>
      <c r="E292" s="13">
        <f>E226+400</f>
        <v>1900</v>
      </c>
      <c r="F292" s="13">
        <f>F226+400</f>
        <v>1900</v>
      </c>
      <c r="G292" s="217" t="s">
        <v>1308</v>
      </c>
      <c r="H292" s="4">
        <v>1</v>
      </c>
      <c r="I292" s="451" t="s">
        <v>116</v>
      </c>
      <c r="J292" s="451"/>
      <c r="K292" s="451" t="s">
        <v>2488</v>
      </c>
      <c r="L292" s="451" t="s">
        <v>643</v>
      </c>
      <c r="M292" s="452">
        <v>43080</v>
      </c>
      <c r="N292" s="6">
        <v>43093</v>
      </c>
      <c r="O292" s="458"/>
      <c r="P292" s="462"/>
      <c r="Q292" s="455"/>
      <c r="R292" s="456" t="s">
        <v>182</v>
      </c>
      <c r="S292" s="687"/>
      <c r="T292" s="313">
        <v>14</v>
      </c>
    </row>
    <row r="293" spans="1:20" ht="20.100000000000001" customHeight="1">
      <c r="A293" s="1166" t="s">
        <v>2961</v>
      </c>
      <c r="B293" s="1163" t="s">
        <v>435</v>
      </c>
      <c r="C293" s="1163" t="s">
        <v>467</v>
      </c>
      <c r="D293" s="13">
        <f>D225+1000*1</f>
        <v>1912</v>
      </c>
      <c r="E293" s="13">
        <f>E225+1550*1</f>
        <v>3162</v>
      </c>
      <c r="F293" s="13">
        <f>F225+1550*1</f>
        <v>3162</v>
      </c>
      <c r="G293" s="609" t="s">
        <v>1689</v>
      </c>
      <c r="H293" s="4">
        <v>1</v>
      </c>
      <c r="I293" s="451" t="s">
        <v>116</v>
      </c>
      <c r="J293" s="451"/>
      <c r="K293" s="491" t="s">
        <v>1092</v>
      </c>
      <c r="L293" s="451" t="s">
        <v>643</v>
      </c>
      <c r="M293" s="452">
        <v>43070</v>
      </c>
      <c r="N293" s="452">
        <v>43100</v>
      </c>
      <c r="O293" s="458"/>
      <c r="P293" s="485"/>
      <c r="Q293" s="462" t="s">
        <v>197</v>
      </c>
      <c r="R293" s="456" t="s">
        <v>184</v>
      </c>
      <c r="S293" s="687"/>
      <c r="T293" s="689"/>
    </row>
    <row r="294" spans="1:20" ht="20.100000000000001" customHeight="1">
      <c r="A294" s="1166" t="s">
        <v>2961</v>
      </c>
      <c r="B294" s="1163" t="s">
        <v>435</v>
      </c>
      <c r="C294" s="1163" t="s">
        <v>467</v>
      </c>
      <c r="D294" s="2">
        <v>1300</v>
      </c>
      <c r="E294" s="2">
        <v>2600</v>
      </c>
      <c r="F294" s="2">
        <v>2600</v>
      </c>
      <c r="G294" s="3" t="s">
        <v>31</v>
      </c>
      <c r="H294" s="4">
        <v>3</v>
      </c>
      <c r="I294" s="451" t="s">
        <v>302</v>
      </c>
      <c r="J294" s="451"/>
      <c r="K294" s="451">
        <v>20</v>
      </c>
      <c r="L294" s="451" t="s">
        <v>643</v>
      </c>
      <c r="M294" s="452">
        <v>43054</v>
      </c>
      <c r="N294" s="452">
        <v>43100</v>
      </c>
      <c r="O294" s="477"/>
      <c r="P294" s="477"/>
      <c r="Q294" s="455"/>
      <c r="R294" s="456" t="s">
        <v>176</v>
      </c>
      <c r="S294" s="687" t="s">
        <v>1176</v>
      </c>
      <c r="T294" s="689"/>
    </row>
    <row r="295" spans="1:20" ht="20.100000000000001" customHeight="1">
      <c r="A295" s="1166" t="s">
        <v>2961</v>
      </c>
      <c r="B295" s="1163" t="s">
        <v>435</v>
      </c>
      <c r="C295" s="1163" t="s">
        <v>467</v>
      </c>
      <c r="D295" s="2">
        <f>D235+100</f>
        <v>825</v>
      </c>
      <c r="E295" s="2">
        <f>E235+200</f>
        <v>1400</v>
      </c>
      <c r="F295" s="2">
        <f>F235+200</f>
        <v>1400</v>
      </c>
      <c r="G295" s="217" t="s">
        <v>1308</v>
      </c>
      <c r="H295" s="55" t="s">
        <v>629</v>
      </c>
      <c r="I295" s="451" t="s">
        <v>16</v>
      </c>
      <c r="J295" s="451"/>
      <c r="K295" s="451" t="s">
        <v>2490</v>
      </c>
      <c r="L295" s="475" t="s">
        <v>637</v>
      </c>
      <c r="M295" s="452">
        <v>43040</v>
      </c>
      <c r="N295" s="6">
        <v>43093</v>
      </c>
      <c r="O295" s="455"/>
      <c r="P295" s="477"/>
      <c r="Q295" s="167" t="s">
        <v>4080</v>
      </c>
      <c r="R295" s="476" t="s">
        <v>2029</v>
      </c>
      <c r="S295" s="687"/>
      <c r="T295" s="313">
        <v>14</v>
      </c>
    </row>
    <row r="296" spans="1:20" ht="20.100000000000001" customHeight="1">
      <c r="A296" s="1166" t="s">
        <v>2961</v>
      </c>
      <c r="B296" s="1163" t="s">
        <v>435</v>
      </c>
      <c r="C296" s="1163" t="s">
        <v>467</v>
      </c>
      <c r="D296" s="2">
        <v>825</v>
      </c>
      <c r="E296" s="2">
        <v>1500</v>
      </c>
      <c r="F296" s="2">
        <v>1500</v>
      </c>
      <c r="G296" s="3" t="s">
        <v>13</v>
      </c>
      <c r="H296" s="48" t="s">
        <v>760</v>
      </c>
      <c r="I296" s="493" t="s">
        <v>16</v>
      </c>
      <c r="J296" s="493"/>
      <c r="K296" s="493"/>
      <c r="L296" s="494" t="s">
        <v>637</v>
      </c>
      <c r="M296" s="452">
        <v>43070</v>
      </c>
      <c r="N296" s="452">
        <v>43083</v>
      </c>
      <c r="O296" s="483"/>
      <c r="P296" s="495"/>
      <c r="Q296" s="482"/>
      <c r="R296" s="476" t="s">
        <v>1958</v>
      </c>
      <c r="S296" s="319" t="s">
        <v>1176</v>
      </c>
      <c r="T296" s="689"/>
    </row>
    <row r="297" spans="1:20" ht="20.100000000000001" customHeight="1">
      <c r="A297" s="1166" t="s">
        <v>2961</v>
      </c>
      <c r="B297" s="1163" t="s">
        <v>435</v>
      </c>
      <c r="C297" s="1163" t="s">
        <v>467</v>
      </c>
      <c r="D297" s="2">
        <v>975</v>
      </c>
      <c r="E297" s="2">
        <v>1750</v>
      </c>
      <c r="F297" s="2">
        <v>1750</v>
      </c>
      <c r="G297" s="3" t="s">
        <v>31</v>
      </c>
      <c r="H297" s="4" t="s">
        <v>725</v>
      </c>
      <c r="I297" s="451" t="s">
        <v>16</v>
      </c>
      <c r="J297" s="451"/>
      <c r="K297" s="451">
        <v>30</v>
      </c>
      <c r="L297" s="451" t="s">
        <v>649</v>
      </c>
      <c r="M297" s="452">
        <v>43054</v>
      </c>
      <c r="N297" s="452">
        <v>43100</v>
      </c>
      <c r="O297" s="477"/>
      <c r="P297" s="477"/>
      <c r="Q297" s="479"/>
      <c r="R297" s="473" t="s">
        <v>780</v>
      </c>
      <c r="S297" s="687" t="s">
        <v>1176</v>
      </c>
      <c r="T297" s="689"/>
    </row>
    <row r="298" spans="1:20" ht="20.100000000000001" customHeight="1">
      <c r="A298" s="1166" t="s">
        <v>2961</v>
      </c>
      <c r="B298" s="1163" t="s">
        <v>435</v>
      </c>
      <c r="C298" s="1163" t="s">
        <v>467</v>
      </c>
      <c r="D298" s="13">
        <f>D229+300</f>
        <v>1112</v>
      </c>
      <c r="E298" s="13">
        <f>E229+450</f>
        <v>1912</v>
      </c>
      <c r="F298" s="13">
        <f>F229+450</f>
        <v>1912</v>
      </c>
      <c r="G298" s="217" t="s">
        <v>103</v>
      </c>
      <c r="H298" s="56" t="s">
        <v>2462</v>
      </c>
      <c r="I298" s="451" t="s">
        <v>116</v>
      </c>
      <c r="J298" s="451"/>
      <c r="K298" s="451" t="s">
        <v>1281</v>
      </c>
      <c r="L298" s="451" t="s">
        <v>641</v>
      </c>
      <c r="M298" s="452">
        <v>43040</v>
      </c>
      <c r="N298" s="452">
        <v>43100</v>
      </c>
      <c r="O298" s="458"/>
      <c r="P298" s="458"/>
      <c r="Q298" s="167"/>
      <c r="R298" s="456" t="s">
        <v>175</v>
      </c>
      <c r="S298" s="687" t="s">
        <v>1176</v>
      </c>
      <c r="T298" s="313" t="s">
        <v>2841</v>
      </c>
    </row>
    <row r="299" spans="1:20" ht="20.100000000000001" customHeight="1">
      <c r="A299" s="1166" t="s">
        <v>2961</v>
      </c>
      <c r="B299" s="1163" t="s">
        <v>435</v>
      </c>
      <c r="C299" s="1163" t="s">
        <v>467</v>
      </c>
      <c r="D299" s="13">
        <f>D233+200</f>
        <v>1000</v>
      </c>
      <c r="E299" s="13">
        <f>E233+400</f>
        <v>1900</v>
      </c>
      <c r="F299" s="13">
        <f>F233+400</f>
        <v>1900</v>
      </c>
      <c r="G299" s="217" t="s">
        <v>1308</v>
      </c>
      <c r="H299" s="56" t="s">
        <v>681</v>
      </c>
      <c r="I299" s="451" t="s">
        <v>116</v>
      </c>
      <c r="J299" s="451"/>
      <c r="K299" s="451" t="s">
        <v>2489</v>
      </c>
      <c r="L299" s="451" t="s">
        <v>641</v>
      </c>
      <c r="M299" s="452">
        <v>43080</v>
      </c>
      <c r="N299" s="6">
        <v>43093</v>
      </c>
      <c r="O299" s="458"/>
      <c r="P299" s="458"/>
      <c r="Q299" s="167"/>
      <c r="R299" s="456" t="s">
        <v>580</v>
      </c>
      <c r="S299" s="687"/>
      <c r="T299" s="313">
        <v>14</v>
      </c>
    </row>
    <row r="300" spans="1:20" ht="20.100000000000001" customHeight="1">
      <c r="A300" s="1167" t="s">
        <v>2961</v>
      </c>
      <c r="B300" s="1164" t="s">
        <v>435</v>
      </c>
      <c r="C300" s="1164" t="s">
        <v>467</v>
      </c>
      <c r="D300" s="13">
        <f>D231+200</f>
        <v>1075</v>
      </c>
      <c r="E300" s="13">
        <f>E231+300</f>
        <v>1950</v>
      </c>
      <c r="F300" s="13">
        <f>F231+300</f>
        <v>1950</v>
      </c>
      <c r="G300" s="12" t="s">
        <v>37</v>
      </c>
      <c r="H300" s="56" t="s">
        <v>2462</v>
      </c>
      <c r="I300" s="451" t="s">
        <v>116</v>
      </c>
      <c r="J300" s="451"/>
      <c r="K300" s="451" t="s">
        <v>737</v>
      </c>
      <c r="L300" s="451" t="s">
        <v>641</v>
      </c>
      <c r="M300" s="452">
        <v>43077</v>
      </c>
      <c r="N300" s="452">
        <v>43100</v>
      </c>
      <c r="O300" s="455"/>
      <c r="P300" s="458"/>
      <c r="Q300" s="167"/>
      <c r="R300" s="456" t="s">
        <v>580</v>
      </c>
      <c r="S300" s="687"/>
      <c r="T300" s="313"/>
    </row>
    <row r="301" spans="1:20" ht="20.100000000000001" customHeight="1">
      <c r="A301" s="1127" t="s">
        <v>2961</v>
      </c>
      <c r="B301" s="1141" t="s">
        <v>435</v>
      </c>
      <c r="C301" s="1141" t="s">
        <v>2447</v>
      </c>
      <c r="D301" s="13">
        <f>D239+200</f>
        <v>1112</v>
      </c>
      <c r="E301" s="13">
        <f>E239+400</f>
        <v>2012</v>
      </c>
      <c r="F301" s="13">
        <f>F239+400</f>
        <v>2012</v>
      </c>
      <c r="G301" s="609" t="s">
        <v>1689</v>
      </c>
      <c r="H301" s="4">
        <v>1</v>
      </c>
      <c r="I301" s="451" t="s">
        <v>112</v>
      </c>
      <c r="J301" s="451"/>
      <c r="K301" s="451">
        <v>29</v>
      </c>
      <c r="L301" s="451" t="s">
        <v>643</v>
      </c>
      <c r="M301" s="452">
        <v>43070</v>
      </c>
      <c r="N301" s="452">
        <v>43100</v>
      </c>
      <c r="O301" s="458"/>
      <c r="P301" s="485"/>
      <c r="Q301" s="485" t="s">
        <v>174</v>
      </c>
      <c r="R301" s="456" t="s">
        <v>184</v>
      </c>
      <c r="S301" s="687" t="s">
        <v>1176</v>
      </c>
      <c r="T301" s="680"/>
    </row>
    <row r="302" spans="1:20" ht="20.100000000000001" customHeight="1">
      <c r="A302" s="1127" t="s">
        <v>2961</v>
      </c>
      <c r="B302" s="1141" t="s">
        <v>435</v>
      </c>
      <c r="C302" s="1141" t="s">
        <v>279</v>
      </c>
      <c r="D302" s="11">
        <f>D226+300</f>
        <v>1100</v>
      </c>
      <c r="E302" s="11">
        <f>E226+200</f>
        <v>1700</v>
      </c>
      <c r="F302" s="11">
        <f>F226+200</f>
        <v>1700</v>
      </c>
      <c r="G302" s="217" t="s">
        <v>1308</v>
      </c>
      <c r="H302" s="55" t="s">
        <v>729</v>
      </c>
      <c r="I302" s="451" t="s">
        <v>116</v>
      </c>
      <c r="J302" s="451"/>
      <c r="K302" s="451" t="s">
        <v>688</v>
      </c>
      <c r="L302" s="451" t="s">
        <v>643</v>
      </c>
      <c r="M302" s="452">
        <v>43080</v>
      </c>
      <c r="N302" s="6">
        <v>43093</v>
      </c>
      <c r="O302" s="455"/>
      <c r="P302" s="490"/>
      <c r="Q302" s="455"/>
      <c r="R302" s="456" t="s">
        <v>182</v>
      </c>
      <c r="S302" s="319"/>
      <c r="T302" s="313">
        <v>14</v>
      </c>
    </row>
    <row r="303" spans="1:20" ht="20.100000000000001" customHeight="1">
      <c r="A303" s="1127" t="s">
        <v>2961</v>
      </c>
      <c r="B303" s="1141" t="s">
        <v>435</v>
      </c>
      <c r="C303" s="1141" t="s">
        <v>279</v>
      </c>
      <c r="D303" s="2">
        <f>D242+450</f>
        <v>1365</v>
      </c>
      <c r="E303" s="2">
        <f>E242+800</f>
        <v>2415</v>
      </c>
      <c r="F303" s="2">
        <f>F242+800</f>
        <v>2415</v>
      </c>
      <c r="G303" s="217" t="s">
        <v>22</v>
      </c>
      <c r="H303" s="4">
        <v>1</v>
      </c>
      <c r="I303" s="451" t="s">
        <v>112</v>
      </c>
      <c r="J303" s="451"/>
      <c r="K303" s="451">
        <v>27</v>
      </c>
      <c r="L303" s="451" t="s">
        <v>643</v>
      </c>
      <c r="M303" s="452">
        <v>43054</v>
      </c>
      <c r="N303" s="452">
        <v>43100</v>
      </c>
      <c r="O303" s="458"/>
      <c r="P303" s="458"/>
      <c r="Q303" s="455"/>
      <c r="R303" s="456" t="s">
        <v>172</v>
      </c>
      <c r="S303" s="316" t="s">
        <v>1176</v>
      </c>
      <c r="T303" s="313" t="s">
        <v>2841</v>
      </c>
    </row>
    <row r="304" spans="1:20" ht="20.100000000000001" customHeight="1">
      <c r="A304" s="1127" t="s">
        <v>2961</v>
      </c>
      <c r="B304" s="1141" t="s">
        <v>435</v>
      </c>
      <c r="C304" s="1141" t="s">
        <v>279</v>
      </c>
      <c r="D304" s="2">
        <v>1730</v>
      </c>
      <c r="E304" s="2">
        <v>3460</v>
      </c>
      <c r="F304" s="2">
        <v>3460</v>
      </c>
      <c r="G304" s="3" t="s">
        <v>31</v>
      </c>
      <c r="H304" s="4">
        <v>3</v>
      </c>
      <c r="I304" s="451" t="s">
        <v>302</v>
      </c>
      <c r="J304" s="451"/>
      <c r="K304" s="451">
        <v>26</v>
      </c>
      <c r="L304" s="451" t="s">
        <v>643</v>
      </c>
      <c r="M304" s="452">
        <v>43054</v>
      </c>
      <c r="N304" s="452">
        <v>43100</v>
      </c>
      <c r="O304" s="477"/>
      <c r="P304" s="477"/>
      <c r="Q304" s="455"/>
      <c r="R304" s="456" t="s">
        <v>176</v>
      </c>
      <c r="S304" s="687" t="s">
        <v>1176</v>
      </c>
      <c r="T304" s="689"/>
    </row>
    <row r="305" spans="1:20" ht="20.100000000000001" customHeight="1">
      <c r="A305" s="1127" t="s">
        <v>2961</v>
      </c>
      <c r="B305" s="1141" t="s">
        <v>435</v>
      </c>
      <c r="C305" s="1141" t="s">
        <v>279</v>
      </c>
      <c r="D305" s="2">
        <f>D233+300</f>
        <v>1100</v>
      </c>
      <c r="E305" s="2">
        <f>E233+200</f>
        <v>1700</v>
      </c>
      <c r="F305" s="2">
        <f>F233+200</f>
        <v>1700</v>
      </c>
      <c r="G305" s="217" t="s">
        <v>1308</v>
      </c>
      <c r="H305" s="56" t="s">
        <v>2462</v>
      </c>
      <c r="I305" s="451" t="s">
        <v>116</v>
      </c>
      <c r="J305" s="451"/>
      <c r="K305" s="451" t="s">
        <v>1548</v>
      </c>
      <c r="L305" s="451" t="s">
        <v>641</v>
      </c>
      <c r="M305" s="452">
        <v>43080</v>
      </c>
      <c r="N305" s="6">
        <v>43093</v>
      </c>
      <c r="O305" s="455"/>
      <c r="P305" s="477"/>
      <c r="Q305" s="167"/>
      <c r="R305" s="456" t="s">
        <v>580</v>
      </c>
      <c r="S305" s="687"/>
      <c r="T305" s="313">
        <v>14</v>
      </c>
    </row>
    <row r="306" spans="1:20" ht="20.100000000000001" customHeight="1">
      <c r="A306" s="1127" t="s">
        <v>2961</v>
      </c>
      <c r="B306" s="1141" t="s">
        <v>435</v>
      </c>
      <c r="C306" s="1141" t="s">
        <v>279</v>
      </c>
      <c r="D306" s="2">
        <v>1900</v>
      </c>
      <c r="E306" s="2">
        <v>3550</v>
      </c>
      <c r="F306" s="2">
        <v>3550</v>
      </c>
      <c r="G306" s="3" t="s">
        <v>13</v>
      </c>
      <c r="H306" s="56" t="s">
        <v>2462</v>
      </c>
      <c r="I306" s="451" t="s">
        <v>116</v>
      </c>
      <c r="J306" s="451"/>
      <c r="K306" s="492" t="s">
        <v>661</v>
      </c>
      <c r="L306" s="451" t="s">
        <v>641</v>
      </c>
      <c r="M306" s="452">
        <v>43023</v>
      </c>
      <c r="N306" s="452">
        <v>43053</v>
      </c>
      <c r="O306" s="458"/>
      <c r="P306" s="458"/>
      <c r="Q306" s="167"/>
      <c r="R306" s="456" t="s">
        <v>501</v>
      </c>
      <c r="S306" s="687" t="s">
        <v>1176</v>
      </c>
      <c r="T306" s="689"/>
    </row>
    <row r="307" spans="1:20" ht="20.100000000000001" customHeight="1">
      <c r="A307" s="1127" t="s">
        <v>2961</v>
      </c>
      <c r="B307" s="1141" t="s">
        <v>435</v>
      </c>
      <c r="C307" s="1141" t="s">
        <v>279</v>
      </c>
      <c r="D307" s="2">
        <f>D243+400</f>
        <v>1212</v>
      </c>
      <c r="E307" s="2">
        <f>E243+600</f>
        <v>2062</v>
      </c>
      <c r="F307" s="2">
        <f>F243+600</f>
        <v>2062</v>
      </c>
      <c r="G307" s="217" t="s">
        <v>103</v>
      </c>
      <c r="H307" s="56" t="s">
        <v>2462</v>
      </c>
      <c r="I307" s="451" t="s">
        <v>116</v>
      </c>
      <c r="J307" s="451"/>
      <c r="K307" s="491">
        <v>29</v>
      </c>
      <c r="L307" s="451" t="s">
        <v>641</v>
      </c>
      <c r="M307" s="452">
        <v>43040</v>
      </c>
      <c r="N307" s="452">
        <v>43100</v>
      </c>
      <c r="O307" s="458"/>
      <c r="P307" s="458"/>
      <c r="Q307" s="167"/>
      <c r="R307" s="456" t="s">
        <v>175</v>
      </c>
      <c r="S307" s="687" t="s">
        <v>1176</v>
      </c>
      <c r="T307" s="313" t="s">
        <v>2841</v>
      </c>
    </row>
    <row r="308" spans="1:20" ht="20.100000000000001" customHeight="1">
      <c r="A308" s="1127" t="s">
        <v>2961</v>
      </c>
      <c r="B308" s="1141" t="s">
        <v>435</v>
      </c>
      <c r="C308" s="1141" t="s">
        <v>279</v>
      </c>
      <c r="D308" s="2">
        <f>D235+300</f>
        <v>1025</v>
      </c>
      <c r="E308" s="2">
        <f>E235+200</f>
        <v>1400</v>
      </c>
      <c r="F308" s="2">
        <f>F235+200</f>
        <v>1400</v>
      </c>
      <c r="G308" s="217" t="s">
        <v>1308</v>
      </c>
      <c r="H308" s="55" t="s">
        <v>629</v>
      </c>
      <c r="I308" s="451" t="s">
        <v>16</v>
      </c>
      <c r="J308" s="451"/>
      <c r="K308" s="491" t="s">
        <v>1549</v>
      </c>
      <c r="L308" s="475" t="s">
        <v>637</v>
      </c>
      <c r="M308" s="452">
        <v>43040</v>
      </c>
      <c r="N308" s="6">
        <v>43093</v>
      </c>
      <c r="O308" s="455"/>
      <c r="P308" s="458"/>
      <c r="Q308" s="455"/>
      <c r="R308" s="476" t="s">
        <v>2029</v>
      </c>
      <c r="S308" s="687"/>
      <c r="T308" s="313">
        <v>14</v>
      </c>
    </row>
    <row r="309" spans="1:20" ht="20.100000000000001" customHeight="1">
      <c r="A309" s="1127" t="s">
        <v>2961</v>
      </c>
      <c r="B309" s="1141" t="s">
        <v>435</v>
      </c>
      <c r="C309" s="1141" t="s">
        <v>279</v>
      </c>
      <c r="D309" s="2">
        <f>D237+100</f>
        <v>1075</v>
      </c>
      <c r="E309" s="2">
        <f>E237+200</f>
        <v>1950</v>
      </c>
      <c r="F309" s="2">
        <f>F237+200</f>
        <v>1950</v>
      </c>
      <c r="G309" s="12" t="s">
        <v>31</v>
      </c>
      <c r="H309" s="4" t="s">
        <v>725</v>
      </c>
      <c r="I309" s="451" t="s">
        <v>16</v>
      </c>
      <c r="J309" s="451"/>
      <c r="K309" s="451">
        <v>42</v>
      </c>
      <c r="L309" s="451" t="s">
        <v>809</v>
      </c>
      <c r="M309" s="452">
        <v>43054</v>
      </c>
      <c r="N309" s="452">
        <v>43100</v>
      </c>
      <c r="O309" s="477"/>
      <c r="P309" s="477"/>
      <c r="Q309" s="479"/>
      <c r="R309" s="473" t="s">
        <v>780</v>
      </c>
      <c r="S309" s="687" t="s">
        <v>1176</v>
      </c>
      <c r="T309" s="680"/>
    </row>
    <row r="310" spans="1:20" ht="20.100000000000001" customHeight="1">
      <c r="A310" s="1127" t="s">
        <v>2961</v>
      </c>
      <c r="B310" s="1141" t="s">
        <v>435</v>
      </c>
      <c r="C310" s="1141" t="s">
        <v>279</v>
      </c>
      <c r="D310" s="2"/>
      <c r="E310" s="2"/>
      <c r="F310" s="2"/>
      <c r="G310" s="3" t="s">
        <v>18</v>
      </c>
      <c r="H310" s="22" t="s">
        <v>659</v>
      </c>
      <c r="I310" s="461" t="s">
        <v>16</v>
      </c>
      <c r="J310" s="451"/>
      <c r="K310" s="451" t="s">
        <v>1263</v>
      </c>
      <c r="L310" s="451" t="s">
        <v>643</v>
      </c>
      <c r="M310" s="452">
        <v>43054</v>
      </c>
      <c r="N310" s="452">
        <v>43100</v>
      </c>
      <c r="O310" s="477"/>
      <c r="P310" s="477"/>
      <c r="Q310" s="481"/>
      <c r="R310" s="473" t="s">
        <v>1274</v>
      </c>
      <c r="S310" s="687" t="s">
        <v>1176</v>
      </c>
      <c r="T310" s="680"/>
    </row>
    <row r="311" spans="1:20" ht="20.100000000000001" customHeight="1">
      <c r="A311" s="1127" t="s">
        <v>2961</v>
      </c>
      <c r="B311" s="1141" t="s">
        <v>435</v>
      </c>
      <c r="C311" s="1141" t="s">
        <v>2515</v>
      </c>
      <c r="D311" s="536">
        <f>D239+185*1</f>
        <v>1097</v>
      </c>
      <c r="E311" s="536">
        <f>E239+325*1</f>
        <v>1937</v>
      </c>
      <c r="F311" s="536">
        <f>F239+325*1</f>
        <v>1937</v>
      </c>
      <c r="G311" s="609" t="s">
        <v>1689</v>
      </c>
      <c r="H311" s="4">
        <v>1</v>
      </c>
      <c r="I311" s="451" t="s">
        <v>112</v>
      </c>
      <c r="J311" s="451"/>
      <c r="K311" s="491">
        <v>22</v>
      </c>
      <c r="L311" s="451" t="s">
        <v>643</v>
      </c>
      <c r="M311" s="452">
        <v>43070</v>
      </c>
      <c r="N311" s="452">
        <v>43100</v>
      </c>
      <c r="O311" s="458"/>
      <c r="P311" s="490"/>
      <c r="Q311" s="490" t="s">
        <v>305</v>
      </c>
      <c r="R311" s="456" t="s">
        <v>184</v>
      </c>
      <c r="S311" s="687"/>
      <c r="T311" s="690"/>
    </row>
    <row r="312" spans="1:20" ht="20.100000000000001" customHeight="1">
      <c r="A312" s="1127" t="s">
        <v>2961</v>
      </c>
      <c r="B312" s="1141" t="s">
        <v>435</v>
      </c>
      <c r="C312" s="1141" t="s">
        <v>456</v>
      </c>
      <c r="D312" s="536">
        <f>D242+250+0</f>
        <v>1165</v>
      </c>
      <c r="E312" s="536">
        <f>E242+500</f>
        <v>2115</v>
      </c>
      <c r="F312" s="536">
        <f>F242+500</f>
        <v>2115</v>
      </c>
      <c r="G312" s="217" t="s">
        <v>22</v>
      </c>
      <c r="H312" s="4">
        <v>1</v>
      </c>
      <c r="I312" s="451" t="s">
        <v>112</v>
      </c>
      <c r="J312" s="451"/>
      <c r="K312" s="451">
        <v>22</v>
      </c>
      <c r="L312" s="451" t="s">
        <v>643</v>
      </c>
      <c r="M312" s="452">
        <v>43054</v>
      </c>
      <c r="N312" s="452">
        <v>43100</v>
      </c>
      <c r="O312" s="458"/>
      <c r="P312" s="458"/>
      <c r="Q312" s="458" t="s">
        <v>24</v>
      </c>
      <c r="R312" s="456" t="s">
        <v>172</v>
      </c>
      <c r="S312" s="316" t="s">
        <v>1176</v>
      </c>
      <c r="T312" s="313" t="s">
        <v>2841</v>
      </c>
    </row>
    <row r="313" spans="1:20" ht="20.100000000000001" customHeight="1">
      <c r="A313" s="1127" t="s">
        <v>2961</v>
      </c>
      <c r="B313" s="1141" t="s">
        <v>435</v>
      </c>
      <c r="C313" s="1141" t="s">
        <v>456</v>
      </c>
      <c r="D313" s="11">
        <f>D240+275*1</f>
        <v>1075</v>
      </c>
      <c r="E313" s="11">
        <f>E240+335*1</f>
        <v>1835</v>
      </c>
      <c r="F313" s="11">
        <f>F240+335*1</f>
        <v>1835</v>
      </c>
      <c r="G313" s="217" t="s">
        <v>1308</v>
      </c>
      <c r="H313" s="56">
        <v>1</v>
      </c>
      <c r="I313" s="451" t="s">
        <v>112</v>
      </c>
      <c r="J313" s="451"/>
      <c r="K313" s="491">
        <v>22</v>
      </c>
      <c r="L313" s="451" t="s">
        <v>643</v>
      </c>
      <c r="M313" s="452">
        <v>43080</v>
      </c>
      <c r="N313" s="6">
        <v>43093</v>
      </c>
      <c r="O313" s="490"/>
      <c r="P313" s="490"/>
      <c r="Q313" s="490" t="s">
        <v>305</v>
      </c>
      <c r="R313" s="456" t="s">
        <v>182</v>
      </c>
      <c r="S313" s="687"/>
      <c r="T313" s="313">
        <v>14</v>
      </c>
    </row>
    <row r="314" spans="1:20" ht="20.100000000000001" customHeight="1">
      <c r="A314" s="1127" t="s">
        <v>2961</v>
      </c>
      <c r="B314" s="1141" t="s">
        <v>435</v>
      </c>
      <c r="C314" s="1141" t="s">
        <v>456</v>
      </c>
      <c r="D314" s="536">
        <f>D243+275*1</f>
        <v>1087</v>
      </c>
      <c r="E314" s="536">
        <f>E243+400*1</f>
        <v>1862</v>
      </c>
      <c r="F314" s="536">
        <f>F243+400*1</f>
        <v>1862</v>
      </c>
      <c r="G314" s="217" t="s">
        <v>103</v>
      </c>
      <c r="H314" s="56" t="s">
        <v>2462</v>
      </c>
      <c r="I314" s="451" t="s">
        <v>112</v>
      </c>
      <c r="J314" s="451"/>
      <c r="K314" s="491">
        <v>29</v>
      </c>
      <c r="L314" s="451" t="s">
        <v>641</v>
      </c>
      <c r="M314" s="452">
        <v>43040</v>
      </c>
      <c r="N314" s="452">
        <v>43100</v>
      </c>
      <c r="O314" s="490"/>
      <c r="P314" s="490"/>
      <c r="Q314" s="490" t="s">
        <v>305</v>
      </c>
      <c r="R314" s="456" t="s">
        <v>175</v>
      </c>
      <c r="S314" s="687" t="s">
        <v>1176</v>
      </c>
      <c r="T314" s="313" t="s">
        <v>2841</v>
      </c>
    </row>
    <row r="315" spans="1:20" ht="20.100000000000001" customHeight="1">
      <c r="A315" s="1127" t="s">
        <v>2961</v>
      </c>
      <c r="B315" s="1141" t="s">
        <v>435</v>
      </c>
      <c r="C315" s="1141" t="s">
        <v>456</v>
      </c>
      <c r="D315" s="536">
        <f>D247+275*1</f>
        <v>1075</v>
      </c>
      <c r="E315" s="536">
        <f>E247+335*1</f>
        <v>1835</v>
      </c>
      <c r="F315" s="536">
        <f>F247+335*1</f>
        <v>1835</v>
      </c>
      <c r="G315" s="217" t="s">
        <v>1308</v>
      </c>
      <c r="H315" s="56" t="s">
        <v>2462</v>
      </c>
      <c r="I315" s="451" t="s">
        <v>112</v>
      </c>
      <c r="J315" s="451"/>
      <c r="K315" s="491" t="s">
        <v>1291</v>
      </c>
      <c r="L315" s="451" t="s">
        <v>641</v>
      </c>
      <c r="M315" s="452">
        <v>43080</v>
      </c>
      <c r="N315" s="6">
        <v>43093</v>
      </c>
      <c r="O315" s="455"/>
      <c r="P315" s="490"/>
      <c r="Q315" s="490" t="s">
        <v>24</v>
      </c>
      <c r="R315" s="456" t="s">
        <v>580</v>
      </c>
      <c r="S315" s="687"/>
      <c r="T315" s="313">
        <v>14</v>
      </c>
    </row>
    <row r="316" spans="1:20" ht="20.100000000000001" customHeight="1">
      <c r="A316" s="1127" t="s">
        <v>2961</v>
      </c>
      <c r="B316" s="1141" t="s">
        <v>435</v>
      </c>
      <c r="C316" s="1141" t="s">
        <v>456</v>
      </c>
      <c r="D316" s="536">
        <f>D245+400</f>
        <v>1275</v>
      </c>
      <c r="E316" s="536">
        <f>E245+500</f>
        <v>2150</v>
      </c>
      <c r="F316" s="536">
        <f>F245+500</f>
        <v>2150</v>
      </c>
      <c r="G316" s="12" t="s">
        <v>37</v>
      </c>
      <c r="H316" s="56" t="s">
        <v>2462</v>
      </c>
      <c r="I316" s="451" t="s">
        <v>112</v>
      </c>
      <c r="J316" s="451"/>
      <c r="K316" s="451">
        <v>30</v>
      </c>
      <c r="L316" s="451" t="s">
        <v>641</v>
      </c>
      <c r="M316" s="452">
        <v>43077</v>
      </c>
      <c r="N316" s="452">
        <v>43100</v>
      </c>
      <c r="O316" s="455"/>
      <c r="P316" s="458"/>
      <c r="Q316" s="490" t="s">
        <v>24</v>
      </c>
      <c r="R316" s="456" t="s">
        <v>580</v>
      </c>
      <c r="S316" s="687"/>
      <c r="T316" s="688" t="s">
        <v>2844</v>
      </c>
    </row>
    <row r="317" spans="1:20" ht="20.100000000000001" customHeight="1">
      <c r="A317" s="1127" t="s">
        <v>2961</v>
      </c>
      <c r="B317" s="1141" t="s">
        <v>435</v>
      </c>
      <c r="C317" s="1141" t="s">
        <v>506</v>
      </c>
      <c r="D317" s="536"/>
      <c r="E317" s="536"/>
      <c r="F317" s="536"/>
      <c r="G317" s="609" t="s">
        <v>1689</v>
      </c>
      <c r="H317" s="56">
        <v>1</v>
      </c>
      <c r="I317" s="451" t="s">
        <v>112</v>
      </c>
      <c r="J317" s="451"/>
      <c r="K317" s="491">
        <v>22</v>
      </c>
      <c r="L317" s="451" t="s">
        <v>643</v>
      </c>
      <c r="M317" s="452">
        <v>43070</v>
      </c>
      <c r="N317" s="452">
        <v>43100</v>
      </c>
      <c r="O317" s="458"/>
      <c r="P317" s="485"/>
      <c r="Q317" s="485" t="s">
        <v>306</v>
      </c>
      <c r="R317" s="456" t="s">
        <v>184</v>
      </c>
      <c r="S317" s="687" t="s">
        <v>1176</v>
      </c>
      <c r="T317" s="689"/>
    </row>
    <row r="318" spans="1:20" ht="20.100000000000001" customHeight="1">
      <c r="A318" s="1127" t="s">
        <v>2961</v>
      </c>
      <c r="B318" s="1141" t="s">
        <v>435</v>
      </c>
      <c r="C318" s="1141" t="s">
        <v>506</v>
      </c>
      <c r="D318" s="536">
        <f>D225+875*1</f>
        <v>1787</v>
      </c>
      <c r="E318" s="536">
        <f>E225+1200*1</f>
        <v>2812</v>
      </c>
      <c r="F318" s="536">
        <f>F225+1200*1</f>
        <v>2812</v>
      </c>
      <c r="G318" s="609" t="s">
        <v>1689</v>
      </c>
      <c r="H318" s="56">
        <v>1</v>
      </c>
      <c r="I318" s="451" t="s">
        <v>116</v>
      </c>
      <c r="J318" s="451"/>
      <c r="K318" s="491" t="s">
        <v>1092</v>
      </c>
      <c r="L318" s="451" t="s">
        <v>643</v>
      </c>
      <c r="M318" s="452">
        <v>43070</v>
      </c>
      <c r="N318" s="452">
        <v>43100</v>
      </c>
      <c r="O318" s="458"/>
      <c r="P318" s="485"/>
      <c r="Q318" s="462" t="s">
        <v>197</v>
      </c>
      <c r="R318" s="456" t="s">
        <v>184</v>
      </c>
      <c r="S318" s="687"/>
      <c r="T318" s="689"/>
    </row>
    <row r="319" spans="1:20" ht="20.100000000000001" customHeight="1">
      <c r="A319" s="1127" t="s">
        <v>2961</v>
      </c>
      <c r="B319" s="1141" t="s">
        <v>435</v>
      </c>
      <c r="C319" s="1141" t="s">
        <v>506</v>
      </c>
      <c r="D319" s="536">
        <f>D226+1050*1</f>
        <v>1850</v>
      </c>
      <c r="E319" s="536">
        <f>E226+1650*1</f>
        <v>3150</v>
      </c>
      <c r="F319" s="536">
        <f>F226+1650*1</f>
        <v>3150</v>
      </c>
      <c r="G319" s="217" t="s">
        <v>1308</v>
      </c>
      <c r="H319" s="56">
        <v>1</v>
      </c>
      <c r="I319" s="451" t="s">
        <v>116</v>
      </c>
      <c r="J319" s="451"/>
      <c r="K319" s="491">
        <v>18</v>
      </c>
      <c r="L319" s="451" t="s">
        <v>643</v>
      </c>
      <c r="M319" s="452">
        <v>43080</v>
      </c>
      <c r="N319" s="6">
        <v>43093</v>
      </c>
      <c r="O319" s="462"/>
      <c r="P319" s="462"/>
      <c r="Q319" s="462" t="s">
        <v>197</v>
      </c>
      <c r="R319" s="456" t="s">
        <v>182</v>
      </c>
      <c r="S319" s="687"/>
      <c r="T319" s="313">
        <v>14</v>
      </c>
    </row>
    <row r="320" spans="1:20" ht="20.100000000000001" customHeight="1">
      <c r="A320" s="1127" t="s">
        <v>2961</v>
      </c>
      <c r="B320" s="1141" t="s">
        <v>435</v>
      </c>
      <c r="C320" s="1141" t="s">
        <v>506</v>
      </c>
      <c r="D320" s="2">
        <v>1850</v>
      </c>
      <c r="E320" s="2">
        <v>3500</v>
      </c>
      <c r="F320" s="2">
        <v>3500</v>
      </c>
      <c r="G320" s="3" t="s">
        <v>13</v>
      </c>
      <c r="H320" s="56" t="s">
        <v>2462</v>
      </c>
      <c r="I320" s="451" t="s">
        <v>116</v>
      </c>
      <c r="J320" s="451"/>
      <c r="K320" s="492" t="s">
        <v>661</v>
      </c>
      <c r="L320" s="451" t="s">
        <v>641</v>
      </c>
      <c r="M320" s="452">
        <v>43023</v>
      </c>
      <c r="N320" s="452">
        <v>43053</v>
      </c>
      <c r="O320" s="458"/>
      <c r="P320" s="458"/>
      <c r="Q320" s="167"/>
      <c r="R320" s="456" t="s">
        <v>501</v>
      </c>
      <c r="S320" s="687" t="s">
        <v>1176</v>
      </c>
      <c r="T320" s="690"/>
    </row>
    <row r="321" spans="1:20" ht="20.100000000000001" customHeight="1">
      <c r="A321" s="1127" t="s">
        <v>2961</v>
      </c>
      <c r="B321" s="1141" t="s">
        <v>435</v>
      </c>
      <c r="C321" s="1141" t="s">
        <v>614</v>
      </c>
      <c r="D321" s="2">
        <f>D243+1800</f>
        <v>2612</v>
      </c>
      <c r="E321" s="2">
        <f>E243+2700</f>
        <v>4162</v>
      </c>
      <c r="F321" s="2">
        <f>F243+2700</f>
        <v>4162</v>
      </c>
      <c r="G321" s="217" t="s">
        <v>103</v>
      </c>
      <c r="H321" s="56" t="s">
        <v>2462</v>
      </c>
      <c r="I321" s="451" t="s">
        <v>116</v>
      </c>
      <c r="J321" s="451"/>
      <c r="K321" s="491" t="s">
        <v>1282</v>
      </c>
      <c r="L321" s="451" t="s">
        <v>641</v>
      </c>
      <c r="M321" s="452">
        <v>43040</v>
      </c>
      <c r="N321" s="452">
        <v>43100</v>
      </c>
      <c r="O321" s="458"/>
      <c r="P321" s="458"/>
      <c r="Q321" s="167"/>
      <c r="R321" s="456" t="s">
        <v>175</v>
      </c>
      <c r="S321" s="687" t="s">
        <v>1176</v>
      </c>
      <c r="T321" s="313" t="s">
        <v>2841</v>
      </c>
    </row>
    <row r="322" spans="1:20" ht="20.100000000000001" customHeight="1">
      <c r="A322" s="1127" t="s">
        <v>2961</v>
      </c>
      <c r="B322" s="1141" t="s">
        <v>435</v>
      </c>
      <c r="C322" s="1127" t="s">
        <v>3010</v>
      </c>
      <c r="D322" s="13">
        <f>D240+815*1</f>
        <v>1615</v>
      </c>
      <c r="E322" s="13">
        <f>E240+1230*1</f>
        <v>2730</v>
      </c>
      <c r="F322" s="13">
        <f>F240+1230*1</f>
        <v>2730</v>
      </c>
      <c r="G322" s="217" t="s">
        <v>1308</v>
      </c>
      <c r="H322" s="4">
        <v>1</v>
      </c>
      <c r="I322" s="451" t="s">
        <v>112</v>
      </c>
      <c r="J322" s="451"/>
      <c r="K322" s="492">
        <v>21</v>
      </c>
      <c r="L322" s="451" t="s">
        <v>643</v>
      </c>
      <c r="M322" s="452">
        <v>43080</v>
      </c>
      <c r="N322" s="6">
        <v>43093</v>
      </c>
      <c r="O322" s="462"/>
      <c r="P322" s="462"/>
      <c r="Q322" s="462" t="s">
        <v>304</v>
      </c>
      <c r="R322" s="456" t="s">
        <v>182</v>
      </c>
      <c r="S322" s="687"/>
      <c r="T322" s="313">
        <v>14</v>
      </c>
    </row>
    <row r="323" spans="1:20" ht="20.100000000000001" customHeight="1">
      <c r="A323" s="1127" t="s">
        <v>2961</v>
      </c>
      <c r="B323" s="1141" t="s">
        <v>435</v>
      </c>
      <c r="C323" s="1141" t="s">
        <v>468</v>
      </c>
      <c r="D323" s="13">
        <f>D239+450*1</f>
        <v>1362</v>
      </c>
      <c r="E323" s="13">
        <f>E239+750*1</f>
        <v>2362</v>
      </c>
      <c r="F323" s="13">
        <f>F239+750*1</f>
        <v>2362</v>
      </c>
      <c r="G323" s="609" t="s">
        <v>1689</v>
      </c>
      <c r="H323" s="4">
        <v>1</v>
      </c>
      <c r="I323" s="451" t="s">
        <v>112</v>
      </c>
      <c r="J323" s="451"/>
      <c r="K323" s="492">
        <v>22</v>
      </c>
      <c r="L323" s="451" t="s">
        <v>643</v>
      </c>
      <c r="M323" s="452">
        <v>43070</v>
      </c>
      <c r="N323" s="452">
        <v>43100</v>
      </c>
      <c r="O323" s="458"/>
      <c r="P323" s="462"/>
      <c r="Q323" s="462" t="s">
        <v>304</v>
      </c>
      <c r="R323" s="456" t="s">
        <v>184</v>
      </c>
      <c r="S323" s="687"/>
      <c r="T323" s="689"/>
    </row>
    <row r="324" spans="1:20" ht="20.100000000000001" customHeight="1">
      <c r="A324" s="1127" t="s">
        <v>2961</v>
      </c>
      <c r="B324" s="1141" t="s">
        <v>435</v>
      </c>
      <c r="C324" s="1141" t="s">
        <v>468</v>
      </c>
      <c r="D324" s="2"/>
      <c r="E324" s="2"/>
      <c r="F324" s="2"/>
      <c r="G324" s="3" t="s">
        <v>32</v>
      </c>
      <c r="H324" s="4">
        <v>3</v>
      </c>
      <c r="I324" s="451" t="s">
        <v>302</v>
      </c>
      <c r="J324" s="451"/>
      <c r="K324" s="451">
        <v>32</v>
      </c>
      <c r="L324" s="451" t="s">
        <v>643</v>
      </c>
      <c r="M324" s="452">
        <v>43054</v>
      </c>
      <c r="N324" s="452">
        <v>43100</v>
      </c>
      <c r="O324" s="477"/>
      <c r="P324" s="477"/>
      <c r="Q324" s="455"/>
      <c r="R324" s="456" t="s">
        <v>176</v>
      </c>
      <c r="S324" s="687" t="s">
        <v>1176</v>
      </c>
      <c r="T324" s="689"/>
    </row>
    <row r="325" spans="1:20" ht="20.100000000000001" customHeight="1">
      <c r="A325" s="1127" t="s">
        <v>2961</v>
      </c>
      <c r="B325" s="1141" t="s">
        <v>435</v>
      </c>
      <c r="C325" s="1141" t="s">
        <v>468</v>
      </c>
      <c r="D325" s="2">
        <f>D243+1000</f>
        <v>1812</v>
      </c>
      <c r="E325" s="2">
        <f>E243+1400</f>
        <v>2862</v>
      </c>
      <c r="F325" s="2">
        <f>F243+1400</f>
        <v>2862</v>
      </c>
      <c r="G325" s="217" t="s">
        <v>103</v>
      </c>
      <c r="H325" s="56" t="s">
        <v>2462</v>
      </c>
      <c r="I325" s="451" t="s">
        <v>112</v>
      </c>
      <c r="J325" s="451"/>
      <c r="K325" s="491" t="s">
        <v>1278</v>
      </c>
      <c r="L325" s="451" t="s">
        <v>641</v>
      </c>
      <c r="M325" s="452">
        <v>43040</v>
      </c>
      <c r="N325" s="452">
        <v>43100</v>
      </c>
      <c r="O325" s="490"/>
      <c r="P325" s="490"/>
      <c r="Q325" s="167"/>
      <c r="R325" s="456" t="s">
        <v>175</v>
      </c>
      <c r="S325" s="687" t="s">
        <v>1176</v>
      </c>
      <c r="T325" s="313" t="s">
        <v>2841</v>
      </c>
    </row>
    <row r="326" spans="1:20" ht="20.100000000000001" customHeight="1">
      <c r="A326" s="1127" t="s">
        <v>2961</v>
      </c>
      <c r="B326" s="1141" t="s">
        <v>435</v>
      </c>
      <c r="C326" s="1141" t="s">
        <v>468</v>
      </c>
      <c r="D326" s="13">
        <v>2250</v>
      </c>
      <c r="E326" s="13">
        <v>3450</v>
      </c>
      <c r="F326" s="13">
        <v>3450</v>
      </c>
      <c r="G326" s="3" t="s">
        <v>13</v>
      </c>
      <c r="H326" s="56" t="s">
        <v>2462</v>
      </c>
      <c r="I326" s="451" t="s">
        <v>112</v>
      </c>
      <c r="J326" s="451"/>
      <c r="K326" s="451" t="s">
        <v>722</v>
      </c>
      <c r="L326" s="451" t="s">
        <v>641</v>
      </c>
      <c r="M326" s="452">
        <v>43023</v>
      </c>
      <c r="N326" s="452">
        <v>43053</v>
      </c>
      <c r="O326" s="458"/>
      <c r="P326" s="458"/>
      <c r="Q326" s="458" t="s">
        <v>197</v>
      </c>
      <c r="R326" s="456" t="s">
        <v>501</v>
      </c>
      <c r="S326" s="687" t="s">
        <v>1176</v>
      </c>
      <c r="T326" s="689"/>
    </row>
    <row r="327" spans="1:20" ht="20.100000000000001" customHeight="1">
      <c r="A327" s="1127" t="s">
        <v>2961</v>
      </c>
      <c r="B327" s="1141" t="s">
        <v>435</v>
      </c>
      <c r="C327" s="1141" t="s">
        <v>468</v>
      </c>
      <c r="D327" s="11"/>
      <c r="E327" s="11"/>
      <c r="F327" s="11"/>
      <c r="G327" s="217" t="s">
        <v>1308</v>
      </c>
      <c r="H327" s="55" t="s">
        <v>629</v>
      </c>
      <c r="I327" s="451" t="s">
        <v>16</v>
      </c>
      <c r="J327" s="451"/>
      <c r="K327" s="451" t="s">
        <v>688</v>
      </c>
      <c r="L327" s="475" t="s">
        <v>637</v>
      </c>
      <c r="M327" s="452">
        <v>43040</v>
      </c>
      <c r="N327" s="6">
        <v>43093</v>
      </c>
      <c r="O327" s="455"/>
      <c r="P327" s="490"/>
      <c r="Q327" s="455"/>
      <c r="R327" s="476" t="s">
        <v>2029</v>
      </c>
      <c r="S327" s="319"/>
      <c r="T327" s="313">
        <v>14</v>
      </c>
    </row>
    <row r="328" spans="1:20" ht="20.100000000000001" customHeight="1">
      <c r="A328" s="1127" t="s">
        <v>2961</v>
      </c>
      <c r="B328" s="1141" t="s">
        <v>435</v>
      </c>
      <c r="C328" s="1141" t="s">
        <v>468</v>
      </c>
      <c r="D328" s="2"/>
      <c r="E328" s="2"/>
      <c r="F328" s="2"/>
      <c r="G328" s="3" t="s">
        <v>31</v>
      </c>
      <c r="H328" s="56" t="s">
        <v>725</v>
      </c>
      <c r="I328" s="451" t="s">
        <v>16</v>
      </c>
      <c r="J328" s="451"/>
      <c r="K328" s="451">
        <v>31</v>
      </c>
      <c r="L328" s="451" t="s">
        <v>809</v>
      </c>
      <c r="M328" s="452">
        <v>43054</v>
      </c>
      <c r="N328" s="452">
        <v>43100</v>
      </c>
      <c r="O328" s="477"/>
      <c r="P328" s="477"/>
      <c r="Q328" s="479"/>
      <c r="R328" s="473" t="s">
        <v>780</v>
      </c>
      <c r="S328" s="687" t="s">
        <v>1176</v>
      </c>
      <c r="T328" s="680"/>
    </row>
    <row r="329" spans="1:20" ht="20.100000000000001" customHeight="1">
      <c r="A329" s="1127" t="s">
        <v>2961</v>
      </c>
      <c r="B329" s="1141" t="s">
        <v>435</v>
      </c>
      <c r="C329" s="1141" t="s">
        <v>468</v>
      </c>
      <c r="D329" s="11">
        <v>825</v>
      </c>
      <c r="E329" s="11">
        <v>1440</v>
      </c>
      <c r="F329" s="11">
        <v>1440</v>
      </c>
      <c r="G329" s="3" t="s">
        <v>827</v>
      </c>
      <c r="H329" s="22" t="s">
        <v>659</v>
      </c>
      <c r="I329" s="461" t="s">
        <v>16</v>
      </c>
      <c r="J329" s="451"/>
      <c r="K329" s="451" t="s">
        <v>1256</v>
      </c>
      <c r="L329" s="451" t="s">
        <v>643</v>
      </c>
      <c r="M329" s="452">
        <v>43054</v>
      </c>
      <c r="N329" s="452">
        <v>43100</v>
      </c>
      <c r="O329" s="477"/>
      <c r="P329" s="477"/>
      <c r="Q329" s="481"/>
      <c r="R329" s="473" t="s">
        <v>1274</v>
      </c>
      <c r="S329" s="687" t="s">
        <v>1176</v>
      </c>
      <c r="T329" s="680"/>
    </row>
    <row r="330" spans="1:20" ht="20.100000000000001" customHeight="1">
      <c r="A330" s="1127" t="s">
        <v>2961</v>
      </c>
      <c r="B330" s="1141" t="s">
        <v>435</v>
      </c>
      <c r="C330" s="1141" t="s">
        <v>280</v>
      </c>
      <c r="D330" s="536">
        <f>D240+615*1</f>
        <v>1415</v>
      </c>
      <c r="E330" s="536">
        <f>E240+925*1</f>
        <v>2425</v>
      </c>
      <c r="F330" s="536">
        <f>F240+925*1</f>
        <v>2425</v>
      </c>
      <c r="G330" s="217" t="s">
        <v>1308</v>
      </c>
      <c r="H330" s="56">
        <v>1</v>
      </c>
      <c r="I330" s="451" t="s">
        <v>112</v>
      </c>
      <c r="J330" s="451"/>
      <c r="K330" s="491" t="s">
        <v>1292</v>
      </c>
      <c r="L330" s="451" t="s">
        <v>643</v>
      </c>
      <c r="M330" s="452">
        <v>43080</v>
      </c>
      <c r="N330" s="6">
        <v>43093</v>
      </c>
      <c r="O330" s="462"/>
      <c r="P330" s="462"/>
      <c r="Q330" s="462" t="s">
        <v>304</v>
      </c>
      <c r="R330" s="456" t="s">
        <v>182</v>
      </c>
      <c r="S330" s="687"/>
      <c r="T330" s="313">
        <v>14</v>
      </c>
    </row>
    <row r="331" spans="1:20" ht="20.100000000000001" customHeight="1">
      <c r="A331" s="1127" t="s">
        <v>2961</v>
      </c>
      <c r="B331" s="1141" t="s">
        <v>435</v>
      </c>
      <c r="C331" s="1141" t="s">
        <v>280</v>
      </c>
      <c r="D331" s="536">
        <f>D247+615*1</f>
        <v>1415</v>
      </c>
      <c r="E331" s="536">
        <f>E247+925*1</f>
        <v>2425</v>
      </c>
      <c r="F331" s="536">
        <f>F247+925*1</f>
        <v>2425</v>
      </c>
      <c r="G331" s="217" t="s">
        <v>1308</v>
      </c>
      <c r="H331" s="56" t="s">
        <v>2462</v>
      </c>
      <c r="I331" s="451" t="s">
        <v>112</v>
      </c>
      <c r="J331" s="451"/>
      <c r="K331" s="491" t="s">
        <v>1293</v>
      </c>
      <c r="L331" s="451" t="s">
        <v>641</v>
      </c>
      <c r="M331" s="452">
        <v>43080</v>
      </c>
      <c r="N331" s="6">
        <v>43093</v>
      </c>
      <c r="O331" s="455"/>
      <c r="P331" s="490"/>
      <c r="Q331" s="462" t="s">
        <v>197</v>
      </c>
      <c r="R331" s="456" t="s">
        <v>580</v>
      </c>
      <c r="S331" s="687"/>
      <c r="T331" s="313">
        <v>14</v>
      </c>
    </row>
    <row r="332" spans="1:20" ht="20.100000000000001" customHeight="1">
      <c r="A332" s="1127" t="s">
        <v>2961</v>
      </c>
      <c r="B332" s="1141" t="s">
        <v>435</v>
      </c>
      <c r="C332" s="1141" t="s">
        <v>469</v>
      </c>
      <c r="D332" s="536">
        <f>D250+150</f>
        <v>1450</v>
      </c>
      <c r="E332" s="536">
        <f>E250+300</f>
        <v>2900</v>
      </c>
      <c r="F332" s="536">
        <f>F250+300</f>
        <v>2900</v>
      </c>
      <c r="G332" s="12" t="s">
        <v>133</v>
      </c>
      <c r="H332" s="56">
        <v>3</v>
      </c>
      <c r="I332" s="451" t="s">
        <v>302</v>
      </c>
      <c r="J332" s="451"/>
      <c r="K332" s="491">
        <v>21</v>
      </c>
      <c r="L332" s="451" t="s">
        <v>643</v>
      </c>
      <c r="M332" s="452">
        <v>43054</v>
      </c>
      <c r="N332" s="452">
        <v>43100</v>
      </c>
      <c r="O332" s="477"/>
      <c r="P332" s="477"/>
      <c r="Q332" s="455"/>
      <c r="R332" s="456" t="s">
        <v>176</v>
      </c>
      <c r="S332" s="687" t="s">
        <v>1176</v>
      </c>
      <c r="T332" s="689"/>
    </row>
    <row r="333" spans="1:20" ht="20.100000000000001" customHeight="1">
      <c r="A333" s="1127" t="s">
        <v>2961</v>
      </c>
      <c r="B333" s="1141" t="s">
        <v>435</v>
      </c>
      <c r="C333" s="1141" t="s">
        <v>469</v>
      </c>
      <c r="D333" s="536">
        <f>D237+150</f>
        <v>1125</v>
      </c>
      <c r="E333" s="536">
        <f>E237+300</f>
        <v>2050</v>
      </c>
      <c r="F333" s="536">
        <f>F237+300</f>
        <v>2050</v>
      </c>
      <c r="G333" s="12" t="s">
        <v>31</v>
      </c>
      <c r="H333" s="56" t="s">
        <v>725</v>
      </c>
      <c r="I333" s="451" t="s">
        <v>16</v>
      </c>
      <c r="J333" s="451"/>
      <c r="K333" s="451">
        <v>36</v>
      </c>
      <c r="L333" s="451" t="s">
        <v>809</v>
      </c>
      <c r="M333" s="452">
        <v>43054</v>
      </c>
      <c r="N333" s="452">
        <v>43100</v>
      </c>
      <c r="O333" s="477"/>
      <c r="P333" s="477"/>
      <c r="Q333" s="479"/>
      <c r="R333" s="473" t="s">
        <v>780</v>
      </c>
      <c r="S333" s="687" t="s">
        <v>1176</v>
      </c>
      <c r="T333" s="680"/>
    </row>
    <row r="334" spans="1:20" ht="20.100000000000001" customHeight="1">
      <c r="A334" s="1127" t="s">
        <v>2961</v>
      </c>
      <c r="B334" s="1141" t="s">
        <v>435</v>
      </c>
      <c r="C334" s="1141" t="s">
        <v>469</v>
      </c>
      <c r="D334" s="536">
        <f>D281+1200</f>
        <v>2012</v>
      </c>
      <c r="E334" s="536">
        <f>E281+1700</f>
        <v>3162</v>
      </c>
      <c r="F334" s="536">
        <f>F281+1700</f>
        <v>3162</v>
      </c>
      <c r="G334" s="217" t="s">
        <v>103</v>
      </c>
      <c r="H334" s="56" t="s">
        <v>2462</v>
      </c>
      <c r="I334" s="451" t="s">
        <v>1279</v>
      </c>
      <c r="J334" s="451"/>
      <c r="K334" s="491" t="s">
        <v>1280</v>
      </c>
      <c r="L334" s="451" t="s">
        <v>641</v>
      </c>
      <c r="M334" s="452">
        <v>43040</v>
      </c>
      <c r="N334" s="452">
        <v>43100</v>
      </c>
      <c r="O334" s="490"/>
      <c r="P334" s="490"/>
      <c r="Q334" s="167"/>
      <c r="R334" s="456" t="s">
        <v>175</v>
      </c>
      <c r="S334" s="687" t="s">
        <v>1176</v>
      </c>
      <c r="T334" s="313" t="s">
        <v>2841</v>
      </c>
    </row>
    <row r="335" spans="1:20" ht="20.100000000000001" customHeight="1">
      <c r="A335" s="1127" t="s">
        <v>2961</v>
      </c>
      <c r="B335" s="1141" t="s">
        <v>435</v>
      </c>
      <c r="C335" s="1141" t="s">
        <v>469</v>
      </c>
      <c r="D335" s="536">
        <f>D285+925*1</f>
        <v>1725</v>
      </c>
      <c r="E335" s="536">
        <f>E285+1425*1</f>
        <v>2925</v>
      </c>
      <c r="F335" s="536">
        <f>F285+1425*1</f>
        <v>2925</v>
      </c>
      <c r="G335" s="217" t="s">
        <v>1308</v>
      </c>
      <c r="H335" s="56" t="s">
        <v>2462</v>
      </c>
      <c r="I335" s="451" t="s">
        <v>1287</v>
      </c>
      <c r="J335" s="451"/>
      <c r="K335" s="492" t="s">
        <v>1288</v>
      </c>
      <c r="L335" s="451" t="s">
        <v>641</v>
      </c>
      <c r="M335" s="452">
        <v>43080</v>
      </c>
      <c r="N335" s="6">
        <v>43093</v>
      </c>
      <c r="O335" s="455"/>
      <c r="P335" s="462"/>
      <c r="Q335" s="462" t="s">
        <v>197</v>
      </c>
      <c r="R335" s="456" t="s">
        <v>580</v>
      </c>
      <c r="S335" s="687"/>
      <c r="T335" s="313">
        <v>14</v>
      </c>
    </row>
    <row r="336" spans="1:20" ht="20.100000000000001" customHeight="1">
      <c r="A336" s="1127" t="s">
        <v>2961</v>
      </c>
      <c r="B336" s="1141" t="s">
        <v>435</v>
      </c>
      <c r="C336" s="1141" t="s">
        <v>2418</v>
      </c>
      <c r="D336" s="13">
        <v>2350</v>
      </c>
      <c r="E336" s="13">
        <v>4400</v>
      </c>
      <c r="F336" s="13">
        <v>4400</v>
      </c>
      <c r="G336" s="3" t="s">
        <v>13</v>
      </c>
      <c r="H336" s="56" t="s">
        <v>2462</v>
      </c>
      <c r="I336" s="451" t="s">
        <v>112</v>
      </c>
      <c r="J336" s="451"/>
      <c r="K336" s="451" t="s">
        <v>722</v>
      </c>
      <c r="L336" s="451" t="s">
        <v>641</v>
      </c>
      <c r="M336" s="452">
        <v>43023</v>
      </c>
      <c r="N336" s="452">
        <v>43053</v>
      </c>
      <c r="O336" s="458"/>
      <c r="P336" s="458"/>
      <c r="Q336" s="458" t="s">
        <v>197</v>
      </c>
      <c r="R336" s="456" t="s">
        <v>501</v>
      </c>
      <c r="S336" s="687" t="s">
        <v>1176</v>
      </c>
      <c r="T336" s="689"/>
    </row>
    <row r="337" spans="1:20" ht="20.100000000000001" customHeight="1">
      <c r="A337" s="1127" t="s">
        <v>2961</v>
      </c>
      <c r="B337" s="1141" t="s">
        <v>435</v>
      </c>
      <c r="C337" s="1141" t="s">
        <v>281</v>
      </c>
      <c r="D337" s="13">
        <f>D285+275*1</f>
        <v>1075</v>
      </c>
      <c r="E337" s="13">
        <f>E285+390*1</f>
        <v>1890</v>
      </c>
      <c r="F337" s="13">
        <f>F285+390*1</f>
        <v>1890</v>
      </c>
      <c r="G337" s="217" t="s">
        <v>1308</v>
      </c>
      <c r="H337" s="56" t="s">
        <v>2462</v>
      </c>
      <c r="I337" s="451" t="s">
        <v>1287</v>
      </c>
      <c r="J337" s="451"/>
      <c r="K337" s="492" t="s">
        <v>1289</v>
      </c>
      <c r="L337" s="451" t="s">
        <v>641</v>
      </c>
      <c r="M337" s="452">
        <v>43080</v>
      </c>
      <c r="N337" s="6">
        <v>43093</v>
      </c>
      <c r="O337" s="455"/>
      <c r="P337" s="462"/>
      <c r="Q337" s="490" t="s">
        <v>24</v>
      </c>
      <c r="R337" s="456" t="s">
        <v>580</v>
      </c>
      <c r="S337" s="687"/>
      <c r="T337" s="313">
        <v>14</v>
      </c>
    </row>
    <row r="338" spans="1:20" ht="20.100000000000001" customHeight="1">
      <c r="A338" s="1127" t="s">
        <v>2961</v>
      </c>
      <c r="B338" s="1141" t="s">
        <v>435</v>
      </c>
      <c r="C338" s="1141" t="s">
        <v>281</v>
      </c>
      <c r="D338" s="536">
        <f>D239+500*1</f>
        <v>1412</v>
      </c>
      <c r="E338" s="536">
        <f>E239+1000*1</f>
        <v>2612</v>
      </c>
      <c r="F338" s="536">
        <f>F239+1000*1</f>
        <v>2612</v>
      </c>
      <c r="G338" s="609" t="s">
        <v>1689</v>
      </c>
      <c r="H338" s="4">
        <v>1</v>
      </c>
      <c r="I338" s="451" t="s">
        <v>112</v>
      </c>
      <c r="J338" s="451"/>
      <c r="K338" s="491">
        <v>21</v>
      </c>
      <c r="L338" s="451" t="s">
        <v>643</v>
      </c>
      <c r="M338" s="452">
        <v>43070</v>
      </c>
      <c r="N338" s="452">
        <v>43100</v>
      </c>
      <c r="O338" s="458"/>
      <c r="P338" s="462"/>
      <c r="Q338" s="462" t="s">
        <v>304</v>
      </c>
      <c r="R338" s="456" t="s">
        <v>184</v>
      </c>
      <c r="S338" s="687"/>
      <c r="T338" s="680"/>
    </row>
    <row r="339" spans="1:20" ht="20.100000000000001" customHeight="1">
      <c r="A339" s="732" t="s">
        <v>2961</v>
      </c>
      <c r="B339" s="496" t="s">
        <v>435</v>
      </c>
      <c r="C339" s="496" t="s">
        <v>541</v>
      </c>
      <c r="D339" s="11"/>
      <c r="E339" s="11"/>
      <c r="F339" s="11"/>
      <c r="G339" s="217" t="s">
        <v>1308</v>
      </c>
      <c r="H339" s="4">
        <v>1</v>
      </c>
      <c r="I339" s="451" t="s">
        <v>112</v>
      </c>
      <c r="J339" s="451"/>
      <c r="K339" s="491">
        <v>21</v>
      </c>
      <c r="L339" s="451" t="s">
        <v>643</v>
      </c>
      <c r="M339" s="452">
        <v>43080</v>
      </c>
      <c r="N339" s="6">
        <v>43093</v>
      </c>
      <c r="O339" s="462"/>
      <c r="P339" s="462"/>
      <c r="Q339" s="462" t="s">
        <v>1025</v>
      </c>
      <c r="R339" s="456" t="s">
        <v>182</v>
      </c>
      <c r="S339" s="687"/>
      <c r="T339" s="313">
        <v>14</v>
      </c>
    </row>
    <row r="340" spans="1:20" ht="20.100000000000001" customHeight="1">
      <c r="A340" s="1127" t="s">
        <v>2961</v>
      </c>
      <c r="B340" s="1141" t="s">
        <v>435</v>
      </c>
      <c r="C340" s="1141" t="s">
        <v>283</v>
      </c>
      <c r="D340" s="11">
        <f>D240+1090*1</f>
        <v>1890</v>
      </c>
      <c r="E340" s="11">
        <f>E240+1625*1</f>
        <v>3125</v>
      </c>
      <c r="F340" s="11">
        <f>F240+1625*1</f>
        <v>3125</v>
      </c>
      <c r="G340" s="217" t="s">
        <v>1308</v>
      </c>
      <c r="H340" s="56">
        <v>1</v>
      </c>
      <c r="I340" s="451" t="s">
        <v>112</v>
      </c>
      <c r="J340" s="451"/>
      <c r="K340" s="491" t="s">
        <v>1292</v>
      </c>
      <c r="L340" s="451" t="s">
        <v>643</v>
      </c>
      <c r="M340" s="452">
        <v>43080</v>
      </c>
      <c r="N340" s="6">
        <v>43093</v>
      </c>
      <c r="O340" s="462"/>
      <c r="P340" s="462"/>
      <c r="Q340" s="462" t="s">
        <v>304</v>
      </c>
      <c r="R340" s="456" t="s">
        <v>182</v>
      </c>
      <c r="S340" s="687"/>
      <c r="T340" s="313">
        <v>14</v>
      </c>
    </row>
    <row r="341" spans="1:20" ht="20.100000000000001" customHeight="1">
      <c r="A341" s="1127" t="s">
        <v>2961</v>
      </c>
      <c r="B341" s="1141" t="s">
        <v>435</v>
      </c>
      <c r="C341" s="1141" t="s">
        <v>283</v>
      </c>
      <c r="D341" s="11">
        <f>D247+1090*1</f>
        <v>1890</v>
      </c>
      <c r="E341" s="11">
        <f>E247+1625*1</f>
        <v>3125</v>
      </c>
      <c r="F341" s="11">
        <f>F247+1625*1</f>
        <v>3125</v>
      </c>
      <c r="G341" s="217" t="s">
        <v>1308</v>
      </c>
      <c r="H341" s="56" t="s">
        <v>2462</v>
      </c>
      <c r="I341" s="451" t="s">
        <v>112</v>
      </c>
      <c r="J341" s="451"/>
      <c r="K341" s="491" t="s">
        <v>1293</v>
      </c>
      <c r="L341" s="451" t="s">
        <v>641</v>
      </c>
      <c r="M341" s="452">
        <v>43080</v>
      </c>
      <c r="N341" s="6">
        <v>43093</v>
      </c>
      <c r="O341" s="455"/>
      <c r="P341" s="490"/>
      <c r="Q341" s="462" t="s">
        <v>197</v>
      </c>
      <c r="R341" s="456" t="s">
        <v>580</v>
      </c>
      <c r="S341" s="687"/>
      <c r="T341" s="313">
        <v>14</v>
      </c>
    </row>
    <row r="342" spans="1:20" ht="20.100000000000001" customHeight="1">
      <c r="A342" s="1127" t="s">
        <v>2961</v>
      </c>
      <c r="B342" s="1141" t="s">
        <v>435</v>
      </c>
      <c r="C342" s="1141" t="s">
        <v>612</v>
      </c>
      <c r="D342" s="11">
        <f>D226+610*1</f>
        <v>1410</v>
      </c>
      <c r="E342" s="11">
        <f>E226+1030*1</f>
        <v>2530</v>
      </c>
      <c r="F342" s="11">
        <f>F226+1030*1</f>
        <v>2530</v>
      </c>
      <c r="G342" s="217" t="s">
        <v>1308</v>
      </c>
      <c r="H342" s="56">
        <v>1</v>
      </c>
      <c r="I342" s="451" t="s">
        <v>116</v>
      </c>
      <c r="J342" s="451"/>
      <c r="K342" s="491" t="s">
        <v>1294</v>
      </c>
      <c r="L342" s="451" t="s">
        <v>643</v>
      </c>
      <c r="M342" s="452">
        <v>43080</v>
      </c>
      <c r="N342" s="6">
        <v>43093</v>
      </c>
      <c r="O342" s="462"/>
      <c r="P342" s="462"/>
      <c r="Q342" s="462" t="s">
        <v>304</v>
      </c>
      <c r="R342" s="456" t="s">
        <v>182</v>
      </c>
      <c r="S342" s="687"/>
      <c r="T342" s="313">
        <v>14</v>
      </c>
    </row>
    <row r="343" spans="1:20" ht="20.100000000000001" customHeight="1">
      <c r="A343" s="1127" t="s">
        <v>2961</v>
      </c>
      <c r="B343" s="1141" t="s">
        <v>435</v>
      </c>
      <c r="C343" s="1141" t="s">
        <v>612</v>
      </c>
      <c r="D343" s="11">
        <f>D233+610*1</f>
        <v>1410</v>
      </c>
      <c r="E343" s="11">
        <f>E233+1030*1</f>
        <v>2530</v>
      </c>
      <c r="F343" s="11">
        <f>F233+1030*1</f>
        <v>2530</v>
      </c>
      <c r="G343" s="217" t="s">
        <v>1308</v>
      </c>
      <c r="H343" s="56" t="s">
        <v>2462</v>
      </c>
      <c r="I343" s="451" t="s">
        <v>116</v>
      </c>
      <c r="J343" s="451"/>
      <c r="K343" s="491" t="s">
        <v>1295</v>
      </c>
      <c r="L343" s="451" t="s">
        <v>641</v>
      </c>
      <c r="M343" s="452">
        <v>43080</v>
      </c>
      <c r="N343" s="6">
        <v>43093</v>
      </c>
      <c r="O343" s="455"/>
      <c r="P343" s="462"/>
      <c r="Q343" s="462" t="s">
        <v>197</v>
      </c>
      <c r="R343" s="456" t="s">
        <v>580</v>
      </c>
      <c r="S343" s="687"/>
      <c r="T343" s="313">
        <v>14</v>
      </c>
    </row>
    <row r="344" spans="1:20" ht="20.100000000000001" customHeight="1">
      <c r="A344" s="1127" t="s">
        <v>2961</v>
      </c>
      <c r="B344" s="1141" t="s">
        <v>435</v>
      </c>
      <c r="C344" s="1141" t="s">
        <v>612</v>
      </c>
      <c r="D344" s="11">
        <f>D243+900</f>
        <v>1712</v>
      </c>
      <c r="E344" s="11">
        <f>E243+1400</f>
        <v>2862</v>
      </c>
      <c r="F344" s="11">
        <f>F243+1400</f>
        <v>2862</v>
      </c>
      <c r="G344" s="217" t="s">
        <v>103</v>
      </c>
      <c r="H344" s="56" t="s">
        <v>2462</v>
      </c>
      <c r="I344" s="451" t="s">
        <v>116</v>
      </c>
      <c r="J344" s="451"/>
      <c r="K344" s="491" t="s">
        <v>1278</v>
      </c>
      <c r="L344" s="451" t="s">
        <v>641</v>
      </c>
      <c r="M344" s="452">
        <v>43040</v>
      </c>
      <c r="N344" s="452">
        <v>43100</v>
      </c>
      <c r="O344" s="458"/>
      <c r="P344" s="458"/>
      <c r="Q344" s="167"/>
      <c r="R344" s="456" t="s">
        <v>175</v>
      </c>
      <c r="S344" s="687" t="s">
        <v>1176</v>
      </c>
      <c r="T344" s="313" t="s">
        <v>2841</v>
      </c>
    </row>
    <row r="345" spans="1:20" ht="20.100000000000001" customHeight="1">
      <c r="A345" s="1127" t="s">
        <v>2961</v>
      </c>
      <c r="B345" s="1141" t="s">
        <v>435</v>
      </c>
      <c r="C345" s="1141" t="s">
        <v>284</v>
      </c>
      <c r="D345" s="11">
        <v>3550</v>
      </c>
      <c r="E345" s="11">
        <v>5950</v>
      </c>
      <c r="F345" s="11">
        <v>5950</v>
      </c>
      <c r="G345" s="3" t="s">
        <v>13</v>
      </c>
      <c r="H345" s="56" t="s">
        <v>2462</v>
      </c>
      <c r="I345" s="451" t="s">
        <v>112</v>
      </c>
      <c r="J345" s="451"/>
      <c r="K345" s="451" t="s">
        <v>722</v>
      </c>
      <c r="L345" s="451" t="s">
        <v>641</v>
      </c>
      <c r="M345" s="452">
        <v>43023</v>
      </c>
      <c r="N345" s="452">
        <v>43053</v>
      </c>
      <c r="O345" s="458"/>
      <c r="P345" s="458"/>
      <c r="Q345" s="458" t="s">
        <v>197</v>
      </c>
      <c r="R345" s="456" t="s">
        <v>501</v>
      </c>
      <c r="S345" s="687" t="s">
        <v>1176</v>
      </c>
      <c r="T345" s="689"/>
    </row>
    <row r="346" spans="1:20" ht="20.100000000000001" customHeight="1">
      <c r="A346" s="1127" t="s">
        <v>2961</v>
      </c>
      <c r="B346" s="1141" t="s">
        <v>435</v>
      </c>
      <c r="C346" s="1141" t="s">
        <v>284</v>
      </c>
      <c r="D346" s="11">
        <f>D285+925*1</f>
        <v>1725</v>
      </c>
      <c r="E346" s="11">
        <f>E285+1425*1</f>
        <v>2925</v>
      </c>
      <c r="F346" s="11">
        <f>F285+1425*1</f>
        <v>2925</v>
      </c>
      <c r="G346" s="217" t="s">
        <v>1308</v>
      </c>
      <c r="H346" s="56" t="s">
        <v>2462</v>
      </c>
      <c r="I346" s="451" t="s">
        <v>1287</v>
      </c>
      <c r="J346" s="451"/>
      <c r="K346" s="492" t="s">
        <v>1288</v>
      </c>
      <c r="L346" s="451" t="s">
        <v>641</v>
      </c>
      <c r="M346" s="452">
        <v>43080</v>
      </c>
      <c r="N346" s="6">
        <v>43093</v>
      </c>
      <c r="O346" s="455"/>
      <c r="P346" s="462"/>
      <c r="Q346" s="462" t="s">
        <v>197</v>
      </c>
      <c r="R346" s="456" t="s">
        <v>580</v>
      </c>
      <c r="S346" s="687"/>
      <c r="T346" s="313">
        <v>14</v>
      </c>
    </row>
    <row r="347" spans="1:20" ht="20.100000000000001" customHeight="1">
      <c r="A347" s="1127" t="s">
        <v>2961</v>
      </c>
      <c r="B347" s="1141" t="s">
        <v>435</v>
      </c>
      <c r="C347" s="1141" t="s">
        <v>284</v>
      </c>
      <c r="D347" s="11"/>
      <c r="E347" s="11"/>
      <c r="F347" s="11"/>
      <c r="G347" s="3" t="s">
        <v>71</v>
      </c>
      <c r="H347" s="4" t="s">
        <v>944</v>
      </c>
      <c r="I347" s="475" t="s">
        <v>16</v>
      </c>
      <c r="J347" s="475"/>
      <c r="K347" s="491"/>
      <c r="L347" s="475" t="s">
        <v>638</v>
      </c>
      <c r="M347" s="452">
        <v>43040</v>
      </c>
      <c r="N347" s="452">
        <v>43100</v>
      </c>
      <c r="O347" s="458" t="s">
        <v>624</v>
      </c>
      <c r="P347" s="462"/>
      <c r="Q347" s="462" t="s">
        <v>1024</v>
      </c>
      <c r="R347" s="456"/>
      <c r="S347" s="687"/>
      <c r="T347" s="690"/>
    </row>
    <row r="348" spans="1:20" ht="20.100000000000001" customHeight="1">
      <c r="A348" s="732" t="s">
        <v>2961</v>
      </c>
      <c r="B348" s="496" t="s">
        <v>435</v>
      </c>
      <c r="C348" s="496" t="s">
        <v>285</v>
      </c>
      <c r="D348" s="11"/>
      <c r="E348" s="11"/>
      <c r="F348" s="11"/>
      <c r="G348" s="217" t="s">
        <v>1308</v>
      </c>
      <c r="H348" s="4">
        <v>1</v>
      </c>
      <c r="I348" s="451" t="s">
        <v>112</v>
      </c>
      <c r="J348" s="451"/>
      <c r="K348" s="491">
        <v>21</v>
      </c>
      <c r="L348" s="451" t="s">
        <v>643</v>
      </c>
      <c r="M348" s="452">
        <v>43080</v>
      </c>
      <c r="N348" s="6">
        <v>43093</v>
      </c>
      <c r="O348" s="462"/>
      <c r="P348" s="462"/>
      <c r="Q348" s="462" t="s">
        <v>1025</v>
      </c>
      <c r="R348" s="456" t="s">
        <v>182</v>
      </c>
      <c r="S348" s="687"/>
      <c r="T348" s="313">
        <v>14</v>
      </c>
    </row>
    <row r="349" spans="1:20" ht="20.100000000000001" customHeight="1">
      <c r="A349" s="732" t="s">
        <v>2961</v>
      </c>
      <c r="B349" s="496" t="s">
        <v>435</v>
      </c>
      <c r="C349" s="496" t="s">
        <v>286</v>
      </c>
      <c r="D349" s="11"/>
      <c r="E349" s="11"/>
      <c r="F349" s="11"/>
      <c r="G349" s="3" t="s">
        <v>139</v>
      </c>
      <c r="H349" s="4" t="s">
        <v>944</v>
      </c>
      <c r="I349" s="475" t="s">
        <v>16</v>
      </c>
      <c r="J349" s="475"/>
      <c r="K349" s="491">
        <v>28</v>
      </c>
      <c r="L349" s="475" t="s">
        <v>638</v>
      </c>
      <c r="M349" s="452">
        <v>43040</v>
      </c>
      <c r="N349" s="452">
        <v>43100</v>
      </c>
      <c r="O349" s="458" t="s">
        <v>624</v>
      </c>
      <c r="P349" s="458"/>
      <c r="Q349" s="462" t="s">
        <v>1024</v>
      </c>
      <c r="R349" s="456"/>
      <c r="S349" s="687"/>
      <c r="T349" s="680"/>
    </row>
    <row r="350" spans="1:20" ht="20.100000000000001" customHeight="1">
      <c r="A350" s="732" t="s">
        <v>2961</v>
      </c>
      <c r="B350" s="496" t="s">
        <v>435</v>
      </c>
      <c r="C350" s="496" t="s">
        <v>287</v>
      </c>
      <c r="D350" s="11"/>
      <c r="E350" s="11"/>
      <c r="F350" s="11"/>
      <c r="G350" s="217" t="s">
        <v>1308</v>
      </c>
      <c r="H350" s="4">
        <v>1</v>
      </c>
      <c r="I350" s="451" t="s">
        <v>112</v>
      </c>
      <c r="J350" s="451"/>
      <c r="K350" s="491">
        <v>21</v>
      </c>
      <c r="L350" s="451" t="s">
        <v>643</v>
      </c>
      <c r="M350" s="452">
        <v>43080</v>
      </c>
      <c r="N350" s="6">
        <v>43093</v>
      </c>
      <c r="O350" s="462"/>
      <c r="P350" s="462"/>
      <c r="Q350" s="462" t="s">
        <v>1025</v>
      </c>
      <c r="R350" s="456" t="s">
        <v>182</v>
      </c>
      <c r="S350" s="687"/>
      <c r="T350" s="313">
        <v>14</v>
      </c>
    </row>
    <row r="351" spans="1:20" ht="20.100000000000001" customHeight="1">
      <c r="A351" s="1127" t="s">
        <v>2961</v>
      </c>
      <c r="B351" s="1141" t="s">
        <v>435</v>
      </c>
      <c r="C351" s="1141" t="s">
        <v>844</v>
      </c>
      <c r="D351" s="536">
        <f>D268+720*1</f>
        <v>1520</v>
      </c>
      <c r="E351" s="536">
        <f>E268+1070*1</f>
        <v>2570</v>
      </c>
      <c r="F351" s="536">
        <f>F268+1070*1</f>
        <v>2570</v>
      </c>
      <c r="G351" s="217" t="s">
        <v>1308</v>
      </c>
      <c r="H351" s="56" t="s">
        <v>843</v>
      </c>
      <c r="I351" s="451" t="s">
        <v>845</v>
      </c>
      <c r="J351" s="451"/>
      <c r="K351" s="491" t="s">
        <v>665</v>
      </c>
      <c r="L351" s="451" t="s">
        <v>643</v>
      </c>
      <c r="M351" s="452">
        <v>43080</v>
      </c>
      <c r="N351" s="6">
        <v>43093</v>
      </c>
      <c r="O351" s="462"/>
      <c r="P351" s="462"/>
      <c r="Q351" s="462" t="s">
        <v>197</v>
      </c>
      <c r="R351" s="456" t="s">
        <v>182</v>
      </c>
      <c r="S351" s="687"/>
      <c r="T351" s="313">
        <v>14</v>
      </c>
    </row>
    <row r="352" spans="1:20" ht="20.100000000000001" customHeight="1">
      <c r="A352" s="1127" t="s">
        <v>2961</v>
      </c>
      <c r="B352" s="1141" t="s">
        <v>435</v>
      </c>
      <c r="C352" s="1141" t="s">
        <v>844</v>
      </c>
      <c r="D352" s="536">
        <f>D275+720*1</f>
        <v>1520</v>
      </c>
      <c r="E352" s="536">
        <f>E275+1070*1</f>
        <v>2570</v>
      </c>
      <c r="F352" s="536">
        <f>F275+1070*1</f>
        <v>2570</v>
      </c>
      <c r="G352" s="217" t="s">
        <v>1308</v>
      </c>
      <c r="H352" s="56" t="s">
        <v>2462</v>
      </c>
      <c r="I352" s="451" t="s">
        <v>613</v>
      </c>
      <c r="J352" s="451"/>
      <c r="K352" s="491" t="s">
        <v>1296</v>
      </c>
      <c r="L352" s="451" t="s">
        <v>641</v>
      </c>
      <c r="M352" s="452">
        <v>43080</v>
      </c>
      <c r="N352" s="6">
        <v>43093</v>
      </c>
      <c r="O352" s="455"/>
      <c r="P352" s="462"/>
      <c r="Q352" s="462" t="s">
        <v>197</v>
      </c>
      <c r="R352" s="456" t="s">
        <v>580</v>
      </c>
      <c r="S352" s="687"/>
      <c r="T352" s="313">
        <v>14</v>
      </c>
    </row>
    <row r="353" spans="1:20" ht="20.100000000000001" customHeight="1">
      <c r="A353" s="732" t="s">
        <v>2961</v>
      </c>
      <c r="B353" s="496" t="s">
        <v>435</v>
      </c>
      <c r="C353" s="496" t="s">
        <v>1290</v>
      </c>
      <c r="D353" s="536">
        <f>D285+700*1</f>
        <v>1500</v>
      </c>
      <c r="E353" s="536">
        <f>E285+1050*1</f>
        <v>2550</v>
      </c>
      <c r="F353" s="536">
        <f>F285+1050*1</f>
        <v>2550</v>
      </c>
      <c r="G353" s="217" t="s">
        <v>1308</v>
      </c>
      <c r="H353" s="56" t="s">
        <v>2462</v>
      </c>
      <c r="I353" s="451" t="s">
        <v>1287</v>
      </c>
      <c r="J353" s="451"/>
      <c r="K353" s="492" t="s">
        <v>1288</v>
      </c>
      <c r="L353" s="451" t="s">
        <v>641</v>
      </c>
      <c r="M353" s="452">
        <v>43080</v>
      </c>
      <c r="N353" s="6">
        <v>43093</v>
      </c>
      <c r="O353" s="455"/>
      <c r="P353" s="462"/>
      <c r="Q353" s="462" t="s">
        <v>197</v>
      </c>
      <c r="R353" s="456" t="s">
        <v>580</v>
      </c>
      <c r="S353" s="687"/>
      <c r="T353" s="313">
        <v>14</v>
      </c>
    </row>
    <row r="354" spans="1:20" ht="20.100000000000001" customHeight="1">
      <c r="A354" s="1127" t="s">
        <v>2961</v>
      </c>
      <c r="B354" s="1141" t="s">
        <v>435</v>
      </c>
      <c r="C354" s="1141" t="s">
        <v>282</v>
      </c>
      <c r="D354" s="13">
        <v>2260</v>
      </c>
      <c r="E354" s="13"/>
      <c r="F354" s="13"/>
      <c r="G354" s="3" t="s">
        <v>13</v>
      </c>
      <c r="H354" s="56" t="s">
        <v>2462</v>
      </c>
      <c r="I354" s="492" t="s">
        <v>117</v>
      </c>
      <c r="J354" s="492"/>
      <c r="K354" s="451" t="s">
        <v>662</v>
      </c>
      <c r="L354" s="451" t="s">
        <v>641</v>
      </c>
      <c r="M354" s="452">
        <v>43023</v>
      </c>
      <c r="N354" s="452">
        <v>43053</v>
      </c>
      <c r="O354" s="458"/>
      <c r="P354" s="458"/>
      <c r="Q354" s="458" t="s">
        <v>197</v>
      </c>
      <c r="R354" s="456" t="s">
        <v>501</v>
      </c>
      <c r="S354" s="687" t="s">
        <v>1176</v>
      </c>
      <c r="T354" s="689"/>
    </row>
    <row r="355" spans="1:20" ht="20.100000000000001" customHeight="1">
      <c r="A355" s="1127" t="s">
        <v>2961</v>
      </c>
      <c r="B355" s="1141" t="s">
        <v>435</v>
      </c>
      <c r="C355" s="1141" t="s">
        <v>282</v>
      </c>
      <c r="D355" s="13">
        <f>D243+1800</f>
        <v>2612</v>
      </c>
      <c r="E355" s="13">
        <f>E243+2700</f>
        <v>4162</v>
      </c>
      <c r="F355" s="13">
        <f>F243+2700</f>
        <v>4162</v>
      </c>
      <c r="G355" s="217" t="s">
        <v>103</v>
      </c>
      <c r="H355" s="56" t="s">
        <v>2462</v>
      </c>
      <c r="I355" s="451" t="s">
        <v>116</v>
      </c>
      <c r="J355" s="451"/>
      <c r="K355" s="491" t="s">
        <v>1282</v>
      </c>
      <c r="L355" s="451" t="s">
        <v>641</v>
      </c>
      <c r="M355" s="452">
        <v>43040</v>
      </c>
      <c r="N355" s="452">
        <v>43100</v>
      </c>
      <c r="O355" s="458"/>
      <c r="P355" s="458"/>
      <c r="Q355" s="167"/>
      <c r="R355" s="456" t="s">
        <v>175</v>
      </c>
      <c r="S355" s="687" t="s">
        <v>1176</v>
      </c>
      <c r="T355" s="313" t="s">
        <v>2841</v>
      </c>
    </row>
    <row r="356" spans="1:20" ht="20.100000000000001" customHeight="1">
      <c r="A356" s="732" t="s">
        <v>2961</v>
      </c>
      <c r="B356" s="496" t="s">
        <v>435</v>
      </c>
      <c r="C356" s="496" t="s">
        <v>288</v>
      </c>
      <c r="D356" s="536">
        <f>D285+700*1</f>
        <v>1500</v>
      </c>
      <c r="E356" s="536">
        <f>E285+1050*1</f>
        <v>2550</v>
      </c>
      <c r="F356" s="536">
        <f>F285+1050*1</f>
        <v>2550</v>
      </c>
      <c r="G356" s="217" t="s">
        <v>1308</v>
      </c>
      <c r="H356" s="56" t="s">
        <v>2462</v>
      </c>
      <c r="I356" s="451" t="s">
        <v>1287</v>
      </c>
      <c r="J356" s="451"/>
      <c r="K356" s="492" t="s">
        <v>1288</v>
      </c>
      <c r="L356" s="451" t="s">
        <v>641</v>
      </c>
      <c r="M356" s="452">
        <v>43080</v>
      </c>
      <c r="N356" s="6">
        <v>43093</v>
      </c>
      <c r="O356" s="455"/>
      <c r="P356" s="462"/>
      <c r="Q356" s="462" t="s">
        <v>197</v>
      </c>
      <c r="R356" s="456" t="s">
        <v>580</v>
      </c>
      <c r="S356" s="687"/>
      <c r="T356" s="313">
        <v>14</v>
      </c>
    </row>
    <row r="357" spans="1:20" ht="20.100000000000001" customHeight="1">
      <c r="A357" s="732" t="s">
        <v>2961</v>
      </c>
      <c r="B357" s="496" t="s">
        <v>435</v>
      </c>
      <c r="C357" s="496" t="s">
        <v>459</v>
      </c>
      <c r="D357" s="11"/>
      <c r="E357" s="11"/>
      <c r="F357" s="11"/>
      <c r="G357" s="3"/>
      <c r="H357" s="56"/>
      <c r="I357" s="492"/>
      <c r="J357" s="492"/>
      <c r="K357" s="451"/>
      <c r="L357" s="451"/>
      <c r="M357" s="451"/>
      <c r="N357" s="452"/>
      <c r="O357" s="458"/>
      <c r="P357" s="458"/>
      <c r="Q357" s="462"/>
      <c r="R357" s="456"/>
      <c r="S357" s="687"/>
      <c r="T357" s="689"/>
    </row>
    <row r="358" spans="1:20" ht="20.100000000000001" customHeight="1">
      <c r="A358" s="1127" t="s">
        <v>2961</v>
      </c>
      <c r="B358" s="1141" t="s">
        <v>435</v>
      </c>
      <c r="C358" s="1141" t="s">
        <v>289</v>
      </c>
      <c r="D358" s="11">
        <f>D226+980*1</f>
        <v>1780</v>
      </c>
      <c r="E358" s="11">
        <f>E226+1440*1</f>
        <v>2940</v>
      </c>
      <c r="F358" s="11">
        <f>F226+1440*1</f>
        <v>2940</v>
      </c>
      <c r="G358" s="217" t="s">
        <v>1308</v>
      </c>
      <c r="H358" s="56">
        <v>1</v>
      </c>
      <c r="I358" s="451" t="s">
        <v>116</v>
      </c>
      <c r="J358" s="451"/>
      <c r="K358" s="492" t="s">
        <v>1294</v>
      </c>
      <c r="L358" s="451" t="s">
        <v>643</v>
      </c>
      <c r="M358" s="452">
        <v>43080</v>
      </c>
      <c r="N358" s="6">
        <v>43093</v>
      </c>
      <c r="O358" s="462"/>
      <c r="P358" s="462"/>
      <c r="Q358" s="462" t="s">
        <v>304</v>
      </c>
      <c r="R358" s="456" t="s">
        <v>182</v>
      </c>
      <c r="S358" s="687"/>
      <c r="T358" s="313">
        <v>14</v>
      </c>
    </row>
    <row r="359" spans="1:20" ht="20.100000000000001" customHeight="1">
      <c r="A359" s="1127" t="s">
        <v>2961</v>
      </c>
      <c r="B359" s="1141" t="s">
        <v>435</v>
      </c>
      <c r="C359" s="1141" t="s">
        <v>289</v>
      </c>
      <c r="D359" s="11">
        <f>D233+980*1</f>
        <v>1780</v>
      </c>
      <c r="E359" s="11">
        <f>E233+1440*1</f>
        <v>2940</v>
      </c>
      <c r="F359" s="11">
        <f>F233+1440*1</f>
        <v>2940</v>
      </c>
      <c r="G359" s="217" t="s">
        <v>1308</v>
      </c>
      <c r="H359" s="56" t="s">
        <v>2462</v>
      </c>
      <c r="I359" s="451" t="s">
        <v>116</v>
      </c>
      <c r="J359" s="451"/>
      <c r="K359" s="492" t="s">
        <v>1295</v>
      </c>
      <c r="L359" s="451" t="s">
        <v>641</v>
      </c>
      <c r="M359" s="452">
        <v>43080</v>
      </c>
      <c r="N359" s="6">
        <v>43093</v>
      </c>
      <c r="O359" s="455"/>
      <c r="P359" s="462"/>
      <c r="Q359" s="462" t="s">
        <v>197</v>
      </c>
      <c r="R359" s="456" t="s">
        <v>580</v>
      </c>
      <c r="S359" s="687"/>
      <c r="T359" s="313">
        <v>14</v>
      </c>
    </row>
    <row r="360" spans="1:20" ht="20.100000000000001" customHeight="1">
      <c r="A360" s="1127" t="s">
        <v>2961</v>
      </c>
      <c r="B360" s="1141" t="s">
        <v>435</v>
      </c>
      <c r="C360" s="1141" t="s">
        <v>289</v>
      </c>
      <c r="D360" s="13">
        <v>1550</v>
      </c>
      <c r="E360" s="13">
        <v>3250</v>
      </c>
      <c r="F360" s="13">
        <v>3250</v>
      </c>
      <c r="G360" s="3" t="s">
        <v>13</v>
      </c>
      <c r="H360" s="56" t="s">
        <v>2462</v>
      </c>
      <c r="I360" s="451" t="s">
        <v>116</v>
      </c>
      <c r="J360" s="451"/>
      <c r="K360" s="492" t="s">
        <v>661</v>
      </c>
      <c r="L360" s="451" t="s">
        <v>641</v>
      </c>
      <c r="M360" s="452">
        <v>43023</v>
      </c>
      <c r="N360" s="452">
        <v>43053</v>
      </c>
      <c r="O360" s="458"/>
      <c r="P360" s="458"/>
      <c r="Q360" s="458" t="s">
        <v>197</v>
      </c>
      <c r="R360" s="456" t="s">
        <v>501</v>
      </c>
      <c r="S360" s="687" t="s">
        <v>1176</v>
      </c>
      <c r="T360" s="680"/>
    </row>
    <row r="361" spans="1:20" ht="20.100000000000001" customHeight="1">
      <c r="A361" s="1139" t="s">
        <v>2963</v>
      </c>
      <c r="B361" s="1142" t="s">
        <v>3317</v>
      </c>
      <c r="C361" s="1139" t="s">
        <v>1863</v>
      </c>
      <c r="D361" s="32">
        <v>1250</v>
      </c>
      <c r="E361" s="32">
        <v>2400</v>
      </c>
      <c r="F361" s="32">
        <f>E361+0</f>
        <v>2400</v>
      </c>
      <c r="G361" s="227" t="s">
        <v>1689</v>
      </c>
      <c r="H361" s="4">
        <v>1</v>
      </c>
      <c r="I361" s="451" t="s">
        <v>116</v>
      </c>
      <c r="J361" s="451"/>
      <c r="K361" s="451">
        <v>24</v>
      </c>
      <c r="L361" s="451" t="s">
        <v>643</v>
      </c>
      <c r="M361" s="452">
        <v>43009</v>
      </c>
      <c r="N361" s="452">
        <v>43100</v>
      </c>
      <c r="O361" s="458" t="s">
        <v>600</v>
      </c>
      <c r="P361" s="458"/>
      <c r="Q361" s="455"/>
      <c r="R361" s="456" t="s">
        <v>184</v>
      </c>
      <c r="S361" s="687" t="s">
        <v>1176</v>
      </c>
      <c r="T361" s="680"/>
    </row>
    <row r="362" spans="1:20" ht="20.100000000000001" customHeight="1">
      <c r="A362" s="1139" t="s">
        <v>2963</v>
      </c>
      <c r="B362" s="1136" t="s">
        <v>290</v>
      </c>
      <c r="C362" s="1139" t="s">
        <v>1863</v>
      </c>
      <c r="D362" s="528">
        <v>2300</v>
      </c>
      <c r="E362" s="528">
        <f>D362*2</f>
        <v>4600</v>
      </c>
      <c r="F362" s="528">
        <f>D362*2+100</f>
        <v>4700</v>
      </c>
      <c r="G362" s="628" t="s">
        <v>989</v>
      </c>
      <c r="H362" s="4" t="s">
        <v>994</v>
      </c>
      <c r="I362" s="451" t="s">
        <v>116</v>
      </c>
      <c r="J362" s="451"/>
      <c r="K362" s="451" t="s">
        <v>997</v>
      </c>
      <c r="L362" s="451" t="s">
        <v>643</v>
      </c>
      <c r="M362" s="452">
        <v>42979</v>
      </c>
      <c r="N362" s="452">
        <v>43069</v>
      </c>
      <c r="O362" s="458" t="s">
        <v>995</v>
      </c>
      <c r="P362" s="458"/>
      <c r="Q362" s="455"/>
      <c r="R362" s="456"/>
      <c r="S362" s="687"/>
      <c r="T362" s="680"/>
    </row>
    <row r="363" spans="1:20" ht="20.100000000000001" customHeight="1">
      <c r="A363" s="1139" t="s">
        <v>2963</v>
      </c>
      <c r="B363" s="1136" t="s">
        <v>290</v>
      </c>
      <c r="C363" s="1139" t="s">
        <v>1863</v>
      </c>
      <c r="D363" s="528">
        <v>1350</v>
      </c>
      <c r="E363" s="528">
        <v>2700</v>
      </c>
      <c r="F363" s="528">
        <v>2700</v>
      </c>
      <c r="G363" s="628" t="s">
        <v>51</v>
      </c>
      <c r="H363" s="4" t="s">
        <v>740</v>
      </c>
      <c r="I363" s="5" t="s">
        <v>80</v>
      </c>
      <c r="J363" s="451"/>
      <c r="K363" s="5" t="s">
        <v>3313</v>
      </c>
      <c r="L363" s="451" t="s">
        <v>643</v>
      </c>
      <c r="M363" s="452">
        <v>43059</v>
      </c>
      <c r="N363" s="452">
        <v>43091</v>
      </c>
      <c r="O363" s="458"/>
      <c r="P363" s="458"/>
      <c r="Q363" s="167"/>
      <c r="R363" s="8" t="s">
        <v>3388</v>
      </c>
      <c r="S363" s="687"/>
      <c r="T363" s="775"/>
    </row>
    <row r="364" spans="1:20" ht="20.100000000000001" customHeight="1">
      <c r="A364" s="1139" t="s">
        <v>2963</v>
      </c>
      <c r="B364" s="1136" t="s">
        <v>290</v>
      </c>
      <c r="C364" s="1139" t="s">
        <v>1863</v>
      </c>
      <c r="D364" s="528">
        <v>1275</v>
      </c>
      <c r="E364" s="528">
        <v>2550</v>
      </c>
      <c r="F364" s="528">
        <v>2550</v>
      </c>
      <c r="G364" s="221" t="s">
        <v>1308</v>
      </c>
      <c r="H364" s="4" t="s">
        <v>740</v>
      </c>
      <c r="I364" s="5" t="s">
        <v>80</v>
      </c>
      <c r="J364" s="451"/>
      <c r="K364" s="5" t="s">
        <v>3313</v>
      </c>
      <c r="L364" s="451" t="s">
        <v>643</v>
      </c>
      <c r="M364" s="452">
        <v>43059</v>
      </c>
      <c r="N364" s="6">
        <v>43093</v>
      </c>
      <c r="O364" s="458"/>
      <c r="P364" s="458"/>
      <c r="Q364" s="167"/>
      <c r="R364" s="8" t="s">
        <v>3388</v>
      </c>
      <c r="S364" s="687"/>
      <c r="T364" s="775"/>
    </row>
    <row r="365" spans="1:20" ht="20.100000000000001" customHeight="1">
      <c r="A365" s="1139" t="s">
        <v>2963</v>
      </c>
      <c r="B365" s="1136" t="s">
        <v>290</v>
      </c>
      <c r="C365" s="1139" t="s">
        <v>1863</v>
      </c>
      <c r="D365" s="32">
        <v>1275</v>
      </c>
      <c r="E365" s="32">
        <v>2550</v>
      </c>
      <c r="F365" s="32">
        <v>2550</v>
      </c>
      <c r="G365" s="3" t="s">
        <v>13</v>
      </c>
      <c r="H365" s="4" t="s">
        <v>1656</v>
      </c>
      <c r="I365" s="451" t="s">
        <v>80</v>
      </c>
      <c r="J365" s="451"/>
      <c r="K365" s="451" t="s">
        <v>1890</v>
      </c>
      <c r="L365" s="451" t="s">
        <v>642</v>
      </c>
      <c r="M365" s="452">
        <v>43023</v>
      </c>
      <c r="N365" s="452">
        <v>43039</v>
      </c>
      <c r="O365" s="458"/>
      <c r="P365" s="458"/>
      <c r="Q365" s="458"/>
      <c r="R365" s="456" t="s">
        <v>1657</v>
      </c>
      <c r="S365" s="687" t="s">
        <v>1176</v>
      </c>
      <c r="T365" s="680"/>
    </row>
    <row r="366" spans="1:20" ht="20.100000000000001" customHeight="1">
      <c r="A366" s="1139" t="s">
        <v>2963</v>
      </c>
      <c r="B366" s="1136" t="s">
        <v>290</v>
      </c>
      <c r="C366" s="1139" t="s">
        <v>1863</v>
      </c>
      <c r="D366" s="894">
        <v>1300</v>
      </c>
      <c r="E366" s="894">
        <v>2600</v>
      </c>
      <c r="F366" s="894">
        <v>2600</v>
      </c>
      <c r="G366" s="3" t="s">
        <v>139</v>
      </c>
      <c r="H366" s="4" t="s">
        <v>1098</v>
      </c>
      <c r="I366" s="497" t="s">
        <v>25</v>
      </c>
      <c r="J366" s="475"/>
      <c r="K366" s="497">
        <v>25</v>
      </c>
      <c r="L366" s="475" t="s">
        <v>638</v>
      </c>
      <c r="M366" s="452">
        <v>43084</v>
      </c>
      <c r="N366" s="452">
        <v>43100</v>
      </c>
      <c r="O366" s="458" t="s">
        <v>624</v>
      </c>
      <c r="P366" s="458"/>
      <c r="Q366" s="458"/>
      <c r="R366" s="456"/>
      <c r="S366" s="687"/>
      <c r="T366" s="680"/>
    </row>
    <row r="367" spans="1:20" ht="20.100000000000001" customHeight="1">
      <c r="A367" s="1139" t="s">
        <v>2963</v>
      </c>
      <c r="B367" s="1136" t="s">
        <v>290</v>
      </c>
      <c r="C367" s="1139" t="s">
        <v>1863</v>
      </c>
      <c r="D367" s="32">
        <v>1400</v>
      </c>
      <c r="E367" s="32">
        <v>2800</v>
      </c>
      <c r="F367" s="32">
        <v>2800</v>
      </c>
      <c r="G367" s="3" t="s">
        <v>568</v>
      </c>
      <c r="H367" s="4" t="s">
        <v>1864</v>
      </c>
      <c r="I367" s="475" t="s">
        <v>25</v>
      </c>
      <c r="J367" s="475"/>
      <c r="K367" s="497" t="s">
        <v>575</v>
      </c>
      <c r="L367" s="475" t="s">
        <v>638</v>
      </c>
      <c r="M367" s="452">
        <v>43009</v>
      </c>
      <c r="N367" s="452">
        <v>43083</v>
      </c>
      <c r="O367" s="458" t="s">
        <v>899</v>
      </c>
      <c r="P367" s="458"/>
      <c r="Q367" s="455"/>
      <c r="R367" s="456" t="s">
        <v>1865</v>
      </c>
      <c r="S367" s="687"/>
      <c r="T367" s="680"/>
    </row>
    <row r="368" spans="1:20" ht="20.100000000000001" customHeight="1">
      <c r="A368" s="1139" t="s">
        <v>2963</v>
      </c>
      <c r="B368" s="1136" t="s">
        <v>290</v>
      </c>
      <c r="C368" s="1139" t="s">
        <v>1863</v>
      </c>
      <c r="D368" s="2">
        <v>1450</v>
      </c>
      <c r="E368" s="2">
        <v>2650</v>
      </c>
      <c r="F368" s="2">
        <v>2650</v>
      </c>
      <c r="G368" s="221" t="s">
        <v>5</v>
      </c>
      <c r="H368" s="4" t="s">
        <v>2462</v>
      </c>
      <c r="I368" s="451" t="s">
        <v>116</v>
      </c>
      <c r="J368" s="451"/>
      <c r="K368" s="451">
        <v>28</v>
      </c>
      <c r="L368" s="451" t="s">
        <v>641</v>
      </c>
      <c r="M368" s="452">
        <v>43040</v>
      </c>
      <c r="N368" s="452">
        <v>43100</v>
      </c>
      <c r="O368" s="458" t="s">
        <v>1771</v>
      </c>
      <c r="P368" s="458"/>
      <c r="Q368" s="167"/>
      <c r="R368" s="456" t="s">
        <v>175</v>
      </c>
      <c r="S368" s="687" t="s">
        <v>1176</v>
      </c>
      <c r="T368" s="313" t="s">
        <v>2834</v>
      </c>
    </row>
    <row r="369" spans="1:20" ht="20.100000000000001" customHeight="1">
      <c r="A369" s="1139" t="s">
        <v>2963</v>
      </c>
      <c r="B369" s="1136" t="s">
        <v>290</v>
      </c>
      <c r="C369" s="1139" t="s">
        <v>1863</v>
      </c>
      <c r="D369" s="528">
        <v>1800</v>
      </c>
      <c r="E369" s="528">
        <v>3330</v>
      </c>
      <c r="F369" s="528">
        <v>3330</v>
      </c>
      <c r="G369" s="628" t="s">
        <v>1442</v>
      </c>
      <c r="H369" s="4" t="s">
        <v>967</v>
      </c>
      <c r="I369" s="475" t="s">
        <v>25</v>
      </c>
      <c r="J369" s="475"/>
      <c r="K369" s="475" t="s">
        <v>983</v>
      </c>
      <c r="L369" s="475" t="s">
        <v>966</v>
      </c>
      <c r="M369" s="452">
        <v>42979</v>
      </c>
      <c r="N369" s="452">
        <v>43069</v>
      </c>
      <c r="O369" s="458"/>
      <c r="P369" s="458"/>
      <c r="Q369" s="483"/>
      <c r="R369" s="456" t="s">
        <v>988</v>
      </c>
      <c r="S369" s="687"/>
      <c r="T369" s="680"/>
    </row>
    <row r="370" spans="1:20" ht="20.100000000000001" customHeight="1">
      <c r="A370" s="1139" t="s">
        <v>2963</v>
      </c>
      <c r="B370" s="1136" t="s">
        <v>290</v>
      </c>
      <c r="C370" s="1139" t="s">
        <v>1863</v>
      </c>
      <c r="D370" s="32">
        <v>1375</v>
      </c>
      <c r="E370" s="32">
        <v>2750</v>
      </c>
      <c r="F370" s="32">
        <v>2750</v>
      </c>
      <c r="G370" s="3" t="s">
        <v>18</v>
      </c>
      <c r="H370" s="22" t="s">
        <v>1248</v>
      </c>
      <c r="I370" s="461" t="s">
        <v>613</v>
      </c>
      <c r="J370" s="461"/>
      <c r="K370" s="498" t="s">
        <v>1247</v>
      </c>
      <c r="L370" s="451" t="s">
        <v>643</v>
      </c>
      <c r="M370" s="452">
        <v>43040</v>
      </c>
      <c r="N370" s="452">
        <v>43100</v>
      </c>
      <c r="O370" s="483"/>
      <c r="P370" s="479"/>
      <c r="Q370" s="481"/>
      <c r="R370" s="473" t="s">
        <v>1366</v>
      </c>
      <c r="S370" s="687" t="s">
        <v>1176</v>
      </c>
      <c r="T370" s="680"/>
    </row>
    <row r="371" spans="1:20" ht="20.100000000000001" customHeight="1">
      <c r="A371" s="1139" t="s">
        <v>2963</v>
      </c>
      <c r="B371" s="1137" t="s">
        <v>290</v>
      </c>
      <c r="C371" s="1139" t="s">
        <v>1863</v>
      </c>
      <c r="D371" s="894">
        <v>1300</v>
      </c>
      <c r="E371" s="894">
        <v>2600</v>
      </c>
      <c r="F371" s="894">
        <v>2600</v>
      </c>
      <c r="G371" s="3" t="s">
        <v>139</v>
      </c>
      <c r="H371" s="28" t="s">
        <v>3833</v>
      </c>
      <c r="I371" s="475" t="s">
        <v>256</v>
      </c>
      <c r="J371" s="475"/>
      <c r="K371" s="497">
        <v>32</v>
      </c>
      <c r="L371" s="475" t="s">
        <v>635</v>
      </c>
      <c r="M371" s="452">
        <v>43084</v>
      </c>
      <c r="N371" s="452">
        <v>43100</v>
      </c>
      <c r="O371" s="458" t="s">
        <v>624</v>
      </c>
      <c r="P371" s="458"/>
      <c r="Q371" s="458"/>
      <c r="R371" s="456"/>
      <c r="S371" s="687"/>
      <c r="T371" s="680"/>
    </row>
    <row r="372" spans="1:20" ht="20.100000000000001" customHeight="1">
      <c r="A372" s="1139" t="s">
        <v>2963</v>
      </c>
      <c r="B372" s="1139" t="s">
        <v>290</v>
      </c>
      <c r="C372" s="1138" t="s">
        <v>3316</v>
      </c>
      <c r="D372" s="32">
        <v>1950</v>
      </c>
      <c r="E372" s="32">
        <v>3600</v>
      </c>
      <c r="F372" s="32">
        <f>E372+0</f>
        <v>3600</v>
      </c>
      <c r="G372" s="227" t="s">
        <v>1689</v>
      </c>
      <c r="H372" s="4">
        <v>1</v>
      </c>
      <c r="I372" s="451" t="s">
        <v>118</v>
      </c>
      <c r="J372" s="451"/>
      <c r="K372" s="451">
        <v>27</v>
      </c>
      <c r="L372" s="451" t="s">
        <v>643</v>
      </c>
      <c r="M372" s="452">
        <v>43009</v>
      </c>
      <c r="N372" s="452">
        <v>43100</v>
      </c>
      <c r="O372" s="458" t="s">
        <v>600</v>
      </c>
      <c r="P372" s="458"/>
      <c r="Q372" s="455"/>
      <c r="R372" s="456" t="s">
        <v>184</v>
      </c>
      <c r="S372" s="687" t="s">
        <v>1176</v>
      </c>
      <c r="T372" s="680"/>
    </row>
    <row r="373" spans="1:20" ht="20.100000000000001" customHeight="1">
      <c r="A373" s="1139" t="s">
        <v>2963</v>
      </c>
      <c r="B373" s="1139" t="s">
        <v>290</v>
      </c>
      <c r="C373" s="1139" t="s">
        <v>2579</v>
      </c>
      <c r="D373" s="528">
        <v>2300</v>
      </c>
      <c r="E373" s="528">
        <f>D373*2</f>
        <v>4600</v>
      </c>
      <c r="F373" s="528">
        <f>D373*2+100</f>
        <v>4700</v>
      </c>
      <c r="G373" s="628" t="s">
        <v>989</v>
      </c>
      <c r="H373" s="4" t="s">
        <v>994</v>
      </c>
      <c r="I373" s="451" t="s">
        <v>116</v>
      </c>
      <c r="J373" s="451"/>
      <c r="K373" s="451" t="s">
        <v>998</v>
      </c>
      <c r="L373" s="451" t="s">
        <v>643</v>
      </c>
      <c r="M373" s="452">
        <v>42979</v>
      </c>
      <c r="N373" s="452">
        <v>43069</v>
      </c>
      <c r="O373" s="458" t="s">
        <v>995</v>
      </c>
      <c r="P373" s="458"/>
      <c r="Q373" s="455"/>
      <c r="R373" s="456"/>
      <c r="S373" s="687"/>
      <c r="T373" s="680"/>
    </row>
    <row r="374" spans="1:20" ht="20.100000000000001" customHeight="1">
      <c r="A374" s="1139" t="s">
        <v>2963</v>
      </c>
      <c r="B374" s="1139" t="s">
        <v>290</v>
      </c>
      <c r="C374" s="1139" t="s">
        <v>2579</v>
      </c>
      <c r="D374" s="528">
        <v>1350</v>
      </c>
      <c r="E374" s="528">
        <v>2700</v>
      </c>
      <c r="F374" s="528">
        <v>2700</v>
      </c>
      <c r="G374" s="628" t="s">
        <v>51</v>
      </c>
      <c r="H374" s="4" t="s">
        <v>740</v>
      </c>
      <c r="I374" s="5" t="s">
        <v>80</v>
      </c>
      <c r="J374" s="451"/>
      <c r="K374" s="5" t="s">
        <v>3314</v>
      </c>
      <c r="L374" s="451" t="s">
        <v>643</v>
      </c>
      <c r="M374" s="452">
        <v>43059</v>
      </c>
      <c r="N374" s="452">
        <v>43091</v>
      </c>
      <c r="O374" s="458"/>
      <c r="P374" s="458"/>
      <c r="Q374" s="167"/>
      <c r="R374" s="8" t="s">
        <v>3388</v>
      </c>
      <c r="S374" s="687"/>
      <c r="T374" s="775"/>
    </row>
    <row r="375" spans="1:20" ht="20.100000000000001" customHeight="1">
      <c r="A375" s="1139" t="s">
        <v>2963</v>
      </c>
      <c r="B375" s="1139" t="s">
        <v>290</v>
      </c>
      <c r="C375" s="1139" t="s">
        <v>2579</v>
      </c>
      <c r="D375" s="528">
        <v>1275</v>
      </c>
      <c r="E375" s="528">
        <v>2550</v>
      </c>
      <c r="F375" s="528">
        <v>2550</v>
      </c>
      <c r="G375" s="221" t="s">
        <v>1308</v>
      </c>
      <c r="H375" s="4" t="s">
        <v>740</v>
      </c>
      <c r="I375" s="5" t="s">
        <v>80</v>
      </c>
      <c r="J375" s="451"/>
      <c r="K375" s="5" t="s">
        <v>3314</v>
      </c>
      <c r="L375" s="451" t="s">
        <v>643</v>
      </c>
      <c r="M375" s="452">
        <v>43059</v>
      </c>
      <c r="N375" s="6">
        <v>43093</v>
      </c>
      <c r="O375" s="458"/>
      <c r="P375" s="458"/>
      <c r="Q375" s="167"/>
      <c r="R375" s="8" t="s">
        <v>3388</v>
      </c>
      <c r="S375" s="687"/>
      <c r="T375" s="775"/>
    </row>
    <row r="376" spans="1:20" ht="20.100000000000001" customHeight="1">
      <c r="A376" s="1139" t="s">
        <v>2963</v>
      </c>
      <c r="B376" s="1139" t="s">
        <v>290</v>
      </c>
      <c r="C376" s="1139" t="s">
        <v>2579</v>
      </c>
      <c r="D376" s="32">
        <v>1275</v>
      </c>
      <c r="E376" s="32">
        <v>2550</v>
      </c>
      <c r="F376" s="32">
        <v>2550</v>
      </c>
      <c r="G376" s="3" t="s">
        <v>13</v>
      </c>
      <c r="H376" s="4" t="s">
        <v>1656</v>
      </c>
      <c r="I376" s="451" t="s">
        <v>80</v>
      </c>
      <c r="J376" s="451"/>
      <c r="K376" s="451" t="s">
        <v>1891</v>
      </c>
      <c r="L376" s="451" t="s">
        <v>642</v>
      </c>
      <c r="M376" s="452">
        <v>43023</v>
      </c>
      <c r="N376" s="452">
        <v>43039</v>
      </c>
      <c r="O376" s="458"/>
      <c r="P376" s="458"/>
      <c r="Q376" s="458"/>
      <c r="R376" s="456" t="s">
        <v>1657</v>
      </c>
      <c r="S376" s="687" t="s">
        <v>1176</v>
      </c>
      <c r="T376" s="680"/>
    </row>
    <row r="377" spans="1:20" ht="20.100000000000001" customHeight="1">
      <c r="A377" s="1139" t="s">
        <v>2963</v>
      </c>
      <c r="B377" s="1139" t="s">
        <v>290</v>
      </c>
      <c r="C377" s="1139" t="s">
        <v>2579</v>
      </c>
      <c r="D377" s="894">
        <v>1300</v>
      </c>
      <c r="E377" s="894">
        <v>2600</v>
      </c>
      <c r="F377" s="894">
        <v>2600</v>
      </c>
      <c r="G377" s="3" t="s">
        <v>139</v>
      </c>
      <c r="H377" s="4" t="s">
        <v>1098</v>
      </c>
      <c r="I377" s="497" t="s">
        <v>25</v>
      </c>
      <c r="J377" s="475"/>
      <c r="K377" s="451">
        <v>27</v>
      </c>
      <c r="L377" s="475" t="s">
        <v>638</v>
      </c>
      <c r="M377" s="452">
        <v>43084</v>
      </c>
      <c r="N377" s="452">
        <v>43100</v>
      </c>
      <c r="O377" s="458" t="s">
        <v>624</v>
      </c>
      <c r="P377" s="458"/>
      <c r="Q377" s="458"/>
      <c r="R377" s="456"/>
      <c r="S377" s="687"/>
      <c r="T377" s="680"/>
    </row>
    <row r="378" spans="1:20" ht="20.100000000000001" customHeight="1">
      <c r="A378" s="1139" t="s">
        <v>2963</v>
      </c>
      <c r="B378" s="1139" t="s">
        <v>290</v>
      </c>
      <c r="C378" s="1139" t="s">
        <v>2579</v>
      </c>
      <c r="D378" s="2">
        <v>1450</v>
      </c>
      <c r="E378" s="2">
        <v>2650</v>
      </c>
      <c r="F378" s="2">
        <v>2650</v>
      </c>
      <c r="G378" s="221" t="s">
        <v>5</v>
      </c>
      <c r="H378" s="4" t="s">
        <v>2462</v>
      </c>
      <c r="I378" s="451" t="s">
        <v>116</v>
      </c>
      <c r="J378" s="451"/>
      <c r="K378" s="451">
        <v>30</v>
      </c>
      <c r="L378" s="451" t="s">
        <v>641</v>
      </c>
      <c r="M378" s="452">
        <v>43040</v>
      </c>
      <c r="N378" s="452">
        <v>43100</v>
      </c>
      <c r="O378" s="458" t="s">
        <v>1771</v>
      </c>
      <c r="P378" s="458"/>
      <c r="Q378" s="167"/>
      <c r="R378" s="456" t="s">
        <v>175</v>
      </c>
      <c r="S378" s="687" t="s">
        <v>1176</v>
      </c>
      <c r="T378" s="313" t="s">
        <v>2834</v>
      </c>
    </row>
    <row r="379" spans="1:20" ht="20.100000000000001" customHeight="1">
      <c r="A379" s="1139" t="s">
        <v>2963</v>
      </c>
      <c r="B379" s="1139" t="s">
        <v>290</v>
      </c>
      <c r="C379" s="1139" t="s">
        <v>2579</v>
      </c>
      <c r="D379" s="32">
        <v>1400</v>
      </c>
      <c r="E379" s="32">
        <v>2800</v>
      </c>
      <c r="F379" s="32">
        <v>2800</v>
      </c>
      <c r="G379" s="3" t="s">
        <v>568</v>
      </c>
      <c r="H379" s="4" t="s">
        <v>1864</v>
      </c>
      <c r="I379" s="475" t="s">
        <v>25</v>
      </c>
      <c r="J379" s="475"/>
      <c r="K379" s="497" t="s">
        <v>574</v>
      </c>
      <c r="L379" s="475" t="s">
        <v>638</v>
      </c>
      <c r="M379" s="452">
        <v>43009</v>
      </c>
      <c r="N379" s="452">
        <v>43083</v>
      </c>
      <c r="O379" s="458" t="s">
        <v>899</v>
      </c>
      <c r="P379" s="458"/>
      <c r="Q379" s="455"/>
      <c r="R379" s="456" t="s">
        <v>1865</v>
      </c>
      <c r="S379" s="687"/>
      <c r="T379" s="680"/>
    </row>
    <row r="380" spans="1:20" ht="20.100000000000001" customHeight="1">
      <c r="A380" s="1139" t="s">
        <v>2963</v>
      </c>
      <c r="B380" s="1139" t="s">
        <v>290</v>
      </c>
      <c r="C380" s="1139" t="s">
        <v>2579</v>
      </c>
      <c r="D380" s="528">
        <v>1800</v>
      </c>
      <c r="E380" s="528">
        <v>3330</v>
      </c>
      <c r="F380" s="528">
        <v>3330</v>
      </c>
      <c r="G380" s="628" t="s">
        <v>965</v>
      </c>
      <c r="H380" s="4" t="s">
        <v>967</v>
      </c>
      <c r="I380" s="475" t="s">
        <v>25</v>
      </c>
      <c r="J380" s="475"/>
      <c r="K380" s="475" t="s">
        <v>982</v>
      </c>
      <c r="L380" s="475" t="s">
        <v>966</v>
      </c>
      <c r="M380" s="452">
        <v>42979</v>
      </c>
      <c r="N380" s="452">
        <v>43069</v>
      </c>
      <c r="O380" s="458"/>
      <c r="P380" s="458"/>
      <c r="Q380" s="483"/>
      <c r="R380" s="456" t="s">
        <v>988</v>
      </c>
      <c r="S380" s="687"/>
      <c r="T380" s="680"/>
    </row>
    <row r="381" spans="1:20" ht="20.100000000000001" customHeight="1">
      <c r="A381" s="1139" t="s">
        <v>2963</v>
      </c>
      <c r="B381" s="1139" t="s">
        <v>290</v>
      </c>
      <c r="C381" s="1139" t="s">
        <v>2579</v>
      </c>
      <c r="D381" s="32">
        <v>1375</v>
      </c>
      <c r="E381" s="32">
        <v>2750</v>
      </c>
      <c r="F381" s="32">
        <v>2750</v>
      </c>
      <c r="G381" s="3" t="s">
        <v>18</v>
      </c>
      <c r="H381" s="22" t="s">
        <v>1248</v>
      </c>
      <c r="I381" s="461" t="s">
        <v>613</v>
      </c>
      <c r="J381" s="461"/>
      <c r="K381" s="498">
        <v>35</v>
      </c>
      <c r="L381" s="451" t="s">
        <v>643</v>
      </c>
      <c r="M381" s="452">
        <v>43040</v>
      </c>
      <c r="N381" s="452">
        <v>43100</v>
      </c>
      <c r="O381" s="483"/>
      <c r="P381" s="479"/>
      <c r="Q381" s="481"/>
      <c r="R381" s="473" t="s">
        <v>1366</v>
      </c>
      <c r="S381" s="687" t="s">
        <v>1176</v>
      </c>
      <c r="T381" s="680"/>
    </row>
    <row r="382" spans="1:20" ht="20.100000000000001" customHeight="1">
      <c r="A382" s="1139" t="s">
        <v>2963</v>
      </c>
      <c r="B382" s="1139" t="s">
        <v>290</v>
      </c>
      <c r="C382" s="1139" t="s">
        <v>2579</v>
      </c>
      <c r="D382" s="894">
        <v>1300</v>
      </c>
      <c r="E382" s="894">
        <v>2600</v>
      </c>
      <c r="F382" s="894">
        <v>2600</v>
      </c>
      <c r="G382" s="3" t="s">
        <v>139</v>
      </c>
      <c r="H382" s="28" t="s">
        <v>3833</v>
      </c>
      <c r="I382" s="475" t="s">
        <v>256</v>
      </c>
      <c r="J382" s="475"/>
      <c r="K382" s="497">
        <v>34</v>
      </c>
      <c r="L382" s="475" t="s">
        <v>635</v>
      </c>
      <c r="M382" s="452">
        <v>43084</v>
      </c>
      <c r="N382" s="452">
        <v>43100</v>
      </c>
      <c r="O382" s="458" t="s">
        <v>624</v>
      </c>
      <c r="P382" s="458"/>
      <c r="Q382" s="458"/>
      <c r="R382" s="456"/>
      <c r="S382" s="687"/>
      <c r="T382" s="680"/>
    </row>
    <row r="383" spans="1:20" ht="20.100000000000001" customHeight="1">
      <c r="A383" s="1138" t="s">
        <v>2963</v>
      </c>
      <c r="B383" s="1139" t="s">
        <v>561</v>
      </c>
      <c r="C383" s="1139" t="s">
        <v>1585</v>
      </c>
      <c r="D383" s="32">
        <v>1650</v>
      </c>
      <c r="E383" s="32">
        <v>3100</v>
      </c>
      <c r="F383" s="32">
        <f>E383+0</f>
        <v>3100</v>
      </c>
      <c r="G383" s="227" t="s">
        <v>1689</v>
      </c>
      <c r="H383" s="4">
        <v>1</v>
      </c>
      <c r="I383" s="451" t="s">
        <v>116</v>
      </c>
      <c r="J383" s="451"/>
      <c r="K383" s="451">
        <v>25</v>
      </c>
      <c r="L383" s="451" t="s">
        <v>643</v>
      </c>
      <c r="M383" s="452">
        <v>43009</v>
      </c>
      <c r="N383" s="452">
        <v>43100</v>
      </c>
      <c r="O383" s="458" t="s">
        <v>600</v>
      </c>
      <c r="P383" s="458"/>
      <c r="Q383" s="455"/>
      <c r="R383" s="456" t="s">
        <v>184</v>
      </c>
      <c r="S383" s="687" t="s">
        <v>1176</v>
      </c>
      <c r="T383" s="680"/>
    </row>
    <row r="384" spans="1:20" ht="20.100000000000001" customHeight="1">
      <c r="A384" s="1138" t="s">
        <v>2963</v>
      </c>
      <c r="B384" s="1139" t="s">
        <v>561</v>
      </c>
      <c r="C384" s="1139" t="s">
        <v>562</v>
      </c>
      <c r="D384" s="528">
        <v>2100</v>
      </c>
      <c r="E384" s="528">
        <v>3870</v>
      </c>
      <c r="F384" s="528">
        <v>3870</v>
      </c>
      <c r="G384" s="628" t="s">
        <v>965</v>
      </c>
      <c r="H384" s="4" t="s">
        <v>967</v>
      </c>
      <c r="I384" s="475" t="s">
        <v>25</v>
      </c>
      <c r="J384" s="475"/>
      <c r="K384" s="475" t="s">
        <v>987</v>
      </c>
      <c r="L384" s="475" t="s">
        <v>966</v>
      </c>
      <c r="M384" s="452">
        <v>42979</v>
      </c>
      <c r="N384" s="452">
        <v>43069</v>
      </c>
      <c r="O384" s="458"/>
      <c r="P384" s="458"/>
      <c r="Q384" s="483"/>
      <c r="R384" s="456" t="s">
        <v>988</v>
      </c>
      <c r="S384" s="687"/>
      <c r="T384" s="680"/>
    </row>
    <row r="385" spans="1:20" ht="20.100000000000001" customHeight="1">
      <c r="A385" s="1138" t="s">
        <v>2963</v>
      </c>
      <c r="B385" s="1139" t="s">
        <v>561</v>
      </c>
      <c r="C385" s="1139" t="s">
        <v>562</v>
      </c>
      <c r="D385" s="11">
        <v>1950</v>
      </c>
      <c r="E385" s="727">
        <v>4000</v>
      </c>
      <c r="F385" s="727">
        <v>4250</v>
      </c>
      <c r="G385" s="3" t="s">
        <v>13</v>
      </c>
      <c r="H385" s="56" t="s">
        <v>2462</v>
      </c>
      <c r="I385" s="451" t="s">
        <v>116</v>
      </c>
      <c r="J385" s="451"/>
      <c r="K385" s="492" t="s">
        <v>688</v>
      </c>
      <c r="L385" s="451" t="s">
        <v>641</v>
      </c>
      <c r="M385" s="452">
        <v>43023</v>
      </c>
      <c r="N385" s="452">
        <v>43039</v>
      </c>
      <c r="O385" s="458"/>
      <c r="P385" s="458"/>
      <c r="Q385" s="167"/>
      <c r="R385" s="456" t="s">
        <v>501</v>
      </c>
      <c r="S385" s="687" t="s">
        <v>1176</v>
      </c>
      <c r="T385" s="680"/>
    </row>
    <row r="386" spans="1:20" ht="20.100000000000001" customHeight="1">
      <c r="A386" s="1138" t="s">
        <v>2963</v>
      </c>
      <c r="B386" s="1139" t="s">
        <v>561</v>
      </c>
      <c r="C386" s="1139" t="s">
        <v>562</v>
      </c>
      <c r="D386" s="2">
        <v>1900</v>
      </c>
      <c r="E386" s="2">
        <v>3600</v>
      </c>
      <c r="F386" s="2">
        <v>3600</v>
      </c>
      <c r="G386" s="221" t="s">
        <v>5</v>
      </c>
      <c r="H386" s="4" t="s">
        <v>2462</v>
      </c>
      <c r="I386" s="451" t="s">
        <v>613</v>
      </c>
      <c r="J386" s="451"/>
      <c r="K386" s="451">
        <v>36</v>
      </c>
      <c r="L386" s="451" t="s">
        <v>641</v>
      </c>
      <c r="M386" s="452">
        <v>43040</v>
      </c>
      <c r="N386" s="452">
        <v>43100</v>
      </c>
      <c r="O386" s="458" t="s">
        <v>1771</v>
      </c>
      <c r="P386" s="458"/>
      <c r="Q386" s="167"/>
      <c r="R386" s="456" t="s">
        <v>175</v>
      </c>
      <c r="S386" s="687" t="s">
        <v>1176</v>
      </c>
      <c r="T386" s="313" t="s">
        <v>2835</v>
      </c>
    </row>
    <row r="387" spans="1:20" ht="20.100000000000001" customHeight="1">
      <c r="A387" s="1138" t="s">
        <v>2963</v>
      </c>
      <c r="B387" s="1139" t="s">
        <v>561</v>
      </c>
      <c r="C387" s="1139" t="s">
        <v>562</v>
      </c>
      <c r="D387" s="32">
        <v>1800</v>
      </c>
      <c r="E387" s="32">
        <v>3600</v>
      </c>
      <c r="F387" s="32">
        <v>3600</v>
      </c>
      <c r="G387" s="3" t="s">
        <v>568</v>
      </c>
      <c r="H387" s="4" t="s">
        <v>1864</v>
      </c>
      <c r="I387" s="475" t="s">
        <v>25</v>
      </c>
      <c r="J387" s="497"/>
      <c r="K387" s="451" t="s">
        <v>573</v>
      </c>
      <c r="L387" s="475" t="s">
        <v>638</v>
      </c>
      <c r="M387" s="452">
        <v>43009</v>
      </c>
      <c r="N387" s="452">
        <v>43083</v>
      </c>
      <c r="O387" s="458" t="s">
        <v>899</v>
      </c>
      <c r="P387" s="458"/>
      <c r="Q387" s="455"/>
      <c r="R387" s="456" t="s">
        <v>1865</v>
      </c>
      <c r="S387" s="687"/>
      <c r="T387" s="680"/>
    </row>
    <row r="388" spans="1:20" ht="20.100000000000001" customHeight="1">
      <c r="A388" s="1138" t="s">
        <v>2963</v>
      </c>
      <c r="B388" s="1139" t="s">
        <v>561</v>
      </c>
      <c r="C388" s="1139" t="s">
        <v>562</v>
      </c>
      <c r="D388" s="11">
        <v>2900</v>
      </c>
      <c r="E388" s="11">
        <v>5800</v>
      </c>
      <c r="F388" s="11">
        <f>E388</f>
        <v>5800</v>
      </c>
      <c r="G388" s="3" t="s">
        <v>139</v>
      </c>
      <c r="H388" s="4" t="s">
        <v>2987</v>
      </c>
      <c r="I388" s="497" t="s">
        <v>25</v>
      </c>
      <c r="J388" s="497"/>
      <c r="K388" s="451">
        <v>38</v>
      </c>
      <c r="L388" s="475" t="s">
        <v>638</v>
      </c>
      <c r="M388" s="452">
        <v>43040</v>
      </c>
      <c r="N388" s="452">
        <v>43100</v>
      </c>
      <c r="O388" s="458" t="s">
        <v>624</v>
      </c>
      <c r="P388" s="458"/>
      <c r="Q388" s="458"/>
      <c r="R388" s="456"/>
      <c r="S388" s="687"/>
      <c r="T388" s="680"/>
    </row>
    <row r="389" spans="1:20" ht="20.100000000000001" customHeight="1">
      <c r="A389" s="1139" t="s">
        <v>2963</v>
      </c>
      <c r="B389" s="1138" t="s">
        <v>138</v>
      </c>
      <c r="C389" s="1139" t="s">
        <v>3312</v>
      </c>
      <c r="D389" s="32">
        <v>3450</v>
      </c>
      <c r="E389" s="32">
        <v>6600</v>
      </c>
      <c r="F389" s="32">
        <f>E389+0</f>
        <v>6600</v>
      </c>
      <c r="G389" s="227" t="s">
        <v>1689</v>
      </c>
      <c r="H389" s="4">
        <v>1</v>
      </c>
      <c r="I389" s="451" t="s">
        <v>116</v>
      </c>
      <c r="J389" s="451"/>
      <c r="K389" s="451">
        <v>45</v>
      </c>
      <c r="L389" s="451" t="s">
        <v>643</v>
      </c>
      <c r="M389" s="452">
        <v>43009</v>
      </c>
      <c r="N389" s="452">
        <v>43100</v>
      </c>
      <c r="O389" s="458" t="s">
        <v>600</v>
      </c>
      <c r="P389" s="458"/>
      <c r="Q389" s="455"/>
      <c r="R389" s="456" t="s">
        <v>184</v>
      </c>
      <c r="S389" s="687" t="s">
        <v>1176</v>
      </c>
      <c r="T389" s="680"/>
    </row>
    <row r="390" spans="1:20" ht="20.100000000000001" customHeight="1">
      <c r="A390" s="1139" t="s">
        <v>2963</v>
      </c>
      <c r="B390" s="1139" t="s">
        <v>138</v>
      </c>
      <c r="C390" s="1139" t="s">
        <v>466</v>
      </c>
      <c r="D390" s="32">
        <v>850</v>
      </c>
      <c r="E390" s="32">
        <v>1700</v>
      </c>
      <c r="F390" s="32">
        <v>1700</v>
      </c>
      <c r="G390" s="628" t="s">
        <v>51</v>
      </c>
      <c r="H390" s="4" t="s">
        <v>740</v>
      </c>
      <c r="I390" s="5" t="s">
        <v>80</v>
      </c>
      <c r="J390" s="451"/>
      <c r="K390" s="5" t="s">
        <v>3315</v>
      </c>
      <c r="L390" s="451" t="s">
        <v>643</v>
      </c>
      <c r="M390" s="452">
        <v>43059</v>
      </c>
      <c r="N390" s="452">
        <v>43091</v>
      </c>
      <c r="O390" s="458"/>
      <c r="P390" s="458"/>
      <c r="Q390" s="167"/>
      <c r="R390" s="8" t="s">
        <v>3388</v>
      </c>
      <c r="S390" s="687"/>
      <c r="T390" s="775"/>
    </row>
    <row r="391" spans="1:20" ht="20.100000000000001" customHeight="1">
      <c r="A391" s="1139" t="s">
        <v>2963</v>
      </c>
      <c r="B391" s="1139" t="s">
        <v>138</v>
      </c>
      <c r="C391" s="1139" t="s">
        <v>3312</v>
      </c>
      <c r="D391" s="32">
        <v>825</v>
      </c>
      <c r="E391" s="32">
        <v>1650</v>
      </c>
      <c r="F391" s="32">
        <v>1650</v>
      </c>
      <c r="G391" s="221" t="s">
        <v>1308</v>
      </c>
      <c r="H391" s="4" t="s">
        <v>740</v>
      </c>
      <c r="I391" s="5" t="s">
        <v>80</v>
      </c>
      <c r="J391" s="451"/>
      <c r="K391" s="5" t="s">
        <v>3315</v>
      </c>
      <c r="L391" s="451" t="s">
        <v>643</v>
      </c>
      <c r="M391" s="452">
        <v>43059</v>
      </c>
      <c r="N391" s="6">
        <v>43093</v>
      </c>
      <c r="O391" s="458"/>
      <c r="P391" s="458"/>
      <c r="Q391" s="167"/>
      <c r="R391" s="8" t="s">
        <v>3388</v>
      </c>
      <c r="S391" s="687"/>
      <c r="T391" s="775"/>
    </row>
    <row r="392" spans="1:20" ht="20.100000000000001" customHeight="1">
      <c r="A392" s="1139" t="s">
        <v>2963</v>
      </c>
      <c r="B392" s="1139" t="s">
        <v>138</v>
      </c>
      <c r="C392" s="1139" t="s">
        <v>3312</v>
      </c>
      <c r="D392" s="11">
        <v>1400</v>
      </c>
      <c r="E392" s="11"/>
      <c r="F392" s="11">
        <v>2800</v>
      </c>
      <c r="G392" s="3" t="s">
        <v>49</v>
      </c>
      <c r="H392" s="771" t="s">
        <v>3088</v>
      </c>
      <c r="I392" s="451" t="s">
        <v>17</v>
      </c>
      <c r="J392" s="451"/>
      <c r="K392" s="475" t="s">
        <v>660</v>
      </c>
      <c r="L392" s="451" t="s">
        <v>641</v>
      </c>
      <c r="M392" s="452">
        <v>42979</v>
      </c>
      <c r="N392" s="452">
        <v>43069</v>
      </c>
      <c r="O392" s="464"/>
      <c r="P392" s="458"/>
      <c r="Q392" s="458" t="s">
        <v>632</v>
      </c>
      <c r="R392" s="456" t="s">
        <v>185</v>
      </c>
      <c r="S392" s="687"/>
      <c r="T392" s="680"/>
    </row>
    <row r="393" spans="1:20" ht="20.100000000000001" customHeight="1">
      <c r="A393" s="1139" t="s">
        <v>2963</v>
      </c>
      <c r="B393" s="1139" t="s">
        <v>138</v>
      </c>
      <c r="C393" s="1139" t="s">
        <v>3312</v>
      </c>
      <c r="D393" s="894">
        <v>1300</v>
      </c>
      <c r="E393" s="894">
        <v>2600</v>
      </c>
      <c r="F393" s="894">
        <v>2600</v>
      </c>
      <c r="G393" s="3" t="s">
        <v>4204</v>
      </c>
      <c r="H393" s="4" t="s">
        <v>2987</v>
      </c>
      <c r="I393" s="497" t="s">
        <v>25</v>
      </c>
      <c r="J393" s="475"/>
      <c r="K393" s="451"/>
      <c r="L393" s="475" t="s">
        <v>638</v>
      </c>
      <c r="M393" s="452">
        <v>43084</v>
      </c>
      <c r="N393" s="452">
        <v>43100</v>
      </c>
      <c r="O393" s="458" t="s">
        <v>624</v>
      </c>
      <c r="P393" s="458"/>
      <c r="Q393" s="458"/>
      <c r="R393" s="456"/>
      <c r="S393" s="687"/>
      <c r="T393" s="680"/>
    </row>
    <row r="394" spans="1:20" ht="20.100000000000001" customHeight="1">
      <c r="A394" s="1139" t="s">
        <v>2963</v>
      </c>
      <c r="B394" s="1139" t="s">
        <v>138</v>
      </c>
      <c r="C394" s="1139" t="s">
        <v>3312</v>
      </c>
      <c r="D394" s="11">
        <v>1212</v>
      </c>
      <c r="E394" s="11">
        <v>2412</v>
      </c>
      <c r="F394" s="11">
        <v>2412</v>
      </c>
      <c r="G394" s="221" t="s">
        <v>433</v>
      </c>
      <c r="H394" s="22" t="s">
        <v>659</v>
      </c>
      <c r="I394" s="461" t="s">
        <v>23</v>
      </c>
      <c r="J394" s="461"/>
      <c r="K394" s="461" t="s">
        <v>2119</v>
      </c>
      <c r="L394" s="472" t="s">
        <v>641</v>
      </c>
      <c r="M394" s="452">
        <v>43040</v>
      </c>
      <c r="N394" s="452">
        <v>43100</v>
      </c>
      <c r="O394" s="477"/>
      <c r="P394" s="477"/>
      <c r="Q394" s="455"/>
      <c r="R394" s="456" t="s">
        <v>826</v>
      </c>
      <c r="S394" s="687" t="s">
        <v>1176</v>
      </c>
      <c r="T394" s="313" t="s">
        <v>2836</v>
      </c>
    </row>
    <row r="395" spans="1:20" ht="20.100000000000001" customHeight="1">
      <c r="A395" s="1139" t="s">
        <v>2963</v>
      </c>
      <c r="B395" s="1139" t="s">
        <v>138</v>
      </c>
      <c r="C395" s="1139" t="s">
        <v>3312</v>
      </c>
      <c r="D395" s="11">
        <v>1800</v>
      </c>
      <c r="E395" s="11">
        <v>3600</v>
      </c>
      <c r="F395" s="11">
        <v>3600</v>
      </c>
      <c r="G395" s="221" t="s">
        <v>965</v>
      </c>
      <c r="H395" s="4" t="s">
        <v>967</v>
      </c>
      <c r="I395" s="475" t="s">
        <v>25</v>
      </c>
      <c r="J395" s="475"/>
      <c r="K395" s="475" t="s">
        <v>968</v>
      </c>
      <c r="L395" s="475" t="s">
        <v>966</v>
      </c>
      <c r="M395" s="452">
        <v>42979</v>
      </c>
      <c r="N395" s="452">
        <v>43069</v>
      </c>
      <c r="O395" s="477"/>
      <c r="P395" s="477"/>
      <c r="Q395" s="499"/>
      <c r="R395" s="456" t="s">
        <v>971</v>
      </c>
      <c r="S395" s="687"/>
      <c r="T395" s="680"/>
    </row>
    <row r="396" spans="1:20" ht="20.100000000000001" customHeight="1">
      <c r="A396" s="1139" t="s">
        <v>2963</v>
      </c>
      <c r="B396" s="1139" t="s">
        <v>138</v>
      </c>
      <c r="C396" s="1139" t="s">
        <v>3312</v>
      </c>
      <c r="D396" s="528">
        <v>1400</v>
      </c>
      <c r="E396" s="528">
        <v>2100</v>
      </c>
      <c r="F396" s="528">
        <v>2100</v>
      </c>
      <c r="G396" s="3" t="s">
        <v>18</v>
      </c>
      <c r="H396" s="22" t="s">
        <v>721</v>
      </c>
      <c r="I396" s="461" t="s">
        <v>1</v>
      </c>
      <c r="J396" s="461"/>
      <c r="K396" s="498">
        <v>40</v>
      </c>
      <c r="L396" s="451" t="s">
        <v>643</v>
      </c>
      <c r="M396" s="452">
        <v>43040</v>
      </c>
      <c r="N396" s="452">
        <v>43100</v>
      </c>
      <c r="O396" s="477"/>
      <c r="P396" s="477"/>
      <c r="Q396" s="479"/>
      <c r="R396" s="473" t="s">
        <v>1275</v>
      </c>
      <c r="S396" s="687" t="s">
        <v>1176</v>
      </c>
      <c r="T396" s="680"/>
    </row>
    <row r="397" spans="1:20" ht="20.100000000000001" customHeight="1">
      <c r="A397" s="1139" t="s">
        <v>2963</v>
      </c>
      <c r="B397" s="1139" t="s">
        <v>138</v>
      </c>
      <c r="C397" s="1139" t="s">
        <v>3312</v>
      </c>
      <c r="D397" s="894">
        <v>1300</v>
      </c>
      <c r="E397" s="894">
        <v>2600</v>
      </c>
      <c r="F397" s="894">
        <v>2600</v>
      </c>
      <c r="G397" s="3" t="s">
        <v>139</v>
      </c>
      <c r="H397" s="28" t="s">
        <v>4197</v>
      </c>
      <c r="I397" s="451" t="s">
        <v>17</v>
      </c>
      <c r="J397" s="451"/>
      <c r="K397" s="497" t="s">
        <v>1010</v>
      </c>
      <c r="L397" s="475" t="s">
        <v>635</v>
      </c>
      <c r="M397" s="452">
        <v>43084</v>
      </c>
      <c r="N397" s="452">
        <v>43100</v>
      </c>
      <c r="O397" s="458" t="s">
        <v>624</v>
      </c>
      <c r="P397" s="458"/>
      <c r="Q397" s="458"/>
      <c r="R397" s="456"/>
      <c r="S397" s="687"/>
      <c r="T397" s="680"/>
    </row>
    <row r="398" spans="1:20" ht="20.100000000000001" customHeight="1">
      <c r="A398" s="1138" t="s">
        <v>2963</v>
      </c>
      <c r="B398" s="1139" t="s">
        <v>138</v>
      </c>
      <c r="C398" s="1139" t="s">
        <v>516</v>
      </c>
      <c r="D398" s="32">
        <v>3450</v>
      </c>
      <c r="E398" s="32">
        <v>6600</v>
      </c>
      <c r="F398" s="32">
        <f>E398+0</f>
        <v>6600</v>
      </c>
      <c r="G398" s="227" t="s">
        <v>1689</v>
      </c>
      <c r="H398" s="4">
        <v>1</v>
      </c>
      <c r="I398" s="451" t="s">
        <v>116</v>
      </c>
      <c r="J398" s="451"/>
      <c r="K398" s="451">
        <v>45</v>
      </c>
      <c r="L398" s="451" t="s">
        <v>643</v>
      </c>
      <c r="M398" s="452">
        <v>43009</v>
      </c>
      <c r="N398" s="452">
        <v>43100</v>
      </c>
      <c r="O398" s="458" t="s">
        <v>600</v>
      </c>
      <c r="P398" s="458"/>
      <c r="Q398" s="455"/>
      <c r="R398" s="456" t="s">
        <v>184</v>
      </c>
      <c r="S398" s="687" t="s">
        <v>1176</v>
      </c>
      <c r="T398" s="680"/>
    </row>
    <row r="399" spans="1:20" ht="20.100000000000001" customHeight="1">
      <c r="A399" s="1138" t="s">
        <v>2963</v>
      </c>
      <c r="B399" s="1139" t="s">
        <v>138</v>
      </c>
      <c r="C399" s="1139" t="s">
        <v>516</v>
      </c>
      <c r="D399" s="11">
        <v>1400</v>
      </c>
      <c r="E399" s="11"/>
      <c r="F399" s="11">
        <v>2800</v>
      </c>
      <c r="G399" s="3" t="s">
        <v>555</v>
      </c>
      <c r="H399" s="771" t="s">
        <v>3088</v>
      </c>
      <c r="I399" s="451" t="s">
        <v>17</v>
      </c>
      <c r="J399" s="451"/>
      <c r="K399" s="475" t="s">
        <v>682</v>
      </c>
      <c r="L399" s="451" t="s">
        <v>641</v>
      </c>
      <c r="M399" s="452">
        <v>42979</v>
      </c>
      <c r="N399" s="452">
        <v>43069</v>
      </c>
      <c r="O399" s="464"/>
      <c r="P399" s="458"/>
      <c r="Q399" s="458" t="s">
        <v>632</v>
      </c>
      <c r="R399" s="456" t="s">
        <v>185</v>
      </c>
      <c r="S399" s="687"/>
      <c r="T399" s="680" t="s">
        <v>2845</v>
      </c>
    </row>
    <row r="400" spans="1:20" ht="20.100000000000001" customHeight="1">
      <c r="A400" s="1138" t="s">
        <v>2963</v>
      </c>
      <c r="B400" s="1139" t="s">
        <v>138</v>
      </c>
      <c r="C400" s="1139" t="s">
        <v>516</v>
      </c>
      <c r="D400" s="894">
        <v>1300</v>
      </c>
      <c r="E400" s="894">
        <v>2600</v>
      </c>
      <c r="F400" s="894">
        <v>2600</v>
      </c>
      <c r="G400" s="3" t="s">
        <v>139</v>
      </c>
      <c r="H400" s="4" t="s">
        <v>2987</v>
      </c>
      <c r="I400" s="497" t="s">
        <v>25</v>
      </c>
      <c r="J400" s="475"/>
      <c r="K400" s="497">
        <v>29</v>
      </c>
      <c r="L400" s="475" t="s">
        <v>638</v>
      </c>
      <c r="M400" s="452">
        <v>43084</v>
      </c>
      <c r="N400" s="452">
        <v>43100</v>
      </c>
      <c r="O400" s="458" t="s">
        <v>624</v>
      </c>
      <c r="P400" s="458"/>
      <c r="Q400" s="458"/>
      <c r="R400" s="456"/>
      <c r="S400" s="687"/>
      <c r="T400" s="680"/>
    </row>
    <row r="401" spans="1:20" ht="20.100000000000001" customHeight="1">
      <c r="A401" s="1138" t="s">
        <v>2963</v>
      </c>
      <c r="B401" s="1139" t="s">
        <v>138</v>
      </c>
      <c r="C401" s="1139" t="s">
        <v>516</v>
      </c>
      <c r="D401" s="11">
        <v>1212</v>
      </c>
      <c r="E401" s="11">
        <v>2412</v>
      </c>
      <c r="F401" s="11">
        <v>2412</v>
      </c>
      <c r="G401" s="221" t="s">
        <v>103</v>
      </c>
      <c r="H401" s="22" t="s">
        <v>659</v>
      </c>
      <c r="I401" s="461" t="s">
        <v>23</v>
      </c>
      <c r="J401" s="461"/>
      <c r="K401" s="500" t="s">
        <v>2122</v>
      </c>
      <c r="L401" s="472" t="s">
        <v>641</v>
      </c>
      <c r="M401" s="452">
        <v>43040</v>
      </c>
      <c r="N401" s="452">
        <v>43100</v>
      </c>
      <c r="O401" s="477"/>
      <c r="P401" s="477"/>
      <c r="Q401" s="455"/>
      <c r="R401" s="456" t="s">
        <v>826</v>
      </c>
      <c r="S401" s="687" t="s">
        <v>1176</v>
      </c>
      <c r="T401" s="313" t="s">
        <v>2836</v>
      </c>
    </row>
    <row r="402" spans="1:20" ht="20.100000000000001" customHeight="1">
      <c r="A402" s="1138" t="s">
        <v>2963</v>
      </c>
      <c r="B402" s="1139" t="s">
        <v>138</v>
      </c>
      <c r="C402" s="1139" t="s">
        <v>516</v>
      </c>
      <c r="D402" s="11">
        <v>1800</v>
      </c>
      <c r="E402" s="11">
        <v>3600</v>
      </c>
      <c r="F402" s="11">
        <v>3600</v>
      </c>
      <c r="G402" s="221" t="s">
        <v>965</v>
      </c>
      <c r="H402" s="4" t="s">
        <v>967</v>
      </c>
      <c r="I402" s="475" t="s">
        <v>25</v>
      </c>
      <c r="J402" s="475"/>
      <c r="K402" s="475" t="s">
        <v>969</v>
      </c>
      <c r="L402" s="475" t="s">
        <v>966</v>
      </c>
      <c r="M402" s="452">
        <v>42979</v>
      </c>
      <c r="N402" s="452">
        <v>43069</v>
      </c>
      <c r="O402" s="477"/>
      <c r="P402" s="477"/>
      <c r="Q402" s="499"/>
      <c r="R402" s="456" t="s">
        <v>971</v>
      </c>
      <c r="S402" s="687"/>
      <c r="T402" s="680"/>
    </row>
    <row r="403" spans="1:20" ht="20.100000000000001" customHeight="1">
      <c r="A403" s="1138" t="s">
        <v>2963</v>
      </c>
      <c r="B403" s="1139" t="s">
        <v>138</v>
      </c>
      <c r="C403" s="1139" t="s">
        <v>516</v>
      </c>
      <c r="D403" s="528">
        <v>1400</v>
      </c>
      <c r="E403" s="528">
        <v>2100</v>
      </c>
      <c r="F403" s="528">
        <v>2100</v>
      </c>
      <c r="G403" s="3" t="s">
        <v>18</v>
      </c>
      <c r="H403" s="22" t="s">
        <v>1276</v>
      </c>
      <c r="I403" s="461" t="s">
        <v>1</v>
      </c>
      <c r="J403" s="461"/>
      <c r="K403" s="498" t="s">
        <v>1255</v>
      </c>
      <c r="L403" s="451" t="s">
        <v>643</v>
      </c>
      <c r="M403" s="452">
        <v>43040</v>
      </c>
      <c r="N403" s="452">
        <v>43100</v>
      </c>
      <c r="O403" s="483"/>
      <c r="P403" s="477"/>
      <c r="Q403" s="481"/>
      <c r="R403" s="473" t="s">
        <v>1274</v>
      </c>
      <c r="S403" s="687" t="s">
        <v>1176</v>
      </c>
      <c r="T403" s="680"/>
    </row>
    <row r="404" spans="1:20" ht="20.100000000000001" customHeight="1">
      <c r="A404" s="1138" t="s">
        <v>2963</v>
      </c>
      <c r="B404" s="1139" t="s">
        <v>138</v>
      </c>
      <c r="C404" s="1139" t="s">
        <v>516</v>
      </c>
      <c r="D404" s="894">
        <v>1300</v>
      </c>
      <c r="E404" s="894">
        <v>2600</v>
      </c>
      <c r="F404" s="894">
        <v>2600</v>
      </c>
      <c r="G404" s="3" t="s">
        <v>71</v>
      </c>
      <c r="H404" s="28" t="s">
        <v>3833</v>
      </c>
      <c r="I404" s="451" t="s">
        <v>17</v>
      </c>
      <c r="J404" s="451"/>
      <c r="K404" s="475" t="s">
        <v>1007</v>
      </c>
      <c r="L404" s="475" t="s">
        <v>635</v>
      </c>
      <c r="M404" s="452">
        <v>43084</v>
      </c>
      <c r="N404" s="452">
        <v>43100</v>
      </c>
      <c r="O404" s="458" t="s">
        <v>600</v>
      </c>
      <c r="P404" s="458"/>
      <c r="Q404" s="458"/>
      <c r="R404" s="456"/>
      <c r="S404" s="687"/>
      <c r="T404" s="680"/>
    </row>
    <row r="405" spans="1:20" ht="20.100000000000001" customHeight="1">
      <c r="A405" s="1138" t="s">
        <v>2963</v>
      </c>
      <c r="B405" s="1139" t="s">
        <v>138</v>
      </c>
      <c r="C405" s="1139" t="s">
        <v>67</v>
      </c>
      <c r="D405" s="32">
        <v>2500</v>
      </c>
      <c r="E405" s="32">
        <f>D405*2</f>
        <v>5000</v>
      </c>
      <c r="F405" s="32">
        <f>E405+0</f>
        <v>5000</v>
      </c>
      <c r="G405" s="29" t="s">
        <v>139</v>
      </c>
      <c r="H405" s="4" t="s">
        <v>944</v>
      </c>
      <c r="I405" s="475" t="s">
        <v>16</v>
      </c>
      <c r="J405" s="475"/>
      <c r="K405" s="497">
        <v>38</v>
      </c>
      <c r="L405" s="475" t="s">
        <v>638</v>
      </c>
      <c r="M405" s="452">
        <v>43040</v>
      </c>
      <c r="N405" s="452">
        <v>43100</v>
      </c>
      <c r="O405" s="458" t="s">
        <v>624</v>
      </c>
      <c r="P405" s="458"/>
      <c r="Q405" s="458"/>
      <c r="R405" s="456"/>
      <c r="S405" s="687"/>
      <c r="T405" s="680"/>
    </row>
    <row r="406" spans="1:20" ht="20.100000000000001" customHeight="1">
      <c r="A406" s="1138" t="s">
        <v>2963</v>
      </c>
      <c r="B406" s="1139" t="s">
        <v>138</v>
      </c>
      <c r="C406" s="1139" t="s">
        <v>67</v>
      </c>
      <c r="D406" s="11">
        <f>D394+150+0</f>
        <v>1362</v>
      </c>
      <c r="E406" s="2">
        <f>E394+300+0</f>
        <v>2712</v>
      </c>
      <c r="F406" s="2">
        <f>F394+300+0</f>
        <v>2712</v>
      </c>
      <c r="G406" s="217" t="s">
        <v>103</v>
      </c>
      <c r="H406" s="22" t="s">
        <v>659</v>
      </c>
      <c r="I406" s="451" t="s">
        <v>23</v>
      </c>
      <c r="J406" s="451"/>
      <c r="K406" s="497" t="s">
        <v>2121</v>
      </c>
      <c r="L406" s="472" t="s">
        <v>641</v>
      </c>
      <c r="M406" s="452">
        <v>43040</v>
      </c>
      <c r="N406" s="452">
        <v>43100</v>
      </c>
      <c r="O406" s="477"/>
      <c r="P406" s="477"/>
      <c r="Q406" s="455"/>
      <c r="R406" s="456" t="s">
        <v>826</v>
      </c>
      <c r="S406" s="687" t="s">
        <v>1176</v>
      </c>
      <c r="T406" s="313" t="s">
        <v>2836</v>
      </c>
    </row>
    <row r="407" spans="1:20" ht="20.100000000000001" customHeight="1">
      <c r="A407" s="1138" t="s">
        <v>2963</v>
      </c>
      <c r="B407" s="1139" t="s">
        <v>138</v>
      </c>
      <c r="C407" s="1139" t="s">
        <v>67</v>
      </c>
      <c r="D407" s="11">
        <v>1800</v>
      </c>
      <c r="E407" s="11">
        <v>3600</v>
      </c>
      <c r="F407" s="11">
        <v>3600</v>
      </c>
      <c r="G407" s="221" t="s">
        <v>965</v>
      </c>
      <c r="H407" s="4" t="s">
        <v>967</v>
      </c>
      <c r="I407" s="475" t="s">
        <v>25</v>
      </c>
      <c r="J407" s="475"/>
      <c r="K407" s="475" t="s">
        <v>968</v>
      </c>
      <c r="L407" s="475" t="s">
        <v>966</v>
      </c>
      <c r="M407" s="452">
        <v>42979</v>
      </c>
      <c r="N407" s="452">
        <v>43069</v>
      </c>
      <c r="O407" s="477"/>
      <c r="P407" s="477"/>
      <c r="Q407" s="499"/>
      <c r="R407" s="456" t="s">
        <v>971</v>
      </c>
      <c r="S407" s="687"/>
      <c r="T407" s="680"/>
    </row>
    <row r="408" spans="1:20" ht="20.100000000000001" customHeight="1">
      <c r="A408" s="1138" t="s">
        <v>2963</v>
      </c>
      <c r="B408" s="1139" t="s">
        <v>138</v>
      </c>
      <c r="C408" s="1139" t="s">
        <v>67</v>
      </c>
      <c r="D408" s="2"/>
      <c r="E408" s="2"/>
      <c r="F408" s="2"/>
      <c r="G408" s="3" t="s">
        <v>18</v>
      </c>
      <c r="H408" s="22" t="s">
        <v>721</v>
      </c>
      <c r="I408" s="461" t="s">
        <v>833</v>
      </c>
      <c r="J408" s="461"/>
      <c r="K408" s="498" t="s">
        <v>1264</v>
      </c>
      <c r="L408" s="451" t="s">
        <v>643</v>
      </c>
      <c r="M408" s="452">
        <v>43040</v>
      </c>
      <c r="N408" s="452">
        <v>43100</v>
      </c>
      <c r="O408" s="477"/>
      <c r="P408" s="477"/>
      <c r="Q408" s="479"/>
      <c r="R408" s="473" t="s">
        <v>1275</v>
      </c>
      <c r="S408" s="687" t="s">
        <v>1176</v>
      </c>
      <c r="T408" s="680"/>
    </row>
    <row r="409" spans="1:20" ht="20.100000000000001" customHeight="1">
      <c r="A409" s="1138" t="s">
        <v>2963</v>
      </c>
      <c r="B409" s="1139" t="s">
        <v>138</v>
      </c>
      <c r="C409" s="1139" t="s">
        <v>755</v>
      </c>
      <c r="D409" s="32">
        <v>2500</v>
      </c>
      <c r="E409" s="32">
        <f>D409*2</f>
        <v>5000</v>
      </c>
      <c r="F409" s="32">
        <f>E409+0</f>
        <v>5000</v>
      </c>
      <c r="G409" s="3" t="s">
        <v>139</v>
      </c>
      <c r="H409" s="56" t="s">
        <v>944</v>
      </c>
      <c r="I409" s="475" t="s">
        <v>16</v>
      </c>
      <c r="J409" s="475"/>
      <c r="K409" s="497">
        <v>38</v>
      </c>
      <c r="L409" s="475" t="s">
        <v>638</v>
      </c>
      <c r="M409" s="452">
        <v>43040</v>
      </c>
      <c r="N409" s="452">
        <v>43100</v>
      </c>
      <c r="O409" s="458" t="s">
        <v>624</v>
      </c>
      <c r="P409" s="458"/>
      <c r="Q409" s="458"/>
      <c r="R409" s="456"/>
      <c r="S409" s="687"/>
      <c r="T409" s="680"/>
    </row>
    <row r="410" spans="1:20" ht="20.100000000000001" customHeight="1">
      <c r="A410" s="1138" t="s">
        <v>2963</v>
      </c>
      <c r="B410" s="1139" t="s">
        <v>138</v>
      </c>
      <c r="C410" s="1139" t="s">
        <v>269</v>
      </c>
      <c r="D410" s="11">
        <f>D394+150+0</f>
        <v>1362</v>
      </c>
      <c r="E410" s="11">
        <f>E394+300+0</f>
        <v>2712</v>
      </c>
      <c r="F410" s="11">
        <f>F394+300+0</f>
        <v>2712</v>
      </c>
      <c r="G410" s="217" t="s">
        <v>103</v>
      </c>
      <c r="H410" s="22" t="s">
        <v>659</v>
      </c>
      <c r="I410" s="461" t="s">
        <v>23</v>
      </c>
      <c r="J410" s="461"/>
      <c r="K410" s="461" t="s">
        <v>2118</v>
      </c>
      <c r="L410" s="472" t="s">
        <v>641</v>
      </c>
      <c r="M410" s="452">
        <v>43040</v>
      </c>
      <c r="N410" s="452">
        <v>43100</v>
      </c>
      <c r="O410" s="477"/>
      <c r="P410" s="477"/>
      <c r="Q410" s="455"/>
      <c r="R410" s="456" t="s">
        <v>826</v>
      </c>
      <c r="S410" s="687" t="s">
        <v>1176</v>
      </c>
      <c r="T410" s="313" t="s">
        <v>2836</v>
      </c>
    </row>
    <row r="411" spans="1:20" ht="20.100000000000001" customHeight="1">
      <c r="A411" s="1138" t="s">
        <v>2963</v>
      </c>
      <c r="B411" s="1139" t="s">
        <v>138</v>
      </c>
      <c r="C411" s="1139" t="s">
        <v>583</v>
      </c>
      <c r="D411" s="528">
        <v>1400</v>
      </c>
      <c r="E411" s="528">
        <v>2100</v>
      </c>
      <c r="F411" s="528">
        <v>2100</v>
      </c>
      <c r="G411" s="3" t="s">
        <v>18</v>
      </c>
      <c r="H411" s="22" t="s">
        <v>721</v>
      </c>
      <c r="I411" s="461" t="s">
        <v>257</v>
      </c>
      <c r="J411" s="461"/>
      <c r="K411" s="498" t="s">
        <v>1265</v>
      </c>
      <c r="L411" s="451" t="s">
        <v>643</v>
      </c>
      <c r="M411" s="452">
        <v>43040</v>
      </c>
      <c r="N411" s="452">
        <v>43100</v>
      </c>
      <c r="O411" s="477"/>
      <c r="P411" s="477"/>
      <c r="Q411" s="479"/>
      <c r="R411" s="473" t="s">
        <v>1275</v>
      </c>
      <c r="S411" s="687" t="s">
        <v>1176</v>
      </c>
      <c r="T411" s="680"/>
    </row>
    <row r="412" spans="1:20" ht="20.100000000000001" customHeight="1">
      <c r="A412" s="734" t="s">
        <v>2963</v>
      </c>
      <c r="B412" s="501" t="s">
        <v>138</v>
      </c>
      <c r="C412" s="501" t="s">
        <v>217</v>
      </c>
      <c r="D412" s="32">
        <v>3700</v>
      </c>
      <c r="E412" s="11">
        <f>D412*2</f>
        <v>7400</v>
      </c>
      <c r="F412" s="11">
        <f>E412+0</f>
        <v>7400</v>
      </c>
      <c r="G412" s="29" t="s">
        <v>144</v>
      </c>
      <c r="H412" s="4" t="s">
        <v>944</v>
      </c>
      <c r="I412" s="475" t="s">
        <v>16</v>
      </c>
      <c r="J412" s="475"/>
      <c r="K412" s="451">
        <v>31</v>
      </c>
      <c r="L412" s="475" t="s">
        <v>638</v>
      </c>
      <c r="M412" s="452">
        <v>43040</v>
      </c>
      <c r="N412" s="452">
        <v>43100</v>
      </c>
      <c r="O412" s="458" t="s">
        <v>624</v>
      </c>
      <c r="P412" s="458"/>
      <c r="Q412" s="458"/>
      <c r="R412" s="456"/>
      <c r="S412" s="687"/>
      <c r="T412" s="680"/>
    </row>
    <row r="413" spans="1:20" ht="20.100000000000001" customHeight="1">
      <c r="A413" s="1138" t="s">
        <v>2963</v>
      </c>
      <c r="B413" s="1139" t="s">
        <v>138</v>
      </c>
      <c r="C413" s="1139" t="s">
        <v>218</v>
      </c>
      <c r="D413" s="11"/>
      <c r="E413" s="11"/>
      <c r="F413" s="11"/>
      <c r="G413" s="29" t="s">
        <v>71</v>
      </c>
      <c r="H413" s="28" t="s">
        <v>4197</v>
      </c>
      <c r="I413" s="451" t="s">
        <v>257</v>
      </c>
      <c r="J413" s="451"/>
      <c r="K413" s="451">
        <v>23</v>
      </c>
      <c r="L413" s="475" t="s">
        <v>635</v>
      </c>
      <c r="M413" s="452">
        <v>43040</v>
      </c>
      <c r="N413" s="452">
        <v>43100</v>
      </c>
      <c r="O413" s="458" t="s">
        <v>624</v>
      </c>
      <c r="P413" s="458"/>
      <c r="Q413" s="462" t="s">
        <v>1024</v>
      </c>
      <c r="R413" s="456"/>
      <c r="S413" s="687"/>
      <c r="T413" s="680"/>
    </row>
    <row r="414" spans="1:20" ht="20.100000000000001" customHeight="1">
      <c r="A414" s="1138" t="s">
        <v>2963</v>
      </c>
      <c r="B414" s="1139" t="s">
        <v>138</v>
      </c>
      <c r="C414" s="1139" t="s">
        <v>218</v>
      </c>
      <c r="D414" s="11"/>
      <c r="E414" s="11"/>
      <c r="F414" s="11"/>
      <c r="G414" s="29" t="s">
        <v>71</v>
      </c>
      <c r="H414" s="4" t="s">
        <v>944</v>
      </c>
      <c r="I414" s="475" t="s">
        <v>16</v>
      </c>
      <c r="J414" s="475"/>
      <c r="K414" s="451"/>
      <c r="L414" s="475" t="s">
        <v>638</v>
      </c>
      <c r="M414" s="452">
        <v>43040</v>
      </c>
      <c r="N414" s="452">
        <v>43100</v>
      </c>
      <c r="O414" s="458" t="s">
        <v>624</v>
      </c>
      <c r="P414" s="458"/>
      <c r="Q414" s="462" t="s">
        <v>1024</v>
      </c>
      <c r="R414" s="456"/>
      <c r="S414" s="687"/>
      <c r="T414" s="680"/>
    </row>
    <row r="415" spans="1:20" ht="20.100000000000001" customHeight="1">
      <c r="A415" s="734" t="s">
        <v>2963</v>
      </c>
      <c r="B415" s="501" t="s">
        <v>138</v>
      </c>
      <c r="C415" s="501" t="s">
        <v>219</v>
      </c>
      <c r="D415" s="32">
        <v>3900</v>
      </c>
      <c r="E415" s="11">
        <f>D415*2</f>
        <v>7800</v>
      </c>
      <c r="F415" s="11">
        <f>E415+0</f>
        <v>7800</v>
      </c>
      <c r="G415" s="29" t="s">
        <v>139</v>
      </c>
      <c r="H415" s="28" t="s">
        <v>4197</v>
      </c>
      <c r="I415" s="451" t="s">
        <v>257</v>
      </c>
      <c r="J415" s="451"/>
      <c r="K415" s="451">
        <v>23</v>
      </c>
      <c r="L415" s="475" t="s">
        <v>635</v>
      </c>
      <c r="M415" s="452">
        <v>43040</v>
      </c>
      <c r="N415" s="452">
        <v>43100</v>
      </c>
      <c r="O415" s="458" t="s">
        <v>624</v>
      </c>
      <c r="P415" s="458"/>
      <c r="Q415" s="458"/>
      <c r="R415" s="456"/>
      <c r="S415" s="687"/>
      <c r="T415" s="680"/>
    </row>
    <row r="416" spans="1:20" ht="20.100000000000001" customHeight="1">
      <c r="A416" s="1138" t="s">
        <v>2963</v>
      </c>
      <c r="B416" s="1139" t="s">
        <v>138</v>
      </c>
      <c r="C416" s="1139" t="s">
        <v>220</v>
      </c>
      <c r="D416" s="11"/>
      <c r="E416" s="11"/>
      <c r="F416" s="11"/>
      <c r="G416" s="29" t="s">
        <v>71</v>
      </c>
      <c r="H416" s="28" t="s">
        <v>4197</v>
      </c>
      <c r="I416" s="451" t="s">
        <v>257</v>
      </c>
      <c r="J416" s="451"/>
      <c r="K416" s="451">
        <v>23</v>
      </c>
      <c r="L416" s="475" t="s">
        <v>635</v>
      </c>
      <c r="M416" s="452">
        <v>43040</v>
      </c>
      <c r="N416" s="452">
        <v>43100</v>
      </c>
      <c r="O416" s="458" t="s">
        <v>624</v>
      </c>
      <c r="P416" s="458"/>
      <c r="Q416" s="462" t="s">
        <v>1024</v>
      </c>
      <c r="R416" s="456"/>
      <c r="S416" s="687"/>
      <c r="T416" s="680"/>
    </row>
    <row r="417" spans="1:20" ht="20.100000000000001" customHeight="1">
      <c r="A417" s="1138" t="s">
        <v>2963</v>
      </c>
      <c r="B417" s="1139" t="s">
        <v>138</v>
      </c>
      <c r="C417" s="1139" t="s">
        <v>220</v>
      </c>
      <c r="D417" s="11"/>
      <c r="E417" s="11"/>
      <c r="F417" s="11"/>
      <c r="G417" s="29" t="s">
        <v>71</v>
      </c>
      <c r="H417" s="4" t="s">
        <v>944</v>
      </c>
      <c r="I417" s="475" t="s">
        <v>16</v>
      </c>
      <c r="J417" s="475"/>
      <c r="K417" s="451">
        <v>36</v>
      </c>
      <c r="L417" s="475" t="s">
        <v>638</v>
      </c>
      <c r="M417" s="452">
        <v>43040</v>
      </c>
      <c r="N417" s="452">
        <v>43100</v>
      </c>
      <c r="O417" s="458" t="s">
        <v>624</v>
      </c>
      <c r="P417" s="458"/>
      <c r="Q417" s="462" t="s">
        <v>1024</v>
      </c>
      <c r="R417" s="456"/>
      <c r="S417" s="687"/>
      <c r="T417" s="680"/>
    </row>
    <row r="418" spans="1:20" ht="20.100000000000001" customHeight="1">
      <c r="A418" s="1138" t="s">
        <v>2963</v>
      </c>
      <c r="B418" s="1139" t="s">
        <v>138</v>
      </c>
      <c r="C418" s="1139" t="s">
        <v>2117</v>
      </c>
      <c r="D418" s="32">
        <v>3700</v>
      </c>
      <c r="E418" s="11">
        <f>D418*2</f>
        <v>7400</v>
      </c>
      <c r="F418" s="11">
        <f>E418+0</f>
        <v>7400</v>
      </c>
      <c r="G418" s="29" t="s">
        <v>139</v>
      </c>
      <c r="H418" s="4" t="s">
        <v>944</v>
      </c>
      <c r="I418" s="475" t="s">
        <v>16</v>
      </c>
      <c r="J418" s="475"/>
      <c r="K418" s="451">
        <v>38</v>
      </c>
      <c r="L418" s="475" t="s">
        <v>638</v>
      </c>
      <c r="M418" s="452">
        <v>43040</v>
      </c>
      <c r="N418" s="452">
        <v>43100</v>
      </c>
      <c r="O418" s="458" t="s">
        <v>624</v>
      </c>
      <c r="P418" s="458"/>
      <c r="Q418" s="458"/>
      <c r="R418" s="456"/>
      <c r="S418" s="687"/>
      <c r="T418" s="680"/>
    </row>
    <row r="419" spans="1:20" ht="20.100000000000001" customHeight="1">
      <c r="A419" s="1138" t="s">
        <v>2963</v>
      </c>
      <c r="B419" s="1139" t="s">
        <v>138</v>
      </c>
      <c r="C419" s="1139" t="s">
        <v>221</v>
      </c>
      <c r="D419" s="32"/>
      <c r="E419" s="32"/>
      <c r="F419" s="32"/>
      <c r="G419" s="3" t="s">
        <v>18</v>
      </c>
      <c r="H419" s="22" t="s">
        <v>721</v>
      </c>
      <c r="I419" s="461" t="s">
        <v>833</v>
      </c>
      <c r="J419" s="461"/>
      <c r="K419" s="498">
        <v>46</v>
      </c>
      <c r="L419" s="451" t="s">
        <v>643</v>
      </c>
      <c r="M419" s="452">
        <v>43040</v>
      </c>
      <c r="N419" s="452">
        <v>43100</v>
      </c>
      <c r="O419" s="477"/>
      <c r="P419" s="477"/>
      <c r="Q419" s="479"/>
      <c r="R419" s="473" t="s">
        <v>1275</v>
      </c>
      <c r="S419" s="687" t="s">
        <v>1176</v>
      </c>
      <c r="T419" s="680"/>
    </row>
    <row r="420" spans="1:20" ht="20.100000000000001" customHeight="1">
      <c r="A420" s="1138" t="s">
        <v>2963</v>
      </c>
      <c r="B420" s="1139" t="s">
        <v>138</v>
      </c>
      <c r="C420" s="1139" t="s">
        <v>221</v>
      </c>
      <c r="D420" s="32">
        <v>2012</v>
      </c>
      <c r="E420" s="32">
        <v>4012</v>
      </c>
      <c r="F420" s="32">
        <v>4012</v>
      </c>
      <c r="G420" s="220" t="s">
        <v>103</v>
      </c>
      <c r="H420" s="22" t="s">
        <v>659</v>
      </c>
      <c r="I420" s="461" t="s">
        <v>23</v>
      </c>
      <c r="J420" s="461"/>
      <c r="K420" s="461" t="s">
        <v>2120</v>
      </c>
      <c r="L420" s="472" t="s">
        <v>641</v>
      </c>
      <c r="M420" s="452">
        <v>43040</v>
      </c>
      <c r="N420" s="452">
        <v>43100</v>
      </c>
      <c r="O420" s="477"/>
      <c r="P420" s="477"/>
      <c r="Q420" s="455"/>
      <c r="R420" s="456" t="s">
        <v>826</v>
      </c>
      <c r="S420" s="687" t="s">
        <v>1176</v>
      </c>
      <c r="T420" s="313" t="s">
        <v>2836</v>
      </c>
    </row>
    <row r="421" spans="1:20" ht="20.100000000000001" customHeight="1">
      <c r="A421" s="734" t="s">
        <v>2963</v>
      </c>
      <c r="B421" s="501" t="s">
        <v>138</v>
      </c>
      <c r="C421" s="501" t="s">
        <v>98</v>
      </c>
      <c r="D421" s="32">
        <v>4600</v>
      </c>
      <c r="E421" s="32">
        <f>D421*2</f>
        <v>9200</v>
      </c>
      <c r="F421" s="32">
        <f>E421+0</f>
        <v>9200</v>
      </c>
      <c r="G421" s="29" t="s">
        <v>139</v>
      </c>
      <c r="H421" s="28" t="s">
        <v>4197</v>
      </c>
      <c r="I421" s="451" t="s">
        <v>17</v>
      </c>
      <c r="J421" s="451"/>
      <c r="K421" s="451" t="s">
        <v>2581</v>
      </c>
      <c r="L421" s="475" t="s">
        <v>635</v>
      </c>
      <c r="M421" s="452">
        <v>43040</v>
      </c>
      <c r="N421" s="452">
        <v>43100</v>
      </c>
      <c r="O421" s="458" t="s">
        <v>624</v>
      </c>
      <c r="P421" s="458"/>
      <c r="Q421" s="458"/>
      <c r="R421" s="456"/>
      <c r="S421" s="687"/>
      <c r="T421" s="680"/>
    </row>
    <row r="422" spans="1:20" ht="20.100000000000001" customHeight="1">
      <c r="A422" s="734" t="s">
        <v>2963</v>
      </c>
      <c r="B422" s="501" t="s">
        <v>138</v>
      </c>
      <c r="C422" s="501" t="s">
        <v>517</v>
      </c>
      <c r="D422" s="11"/>
      <c r="E422" s="11"/>
      <c r="F422" s="11"/>
      <c r="G422" s="29" t="s">
        <v>139</v>
      </c>
      <c r="H422" s="4" t="s">
        <v>944</v>
      </c>
      <c r="I422" s="475" t="s">
        <v>16</v>
      </c>
      <c r="J422" s="475"/>
      <c r="K422" s="451"/>
      <c r="L422" s="475" t="s">
        <v>638</v>
      </c>
      <c r="M422" s="452">
        <v>43040</v>
      </c>
      <c r="N422" s="452">
        <v>43100</v>
      </c>
      <c r="O422" s="458" t="s">
        <v>624</v>
      </c>
      <c r="P422" s="458"/>
      <c r="Q422" s="462" t="s">
        <v>1024</v>
      </c>
      <c r="R422" s="456"/>
      <c r="S422" s="687"/>
      <c r="T422" s="680"/>
    </row>
    <row r="423" spans="1:20" ht="20.100000000000001" customHeight="1">
      <c r="A423" s="734" t="s">
        <v>2963</v>
      </c>
      <c r="B423" s="501" t="s">
        <v>138</v>
      </c>
      <c r="C423" s="501" t="s">
        <v>518</v>
      </c>
      <c r="D423" s="32">
        <v>3700</v>
      </c>
      <c r="E423" s="11"/>
      <c r="F423" s="11"/>
      <c r="G423" s="29" t="s">
        <v>144</v>
      </c>
      <c r="H423" s="4" t="s">
        <v>944</v>
      </c>
      <c r="I423" s="475" t="s">
        <v>16</v>
      </c>
      <c r="J423" s="475"/>
      <c r="K423" s="451">
        <v>32</v>
      </c>
      <c r="L423" s="475" t="s">
        <v>638</v>
      </c>
      <c r="M423" s="452">
        <v>43040</v>
      </c>
      <c r="N423" s="452">
        <v>43100</v>
      </c>
      <c r="O423" s="458" t="s">
        <v>624</v>
      </c>
      <c r="P423" s="458"/>
      <c r="Q423" s="458"/>
      <c r="R423" s="456"/>
      <c r="S423" s="687"/>
      <c r="T423" s="680"/>
    </row>
    <row r="424" spans="1:20" ht="20.100000000000001" customHeight="1">
      <c r="A424" s="734" t="s">
        <v>2963</v>
      </c>
      <c r="B424" s="501" t="s">
        <v>138</v>
      </c>
      <c r="C424" s="501" t="s">
        <v>222</v>
      </c>
      <c r="D424" s="11"/>
      <c r="E424" s="11"/>
      <c r="F424" s="11"/>
      <c r="G424" s="29" t="s">
        <v>139</v>
      </c>
      <c r="H424" s="4" t="s">
        <v>944</v>
      </c>
      <c r="I424" s="475" t="s">
        <v>16</v>
      </c>
      <c r="J424" s="475"/>
      <c r="K424" s="451"/>
      <c r="L424" s="475" t="s">
        <v>638</v>
      </c>
      <c r="M424" s="452">
        <v>43040</v>
      </c>
      <c r="N424" s="452">
        <v>43100</v>
      </c>
      <c r="O424" s="458" t="s">
        <v>624</v>
      </c>
      <c r="P424" s="458"/>
      <c r="Q424" s="462" t="s">
        <v>1024</v>
      </c>
      <c r="R424" s="456"/>
      <c r="S424" s="687"/>
      <c r="T424" s="680"/>
    </row>
    <row r="425" spans="1:20" ht="20.100000000000001" customHeight="1">
      <c r="A425" s="1138" t="s">
        <v>2963</v>
      </c>
      <c r="B425" s="1139" t="s">
        <v>138</v>
      </c>
      <c r="C425" s="1139" t="s">
        <v>1799</v>
      </c>
      <c r="D425" s="11"/>
      <c r="E425" s="11"/>
      <c r="F425" s="11"/>
      <c r="G425" s="29" t="s">
        <v>71</v>
      </c>
      <c r="H425" s="28" t="s">
        <v>4197</v>
      </c>
      <c r="I425" s="451" t="s">
        <v>257</v>
      </c>
      <c r="J425" s="451"/>
      <c r="K425" s="451">
        <v>23</v>
      </c>
      <c r="L425" s="475" t="s">
        <v>635</v>
      </c>
      <c r="M425" s="452">
        <v>43040</v>
      </c>
      <c r="N425" s="452">
        <v>43100</v>
      </c>
      <c r="O425" s="458" t="s">
        <v>624</v>
      </c>
      <c r="P425" s="458"/>
      <c r="Q425" s="462" t="s">
        <v>1024</v>
      </c>
      <c r="R425" s="456"/>
      <c r="S425" s="687"/>
      <c r="T425" s="680"/>
    </row>
    <row r="426" spans="1:20" ht="20.100000000000001" customHeight="1">
      <c r="A426" s="1138" t="s">
        <v>2963</v>
      </c>
      <c r="B426" s="1139" t="s">
        <v>138</v>
      </c>
      <c r="C426" s="1139" t="s">
        <v>223</v>
      </c>
      <c r="D426" s="11"/>
      <c r="E426" s="11"/>
      <c r="F426" s="11"/>
      <c r="G426" s="29" t="s">
        <v>139</v>
      </c>
      <c r="H426" s="4" t="s">
        <v>944</v>
      </c>
      <c r="I426" s="475" t="s">
        <v>16</v>
      </c>
      <c r="J426" s="475"/>
      <c r="K426" s="451"/>
      <c r="L426" s="475" t="s">
        <v>638</v>
      </c>
      <c r="M426" s="452">
        <v>43040</v>
      </c>
      <c r="N426" s="452">
        <v>43100</v>
      </c>
      <c r="O426" s="458" t="s">
        <v>624</v>
      </c>
      <c r="P426" s="458"/>
      <c r="Q426" s="462" t="s">
        <v>1024</v>
      </c>
      <c r="R426" s="456"/>
      <c r="S426" s="687"/>
      <c r="T426" s="680"/>
    </row>
    <row r="427" spans="1:20" ht="20.100000000000001" customHeight="1">
      <c r="A427" s="1138" t="s">
        <v>2963</v>
      </c>
      <c r="B427" s="1139" t="s">
        <v>138</v>
      </c>
      <c r="C427" s="1139" t="s">
        <v>223</v>
      </c>
      <c r="D427" s="11"/>
      <c r="E427" s="11"/>
      <c r="F427" s="11"/>
      <c r="G427" s="3" t="s">
        <v>18</v>
      </c>
      <c r="H427" s="22" t="s">
        <v>721</v>
      </c>
      <c r="I427" s="461" t="s">
        <v>257</v>
      </c>
      <c r="J427" s="461"/>
      <c r="K427" s="498" t="s">
        <v>1266</v>
      </c>
      <c r="L427" s="451" t="s">
        <v>643</v>
      </c>
      <c r="M427" s="452">
        <v>43040</v>
      </c>
      <c r="N427" s="452">
        <v>43100</v>
      </c>
      <c r="O427" s="477"/>
      <c r="P427" s="477"/>
      <c r="Q427" s="479"/>
      <c r="R427" s="473" t="s">
        <v>1275</v>
      </c>
      <c r="S427" s="687" t="s">
        <v>1176</v>
      </c>
      <c r="T427" s="680"/>
    </row>
    <row r="428" spans="1:20" ht="20.100000000000001" customHeight="1">
      <c r="A428" s="1138" t="s">
        <v>2963</v>
      </c>
      <c r="B428" s="1139" t="s">
        <v>97</v>
      </c>
      <c r="C428" s="1139" t="s">
        <v>2699</v>
      </c>
      <c r="D428" s="32">
        <v>3200</v>
      </c>
      <c r="E428" s="32">
        <v>5600</v>
      </c>
      <c r="F428" s="32">
        <f>E428+0</f>
        <v>5600</v>
      </c>
      <c r="G428" s="227" t="s">
        <v>1689</v>
      </c>
      <c r="H428" s="4">
        <v>1</v>
      </c>
      <c r="I428" s="451" t="s">
        <v>116</v>
      </c>
      <c r="J428" s="451"/>
      <c r="K428" s="451">
        <v>47</v>
      </c>
      <c r="L428" s="451" t="s">
        <v>643</v>
      </c>
      <c r="M428" s="452">
        <v>43009</v>
      </c>
      <c r="N428" s="452">
        <v>43100</v>
      </c>
      <c r="O428" s="458" t="s">
        <v>600</v>
      </c>
      <c r="P428" s="458"/>
      <c r="Q428" s="455"/>
      <c r="R428" s="456" t="s">
        <v>184</v>
      </c>
      <c r="S428" s="687" t="s">
        <v>1176</v>
      </c>
      <c r="T428" s="680"/>
    </row>
    <row r="429" spans="1:20" ht="20.100000000000001" customHeight="1">
      <c r="A429" s="1138" t="s">
        <v>2963</v>
      </c>
      <c r="B429" s="1139" t="s">
        <v>97</v>
      </c>
      <c r="C429" s="1139" t="s">
        <v>255</v>
      </c>
      <c r="D429" s="32">
        <v>1275</v>
      </c>
      <c r="E429" s="32">
        <v>2550</v>
      </c>
      <c r="F429" s="32">
        <v>2550</v>
      </c>
      <c r="G429" s="3" t="s">
        <v>13</v>
      </c>
      <c r="H429" s="4" t="s">
        <v>1656</v>
      </c>
      <c r="I429" s="451" t="s">
        <v>80</v>
      </c>
      <c r="J429" s="451"/>
      <c r="K429" s="451" t="s">
        <v>685</v>
      </c>
      <c r="L429" s="451" t="s">
        <v>642</v>
      </c>
      <c r="M429" s="452">
        <v>43023</v>
      </c>
      <c r="N429" s="452">
        <v>43039</v>
      </c>
      <c r="O429" s="458"/>
      <c r="P429" s="458"/>
      <c r="Q429" s="458"/>
      <c r="R429" s="456" t="s">
        <v>1657</v>
      </c>
      <c r="S429" s="687" t="s">
        <v>1176</v>
      </c>
      <c r="T429" s="680"/>
    </row>
    <row r="430" spans="1:20" ht="20.100000000000001" customHeight="1">
      <c r="A430" s="1138" t="s">
        <v>2963</v>
      </c>
      <c r="B430" s="1139" t="s">
        <v>97</v>
      </c>
      <c r="C430" s="1139" t="s">
        <v>255</v>
      </c>
      <c r="D430" s="529">
        <v>1150</v>
      </c>
      <c r="E430" s="529">
        <v>2300</v>
      </c>
      <c r="F430" s="529">
        <v>2300</v>
      </c>
      <c r="G430" s="694" t="s">
        <v>133</v>
      </c>
      <c r="H430" s="35">
        <v>3</v>
      </c>
      <c r="I430" s="451" t="s">
        <v>302</v>
      </c>
      <c r="J430" s="451"/>
      <c r="K430" s="497">
        <v>24</v>
      </c>
      <c r="L430" s="451" t="s">
        <v>643</v>
      </c>
      <c r="M430" s="452">
        <v>43031</v>
      </c>
      <c r="N430" s="452">
        <v>43100</v>
      </c>
      <c r="O430" s="477"/>
      <c r="P430" s="477"/>
      <c r="Q430" s="455"/>
      <c r="R430" s="456" t="s">
        <v>176</v>
      </c>
      <c r="S430" s="687" t="s">
        <v>1176</v>
      </c>
      <c r="T430" s="680"/>
    </row>
    <row r="431" spans="1:20" ht="20.100000000000001" customHeight="1">
      <c r="A431" s="1138" t="s">
        <v>2963</v>
      </c>
      <c r="B431" s="1139" t="s">
        <v>97</v>
      </c>
      <c r="C431" s="1139" t="s">
        <v>255</v>
      </c>
      <c r="D431" s="32">
        <v>1350</v>
      </c>
      <c r="E431" s="32">
        <v>2700</v>
      </c>
      <c r="F431" s="32">
        <v>2700</v>
      </c>
      <c r="G431" s="29" t="s">
        <v>139</v>
      </c>
      <c r="H431" s="4" t="s">
        <v>2987</v>
      </c>
      <c r="I431" s="497" t="s">
        <v>25</v>
      </c>
      <c r="J431" s="475"/>
      <c r="K431" s="451"/>
      <c r="L431" s="475" t="s">
        <v>638</v>
      </c>
      <c r="M431" s="452">
        <v>43040</v>
      </c>
      <c r="N431" s="452">
        <v>43100</v>
      </c>
      <c r="O431" s="458" t="s">
        <v>624</v>
      </c>
      <c r="P431" s="458"/>
      <c r="Q431" s="458"/>
      <c r="R431" s="456"/>
      <c r="S431" s="687"/>
      <c r="T431" s="680"/>
    </row>
    <row r="432" spans="1:20" ht="20.100000000000001" customHeight="1">
      <c r="A432" s="1138" t="s">
        <v>2963</v>
      </c>
      <c r="B432" s="1139" t="s">
        <v>97</v>
      </c>
      <c r="C432" s="1139" t="s">
        <v>255</v>
      </c>
      <c r="D432" s="2">
        <v>1400</v>
      </c>
      <c r="E432" s="2">
        <v>2800</v>
      </c>
      <c r="F432" s="2">
        <v>2800</v>
      </c>
      <c r="G432" s="221" t="s">
        <v>5</v>
      </c>
      <c r="H432" s="4" t="s">
        <v>2462</v>
      </c>
      <c r="I432" s="451" t="s">
        <v>17</v>
      </c>
      <c r="J432" s="451"/>
      <c r="K432" s="451">
        <v>33</v>
      </c>
      <c r="L432" s="451" t="s">
        <v>641</v>
      </c>
      <c r="M432" s="452">
        <v>43040</v>
      </c>
      <c r="N432" s="452">
        <v>43100</v>
      </c>
      <c r="O432" s="458" t="s">
        <v>1771</v>
      </c>
      <c r="P432" s="458"/>
      <c r="Q432" s="167" t="s">
        <v>3385</v>
      </c>
      <c r="R432" s="456" t="s">
        <v>175</v>
      </c>
      <c r="S432" s="687" t="s">
        <v>1176</v>
      </c>
      <c r="T432" s="313" t="s">
        <v>2834</v>
      </c>
    </row>
    <row r="433" spans="1:20" ht="20.100000000000001" customHeight="1">
      <c r="A433" s="1138" t="s">
        <v>2963</v>
      </c>
      <c r="B433" s="1139" t="s">
        <v>97</v>
      </c>
      <c r="C433" s="1139" t="s">
        <v>255</v>
      </c>
      <c r="D433" s="32">
        <v>1400</v>
      </c>
      <c r="E433" s="32">
        <v>2800</v>
      </c>
      <c r="F433" s="32">
        <v>2800</v>
      </c>
      <c r="G433" s="29" t="s">
        <v>568</v>
      </c>
      <c r="H433" s="4" t="s">
        <v>1864</v>
      </c>
      <c r="I433" s="475" t="s">
        <v>25</v>
      </c>
      <c r="J433" s="451"/>
      <c r="K433" s="497" t="s">
        <v>572</v>
      </c>
      <c r="L433" s="475" t="s">
        <v>638</v>
      </c>
      <c r="M433" s="452">
        <v>43009</v>
      </c>
      <c r="N433" s="452">
        <v>43083</v>
      </c>
      <c r="O433" s="458" t="s">
        <v>899</v>
      </c>
      <c r="P433" s="458"/>
      <c r="Q433" s="455"/>
      <c r="R433" s="456" t="s">
        <v>1865</v>
      </c>
      <c r="S433" s="687"/>
      <c r="T433" s="680"/>
    </row>
    <row r="434" spans="1:20" ht="20.100000000000001" customHeight="1">
      <c r="A434" s="1138" t="s">
        <v>2963</v>
      </c>
      <c r="B434" s="1139" t="s">
        <v>97</v>
      </c>
      <c r="C434" s="1139" t="s">
        <v>255</v>
      </c>
      <c r="D434" s="528">
        <v>1800</v>
      </c>
      <c r="E434" s="528">
        <v>3330</v>
      </c>
      <c r="F434" s="528">
        <v>3330</v>
      </c>
      <c r="G434" s="628" t="s">
        <v>965</v>
      </c>
      <c r="H434" s="4" t="s">
        <v>967</v>
      </c>
      <c r="I434" s="475" t="s">
        <v>25</v>
      </c>
      <c r="J434" s="475"/>
      <c r="K434" s="475" t="s">
        <v>981</v>
      </c>
      <c r="L434" s="475" t="s">
        <v>966</v>
      </c>
      <c r="M434" s="452">
        <v>42979</v>
      </c>
      <c r="N434" s="452">
        <v>43069</v>
      </c>
      <c r="O434" s="458"/>
      <c r="P434" s="458"/>
      <c r="Q434" s="483"/>
      <c r="R434" s="456" t="s">
        <v>988</v>
      </c>
      <c r="S434" s="687"/>
      <c r="T434" s="680"/>
    </row>
    <row r="435" spans="1:20" ht="20.100000000000001" customHeight="1">
      <c r="A435" s="1138" t="s">
        <v>2963</v>
      </c>
      <c r="B435" s="1139" t="s">
        <v>97</v>
      </c>
      <c r="C435" s="1139" t="s">
        <v>255</v>
      </c>
      <c r="D435" s="32">
        <v>1575</v>
      </c>
      <c r="E435" s="32">
        <v>3150</v>
      </c>
      <c r="F435" s="32">
        <v>3150</v>
      </c>
      <c r="G435" s="694" t="s">
        <v>260</v>
      </c>
      <c r="H435" s="22" t="s">
        <v>721</v>
      </c>
      <c r="I435" s="461" t="s">
        <v>116</v>
      </c>
      <c r="J435" s="461"/>
      <c r="K435" s="498" t="s">
        <v>1264</v>
      </c>
      <c r="L435" s="451" t="s">
        <v>643</v>
      </c>
      <c r="M435" s="452">
        <v>43040</v>
      </c>
      <c r="N435" s="452">
        <v>43100</v>
      </c>
      <c r="O435" s="483"/>
      <c r="P435" s="483"/>
      <c r="Q435" s="479"/>
      <c r="R435" s="473" t="s">
        <v>1275</v>
      </c>
      <c r="S435" s="687" t="s">
        <v>1176</v>
      </c>
      <c r="T435" s="680"/>
    </row>
    <row r="436" spans="1:20" ht="20.100000000000001" customHeight="1">
      <c r="A436" s="1138" t="s">
        <v>2963</v>
      </c>
      <c r="B436" s="1139" t="s">
        <v>97</v>
      </c>
      <c r="C436" s="1139" t="s">
        <v>255</v>
      </c>
      <c r="D436" s="32">
        <v>1350</v>
      </c>
      <c r="E436" s="32">
        <v>2700</v>
      </c>
      <c r="F436" s="32">
        <v>2700</v>
      </c>
      <c r="G436" s="29" t="s">
        <v>139</v>
      </c>
      <c r="H436" s="28" t="s">
        <v>3833</v>
      </c>
      <c r="I436" s="451" t="s">
        <v>17</v>
      </c>
      <c r="J436" s="451"/>
      <c r="K436" s="497">
        <v>28</v>
      </c>
      <c r="L436" s="475" t="s">
        <v>635</v>
      </c>
      <c r="M436" s="452">
        <v>43040</v>
      </c>
      <c r="N436" s="452">
        <v>43100</v>
      </c>
      <c r="O436" s="458" t="s">
        <v>624</v>
      </c>
      <c r="P436" s="458"/>
      <c r="Q436" s="458"/>
      <c r="R436" s="456"/>
      <c r="S436" s="687"/>
      <c r="T436" s="680"/>
    </row>
    <row r="437" spans="1:20" ht="20.100000000000001" customHeight="1">
      <c r="A437" s="1138" t="s">
        <v>2963</v>
      </c>
      <c r="B437" s="1139" t="s">
        <v>291</v>
      </c>
      <c r="C437" s="1139" t="s">
        <v>1586</v>
      </c>
      <c r="D437" s="32">
        <v>2950</v>
      </c>
      <c r="E437" s="32">
        <v>5900</v>
      </c>
      <c r="F437" s="32">
        <v>5900</v>
      </c>
      <c r="G437" s="227" t="s">
        <v>1689</v>
      </c>
      <c r="H437" s="4">
        <v>1</v>
      </c>
      <c r="I437" s="451" t="s">
        <v>114</v>
      </c>
      <c r="J437" s="451"/>
      <c r="K437" s="451">
        <v>37</v>
      </c>
      <c r="L437" s="451" t="s">
        <v>643</v>
      </c>
      <c r="M437" s="452">
        <v>43009</v>
      </c>
      <c r="N437" s="452">
        <v>43100</v>
      </c>
      <c r="O437" s="458" t="s">
        <v>600</v>
      </c>
      <c r="P437" s="458"/>
      <c r="Q437" s="455"/>
      <c r="R437" s="456" t="s">
        <v>184</v>
      </c>
      <c r="S437" s="687" t="s">
        <v>1176</v>
      </c>
      <c r="T437" s="680"/>
    </row>
    <row r="438" spans="1:20" ht="20.100000000000001" customHeight="1">
      <c r="A438" s="1138" t="s">
        <v>2963</v>
      </c>
      <c r="B438" s="1139" t="s">
        <v>291</v>
      </c>
      <c r="C438" s="1139" t="s">
        <v>96</v>
      </c>
      <c r="D438" s="528">
        <v>3000</v>
      </c>
      <c r="E438" s="528">
        <f>D438*2</f>
        <v>6000</v>
      </c>
      <c r="F438" s="528">
        <f>D438*2+100</f>
        <v>6100</v>
      </c>
      <c r="G438" s="628" t="s">
        <v>989</v>
      </c>
      <c r="H438" s="4" t="s">
        <v>994</v>
      </c>
      <c r="I438" s="451" t="s">
        <v>116</v>
      </c>
      <c r="J438" s="451"/>
      <c r="K438" s="451"/>
      <c r="L438" s="451" t="s">
        <v>643</v>
      </c>
      <c r="M438" s="452">
        <v>42979</v>
      </c>
      <c r="N438" s="452">
        <v>43069</v>
      </c>
      <c r="O438" s="458" t="s">
        <v>995</v>
      </c>
      <c r="P438" s="458"/>
      <c r="Q438" s="455"/>
      <c r="R438" s="456"/>
      <c r="S438" s="687"/>
      <c r="T438" s="680"/>
    </row>
    <row r="439" spans="1:20" ht="20.100000000000001" customHeight="1">
      <c r="A439" s="1138" t="s">
        <v>2963</v>
      </c>
      <c r="B439" s="1139" t="s">
        <v>291</v>
      </c>
      <c r="C439" s="1139" t="s">
        <v>96</v>
      </c>
      <c r="D439" s="11">
        <v>3000</v>
      </c>
      <c r="E439" s="11">
        <v>5490</v>
      </c>
      <c r="F439" s="11">
        <v>5490</v>
      </c>
      <c r="G439" s="628" t="s">
        <v>965</v>
      </c>
      <c r="H439" s="4" t="s">
        <v>967</v>
      </c>
      <c r="I439" s="475" t="s">
        <v>25</v>
      </c>
      <c r="J439" s="475"/>
      <c r="K439" s="475" t="s">
        <v>985</v>
      </c>
      <c r="L439" s="475" t="s">
        <v>966</v>
      </c>
      <c r="M439" s="452">
        <v>42979</v>
      </c>
      <c r="N439" s="452">
        <v>43069</v>
      </c>
      <c r="O439" s="458"/>
      <c r="P439" s="458"/>
      <c r="Q439" s="483"/>
      <c r="R439" s="456" t="s">
        <v>988</v>
      </c>
      <c r="S439" s="687"/>
      <c r="T439" s="680"/>
    </row>
    <row r="440" spans="1:20" ht="20.100000000000001" customHeight="1">
      <c r="A440" s="1138" t="s">
        <v>2963</v>
      </c>
      <c r="B440" s="1139" t="s">
        <v>291</v>
      </c>
      <c r="C440" s="1139" t="s">
        <v>96</v>
      </c>
      <c r="D440" s="11">
        <v>2875</v>
      </c>
      <c r="E440" s="727">
        <v>5750</v>
      </c>
      <c r="F440" s="727">
        <v>6000</v>
      </c>
      <c r="G440" s="29" t="s">
        <v>61</v>
      </c>
      <c r="H440" s="56" t="s">
        <v>2462</v>
      </c>
      <c r="I440" s="451" t="s">
        <v>116</v>
      </c>
      <c r="J440" s="451"/>
      <c r="K440" s="492" t="s">
        <v>688</v>
      </c>
      <c r="L440" s="451" t="s">
        <v>641</v>
      </c>
      <c r="M440" s="452">
        <v>43023</v>
      </c>
      <c r="N440" s="452">
        <v>43039</v>
      </c>
      <c r="O440" s="458"/>
      <c r="P440" s="458"/>
      <c r="Q440" s="167"/>
      <c r="R440" s="456" t="s">
        <v>501</v>
      </c>
      <c r="S440" s="687" t="s">
        <v>1176</v>
      </c>
      <c r="T440" s="680"/>
    </row>
    <row r="441" spans="1:20" ht="20.100000000000001" customHeight="1">
      <c r="A441" s="1138" t="s">
        <v>2963</v>
      </c>
      <c r="B441" s="1139" t="s">
        <v>291</v>
      </c>
      <c r="C441" s="1139" t="s">
        <v>96</v>
      </c>
      <c r="D441" s="32">
        <v>2300</v>
      </c>
      <c r="E441" s="32">
        <v>4600</v>
      </c>
      <c r="F441" s="32">
        <v>4600</v>
      </c>
      <c r="G441" s="29" t="s">
        <v>568</v>
      </c>
      <c r="H441" s="4" t="s">
        <v>1864</v>
      </c>
      <c r="I441" s="475" t="s">
        <v>25</v>
      </c>
      <c r="J441" s="451"/>
      <c r="K441" s="492" t="s">
        <v>571</v>
      </c>
      <c r="L441" s="475" t="s">
        <v>638</v>
      </c>
      <c r="M441" s="452">
        <v>43009</v>
      </c>
      <c r="N441" s="452">
        <v>43083</v>
      </c>
      <c r="O441" s="458" t="s">
        <v>899</v>
      </c>
      <c r="P441" s="458"/>
      <c r="Q441" s="455"/>
      <c r="R441" s="456" t="s">
        <v>1865</v>
      </c>
      <c r="S441" s="687"/>
      <c r="T441" s="680"/>
    </row>
    <row r="442" spans="1:20" ht="20.100000000000001" customHeight="1">
      <c r="A442" s="1138" t="s">
        <v>2963</v>
      </c>
      <c r="B442" s="1139" t="s">
        <v>291</v>
      </c>
      <c r="C442" s="1139" t="s">
        <v>96</v>
      </c>
      <c r="D442" s="11">
        <v>2900</v>
      </c>
      <c r="E442" s="11">
        <f>D442*2</f>
        <v>5800</v>
      </c>
      <c r="F442" s="11">
        <f>E442</f>
        <v>5800</v>
      </c>
      <c r="G442" s="29" t="s">
        <v>139</v>
      </c>
      <c r="H442" s="4" t="s">
        <v>2987</v>
      </c>
      <c r="I442" s="497" t="s">
        <v>25</v>
      </c>
      <c r="J442" s="497"/>
      <c r="K442" s="451">
        <v>31</v>
      </c>
      <c r="L442" s="475" t="s">
        <v>638</v>
      </c>
      <c r="M442" s="452">
        <v>43040</v>
      </c>
      <c r="N442" s="452">
        <v>43100</v>
      </c>
      <c r="O442" s="458" t="s">
        <v>624</v>
      </c>
      <c r="P442" s="458"/>
      <c r="Q442" s="458"/>
      <c r="R442" s="456"/>
      <c r="S442" s="687"/>
      <c r="T442" s="680"/>
    </row>
    <row r="443" spans="1:20" ht="20.100000000000001" customHeight="1">
      <c r="A443" s="1138" t="s">
        <v>2963</v>
      </c>
      <c r="B443" s="1139" t="s">
        <v>291</v>
      </c>
      <c r="C443" s="1139" t="s">
        <v>96</v>
      </c>
      <c r="D443" s="11"/>
      <c r="E443" s="11"/>
      <c r="F443" s="11"/>
      <c r="G443" s="694" t="s">
        <v>18</v>
      </c>
      <c r="H443" s="22" t="s">
        <v>721</v>
      </c>
      <c r="I443" s="461" t="s">
        <v>116</v>
      </c>
      <c r="J443" s="461"/>
      <c r="K443" s="480" t="s">
        <v>1267</v>
      </c>
      <c r="L443" s="451" t="s">
        <v>643</v>
      </c>
      <c r="M443" s="452">
        <v>43040</v>
      </c>
      <c r="N443" s="452">
        <v>43100</v>
      </c>
      <c r="O443" s="483"/>
      <c r="P443" s="483"/>
      <c r="Q443" s="479"/>
      <c r="R443" s="473" t="s">
        <v>1275</v>
      </c>
      <c r="S443" s="687" t="s">
        <v>1176</v>
      </c>
      <c r="T443" s="680"/>
    </row>
    <row r="444" spans="1:20" ht="20.100000000000001" customHeight="1">
      <c r="A444" s="1138" t="s">
        <v>2963</v>
      </c>
      <c r="B444" s="1139" t="s">
        <v>519</v>
      </c>
      <c r="C444" s="1139" t="s">
        <v>460</v>
      </c>
      <c r="D444" s="32">
        <v>2950</v>
      </c>
      <c r="E444" s="32">
        <v>5900</v>
      </c>
      <c r="F444" s="32">
        <v>5900</v>
      </c>
      <c r="G444" s="227" t="s">
        <v>1689</v>
      </c>
      <c r="H444" s="4">
        <v>1</v>
      </c>
      <c r="I444" s="451" t="s">
        <v>114</v>
      </c>
      <c r="J444" s="451"/>
      <c r="K444" s="451">
        <v>38</v>
      </c>
      <c r="L444" s="451" t="s">
        <v>643</v>
      </c>
      <c r="M444" s="452">
        <v>43009</v>
      </c>
      <c r="N444" s="452">
        <v>43100</v>
      </c>
      <c r="O444" s="458" t="s">
        <v>600</v>
      </c>
      <c r="P444" s="458"/>
      <c r="Q444" s="455"/>
      <c r="R444" s="456" t="s">
        <v>184</v>
      </c>
      <c r="S444" s="687" t="s">
        <v>1176</v>
      </c>
      <c r="T444" s="680"/>
    </row>
    <row r="445" spans="1:20" ht="20.100000000000001" customHeight="1">
      <c r="A445" s="1138" t="s">
        <v>2963</v>
      </c>
      <c r="B445" s="1139" t="s">
        <v>519</v>
      </c>
      <c r="C445" s="1139" t="s">
        <v>460</v>
      </c>
      <c r="D445" s="528">
        <v>3000</v>
      </c>
      <c r="E445" s="528">
        <f>D445*2</f>
        <v>6000</v>
      </c>
      <c r="F445" s="528">
        <f>D445*2+100</f>
        <v>6100</v>
      </c>
      <c r="G445" s="628" t="s">
        <v>989</v>
      </c>
      <c r="H445" s="4" t="s">
        <v>994</v>
      </c>
      <c r="I445" s="451" t="s">
        <v>116</v>
      </c>
      <c r="J445" s="451"/>
      <c r="K445" s="451"/>
      <c r="L445" s="451" t="s">
        <v>643</v>
      </c>
      <c r="M445" s="452">
        <v>42979</v>
      </c>
      <c r="N445" s="452">
        <v>43069</v>
      </c>
      <c r="O445" s="458" t="s">
        <v>995</v>
      </c>
      <c r="P445" s="458"/>
      <c r="Q445" s="455"/>
      <c r="R445" s="456"/>
      <c r="S445" s="687"/>
      <c r="T445" s="680"/>
    </row>
    <row r="446" spans="1:20" ht="20.100000000000001" customHeight="1">
      <c r="A446" s="1138" t="s">
        <v>2963</v>
      </c>
      <c r="B446" s="1139" t="s">
        <v>519</v>
      </c>
      <c r="C446" s="1139" t="s">
        <v>460</v>
      </c>
      <c r="D446" s="11">
        <v>3000</v>
      </c>
      <c r="E446" s="11">
        <v>5490</v>
      </c>
      <c r="F446" s="11">
        <v>5490</v>
      </c>
      <c r="G446" s="628" t="s">
        <v>965</v>
      </c>
      <c r="H446" s="4" t="s">
        <v>967</v>
      </c>
      <c r="I446" s="475" t="s">
        <v>25</v>
      </c>
      <c r="J446" s="475"/>
      <c r="K446" s="475" t="s">
        <v>986</v>
      </c>
      <c r="L446" s="475" t="s">
        <v>966</v>
      </c>
      <c r="M446" s="452">
        <v>42979</v>
      </c>
      <c r="N446" s="452">
        <v>43069</v>
      </c>
      <c r="O446" s="458"/>
      <c r="P446" s="458"/>
      <c r="Q446" s="483"/>
      <c r="R446" s="456" t="s">
        <v>988</v>
      </c>
      <c r="S446" s="687"/>
      <c r="T446" s="680"/>
    </row>
    <row r="447" spans="1:20" ht="20.100000000000001" customHeight="1">
      <c r="A447" s="1138" t="s">
        <v>2963</v>
      </c>
      <c r="B447" s="1139" t="s">
        <v>519</v>
      </c>
      <c r="C447" s="1139" t="s">
        <v>460</v>
      </c>
      <c r="D447" s="11">
        <v>2875</v>
      </c>
      <c r="E447" s="727">
        <v>5750</v>
      </c>
      <c r="F447" s="727">
        <v>6000</v>
      </c>
      <c r="G447" s="29" t="s">
        <v>61</v>
      </c>
      <c r="H447" s="56" t="s">
        <v>2462</v>
      </c>
      <c r="I447" s="451" t="s">
        <v>116</v>
      </c>
      <c r="J447" s="451"/>
      <c r="K447" s="492" t="s">
        <v>661</v>
      </c>
      <c r="L447" s="451" t="s">
        <v>641</v>
      </c>
      <c r="M447" s="452">
        <v>43023</v>
      </c>
      <c r="N447" s="452">
        <v>43039</v>
      </c>
      <c r="O447" s="458"/>
      <c r="P447" s="458"/>
      <c r="Q447" s="167"/>
      <c r="R447" s="456" t="s">
        <v>501</v>
      </c>
      <c r="S447" s="687" t="s">
        <v>1176</v>
      </c>
      <c r="T447" s="680"/>
    </row>
    <row r="448" spans="1:20" ht="20.100000000000001" customHeight="1">
      <c r="A448" s="1138" t="s">
        <v>2963</v>
      </c>
      <c r="B448" s="1139" t="s">
        <v>519</v>
      </c>
      <c r="C448" s="1139" t="s">
        <v>460</v>
      </c>
      <c r="D448" s="32">
        <v>2350</v>
      </c>
      <c r="E448" s="32">
        <v>4700</v>
      </c>
      <c r="F448" s="32">
        <v>4700</v>
      </c>
      <c r="G448" s="29" t="s">
        <v>568</v>
      </c>
      <c r="H448" s="4" t="s">
        <v>1864</v>
      </c>
      <c r="I448" s="475" t="s">
        <v>25</v>
      </c>
      <c r="J448" s="451"/>
      <c r="K448" s="492" t="s">
        <v>570</v>
      </c>
      <c r="L448" s="475" t="s">
        <v>638</v>
      </c>
      <c r="M448" s="452">
        <v>43009</v>
      </c>
      <c r="N448" s="452">
        <v>43083</v>
      </c>
      <c r="O448" s="458" t="s">
        <v>899</v>
      </c>
      <c r="P448" s="458"/>
      <c r="Q448" s="455"/>
      <c r="R448" s="456" t="s">
        <v>1865</v>
      </c>
      <c r="S448" s="687"/>
      <c r="T448" s="680"/>
    </row>
    <row r="449" spans="1:20" ht="20.100000000000001" customHeight="1">
      <c r="A449" s="1138" t="s">
        <v>2963</v>
      </c>
      <c r="B449" s="1139" t="s">
        <v>519</v>
      </c>
      <c r="C449" s="1139" t="s">
        <v>460</v>
      </c>
      <c r="D449" s="32"/>
      <c r="E449" s="32"/>
      <c r="F449" s="32"/>
      <c r="G449" s="694" t="s">
        <v>18</v>
      </c>
      <c r="H449" s="22" t="s">
        <v>721</v>
      </c>
      <c r="I449" s="461" t="s">
        <v>116</v>
      </c>
      <c r="J449" s="461"/>
      <c r="K449" s="480" t="s">
        <v>1267</v>
      </c>
      <c r="L449" s="451" t="s">
        <v>643</v>
      </c>
      <c r="M449" s="452">
        <v>43040</v>
      </c>
      <c r="N449" s="452">
        <v>43100</v>
      </c>
      <c r="O449" s="483"/>
      <c r="P449" s="483"/>
      <c r="Q449" s="479"/>
      <c r="R449" s="473" t="s">
        <v>1275</v>
      </c>
      <c r="S449" s="687" t="s">
        <v>1176</v>
      </c>
      <c r="T449" s="680"/>
    </row>
    <row r="450" spans="1:20" ht="20.100000000000001" customHeight="1">
      <c r="A450" s="1138" t="s">
        <v>2963</v>
      </c>
      <c r="B450" s="1139" t="s">
        <v>519</v>
      </c>
      <c r="C450" s="1139" t="s">
        <v>460</v>
      </c>
      <c r="D450" s="11">
        <v>2900</v>
      </c>
      <c r="E450" s="11">
        <f>D450*2</f>
        <v>5800</v>
      </c>
      <c r="F450" s="11">
        <f>E450</f>
        <v>5800</v>
      </c>
      <c r="G450" s="29" t="s">
        <v>139</v>
      </c>
      <c r="H450" s="4" t="s">
        <v>2987</v>
      </c>
      <c r="I450" s="497" t="s">
        <v>25</v>
      </c>
      <c r="J450" s="497"/>
      <c r="K450" s="451">
        <v>32</v>
      </c>
      <c r="L450" s="475" t="s">
        <v>638</v>
      </c>
      <c r="M450" s="452">
        <v>43040</v>
      </c>
      <c r="N450" s="452">
        <v>43100</v>
      </c>
      <c r="O450" s="458" t="s">
        <v>624</v>
      </c>
      <c r="P450" s="458"/>
      <c r="Q450" s="458"/>
      <c r="R450" s="456"/>
      <c r="S450" s="687"/>
      <c r="T450" s="680"/>
    </row>
    <row r="451" spans="1:20" ht="20.100000000000001" customHeight="1">
      <c r="A451" s="1138" t="s">
        <v>2964</v>
      </c>
      <c r="B451" s="1139" t="s">
        <v>1926</v>
      </c>
      <c r="C451" s="1139" t="s">
        <v>1587</v>
      </c>
      <c r="D451" s="32">
        <v>3900</v>
      </c>
      <c r="E451" s="32">
        <v>6900</v>
      </c>
      <c r="F451" s="32">
        <f>E451+0</f>
        <v>6900</v>
      </c>
      <c r="G451" s="227" t="s">
        <v>1689</v>
      </c>
      <c r="H451" s="4">
        <v>1</v>
      </c>
      <c r="I451" s="451" t="s">
        <v>116</v>
      </c>
      <c r="J451" s="451"/>
      <c r="K451" s="451">
        <v>45</v>
      </c>
      <c r="L451" s="451" t="s">
        <v>643</v>
      </c>
      <c r="M451" s="452">
        <v>43009</v>
      </c>
      <c r="N451" s="452">
        <v>43100</v>
      </c>
      <c r="O451" s="458" t="s">
        <v>600</v>
      </c>
      <c r="P451" s="458"/>
      <c r="Q451" s="455"/>
      <c r="R451" s="456" t="s">
        <v>184</v>
      </c>
      <c r="S451" s="687" t="s">
        <v>1176</v>
      </c>
      <c r="T451" s="680"/>
    </row>
    <row r="452" spans="1:20" ht="20.100000000000001" customHeight="1">
      <c r="A452" s="1138" t="s">
        <v>2963</v>
      </c>
      <c r="B452" s="1139" t="s">
        <v>292</v>
      </c>
      <c r="C452" s="1139" t="s">
        <v>461</v>
      </c>
      <c r="D452" s="528">
        <v>3000</v>
      </c>
      <c r="E452" s="528">
        <f>D452*2</f>
        <v>6000</v>
      </c>
      <c r="F452" s="528">
        <f>D452*2+100</f>
        <v>6100</v>
      </c>
      <c r="G452" s="628" t="s">
        <v>989</v>
      </c>
      <c r="H452" s="4" t="s">
        <v>994</v>
      </c>
      <c r="I452" s="451" t="s">
        <v>116</v>
      </c>
      <c r="J452" s="451"/>
      <c r="K452" s="451"/>
      <c r="L452" s="451" t="s">
        <v>643</v>
      </c>
      <c r="M452" s="452">
        <v>42979</v>
      </c>
      <c r="N452" s="452">
        <v>43069</v>
      </c>
      <c r="O452" s="458" t="s">
        <v>995</v>
      </c>
      <c r="P452" s="458"/>
      <c r="Q452" s="455"/>
      <c r="R452" s="456"/>
      <c r="S452" s="687"/>
      <c r="T452" s="680"/>
    </row>
    <row r="453" spans="1:20" ht="20.100000000000001" customHeight="1">
      <c r="A453" s="1138" t="s">
        <v>2963</v>
      </c>
      <c r="B453" s="1139" t="s">
        <v>292</v>
      </c>
      <c r="C453" s="1139" t="s">
        <v>461</v>
      </c>
      <c r="D453" s="11">
        <v>3000</v>
      </c>
      <c r="E453" s="11">
        <v>5490</v>
      </c>
      <c r="F453" s="11">
        <v>5490</v>
      </c>
      <c r="G453" s="628" t="s">
        <v>965</v>
      </c>
      <c r="H453" s="4" t="s">
        <v>967</v>
      </c>
      <c r="I453" s="475" t="s">
        <v>25</v>
      </c>
      <c r="J453" s="475"/>
      <c r="K453" s="475" t="s">
        <v>984</v>
      </c>
      <c r="L453" s="475" t="s">
        <v>966</v>
      </c>
      <c r="M453" s="452">
        <v>42979</v>
      </c>
      <c r="N453" s="452">
        <v>43069</v>
      </c>
      <c r="O453" s="458"/>
      <c r="P453" s="458"/>
      <c r="Q453" s="483"/>
      <c r="R453" s="456" t="s">
        <v>988</v>
      </c>
      <c r="S453" s="687"/>
      <c r="T453" s="680"/>
    </row>
    <row r="454" spans="1:20" ht="20.100000000000001" customHeight="1">
      <c r="A454" s="1138" t="s">
        <v>2963</v>
      </c>
      <c r="B454" s="1139" t="s">
        <v>292</v>
      </c>
      <c r="C454" s="1139" t="s">
        <v>461</v>
      </c>
      <c r="D454" s="11">
        <v>2875</v>
      </c>
      <c r="E454" s="727">
        <v>5750</v>
      </c>
      <c r="F454" s="727">
        <v>6000</v>
      </c>
      <c r="G454" s="29" t="s">
        <v>61</v>
      </c>
      <c r="H454" s="56" t="s">
        <v>2462</v>
      </c>
      <c r="I454" s="451" t="s">
        <v>116</v>
      </c>
      <c r="J454" s="451"/>
      <c r="K454" s="492" t="s">
        <v>722</v>
      </c>
      <c r="L454" s="451" t="s">
        <v>641</v>
      </c>
      <c r="M454" s="452">
        <v>43023</v>
      </c>
      <c r="N454" s="452">
        <v>43039</v>
      </c>
      <c r="O454" s="458"/>
      <c r="P454" s="458"/>
      <c r="Q454" s="167"/>
      <c r="R454" s="456" t="s">
        <v>501</v>
      </c>
      <c r="S454" s="687" t="s">
        <v>1176</v>
      </c>
      <c r="T454" s="680"/>
    </row>
    <row r="455" spans="1:20" ht="20.100000000000001" customHeight="1">
      <c r="A455" s="1138" t="s">
        <v>2963</v>
      </c>
      <c r="B455" s="1139" t="s">
        <v>292</v>
      </c>
      <c r="C455" s="1139" t="s">
        <v>461</v>
      </c>
      <c r="D455" s="32">
        <v>2300</v>
      </c>
      <c r="E455" s="32">
        <v>4600</v>
      </c>
      <c r="F455" s="32">
        <v>4600</v>
      </c>
      <c r="G455" s="29" t="s">
        <v>568</v>
      </c>
      <c r="H455" s="4" t="s">
        <v>1864</v>
      </c>
      <c r="I455" s="475" t="s">
        <v>25</v>
      </c>
      <c r="J455" s="451"/>
      <c r="K455" s="492" t="s">
        <v>569</v>
      </c>
      <c r="L455" s="475" t="s">
        <v>638</v>
      </c>
      <c r="M455" s="452">
        <v>43009</v>
      </c>
      <c r="N455" s="452">
        <v>43083</v>
      </c>
      <c r="O455" s="458" t="s">
        <v>899</v>
      </c>
      <c r="P455" s="458"/>
      <c r="Q455" s="455"/>
      <c r="R455" s="456" t="s">
        <v>1865</v>
      </c>
      <c r="S455" s="687"/>
      <c r="T455" s="680"/>
    </row>
    <row r="456" spans="1:20" ht="20.100000000000001" customHeight="1">
      <c r="A456" s="1138" t="s">
        <v>2963</v>
      </c>
      <c r="B456" s="1139" t="s">
        <v>292</v>
      </c>
      <c r="C456" s="1139" t="s">
        <v>461</v>
      </c>
      <c r="D456" s="32"/>
      <c r="E456" s="32"/>
      <c r="F456" s="32"/>
      <c r="G456" s="694" t="s">
        <v>18</v>
      </c>
      <c r="H456" s="22" t="s">
        <v>721</v>
      </c>
      <c r="I456" s="461" t="s">
        <v>116</v>
      </c>
      <c r="J456" s="461"/>
      <c r="K456" s="480" t="s">
        <v>1266</v>
      </c>
      <c r="L456" s="451" t="s">
        <v>643</v>
      </c>
      <c r="M456" s="452">
        <v>43040</v>
      </c>
      <c r="N456" s="452">
        <v>43100</v>
      </c>
      <c r="O456" s="483"/>
      <c r="P456" s="483"/>
      <c r="Q456" s="479"/>
      <c r="R456" s="473" t="s">
        <v>1275</v>
      </c>
      <c r="S456" s="687" t="s">
        <v>1176</v>
      </c>
      <c r="T456" s="680"/>
    </row>
    <row r="457" spans="1:20" ht="20.100000000000001" customHeight="1">
      <c r="A457" s="1138" t="s">
        <v>2963</v>
      </c>
      <c r="B457" s="1139" t="s">
        <v>292</v>
      </c>
      <c r="C457" s="1139" t="s">
        <v>461</v>
      </c>
      <c r="D457" s="11">
        <v>3400</v>
      </c>
      <c r="E457" s="11">
        <f>D457*2</f>
        <v>6800</v>
      </c>
      <c r="F457" s="11">
        <f>E457</f>
        <v>6800</v>
      </c>
      <c r="G457" s="29" t="s">
        <v>139</v>
      </c>
      <c r="H457" s="4" t="s">
        <v>2987</v>
      </c>
      <c r="I457" s="497" t="s">
        <v>25</v>
      </c>
      <c r="J457" s="497"/>
      <c r="K457" s="451">
        <v>44</v>
      </c>
      <c r="L457" s="475" t="s">
        <v>638</v>
      </c>
      <c r="M457" s="452">
        <v>43040</v>
      </c>
      <c r="N457" s="452">
        <v>43100</v>
      </c>
      <c r="O457" s="458" t="s">
        <v>624</v>
      </c>
      <c r="P457" s="458"/>
      <c r="Q457" s="458"/>
      <c r="R457" s="456"/>
      <c r="S457" s="687"/>
      <c r="T457" s="680"/>
    </row>
    <row r="458" spans="1:20" ht="20.100000000000001" customHeight="1">
      <c r="A458" s="734" t="s">
        <v>2964</v>
      </c>
      <c r="B458" s="501" t="s">
        <v>991</v>
      </c>
      <c r="C458" s="501" t="s">
        <v>992</v>
      </c>
      <c r="D458" s="528">
        <v>3850</v>
      </c>
      <c r="E458" s="528">
        <f>D458*2</f>
        <v>7700</v>
      </c>
      <c r="F458" s="528">
        <f>D458*2+100</f>
        <v>7800</v>
      </c>
      <c r="G458" s="628" t="s">
        <v>989</v>
      </c>
      <c r="H458" s="4" t="s">
        <v>994</v>
      </c>
      <c r="I458" s="451" t="s">
        <v>116</v>
      </c>
      <c r="J458" s="497"/>
      <c r="K458" s="451"/>
      <c r="L458" s="451" t="s">
        <v>643</v>
      </c>
      <c r="M458" s="452">
        <v>42979</v>
      </c>
      <c r="N458" s="452">
        <v>43069</v>
      </c>
      <c r="O458" s="458" t="s">
        <v>995</v>
      </c>
      <c r="P458" s="458"/>
      <c r="Q458" s="455"/>
      <c r="R458" s="456"/>
      <c r="S458" s="687"/>
      <c r="T458" s="680"/>
    </row>
    <row r="459" spans="1:20" ht="20.100000000000001" customHeight="1">
      <c r="A459" s="1138" t="s">
        <v>2963</v>
      </c>
      <c r="B459" s="1139" t="s">
        <v>293</v>
      </c>
      <c r="C459" s="1139" t="s">
        <v>1588</v>
      </c>
      <c r="D459" s="32">
        <v>3700</v>
      </c>
      <c r="E459" s="32">
        <v>7100</v>
      </c>
      <c r="F459" s="32">
        <f>E459+0</f>
        <v>7100</v>
      </c>
      <c r="G459" s="227" t="s">
        <v>1689</v>
      </c>
      <c r="H459" s="4">
        <v>1</v>
      </c>
      <c r="I459" s="451" t="s">
        <v>116</v>
      </c>
      <c r="J459" s="451"/>
      <c r="K459" s="451">
        <v>45</v>
      </c>
      <c r="L459" s="451" t="s">
        <v>643</v>
      </c>
      <c r="M459" s="452">
        <v>43009</v>
      </c>
      <c r="N459" s="452">
        <v>43100</v>
      </c>
      <c r="O459" s="458" t="s">
        <v>600</v>
      </c>
      <c r="P459" s="458"/>
      <c r="Q459" s="455"/>
      <c r="R459" s="456" t="s">
        <v>184</v>
      </c>
      <c r="S459" s="687" t="s">
        <v>1176</v>
      </c>
      <c r="T459" s="680"/>
    </row>
    <row r="460" spans="1:20" ht="20.100000000000001" customHeight="1">
      <c r="A460" s="1138" t="s">
        <v>2963</v>
      </c>
      <c r="B460" s="1139" t="s">
        <v>293</v>
      </c>
      <c r="C460" s="1139" t="s">
        <v>462</v>
      </c>
      <c r="D460" s="11">
        <v>3100</v>
      </c>
      <c r="E460" s="11">
        <v>5670</v>
      </c>
      <c r="F460" s="11">
        <v>5670</v>
      </c>
      <c r="G460" s="628" t="s">
        <v>965</v>
      </c>
      <c r="H460" s="4" t="s">
        <v>967</v>
      </c>
      <c r="I460" s="475" t="s">
        <v>25</v>
      </c>
      <c r="J460" s="475"/>
      <c r="K460" s="475" t="s">
        <v>980</v>
      </c>
      <c r="L460" s="475" t="s">
        <v>966</v>
      </c>
      <c r="M460" s="452">
        <v>42979</v>
      </c>
      <c r="N460" s="452">
        <v>43069</v>
      </c>
      <c r="O460" s="458"/>
      <c r="P460" s="458"/>
      <c r="Q460" s="483"/>
      <c r="R460" s="456" t="s">
        <v>988</v>
      </c>
      <c r="S460" s="687"/>
      <c r="T460" s="680"/>
    </row>
    <row r="461" spans="1:20" ht="20.100000000000001" customHeight="1">
      <c r="A461" s="1138" t="s">
        <v>2963</v>
      </c>
      <c r="B461" s="1139" t="s">
        <v>293</v>
      </c>
      <c r="C461" s="1139" t="s">
        <v>462</v>
      </c>
      <c r="D461" s="11">
        <v>2850</v>
      </c>
      <c r="E461" s="727">
        <v>5700</v>
      </c>
      <c r="F461" s="727">
        <v>5950</v>
      </c>
      <c r="G461" s="29" t="s">
        <v>61</v>
      </c>
      <c r="H461" s="56" t="s">
        <v>2462</v>
      </c>
      <c r="I461" s="451" t="s">
        <v>116</v>
      </c>
      <c r="J461" s="451"/>
      <c r="K461" s="492" t="s">
        <v>683</v>
      </c>
      <c r="L461" s="451" t="s">
        <v>641</v>
      </c>
      <c r="M461" s="452">
        <v>43023</v>
      </c>
      <c r="N461" s="452">
        <v>43039</v>
      </c>
      <c r="O461" s="458"/>
      <c r="P461" s="458"/>
      <c r="Q461" s="167"/>
      <c r="R461" s="456" t="s">
        <v>501</v>
      </c>
      <c r="S461" s="687" t="s">
        <v>1176</v>
      </c>
      <c r="T461" s="680"/>
    </row>
    <row r="462" spans="1:20" ht="20.100000000000001" customHeight="1">
      <c r="A462" s="1138" t="s">
        <v>2963</v>
      </c>
      <c r="B462" s="1139" t="s">
        <v>293</v>
      </c>
      <c r="C462" s="1139" t="s">
        <v>462</v>
      </c>
      <c r="D462" s="2">
        <v>3400</v>
      </c>
      <c r="E462" s="2">
        <v>6800</v>
      </c>
      <c r="F462" s="2">
        <v>6800</v>
      </c>
      <c r="G462" s="220" t="s">
        <v>65</v>
      </c>
      <c r="H462" s="56" t="s">
        <v>2462</v>
      </c>
      <c r="I462" s="451" t="s">
        <v>116</v>
      </c>
      <c r="J462" s="451"/>
      <c r="K462" s="451">
        <v>33</v>
      </c>
      <c r="L462" s="451" t="s">
        <v>641</v>
      </c>
      <c r="M462" s="452">
        <v>43040</v>
      </c>
      <c r="N462" s="452">
        <v>43100</v>
      </c>
      <c r="O462" s="458" t="s">
        <v>1771</v>
      </c>
      <c r="P462" s="458"/>
      <c r="Q462" s="167"/>
      <c r="R462" s="456" t="s">
        <v>175</v>
      </c>
      <c r="S462" s="687" t="s">
        <v>1176</v>
      </c>
      <c r="T462" s="680"/>
    </row>
    <row r="463" spans="1:20" ht="20.100000000000001" customHeight="1">
      <c r="A463" s="1138" t="s">
        <v>2963</v>
      </c>
      <c r="B463" s="1139" t="s">
        <v>293</v>
      </c>
      <c r="C463" s="1139" t="s">
        <v>462</v>
      </c>
      <c r="D463" s="32">
        <v>2300</v>
      </c>
      <c r="E463" s="32">
        <v>4600</v>
      </c>
      <c r="F463" s="32">
        <v>4600</v>
      </c>
      <c r="G463" s="29" t="s">
        <v>568</v>
      </c>
      <c r="H463" s="56" t="s">
        <v>1864</v>
      </c>
      <c r="I463" s="475" t="s">
        <v>25</v>
      </c>
      <c r="J463" s="497"/>
      <c r="K463" s="451" t="s">
        <v>576</v>
      </c>
      <c r="L463" s="475" t="s">
        <v>638</v>
      </c>
      <c r="M463" s="452">
        <v>43031</v>
      </c>
      <c r="N463" s="452">
        <v>43083</v>
      </c>
      <c r="O463" s="458" t="s">
        <v>899</v>
      </c>
      <c r="P463" s="458"/>
      <c r="Q463" s="455"/>
      <c r="R463" s="456" t="s">
        <v>1865</v>
      </c>
      <c r="S463" s="687"/>
      <c r="T463" s="680"/>
    </row>
    <row r="464" spans="1:20" ht="20.100000000000001" customHeight="1">
      <c r="A464" s="1138" t="s">
        <v>2963</v>
      </c>
      <c r="B464" s="1139" t="s">
        <v>293</v>
      </c>
      <c r="C464" s="1139" t="s">
        <v>462</v>
      </c>
      <c r="D464" s="32">
        <v>2600</v>
      </c>
      <c r="E464" s="11">
        <v>5200</v>
      </c>
      <c r="F464" s="11">
        <v>5200</v>
      </c>
      <c r="G464" s="29" t="s">
        <v>139</v>
      </c>
      <c r="H464" s="4" t="s">
        <v>2987</v>
      </c>
      <c r="I464" s="497" t="s">
        <v>25</v>
      </c>
      <c r="J464" s="497"/>
      <c r="K464" s="451">
        <v>25</v>
      </c>
      <c r="L464" s="475" t="s">
        <v>638</v>
      </c>
      <c r="M464" s="452">
        <v>43040</v>
      </c>
      <c r="N464" s="452">
        <v>43100</v>
      </c>
      <c r="O464" s="458" t="s">
        <v>624</v>
      </c>
      <c r="P464" s="458"/>
      <c r="Q464" s="458"/>
      <c r="R464" s="456"/>
      <c r="S464" s="687"/>
      <c r="T464" s="680"/>
    </row>
    <row r="465" spans="1:20" ht="20.100000000000001" customHeight="1">
      <c r="A465" s="1138" t="s">
        <v>2963</v>
      </c>
      <c r="B465" s="1139" t="s">
        <v>293</v>
      </c>
      <c r="C465" s="1139" t="s">
        <v>462</v>
      </c>
      <c r="D465" s="32">
        <v>2600</v>
      </c>
      <c r="E465" s="11">
        <v>5200</v>
      </c>
      <c r="F465" s="11">
        <v>5200</v>
      </c>
      <c r="G465" s="29" t="s">
        <v>71</v>
      </c>
      <c r="H465" s="28" t="s">
        <v>3833</v>
      </c>
      <c r="I465" s="497" t="s">
        <v>17</v>
      </c>
      <c r="J465" s="497"/>
      <c r="K465" s="451">
        <v>27</v>
      </c>
      <c r="L465" s="475" t="s">
        <v>635</v>
      </c>
      <c r="M465" s="452">
        <v>43040</v>
      </c>
      <c r="N465" s="452">
        <v>43100</v>
      </c>
      <c r="O465" s="458" t="s">
        <v>624</v>
      </c>
      <c r="P465" s="458"/>
      <c r="Q465" s="458"/>
      <c r="R465" s="456"/>
      <c r="S465" s="687"/>
      <c r="T465" s="689"/>
    </row>
    <row r="466" spans="1:20" ht="20.100000000000001" customHeight="1">
      <c r="A466" s="1138" t="s">
        <v>2963</v>
      </c>
      <c r="B466" s="1139" t="s">
        <v>293</v>
      </c>
      <c r="C466" s="1139" t="s">
        <v>45</v>
      </c>
      <c r="D466" s="11">
        <v>3100</v>
      </c>
      <c r="E466" s="11">
        <v>5670</v>
      </c>
      <c r="F466" s="11">
        <v>5670</v>
      </c>
      <c r="G466" s="628" t="s">
        <v>965</v>
      </c>
      <c r="H466" s="56" t="s">
        <v>967</v>
      </c>
      <c r="I466" s="475" t="s">
        <v>25</v>
      </c>
      <c r="J466" s="475"/>
      <c r="K466" s="475" t="s">
        <v>975</v>
      </c>
      <c r="L466" s="475" t="s">
        <v>966</v>
      </c>
      <c r="M466" s="452">
        <v>42979</v>
      </c>
      <c r="N466" s="452">
        <v>43069</v>
      </c>
      <c r="O466" s="458"/>
      <c r="P466" s="458"/>
      <c r="Q466" s="483"/>
      <c r="R466" s="456" t="s">
        <v>988</v>
      </c>
      <c r="S466" s="687"/>
      <c r="T466" s="680"/>
    </row>
    <row r="467" spans="1:20" ht="20.100000000000001" customHeight="1">
      <c r="A467" s="1138" t="s">
        <v>2963</v>
      </c>
      <c r="B467" s="1139" t="s">
        <v>293</v>
      </c>
      <c r="C467" s="1139" t="s">
        <v>45</v>
      </c>
      <c r="D467" s="11">
        <v>2950</v>
      </c>
      <c r="E467" s="727">
        <v>5900</v>
      </c>
      <c r="F467" s="727">
        <v>6150</v>
      </c>
      <c r="G467" s="29" t="s">
        <v>61</v>
      </c>
      <c r="H467" s="56" t="s">
        <v>2462</v>
      </c>
      <c r="I467" s="451" t="s">
        <v>116</v>
      </c>
      <c r="J467" s="451"/>
      <c r="K467" s="492" t="s">
        <v>722</v>
      </c>
      <c r="L467" s="451" t="s">
        <v>641</v>
      </c>
      <c r="M467" s="452">
        <v>43023</v>
      </c>
      <c r="N467" s="452">
        <v>43039</v>
      </c>
      <c r="O467" s="458"/>
      <c r="P467" s="458"/>
      <c r="Q467" s="167"/>
      <c r="R467" s="456" t="s">
        <v>501</v>
      </c>
      <c r="S467" s="687" t="s">
        <v>1176</v>
      </c>
      <c r="T467" s="689"/>
    </row>
    <row r="468" spans="1:20" ht="20.100000000000001" customHeight="1">
      <c r="A468" s="1138" t="s">
        <v>2963</v>
      </c>
      <c r="B468" s="1139" t="s">
        <v>293</v>
      </c>
      <c r="C468" s="1139" t="s">
        <v>45</v>
      </c>
      <c r="D468" s="32">
        <v>2300</v>
      </c>
      <c r="E468" s="32">
        <v>4600</v>
      </c>
      <c r="F468" s="32">
        <v>4600</v>
      </c>
      <c r="G468" s="29" t="s">
        <v>568</v>
      </c>
      <c r="H468" s="4" t="s">
        <v>1864</v>
      </c>
      <c r="I468" s="475" t="s">
        <v>25</v>
      </c>
      <c r="J468" s="451"/>
      <c r="K468" s="492" t="s">
        <v>577</v>
      </c>
      <c r="L468" s="475" t="s">
        <v>638</v>
      </c>
      <c r="M468" s="452">
        <v>43031</v>
      </c>
      <c r="N468" s="452">
        <v>43083</v>
      </c>
      <c r="O468" s="458" t="s">
        <v>899</v>
      </c>
      <c r="P468" s="458"/>
      <c r="Q468" s="455"/>
      <c r="R468" s="456" t="s">
        <v>1865</v>
      </c>
      <c r="S468" s="687"/>
      <c r="T468" s="689"/>
    </row>
    <row r="469" spans="1:20" ht="20.100000000000001" customHeight="1">
      <c r="A469" s="1138" t="s">
        <v>2963</v>
      </c>
      <c r="B469" s="1139" t="s">
        <v>293</v>
      </c>
      <c r="C469" s="1139" t="s">
        <v>45</v>
      </c>
      <c r="D469" s="11">
        <v>3100</v>
      </c>
      <c r="E469" s="11">
        <f>D469*2</f>
        <v>6200</v>
      </c>
      <c r="F469" s="11">
        <f>E469</f>
        <v>6200</v>
      </c>
      <c r="G469" s="29" t="s">
        <v>139</v>
      </c>
      <c r="H469" s="4" t="s">
        <v>2987</v>
      </c>
      <c r="I469" s="497" t="s">
        <v>25</v>
      </c>
      <c r="J469" s="497"/>
      <c r="K469" s="451">
        <v>24</v>
      </c>
      <c r="L469" s="475" t="s">
        <v>638</v>
      </c>
      <c r="M469" s="452">
        <v>43040</v>
      </c>
      <c r="N469" s="452">
        <v>43100</v>
      </c>
      <c r="O469" s="458" t="s">
        <v>624</v>
      </c>
      <c r="P469" s="458"/>
      <c r="Q469" s="482"/>
      <c r="R469" s="456"/>
      <c r="S469" s="687"/>
      <c r="T469" s="689"/>
    </row>
    <row r="470" spans="1:20" ht="20.100000000000001" customHeight="1">
      <c r="A470" s="1138" t="s">
        <v>2963</v>
      </c>
      <c r="B470" s="1139" t="s">
        <v>294</v>
      </c>
      <c r="C470" s="1139" t="s">
        <v>1589</v>
      </c>
      <c r="D470" s="32">
        <v>3900</v>
      </c>
      <c r="E470" s="32">
        <v>6800</v>
      </c>
      <c r="F470" s="32">
        <f>E470+0</f>
        <v>6800</v>
      </c>
      <c r="G470" s="227" t="s">
        <v>1689</v>
      </c>
      <c r="H470" s="4">
        <v>1</v>
      </c>
      <c r="I470" s="451" t="s">
        <v>116</v>
      </c>
      <c r="J470" s="451"/>
      <c r="K470" s="451">
        <v>45</v>
      </c>
      <c r="L470" s="451" t="s">
        <v>643</v>
      </c>
      <c r="M470" s="452">
        <v>43009</v>
      </c>
      <c r="N470" s="452">
        <v>43100</v>
      </c>
      <c r="O470" s="458" t="s">
        <v>600</v>
      </c>
      <c r="P470" s="458"/>
      <c r="Q470" s="455"/>
      <c r="R470" s="456" t="s">
        <v>184</v>
      </c>
      <c r="S470" s="687" t="s">
        <v>1176</v>
      </c>
      <c r="T470" s="680"/>
    </row>
    <row r="471" spans="1:20" ht="20.100000000000001" customHeight="1">
      <c r="A471" s="1138" t="s">
        <v>2963</v>
      </c>
      <c r="B471" s="1139" t="s">
        <v>294</v>
      </c>
      <c r="C471" s="1139" t="s">
        <v>463</v>
      </c>
      <c r="D471" s="528">
        <v>3850</v>
      </c>
      <c r="E471" s="528">
        <f>D471*2</f>
        <v>7700</v>
      </c>
      <c r="F471" s="528">
        <f>D471*2+100</f>
        <v>7800</v>
      </c>
      <c r="G471" s="628" t="s">
        <v>989</v>
      </c>
      <c r="H471" s="4" t="s">
        <v>994</v>
      </c>
      <c r="I471" s="451" t="s">
        <v>116</v>
      </c>
      <c r="J471" s="451"/>
      <c r="K471" s="451"/>
      <c r="L471" s="451" t="s">
        <v>643</v>
      </c>
      <c r="M471" s="452">
        <v>42979</v>
      </c>
      <c r="N471" s="452">
        <v>43069</v>
      </c>
      <c r="O471" s="458" t="s">
        <v>995</v>
      </c>
      <c r="P471" s="458"/>
      <c r="Q471" s="455"/>
      <c r="R471" s="456"/>
      <c r="S471" s="687"/>
      <c r="T471" s="680"/>
    </row>
    <row r="472" spans="1:20" ht="20.100000000000001" customHeight="1">
      <c r="A472" s="1138" t="s">
        <v>2963</v>
      </c>
      <c r="B472" s="1139" t="s">
        <v>294</v>
      </c>
      <c r="C472" s="1139" t="s">
        <v>463</v>
      </c>
      <c r="D472" s="11">
        <v>4175</v>
      </c>
      <c r="E472" s="727">
        <v>8350</v>
      </c>
      <c r="F472" s="727">
        <v>8600</v>
      </c>
      <c r="G472" s="29" t="s">
        <v>61</v>
      </c>
      <c r="H472" s="56" t="s">
        <v>2462</v>
      </c>
      <c r="I472" s="451" t="s">
        <v>116</v>
      </c>
      <c r="J472" s="451"/>
      <c r="K472" s="492" t="s">
        <v>731</v>
      </c>
      <c r="L472" s="451" t="s">
        <v>641</v>
      </c>
      <c r="M472" s="452">
        <v>43023</v>
      </c>
      <c r="N472" s="452">
        <v>43039</v>
      </c>
      <c r="O472" s="458"/>
      <c r="P472" s="458"/>
      <c r="Q472" s="167"/>
      <c r="R472" s="456" t="s">
        <v>501</v>
      </c>
      <c r="S472" s="687" t="s">
        <v>1176</v>
      </c>
      <c r="T472" s="680"/>
    </row>
    <row r="473" spans="1:20" ht="20.100000000000001" customHeight="1">
      <c r="A473" s="1138" t="s">
        <v>2963</v>
      </c>
      <c r="B473" s="1139" t="s">
        <v>294</v>
      </c>
      <c r="C473" s="1139" t="s">
        <v>463</v>
      </c>
      <c r="D473" s="11"/>
      <c r="E473" s="11"/>
      <c r="F473" s="11"/>
      <c r="G473" s="29" t="s">
        <v>139</v>
      </c>
      <c r="H473" s="4" t="s">
        <v>2987</v>
      </c>
      <c r="I473" s="497" t="s">
        <v>25</v>
      </c>
      <c r="J473" s="497"/>
      <c r="K473" s="451"/>
      <c r="L473" s="475" t="s">
        <v>638</v>
      </c>
      <c r="M473" s="452">
        <v>43040</v>
      </c>
      <c r="N473" s="452">
        <v>43100</v>
      </c>
      <c r="O473" s="458" t="s">
        <v>624</v>
      </c>
      <c r="P473" s="458"/>
      <c r="Q473" s="462" t="s">
        <v>1024</v>
      </c>
      <c r="R473" s="456"/>
      <c r="S473" s="687"/>
      <c r="T473" s="680"/>
    </row>
    <row r="474" spans="1:20" ht="20.100000000000001" customHeight="1">
      <c r="A474" s="734" t="s">
        <v>2964</v>
      </c>
      <c r="B474" s="501" t="s">
        <v>990</v>
      </c>
      <c r="C474" s="501" t="s">
        <v>1590</v>
      </c>
      <c r="D474" s="528">
        <v>4250</v>
      </c>
      <c r="E474" s="528"/>
      <c r="F474" s="528"/>
      <c r="G474" s="628" t="s">
        <v>989</v>
      </c>
      <c r="H474" s="4" t="s">
        <v>994</v>
      </c>
      <c r="I474" s="451" t="s">
        <v>116</v>
      </c>
      <c r="J474" s="497"/>
      <c r="K474" s="451"/>
      <c r="L474" s="451" t="s">
        <v>643</v>
      </c>
      <c r="M474" s="452">
        <v>42979</v>
      </c>
      <c r="N474" s="452">
        <v>43069</v>
      </c>
      <c r="O474" s="458" t="s">
        <v>995</v>
      </c>
      <c r="P474" s="458"/>
      <c r="Q474" s="455"/>
      <c r="R474" s="456"/>
      <c r="S474" s="687"/>
      <c r="T474" s="680"/>
    </row>
    <row r="475" spans="1:20" ht="20.100000000000001" customHeight="1">
      <c r="A475" s="1138" t="s">
        <v>2963</v>
      </c>
      <c r="B475" s="1139" t="s">
        <v>295</v>
      </c>
      <c r="C475" s="1139" t="s">
        <v>1591</v>
      </c>
      <c r="D475" s="11"/>
      <c r="E475" s="11"/>
      <c r="F475" s="11"/>
      <c r="G475" s="29" t="s">
        <v>139</v>
      </c>
      <c r="H475" s="4" t="s">
        <v>2987</v>
      </c>
      <c r="I475" s="497" t="s">
        <v>25</v>
      </c>
      <c r="J475" s="497"/>
      <c r="K475" s="451"/>
      <c r="L475" s="475" t="s">
        <v>638</v>
      </c>
      <c r="M475" s="452">
        <v>43040</v>
      </c>
      <c r="N475" s="452">
        <v>43100</v>
      </c>
      <c r="O475" s="458" t="s">
        <v>624</v>
      </c>
      <c r="P475" s="458"/>
      <c r="Q475" s="462" t="s">
        <v>1024</v>
      </c>
      <c r="R475" s="456"/>
      <c r="S475" s="687"/>
      <c r="T475" s="680"/>
    </row>
    <row r="476" spans="1:20" ht="20.100000000000001" customHeight="1">
      <c r="A476" s="1138" t="s">
        <v>2963</v>
      </c>
      <c r="B476" s="1139" t="s">
        <v>295</v>
      </c>
      <c r="C476" s="1139" t="s">
        <v>43</v>
      </c>
      <c r="D476" s="11">
        <v>5625</v>
      </c>
      <c r="E476" s="11"/>
      <c r="F476" s="11"/>
      <c r="G476" s="29" t="s">
        <v>61</v>
      </c>
      <c r="H476" s="4" t="s">
        <v>1656</v>
      </c>
      <c r="I476" s="451" t="s">
        <v>118</v>
      </c>
      <c r="J476" s="451"/>
      <c r="K476" s="492" t="s">
        <v>1893</v>
      </c>
      <c r="L476" s="451" t="s">
        <v>642</v>
      </c>
      <c r="M476" s="452">
        <v>43023</v>
      </c>
      <c r="N476" s="452">
        <v>43039</v>
      </c>
      <c r="O476" s="458"/>
      <c r="P476" s="458"/>
      <c r="Q476" s="455"/>
      <c r="R476" s="456" t="s">
        <v>1657</v>
      </c>
      <c r="S476" s="687" t="s">
        <v>1176</v>
      </c>
      <c r="T476" s="689"/>
    </row>
    <row r="477" spans="1:20" ht="20.100000000000001" customHeight="1">
      <c r="A477" s="1138" t="s">
        <v>2963</v>
      </c>
      <c r="B477" s="1139" t="s">
        <v>296</v>
      </c>
      <c r="C477" s="1139" t="s">
        <v>1592</v>
      </c>
      <c r="D477" s="11">
        <v>5425</v>
      </c>
      <c r="E477" s="727"/>
      <c r="F477" s="727"/>
      <c r="G477" s="29" t="s">
        <v>61</v>
      </c>
      <c r="H477" s="4" t="s">
        <v>1656</v>
      </c>
      <c r="I477" s="451" t="s">
        <v>118</v>
      </c>
      <c r="J477" s="451"/>
      <c r="K477" s="492" t="s">
        <v>1895</v>
      </c>
      <c r="L477" s="451" t="s">
        <v>642</v>
      </c>
      <c r="M477" s="452">
        <v>43023</v>
      </c>
      <c r="N477" s="452">
        <v>43039</v>
      </c>
      <c r="O477" s="458"/>
      <c r="P477" s="458"/>
      <c r="Q477" s="455"/>
      <c r="R477" s="456" t="s">
        <v>1657</v>
      </c>
      <c r="S477" s="687" t="s">
        <v>1176</v>
      </c>
      <c r="T477" s="689"/>
    </row>
    <row r="478" spans="1:20" ht="20.100000000000001" customHeight="1">
      <c r="A478" s="1138" t="s">
        <v>2963</v>
      </c>
      <c r="B478" s="1139" t="s">
        <v>296</v>
      </c>
      <c r="C478" s="1139" t="s">
        <v>44</v>
      </c>
      <c r="D478" s="13">
        <v>5800</v>
      </c>
      <c r="E478" s="2"/>
      <c r="F478" s="2"/>
      <c r="G478" s="220" t="s">
        <v>65</v>
      </c>
      <c r="H478" s="4" t="s">
        <v>2462</v>
      </c>
      <c r="I478" s="451" t="s">
        <v>118</v>
      </c>
      <c r="J478" s="451"/>
      <c r="K478" s="451">
        <v>42</v>
      </c>
      <c r="L478" s="451" t="s">
        <v>641</v>
      </c>
      <c r="M478" s="452">
        <v>43040</v>
      </c>
      <c r="N478" s="452">
        <v>43100</v>
      </c>
      <c r="O478" s="458" t="s">
        <v>1771</v>
      </c>
      <c r="P478" s="458"/>
      <c r="Q478" s="167"/>
      <c r="R478" s="456" t="s">
        <v>175</v>
      </c>
      <c r="S478" s="687" t="s">
        <v>1176</v>
      </c>
      <c r="T478" s="689"/>
    </row>
    <row r="479" spans="1:20" ht="20.100000000000001" customHeight="1">
      <c r="A479" s="1138" t="s">
        <v>2966</v>
      </c>
      <c r="B479" s="1139" t="s">
        <v>296</v>
      </c>
      <c r="C479" s="1139" t="s">
        <v>1593</v>
      </c>
      <c r="D479" s="11">
        <v>5425</v>
      </c>
      <c r="E479" s="727">
        <v>10850</v>
      </c>
      <c r="F479" s="727">
        <v>11100</v>
      </c>
      <c r="G479" s="29" t="s">
        <v>61</v>
      </c>
      <c r="H479" s="4" t="s">
        <v>1656</v>
      </c>
      <c r="I479" s="451" t="s">
        <v>118</v>
      </c>
      <c r="J479" s="451"/>
      <c r="K479" s="492" t="s">
        <v>1894</v>
      </c>
      <c r="L479" s="451" t="s">
        <v>642</v>
      </c>
      <c r="M479" s="452">
        <v>43023</v>
      </c>
      <c r="N479" s="452">
        <v>43039</v>
      </c>
      <c r="O479" s="458"/>
      <c r="P479" s="458"/>
      <c r="Q479" s="455"/>
      <c r="R479" s="456" t="s">
        <v>1657</v>
      </c>
      <c r="S479" s="687" t="s">
        <v>1176</v>
      </c>
      <c r="T479" s="689"/>
    </row>
    <row r="480" spans="1:20" ht="20.100000000000001" customHeight="1">
      <c r="A480" s="1138" t="s">
        <v>2963</v>
      </c>
      <c r="B480" s="1139" t="s">
        <v>296</v>
      </c>
      <c r="C480" s="1139" t="s">
        <v>48</v>
      </c>
      <c r="D480" s="2"/>
      <c r="E480" s="2"/>
      <c r="F480" s="2"/>
      <c r="G480" s="220" t="s">
        <v>65</v>
      </c>
      <c r="H480" s="4" t="s">
        <v>2462</v>
      </c>
      <c r="I480" s="451" t="s">
        <v>118</v>
      </c>
      <c r="J480" s="451"/>
      <c r="K480" s="451">
        <v>42</v>
      </c>
      <c r="L480" s="451" t="s">
        <v>641</v>
      </c>
      <c r="M480" s="452">
        <v>43040</v>
      </c>
      <c r="N480" s="452">
        <v>43100</v>
      </c>
      <c r="O480" s="458" t="s">
        <v>1771</v>
      </c>
      <c r="P480" s="458"/>
      <c r="Q480" s="167"/>
      <c r="R480" s="456" t="s">
        <v>175</v>
      </c>
      <c r="S480" s="687" t="s">
        <v>1176</v>
      </c>
      <c r="T480" s="689"/>
    </row>
    <row r="481" spans="1:20" ht="20.100000000000001" customHeight="1">
      <c r="A481" s="1138" t="s">
        <v>2963</v>
      </c>
      <c r="B481" s="1139" t="s">
        <v>296</v>
      </c>
      <c r="C481" s="1139" t="s">
        <v>48</v>
      </c>
      <c r="D481" s="11"/>
      <c r="E481" s="11"/>
      <c r="F481" s="11"/>
      <c r="G481" s="29" t="s">
        <v>139</v>
      </c>
      <c r="H481" s="4" t="s">
        <v>2987</v>
      </c>
      <c r="I481" s="497" t="s">
        <v>25</v>
      </c>
      <c r="J481" s="497"/>
      <c r="K481" s="451"/>
      <c r="L481" s="475" t="s">
        <v>638</v>
      </c>
      <c r="M481" s="452">
        <v>43040</v>
      </c>
      <c r="N481" s="452">
        <v>43100</v>
      </c>
      <c r="O481" s="458" t="s">
        <v>624</v>
      </c>
      <c r="P481" s="458"/>
      <c r="Q481" s="462" t="s">
        <v>1024</v>
      </c>
      <c r="R481" s="456"/>
      <c r="S481" s="687"/>
      <c r="T481" s="680"/>
    </row>
    <row r="482" spans="1:20" ht="20.100000000000001" customHeight="1">
      <c r="A482" s="734" t="s">
        <v>2966</v>
      </c>
      <c r="B482" s="501" t="s">
        <v>1284</v>
      </c>
      <c r="C482" s="501" t="s">
        <v>1594</v>
      </c>
      <c r="D482" s="11">
        <v>5500</v>
      </c>
      <c r="E482" s="11">
        <v>11000</v>
      </c>
      <c r="F482" s="11">
        <v>11150</v>
      </c>
      <c r="G482" s="220" t="s">
        <v>5</v>
      </c>
      <c r="H482" s="4" t="s">
        <v>2462</v>
      </c>
      <c r="I482" s="451" t="s">
        <v>118</v>
      </c>
      <c r="J482" s="451"/>
      <c r="K482" s="451" t="s">
        <v>1286</v>
      </c>
      <c r="L482" s="451" t="s">
        <v>641</v>
      </c>
      <c r="M482" s="452">
        <v>43040</v>
      </c>
      <c r="N482" s="452">
        <v>43100</v>
      </c>
      <c r="O482" s="458" t="s">
        <v>1771</v>
      </c>
      <c r="P482" s="458"/>
      <c r="Q482" s="167"/>
      <c r="R482" s="456" t="s">
        <v>175</v>
      </c>
      <c r="S482" s="687" t="s">
        <v>1176</v>
      </c>
      <c r="T482" s="680"/>
    </row>
    <row r="483" spans="1:20" ht="20.100000000000001" customHeight="1">
      <c r="A483" s="1138" t="s">
        <v>2963</v>
      </c>
      <c r="B483" s="1139" t="s">
        <v>297</v>
      </c>
      <c r="C483" s="1139" t="s">
        <v>2352</v>
      </c>
      <c r="D483" s="11">
        <v>3100</v>
      </c>
      <c r="E483" s="11">
        <v>5670</v>
      </c>
      <c r="F483" s="11">
        <v>5670</v>
      </c>
      <c r="G483" s="628" t="s">
        <v>965</v>
      </c>
      <c r="H483" s="4" t="s">
        <v>967</v>
      </c>
      <c r="I483" s="475" t="s">
        <v>25</v>
      </c>
      <c r="J483" s="475"/>
      <c r="K483" s="475" t="s">
        <v>978</v>
      </c>
      <c r="L483" s="475" t="s">
        <v>966</v>
      </c>
      <c r="M483" s="452">
        <v>42979</v>
      </c>
      <c r="N483" s="452">
        <v>43069</v>
      </c>
      <c r="O483" s="458"/>
      <c r="P483" s="458"/>
      <c r="Q483" s="478"/>
      <c r="R483" s="456" t="s">
        <v>988</v>
      </c>
      <c r="S483" s="687"/>
      <c r="T483" s="680"/>
    </row>
    <row r="484" spans="1:20" ht="20.100000000000001" customHeight="1">
      <c r="A484" s="1138" t="s">
        <v>2963</v>
      </c>
      <c r="B484" s="1139" t="s">
        <v>297</v>
      </c>
      <c r="C484" s="1139" t="s">
        <v>464</v>
      </c>
      <c r="D484" s="11"/>
      <c r="E484" s="11"/>
      <c r="F484" s="11"/>
      <c r="G484" s="29" t="s">
        <v>61</v>
      </c>
      <c r="H484" s="4" t="s">
        <v>1656</v>
      </c>
      <c r="I484" s="451" t="s">
        <v>118</v>
      </c>
      <c r="J484" s="451"/>
      <c r="K484" s="492" t="s">
        <v>1892</v>
      </c>
      <c r="L484" s="451" t="s">
        <v>642</v>
      </c>
      <c r="M484" s="452">
        <v>43023</v>
      </c>
      <c r="N484" s="452">
        <v>43039</v>
      </c>
      <c r="O484" s="458"/>
      <c r="P484" s="458"/>
      <c r="Q484" s="455"/>
      <c r="R484" s="456" t="s">
        <v>1657</v>
      </c>
      <c r="S484" s="687" t="s">
        <v>1176</v>
      </c>
      <c r="T484" s="689"/>
    </row>
    <row r="485" spans="1:20" ht="20.100000000000001" customHeight="1">
      <c r="A485" s="1138" t="s">
        <v>2963</v>
      </c>
      <c r="B485" s="1139" t="s">
        <v>297</v>
      </c>
      <c r="C485" s="1139" t="s">
        <v>464</v>
      </c>
      <c r="D485" s="11"/>
      <c r="E485" s="11"/>
      <c r="F485" s="11"/>
      <c r="G485" s="29" t="s">
        <v>568</v>
      </c>
      <c r="H485" s="4" t="s">
        <v>1864</v>
      </c>
      <c r="I485" s="475" t="s">
        <v>25</v>
      </c>
      <c r="J485" s="451"/>
      <c r="K485" s="492" t="s">
        <v>578</v>
      </c>
      <c r="L485" s="475" t="s">
        <v>638</v>
      </c>
      <c r="M485" s="452">
        <v>43009</v>
      </c>
      <c r="N485" s="452">
        <v>43083</v>
      </c>
      <c r="O485" s="458" t="s">
        <v>899</v>
      </c>
      <c r="P485" s="458"/>
      <c r="Q485" s="462" t="s">
        <v>1024</v>
      </c>
      <c r="R485" s="456" t="s">
        <v>1865</v>
      </c>
      <c r="S485" s="687"/>
      <c r="T485" s="689"/>
    </row>
    <row r="486" spans="1:20" ht="20.100000000000001" customHeight="1">
      <c r="A486" s="1138" t="s">
        <v>2963</v>
      </c>
      <c r="B486" s="1139" t="s">
        <v>297</v>
      </c>
      <c r="C486" s="1139" t="s">
        <v>464</v>
      </c>
      <c r="D486" s="11">
        <v>3300</v>
      </c>
      <c r="E486" s="11">
        <f>D486*2</f>
        <v>6600</v>
      </c>
      <c r="F486" s="11">
        <f>E486</f>
        <v>6600</v>
      </c>
      <c r="G486" s="29" t="s">
        <v>139</v>
      </c>
      <c r="H486" s="4" t="s">
        <v>2987</v>
      </c>
      <c r="I486" s="497" t="s">
        <v>25</v>
      </c>
      <c r="J486" s="497"/>
      <c r="K486" s="451">
        <v>19</v>
      </c>
      <c r="L486" s="475" t="s">
        <v>638</v>
      </c>
      <c r="M486" s="452">
        <v>43040</v>
      </c>
      <c r="N486" s="452">
        <v>43100</v>
      </c>
      <c r="O486" s="458" t="s">
        <v>624</v>
      </c>
      <c r="P486" s="458"/>
      <c r="Q486" s="462"/>
      <c r="R486" s="456"/>
      <c r="S486" s="687"/>
      <c r="T486" s="689"/>
    </row>
    <row r="487" spans="1:20" ht="20.100000000000001" customHeight="1">
      <c r="A487" s="1138" t="s">
        <v>2963</v>
      </c>
      <c r="B487" s="1139" t="s">
        <v>224</v>
      </c>
      <c r="C487" s="1139" t="s">
        <v>1595</v>
      </c>
      <c r="D487" s="528">
        <v>5000</v>
      </c>
      <c r="E487" s="528"/>
      <c r="F487" s="528"/>
      <c r="G487" s="628" t="s">
        <v>989</v>
      </c>
      <c r="H487" s="766" t="s">
        <v>1001</v>
      </c>
      <c r="I487" s="497" t="s">
        <v>996</v>
      </c>
      <c r="J487" s="497"/>
      <c r="K487" s="451"/>
      <c r="L487" s="475" t="s">
        <v>635</v>
      </c>
      <c r="M487" s="452">
        <v>42979</v>
      </c>
      <c r="N487" s="452">
        <v>43069</v>
      </c>
      <c r="O487" s="458" t="s">
        <v>995</v>
      </c>
      <c r="P487" s="458"/>
      <c r="Q487" s="462"/>
      <c r="R487" s="456"/>
      <c r="S487" s="687"/>
      <c r="T487" s="689"/>
    </row>
    <row r="488" spans="1:20" ht="20.100000000000001" customHeight="1">
      <c r="A488" s="1138" t="s">
        <v>2963</v>
      </c>
      <c r="B488" s="1139" t="s">
        <v>224</v>
      </c>
      <c r="C488" s="1139" t="s">
        <v>224</v>
      </c>
      <c r="D488" s="528">
        <v>6700</v>
      </c>
      <c r="E488" s="528"/>
      <c r="F488" s="528"/>
      <c r="G488" s="220" t="s">
        <v>5</v>
      </c>
      <c r="H488" s="4" t="s">
        <v>2462</v>
      </c>
      <c r="I488" s="451" t="s">
        <v>111</v>
      </c>
      <c r="J488" s="451"/>
      <c r="K488" s="451" t="s">
        <v>1285</v>
      </c>
      <c r="L488" s="451" t="s">
        <v>641</v>
      </c>
      <c r="M488" s="452">
        <v>43040</v>
      </c>
      <c r="N488" s="452">
        <v>43100</v>
      </c>
      <c r="O488" s="458" t="s">
        <v>1771</v>
      </c>
      <c r="P488" s="458"/>
      <c r="Q488" s="167"/>
      <c r="R488" s="456" t="s">
        <v>175</v>
      </c>
      <c r="S488" s="687" t="s">
        <v>1176</v>
      </c>
      <c r="T488" s="313" t="s">
        <v>2837</v>
      </c>
    </row>
    <row r="489" spans="1:20" ht="20.100000000000001" customHeight="1">
      <c r="A489" s="1138" t="s">
        <v>2963</v>
      </c>
      <c r="B489" s="1139" t="s">
        <v>224</v>
      </c>
      <c r="C489" s="1139" t="s">
        <v>224</v>
      </c>
      <c r="D489" s="11"/>
      <c r="E489" s="11"/>
      <c r="F489" s="11"/>
      <c r="G489" s="3" t="s">
        <v>139</v>
      </c>
      <c r="H489" s="4" t="s">
        <v>2987</v>
      </c>
      <c r="I489" s="497" t="s">
        <v>25</v>
      </c>
      <c r="J489" s="497"/>
      <c r="K489" s="492"/>
      <c r="L489" s="475" t="s">
        <v>638</v>
      </c>
      <c r="M489" s="452">
        <v>43040</v>
      </c>
      <c r="N489" s="452">
        <v>43100</v>
      </c>
      <c r="O489" s="458" t="s">
        <v>624</v>
      </c>
      <c r="P489" s="458"/>
      <c r="Q489" s="462" t="s">
        <v>1024</v>
      </c>
      <c r="R489" s="456"/>
      <c r="S489" s="687"/>
      <c r="T489" s="680"/>
    </row>
    <row r="490" spans="1:20" ht="20.100000000000001" customHeight="1">
      <c r="A490" s="734" t="s">
        <v>2964</v>
      </c>
      <c r="B490" s="501" t="s">
        <v>993</v>
      </c>
      <c r="C490" s="501" t="s">
        <v>1596</v>
      </c>
      <c r="D490" s="528">
        <v>5100</v>
      </c>
      <c r="E490" s="528"/>
      <c r="F490" s="528"/>
      <c r="G490" s="628" t="s">
        <v>989</v>
      </c>
      <c r="H490" s="4" t="s">
        <v>994</v>
      </c>
      <c r="I490" s="451" t="s">
        <v>116</v>
      </c>
      <c r="J490" s="497"/>
      <c r="K490" s="492"/>
      <c r="L490" s="451" t="s">
        <v>643</v>
      </c>
      <c r="M490" s="452">
        <v>42979</v>
      </c>
      <c r="N490" s="452">
        <v>43069</v>
      </c>
      <c r="O490" s="458" t="s">
        <v>995</v>
      </c>
      <c r="P490" s="458"/>
      <c r="Q490" s="455"/>
      <c r="R490" s="456"/>
      <c r="S490" s="687"/>
      <c r="T490" s="680"/>
    </row>
    <row r="491" spans="1:20" ht="20.100000000000001" customHeight="1">
      <c r="A491" s="1138" t="s">
        <v>2963</v>
      </c>
      <c r="B491" s="1139" t="s">
        <v>520</v>
      </c>
      <c r="C491" s="1139" t="s">
        <v>1597</v>
      </c>
      <c r="D491" s="11">
        <v>2970</v>
      </c>
      <c r="E491" s="11">
        <v>5320</v>
      </c>
      <c r="F491" s="11">
        <v>5320</v>
      </c>
      <c r="G491" s="628" t="s">
        <v>965</v>
      </c>
      <c r="H491" s="4" t="s">
        <v>967</v>
      </c>
      <c r="I491" s="475" t="s">
        <v>25</v>
      </c>
      <c r="J491" s="475"/>
      <c r="K491" s="475" t="s">
        <v>969</v>
      </c>
      <c r="L491" s="475" t="s">
        <v>966</v>
      </c>
      <c r="M491" s="452">
        <v>42979</v>
      </c>
      <c r="N491" s="452">
        <v>43069</v>
      </c>
      <c r="O491" s="458"/>
      <c r="P491" s="458"/>
      <c r="Q491" s="478"/>
      <c r="R491" s="456" t="s">
        <v>977</v>
      </c>
      <c r="S491" s="687"/>
      <c r="T491" s="680"/>
    </row>
    <row r="492" spans="1:20" ht="20.100000000000001" customHeight="1">
      <c r="A492" s="1138" t="s">
        <v>2963</v>
      </c>
      <c r="B492" s="1139" t="s">
        <v>520</v>
      </c>
      <c r="C492" s="1139" t="s">
        <v>46</v>
      </c>
      <c r="D492" s="11">
        <v>2400</v>
      </c>
      <c r="E492" s="11">
        <v>4800</v>
      </c>
      <c r="F492" s="11">
        <v>4800</v>
      </c>
      <c r="G492" s="3" t="s">
        <v>139</v>
      </c>
      <c r="H492" s="35" t="s">
        <v>2987</v>
      </c>
      <c r="I492" s="497" t="s">
        <v>25</v>
      </c>
      <c r="J492" s="497"/>
      <c r="K492" s="492">
        <v>50</v>
      </c>
      <c r="L492" s="475" t="s">
        <v>638</v>
      </c>
      <c r="M492" s="452">
        <v>43040</v>
      </c>
      <c r="N492" s="452">
        <v>43100</v>
      </c>
      <c r="O492" s="458" t="s">
        <v>624</v>
      </c>
      <c r="P492" s="458"/>
      <c r="Q492" s="462" t="s">
        <v>1024</v>
      </c>
      <c r="R492" s="456"/>
      <c r="S492" s="687"/>
      <c r="T492" s="680"/>
    </row>
    <row r="493" spans="1:20" ht="20.100000000000001" customHeight="1">
      <c r="A493" s="1138" t="s">
        <v>2963</v>
      </c>
      <c r="B493" s="1139" t="s">
        <v>520</v>
      </c>
      <c r="C493" s="1139" t="s">
        <v>46</v>
      </c>
      <c r="D493" s="11">
        <v>3550</v>
      </c>
      <c r="E493" s="11"/>
      <c r="F493" s="11">
        <v>5375</v>
      </c>
      <c r="G493" s="29" t="s">
        <v>86</v>
      </c>
      <c r="H493" s="36" t="s">
        <v>721</v>
      </c>
      <c r="I493" s="451" t="s">
        <v>80</v>
      </c>
      <c r="J493" s="451"/>
      <c r="K493" s="494" t="s">
        <v>750</v>
      </c>
      <c r="L493" s="451" t="s">
        <v>641</v>
      </c>
      <c r="M493" s="452">
        <v>42979</v>
      </c>
      <c r="N493" s="452">
        <v>43069</v>
      </c>
      <c r="O493" s="458"/>
      <c r="P493" s="458"/>
      <c r="Q493" s="483"/>
      <c r="R493" s="473" t="s">
        <v>776</v>
      </c>
      <c r="S493" s="325"/>
      <c r="T493" s="680"/>
    </row>
    <row r="494" spans="1:20" ht="20.100000000000001" customHeight="1">
      <c r="A494" s="1138" t="s">
        <v>2963</v>
      </c>
      <c r="B494" s="1139" t="s">
        <v>520</v>
      </c>
      <c r="C494" s="1139" t="s">
        <v>46</v>
      </c>
      <c r="D494" s="11"/>
      <c r="E494" s="11"/>
      <c r="F494" s="11"/>
      <c r="G494" s="29" t="s">
        <v>83</v>
      </c>
      <c r="H494" s="56" t="s">
        <v>2462</v>
      </c>
      <c r="I494" s="451" t="s">
        <v>116</v>
      </c>
      <c r="J494" s="451"/>
      <c r="K494" s="492" t="s">
        <v>722</v>
      </c>
      <c r="L494" s="451" t="s">
        <v>641</v>
      </c>
      <c r="M494" s="452">
        <v>43023</v>
      </c>
      <c r="N494" s="452">
        <v>43039</v>
      </c>
      <c r="O494" s="458"/>
      <c r="P494" s="458"/>
      <c r="Q494" s="167"/>
      <c r="R494" s="456" t="s">
        <v>501</v>
      </c>
      <c r="S494" s="687" t="s">
        <v>1176</v>
      </c>
      <c r="T494" s="689"/>
    </row>
    <row r="495" spans="1:20" ht="20.100000000000001" customHeight="1">
      <c r="A495" s="1138" t="s">
        <v>2963</v>
      </c>
      <c r="B495" s="1139" t="s">
        <v>520</v>
      </c>
      <c r="C495" s="1139" t="s">
        <v>1598</v>
      </c>
      <c r="D495" s="11">
        <v>3270</v>
      </c>
      <c r="E495" s="11">
        <v>5860</v>
      </c>
      <c r="F495" s="11">
        <v>5860</v>
      </c>
      <c r="G495" s="628" t="s">
        <v>965</v>
      </c>
      <c r="H495" s="4" t="s">
        <v>967</v>
      </c>
      <c r="I495" s="475" t="s">
        <v>25</v>
      </c>
      <c r="J495" s="475"/>
      <c r="K495" s="475" t="s">
        <v>974</v>
      </c>
      <c r="L495" s="475" t="s">
        <v>966</v>
      </c>
      <c r="M495" s="452">
        <v>42979</v>
      </c>
      <c r="N495" s="452">
        <v>43069</v>
      </c>
      <c r="O495" s="458"/>
      <c r="P495" s="458"/>
      <c r="Q495" s="502"/>
      <c r="R495" s="456" t="s">
        <v>977</v>
      </c>
      <c r="S495" s="687"/>
      <c r="T495" s="689"/>
    </row>
    <row r="496" spans="1:20" ht="20.100000000000001" customHeight="1">
      <c r="A496" s="1138" t="s">
        <v>2963</v>
      </c>
      <c r="B496" s="1139" t="s">
        <v>520</v>
      </c>
      <c r="C496" s="1139" t="s">
        <v>225</v>
      </c>
      <c r="D496" s="11">
        <v>3550</v>
      </c>
      <c r="E496" s="11"/>
      <c r="F496" s="11">
        <v>5375</v>
      </c>
      <c r="G496" s="29" t="s">
        <v>86</v>
      </c>
      <c r="H496" s="36" t="s">
        <v>721</v>
      </c>
      <c r="I496" s="451" t="s">
        <v>80</v>
      </c>
      <c r="J496" s="451"/>
      <c r="K496" s="492">
        <v>30</v>
      </c>
      <c r="L496" s="451" t="s">
        <v>641</v>
      </c>
      <c r="M496" s="452">
        <v>42979</v>
      </c>
      <c r="N496" s="452">
        <v>43069</v>
      </c>
      <c r="O496" s="458"/>
      <c r="P496" s="458"/>
      <c r="Q496" s="478" t="s">
        <v>1025</v>
      </c>
      <c r="R496" s="473" t="s">
        <v>776</v>
      </c>
      <c r="S496" s="325"/>
      <c r="T496" s="689"/>
    </row>
    <row r="497" spans="1:20" ht="20.100000000000001" customHeight="1">
      <c r="A497" s="1138" t="s">
        <v>2963</v>
      </c>
      <c r="B497" s="1139" t="s">
        <v>1246</v>
      </c>
      <c r="C497" s="1139" t="s">
        <v>1599</v>
      </c>
      <c r="D497" s="11">
        <v>3270</v>
      </c>
      <c r="E497" s="11">
        <v>5860</v>
      </c>
      <c r="F497" s="11">
        <v>5860</v>
      </c>
      <c r="G497" s="628" t="s">
        <v>965</v>
      </c>
      <c r="H497" s="4" t="s">
        <v>967</v>
      </c>
      <c r="I497" s="475" t="s">
        <v>976</v>
      </c>
      <c r="J497" s="475"/>
      <c r="K497" s="475" t="s">
        <v>975</v>
      </c>
      <c r="L497" s="475" t="s">
        <v>966</v>
      </c>
      <c r="M497" s="452">
        <v>42979</v>
      </c>
      <c r="N497" s="452">
        <v>43069</v>
      </c>
      <c r="O497" s="458"/>
      <c r="P497" s="458"/>
      <c r="Q497" s="483"/>
      <c r="R497" s="456" t="s">
        <v>977</v>
      </c>
      <c r="S497" s="687"/>
      <c r="T497" s="689"/>
    </row>
    <row r="498" spans="1:20" ht="20.100000000000001" customHeight="1">
      <c r="A498" s="1138" t="s">
        <v>2963</v>
      </c>
      <c r="B498" s="1139" t="s">
        <v>73</v>
      </c>
      <c r="C498" s="1139" t="s">
        <v>228</v>
      </c>
      <c r="D498" s="11">
        <v>3475</v>
      </c>
      <c r="E498" s="11"/>
      <c r="F498" s="11">
        <v>5225</v>
      </c>
      <c r="G498" s="29" t="s">
        <v>86</v>
      </c>
      <c r="H498" s="36" t="s">
        <v>721</v>
      </c>
      <c r="I498" s="451" t="s">
        <v>80</v>
      </c>
      <c r="J498" s="451"/>
      <c r="K498" s="494" t="s">
        <v>731</v>
      </c>
      <c r="L498" s="451" t="s">
        <v>641</v>
      </c>
      <c r="M498" s="452">
        <v>42979</v>
      </c>
      <c r="N498" s="452">
        <v>43069</v>
      </c>
      <c r="O498" s="458"/>
      <c r="P498" s="458"/>
      <c r="Q498" s="483"/>
      <c r="R498" s="473" t="s">
        <v>776</v>
      </c>
      <c r="S498" s="325"/>
      <c r="T498" s="689"/>
    </row>
    <row r="499" spans="1:20" ht="20.100000000000001" customHeight="1">
      <c r="A499" s="1159" t="s">
        <v>2963</v>
      </c>
      <c r="B499" s="1140" t="s">
        <v>73</v>
      </c>
      <c r="C499" s="1140" t="s">
        <v>226</v>
      </c>
      <c r="D499" s="11">
        <v>3270</v>
      </c>
      <c r="E499" s="11">
        <v>5860</v>
      </c>
      <c r="F499" s="11">
        <v>5860</v>
      </c>
      <c r="G499" s="628" t="s">
        <v>965</v>
      </c>
      <c r="H499" s="4" t="s">
        <v>967</v>
      </c>
      <c r="I499" s="475" t="s">
        <v>25</v>
      </c>
      <c r="J499" s="475"/>
      <c r="K499" s="475" t="s">
        <v>970</v>
      </c>
      <c r="L499" s="475" t="s">
        <v>966</v>
      </c>
      <c r="M499" s="452">
        <v>42979</v>
      </c>
      <c r="N499" s="452">
        <v>43069</v>
      </c>
      <c r="O499" s="458"/>
      <c r="P499" s="458"/>
      <c r="Q499" s="483"/>
      <c r="R499" s="456" t="s">
        <v>977</v>
      </c>
      <c r="S499" s="687"/>
      <c r="T499" s="689"/>
    </row>
    <row r="500" spans="1:20" ht="20.100000000000001" customHeight="1">
      <c r="A500" s="1159" t="s">
        <v>2963</v>
      </c>
      <c r="B500" s="1140" t="s">
        <v>73</v>
      </c>
      <c r="C500" s="1140" t="s">
        <v>226</v>
      </c>
      <c r="D500" s="11">
        <v>3475</v>
      </c>
      <c r="E500" s="11"/>
      <c r="F500" s="11">
        <v>5225</v>
      </c>
      <c r="G500" s="29" t="s">
        <v>86</v>
      </c>
      <c r="H500" s="36" t="s">
        <v>721</v>
      </c>
      <c r="I500" s="451" t="s">
        <v>80</v>
      </c>
      <c r="J500" s="451"/>
      <c r="K500" s="492">
        <v>33</v>
      </c>
      <c r="L500" s="451" t="s">
        <v>641</v>
      </c>
      <c r="M500" s="452">
        <v>42979</v>
      </c>
      <c r="N500" s="452">
        <v>43069</v>
      </c>
      <c r="O500" s="458"/>
      <c r="P500" s="458"/>
      <c r="Q500" s="478" t="s">
        <v>1025</v>
      </c>
      <c r="R500" s="473" t="s">
        <v>776</v>
      </c>
      <c r="S500" s="325"/>
      <c r="T500" s="680"/>
    </row>
    <row r="501" spans="1:20" ht="20.100000000000001" customHeight="1">
      <c r="A501" s="1159" t="s">
        <v>2963</v>
      </c>
      <c r="B501" s="1140" t="s">
        <v>73</v>
      </c>
      <c r="C501" s="1140" t="s">
        <v>227</v>
      </c>
      <c r="D501" s="11">
        <v>3270</v>
      </c>
      <c r="E501" s="11">
        <v>5860</v>
      </c>
      <c r="F501" s="11">
        <v>5860</v>
      </c>
      <c r="G501" s="628" t="s">
        <v>1547</v>
      </c>
      <c r="H501" s="4" t="s">
        <v>967</v>
      </c>
      <c r="I501" s="475" t="s">
        <v>976</v>
      </c>
      <c r="J501" s="475"/>
      <c r="K501" s="475" t="s">
        <v>975</v>
      </c>
      <c r="L501" s="475" t="s">
        <v>966</v>
      </c>
      <c r="M501" s="452">
        <v>42979</v>
      </c>
      <c r="N501" s="452">
        <v>43069</v>
      </c>
      <c r="O501" s="458"/>
      <c r="P501" s="458"/>
      <c r="Q501" s="483"/>
      <c r="R501" s="456" t="s">
        <v>977</v>
      </c>
      <c r="S501" s="687"/>
      <c r="T501" s="680"/>
    </row>
    <row r="502" spans="1:20" ht="20.100000000000001" customHeight="1">
      <c r="A502" s="1159" t="s">
        <v>2963</v>
      </c>
      <c r="B502" s="1140" t="s">
        <v>73</v>
      </c>
      <c r="C502" s="1140" t="s">
        <v>227</v>
      </c>
      <c r="D502" s="11">
        <v>3475</v>
      </c>
      <c r="E502" s="11"/>
      <c r="F502" s="11">
        <v>5225</v>
      </c>
      <c r="G502" s="29" t="s">
        <v>1341</v>
      </c>
      <c r="H502" s="36" t="s">
        <v>721</v>
      </c>
      <c r="I502" s="451" t="s">
        <v>80</v>
      </c>
      <c r="J502" s="451"/>
      <c r="K502" s="494" t="s">
        <v>722</v>
      </c>
      <c r="L502" s="451" t="s">
        <v>641</v>
      </c>
      <c r="M502" s="452">
        <v>42979</v>
      </c>
      <c r="N502" s="452">
        <v>43069</v>
      </c>
      <c r="O502" s="458"/>
      <c r="P502" s="458"/>
      <c r="Q502" s="483"/>
      <c r="R502" s="473" t="s">
        <v>776</v>
      </c>
      <c r="S502" s="325"/>
      <c r="T502" s="680"/>
    </row>
    <row r="503" spans="1:20" ht="20.100000000000001" customHeight="1">
      <c r="A503" s="1159" t="s">
        <v>2963</v>
      </c>
      <c r="B503" s="1140" t="s">
        <v>73</v>
      </c>
      <c r="C503" s="1140" t="s">
        <v>229</v>
      </c>
      <c r="D503" s="11">
        <v>3220</v>
      </c>
      <c r="E503" s="11">
        <v>5770</v>
      </c>
      <c r="F503" s="11">
        <v>5770</v>
      </c>
      <c r="G503" s="628" t="s">
        <v>965</v>
      </c>
      <c r="H503" s="4" t="s">
        <v>967</v>
      </c>
      <c r="I503" s="475" t="s">
        <v>976</v>
      </c>
      <c r="J503" s="475"/>
      <c r="K503" s="475" t="s">
        <v>975</v>
      </c>
      <c r="L503" s="475" t="s">
        <v>966</v>
      </c>
      <c r="M503" s="452">
        <v>42979</v>
      </c>
      <c r="N503" s="452">
        <v>43069</v>
      </c>
      <c r="O503" s="458"/>
      <c r="P503" s="458"/>
      <c r="Q503" s="483"/>
      <c r="R503" s="456" t="s">
        <v>977</v>
      </c>
      <c r="S503" s="687"/>
      <c r="T503" s="680"/>
    </row>
    <row r="504" spans="1:20" ht="20.100000000000001" customHeight="1">
      <c r="A504" s="1159" t="s">
        <v>2963</v>
      </c>
      <c r="B504" s="1140" t="s">
        <v>73</v>
      </c>
      <c r="C504" s="1140" t="s">
        <v>229</v>
      </c>
      <c r="D504" s="32">
        <v>3100</v>
      </c>
      <c r="E504" s="11"/>
      <c r="F504" s="32">
        <v>6200</v>
      </c>
      <c r="G504" s="29" t="s">
        <v>49</v>
      </c>
      <c r="H504" s="36" t="s">
        <v>721</v>
      </c>
      <c r="I504" s="472" t="s">
        <v>80</v>
      </c>
      <c r="J504" s="472"/>
      <c r="K504" s="494" t="s">
        <v>151</v>
      </c>
      <c r="L504" s="451" t="s">
        <v>641</v>
      </c>
      <c r="M504" s="452">
        <v>42979</v>
      </c>
      <c r="N504" s="452">
        <v>43069</v>
      </c>
      <c r="O504" s="458"/>
      <c r="P504" s="458"/>
      <c r="Q504" s="483"/>
      <c r="R504" s="473" t="s">
        <v>776</v>
      </c>
      <c r="S504" s="325"/>
      <c r="T504" s="680"/>
    </row>
    <row r="505" spans="1:20" ht="20.100000000000001" customHeight="1">
      <c r="A505" s="1159" t="s">
        <v>2963</v>
      </c>
      <c r="B505" s="1140" t="s">
        <v>21</v>
      </c>
      <c r="C505" s="1140" t="s">
        <v>1702</v>
      </c>
      <c r="D505" s="32"/>
      <c r="E505" s="11"/>
      <c r="F505" s="32"/>
      <c r="G505" s="3" t="s">
        <v>13</v>
      </c>
      <c r="H505" s="4" t="s">
        <v>1656</v>
      </c>
      <c r="I505" s="451" t="s">
        <v>80</v>
      </c>
      <c r="J505" s="451"/>
      <c r="K505" s="451" t="s">
        <v>1889</v>
      </c>
      <c r="L505" s="451" t="s">
        <v>642</v>
      </c>
      <c r="M505" s="452">
        <v>43023</v>
      </c>
      <c r="N505" s="452">
        <v>43039</v>
      </c>
      <c r="O505" s="458"/>
      <c r="P505" s="458"/>
      <c r="Q505" s="458"/>
      <c r="R505" s="456" t="s">
        <v>1657</v>
      </c>
      <c r="S505" s="687" t="s">
        <v>1176</v>
      </c>
      <c r="T505" s="680"/>
    </row>
    <row r="506" spans="1:20" ht="20.100000000000001" customHeight="1">
      <c r="A506" s="1159" t="s">
        <v>2963</v>
      </c>
      <c r="B506" s="1140" t="s">
        <v>831</v>
      </c>
      <c r="C506" s="1140" t="s">
        <v>824</v>
      </c>
      <c r="D506" s="32">
        <v>2500</v>
      </c>
      <c r="E506" s="11">
        <v>5000</v>
      </c>
      <c r="F506" s="11">
        <v>5000</v>
      </c>
      <c r="G506" s="29" t="s">
        <v>139</v>
      </c>
      <c r="H506" s="4" t="s">
        <v>2987</v>
      </c>
      <c r="I506" s="497" t="s">
        <v>25</v>
      </c>
      <c r="J506" s="475"/>
      <c r="K506" s="492"/>
      <c r="L506" s="475" t="s">
        <v>638</v>
      </c>
      <c r="M506" s="452">
        <v>43040</v>
      </c>
      <c r="N506" s="452">
        <v>43100</v>
      </c>
      <c r="O506" s="458" t="s">
        <v>624</v>
      </c>
      <c r="P506" s="458"/>
      <c r="Q506" s="458"/>
      <c r="R506" s="456"/>
      <c r="S506" s="687"/>
      <c r="T506" s="680"/>
    </row>
    <row r="507" spans="1:20" ht="20.100000000000001" customHeight="1">
      <c r="A507" s="1159" t="s">
        <v>2963</v>
      </c>
      <c r="B507" s="1140" t="s">
        <v>21</v>
      </c>
      <c r="C507" s="1140" t="s">
        <v>47</v>
      </c>
      <c r="D507" s="32">
        <v>2150</v>
      </c>
      <c r="E507" s="32">
        <v>4300</v>
      </c>
      <c r="F507" s="32">
        <v>4300</v>
      </c>
      <c r="G507" s="29" t="s">
        <v>568</v>
      </c>
      <c r="H507" s="4" t="s">
        <v>1864</v>
      </c>
      <c r="I507" s="475" t="s">
        <v>25</v>
      </c>
      <c r="J507" s="451"/>
      <c r="K507" s="497" t="s">
        <v>579</v>
      </c>
      <c r="L507" s="475" t="s">
        <v>638</v>
      </c>
      <c r="M507" s="452">
        <v>43009</v>
      </c>
      <c r="N507" s="452">
        <v>43083</v>
      </c>
      <c r="O507" s="458" t="s">
        <v>899</v>
      </c>
      <c r="P507" s="458"/>
      <c r="Q507" s="455"/>
      <c r="R507" s="456" t="s">
        <v>1865</v>
      </c>
      <c r="S507" s="687"/>
      <c r="T507" s="680"/>
    </row>
    <row r="508" spans="1:20" ht="20.100000000000001" customHeight="1">
      <c r="A508" s="1159" t="s">
        <v>2963</v>
      </c>
      <c r="B508" s="1140" t="s">
        <v>21</v>
      </c>
      <c r="C508" s="1140" t="s">
        <v>1600</v>
      </c>
      <c r="D508" s="11">
        <v>3000</v>
      </c>
      <c r="E508" s="11">
        <v>5490</v>
      </c>
      <c r="F508" s="11">
        <v>5490</v>
      </c>
      <c r="G508" s="628" t="s">
        <v>965</v>
      </c>
      <c r="H508" s="4" t="s">
        <v>967</v>
      </c>
      <c r="I508" s="475" t="s">
        <v>25</v>
      </c>
      <c r="J508" s="475"/>
      <c r="K508" s="475" t="s">
        <v>979</v>
      </c>
      <c r="L508" s="475" t="s">
        <v>966</v>
      </c>
      <c r="M508" s="452">
        <v>42979</v>
      </c>
      <c r="N508" s="452">
        <v>43069</v>
      </c>
      <c r="O508" s="458"/>
      <c r="P508" s="458"/>
      <c r="Q508" s="483"/>
      <c r="R508" s="456" t="s">
        <v>988</v>
      </c>
      <c r="S508" s="687"/>
      <c r="T508" s="680"/>
    </row>
    <row r="509" spans="1:20" ht="20.100000000000001" customHeight="1">
      <c r="A509" s="1159" t="s">
        <v>2963</v>
      </c>
      <c r="B509" s="1140" t="s">
        <v>21</v>
      </c>
      <c r="C509" s="1140" t="s">
        <v>47</v>
      </c>
      <c r="D509" s="32">
        <v>2500</v>
      </c>
      <c r="E509" s="11">
        <v>5000</v>
      </c>
      <c r="F509" s="11">
        <v>5000</v>
      </c>
      <c r="G509" s="29" t="s">
        <v>139</v>
      </c>
      <c r="H509" s="28" t="s">
        <v>3833</v>
      </c>
      <c r="I509" s="451" t="s">
        <v>17</v>
      </c>
      <c r="J509" s="451"/>
      <c r="K509" s="497">
        <v>23</v>
      </c>
      <c r="L509" s="475" t="s">
        <v>635</v>
      </c>
      <c r="M509" s="452">
        <v>43040</v>
      </c>
      <c r="N509" s="452">
        <v>43100</v>
      </c>
      <c r="O509" s="458" t="s">
        <v>624</v>
      </c>
      <c r="P509" s="458"/>
      <c r="Q509" s="458"/>
      <c r="R509" s="456"/>
      <c r="S509" s="687"/>
      <c r="T509" s="680"/>
    </row>
    <row r="510" spans="1:20" ht="20.100000000000001" customHeight="1">
      <c r="A510" s="1138" t="s">
        <v>2963</v>
      </c>
      <c r="B510" s="1139" t="s">
        <v>832</v>
      </c>
      <c r="C510" s="1139" t="s">
        <v>1601</v>
      </c>
      <c r="D510" s="32"/>
      <c r="E510" s="32"/>
      <c r="F510" s="32"/>
      <c r="G510" s="694" t="s">
        <v>18</v>
      </c>
      <c r="H510" s="4">
        <v>3</v>
      </c>
      <c r="I510" s="451" t="s">
        <v>302</v>
      </c>
      <c r="J510" s="451"/>
      <c r="K510" s="451" t="s">
        <v>835</v>
      </c>
      <c r="L510" s="451" t="s">
        <v>643</v>
      </c>
      <c r="M510" s="452">
        <v>43040</v>
      </c>
      <c r="N510" s="452">
        <v>43100</v>
      </c>
      <c r="O510" s="463"/>
      <c r="P510" s="463"/>
      <c r="Q510" s="455"/>
      <c r="R510" s="456" t="s">
        <v>170</v>
      </c>
      <c r="S510" s="687" t="s">
        <v>1176</v>
      </c>
      <c r="T510" s="680"/>
    </row>
    <row r="511" spans="1:20" ht="20.100000000000001" customHeight="1">
      <c r="A511" s="1138" t="s">
        <v>2963</v>
      </c>
      <c r="B511" s="1139" t="s">
        <v>21</v>
      </c>
      <c r="C511" s="1139" t="s">
        <v>834</v>
      </c>
      <c r="D511" s="528">
        <v>4000</v>
      </c>
      <c r="E511" s="528">
        <f>D511*2</f>
        <v>8000</v>
      </c>
      <c r="F511" s="528">
        <f>D511*2+100</f>
        <v>8100</v>
      </c>
      <c r="G511" s="628" t="s">
        <v>989</v>
      </c>
      <c r="H511" s="766" t="s">
        <v>1002</v>
      </c>
      <c r="I511" s="497" t="s">
        <v>996</v>
      </c>
      <c r="J511" s="451"/>
      <c r="K511" s="451"/>
      <c r="L511" s="475" t="s">
        <v>635</v>
      </c>
      <c r="M511" s="452">
        <v>42979</v>
      </c>
      <c r="N511" s="452">
        <v>43069</v>
      </c>
      <c r="O511" s="458" t="s">
        <v>995</v>
      </c>
      <c r="P511" s="463"/>
      <c r="Q511" s="474"/>
      <c r="R511" s="456"/>
      <c r="S511" s="687"/>
      <c r="T511" s="680"/>
    </row>
    <row r="512" spans="1:20" ht="20.100000000000001" customHeight="1">
      <c r="A512" s="1138" t="s">
        <v>2963</v>
      </c>
      <c r="B512" s="1139" t="s">
        <v>298</v>
      </c>
      <c r="C512" s="1139" t="s">
        <v>1602</v>
      </c>
      <c r="D512" s="11">
        <v>3220</v>
      </c>
      <c r="E512" s="11">
        <v>5770</v>
      </c>
      <c r="F512" s="11">
        <v>5770</v>
      </c>
      <c r="G512" s="628" t="s">
        <v>965</v>
      </c>
      <c r="H512" s="4" t="s">
        <v>967</v>
      </c>
      <c r="I512" s="475" t="s">
        <v>976</v>
      </c>
      <c r="J512" s="475"/>
      <c r="K512" s="475" t="s">
        <v>975</v>
      </c>
      <c r="L512" s="475" t="s">
        <v>966</v>
      </c>
      <c r="M512" s="452">
        <v>42979</v>
      </c>
      <c r="N512" s="452">
        <v>43069</v>
      </c>
      <c r="O512" s="463"/>
      <c r="P512" s="463"/>
      <c r="Q512" s="503"/>
      <c r="R512" s="456" t="s">
        <v>977</v>
      </c>
      <c r="S512" s="687"/>
      <c r="T512" s="680"/>
    </row>
    <row r="513" spans="1:20" ht="20.100000000000001" customHeight="1">
      <c r="A513" s="1138" t="s">
        <v>2963</v>
      </c>
      <c r="B513" s="1139" t="s">
        <v>298</v>
      </c>
      <c r="C513" s="1139" t="s">
        <v>230</v>
      </c>
      <c r="D513" s="32">
        <v>3100</v>
      </c>
      <c r="E513" s="11"/>
      <c r="F513" s="32">
        <v>6200</v>
      </c>
      <c r="G513" s="29" t="s">
        <v>895</v>
      </c>
      <c r="H513" s="36" t="s">
        <v>721</v>
      </c>
      <c r="I513" s="472" t="s">
        <v>80</v>
      </c>
      <c r="J513" s="472"/>
      <c r="K513" s="494" t="s">
        <v>743</v>
      </c>
      <c r="L513" s="451" t="s">
        <v>641</v>
      </c>
      <c r="M513" s="452">
        <v>42979</v>
      </c>
      <c r="N513" s="452">
        <v>43069</v>
      </c>
      <c r="O513" s="458"/>
      <c r="P513" s="458"/>
      <c r="Q513" s="483"/>
      <c r="R513" s="473" t="s">
        <v>776</v>
      </c>
      <c r="S513" s="325"/>
      <c r="T513" s="680"/>
    </row>
    <row r="514" spans="1:20" ht="20.100000000000001" customHeight="1">
      <c r="A514" s="1138" t="s">
        <v>2963</v>
      </c>
      <c r="B514" s="1139" t="s">
        <v>161</v>
      </c>
      <c r="C514" s="1139" t="s">
        <v>1603</v>
      </c>
      <c r="D514" s="32"/>
      <c r="E514" s="11"/>
      <c r="F514" s="32"/>
      <c r="G514" s="29" t="s">
        <v>6</v>
      </c>
      <c r="H514" s="81" t="s">
        <v>657</v>
      </c>
      <c r="I514" s="504" t="s">
        <v>25</v>
      </c>
      <c r="J514" s="504"/>
      <c r="K514" s="504" t="s">
        <v>1519</v>
      </c>
      <c r="L514" s="504" t="s">
        <v>637</v>
      </c>
      <c r="M514" s="457">
        <v>43040</v>
      </c>
      <c r="N514" s="457">
        <v>43093</v>
      </c>
      <c r="O514" s="505"/>
      <c r="P514" s="505"/>
      <c r="Q514" s="506"/>
      <c r="R514" s="507" t="s">
        <v>625</v>
      </c>
      <c r="S514" s="325"/>
      <c r="T514" s="680"/>
    </row>
    <row r="515" spans="1:20" ht="20.100000000000001" customHeight="1">
      <c r="A515" s="1138" t="s">
        <v>2963</v>
      </c>
      <c r="B515" s="1139" t="s">
        <v>161</v>
      </c>
      <c r="C515" s="1139" t="s">
        <v>161</v>
      </c>
      <c r="D515" s="32">
        <v>2820</v>
      </c>
      <c r="E515" s="11">
        <v>5000</v>
      </c>
      <c r="F515" s="11">
        <v>5000</v>
      </c>
      <c r="G515" s="628" t="s">
        <v>965</v>
      </c>
      <c r="H515" s="4" t="s">
        <v>967</v>
      </c>
      <c r="I515" s="475" t="s">
        <v>25</v>
      </c>
      <c r="J515" s="475"/>
      <c r="K515" s="475" t="s">
        <v>973</v>
      </c>
      <c r="L515" s="475" t="s">
        <v>966</v>
      </c>
      <c r="M515" s="452">
        <v>42979</v>
      </c>
      <c r="N515" s="452">
        <v>43069</v>
      </c>
      <c r="O515" s="458"/>
      <c r="P515" s="458"/>
      <c r="Q515" s="483"/>
      <c r="R515" s="456" t="s">
        <v>977</v>
      </c>
      <c r="S515" s="687"/>
      <c r="T515" s="680"/>
    </row>
    <row r="516" spans="1:20" ht="20.100000000000001" customHeight="1">
      <c r="A516" s="1138" t="s">
        <v>2963</v>
      </c>
      <c r="B516" s="1139" t="s">
        <v>161</v>
      </c>
      <c r="C516" s="1139" t="s">
        <v>161</v>
      </c>
      <c r="D516" s="32">
        <v>2550</v>
      </c>
      <c r="E516" s="11"/>
      <c r="F516" s="32">
        <v>5100</v>
      </c>
      <c r="G516" s="29" t="s">
        <v>160</v>
      </c>
      <c r="H516" s="36" t="s">
        <v>721</v>
      </c>
      <c r="I516" s="472" t="s">
        <v>80</v>
      </c>
      <c r="J516" s="472"/>
      <c r="K516" s="494" t="s">
        <v>20</v>
      </c>
      <c r="L516" s="451" t="s">
        <v>641</v>
      </c>
      <c r="M516" s="452">
        <v>42979</v>
      </c>
      <c r="N516" s="452">
        <v>43069</v>
      </c>
      <c r="O516" s="458"/>
      <c r="P516" s="458"/>
      <c r="Q516" s="483"/>
      <c r="R516" s="473" t="s">
        <v>776</v>
      </c>
      <c r="S516" s="325"/>
      <c r="T516" s="680"/>
    </row>
    <row r="517" spans="1:20" ht="20.100000000000001" customHeight="1">
      <c r="A517" s="1138" t="s">
        <v>2963</v>
      </c>
      <c r="B517" s="1139" t="s">
        <v>161</v>
      </c>
      <c r="C517" s="1139" t="s">
        <v>161</v>
      </c>
      <c r="D517" s="32">
        <v>2300</v>
      </c>
      <c r="E517" s="11">
        <v>4600</v>
      </c>
      <c r="F517" s="11">
        <v>4600</v>
      </c>
      <c r="G517" s="29" t="s">
        <v>162</v>
      </c>
      <c r="H517" s="48" t="s">
        <v>721</v>
      </c>
      <c r="I517" s="472" t="s">
        <v>25</v>
      </c>
      <c r="J517" s="472"/>
      <c r="K517" s="493" t="s">
        <v>2473</v>
      </c>
      <c r="L517" s="494" t="s">
        <v>637</v>
      </c>
      <c r="M517" s="452">
        <v>43070</v>
      </c>
      <c r="N517" s="452">
        <v>43100</v>
      </c>
      <c r="O517" s="458" t="s">
        <v>624</v>
      </c>
      <c r="P517" s="458"/>
      <c r="Q517" s="458"/>
      <c r="R517" s="456"/>
      <c r="S517" s="687"/>
      <c r="T517" s="680"/>
    </row>
    <row r="518" spans="1:20" ht="20.100000000000001" customHeight="1">
      <c r="A518" s="1138" t="s">
        <v>1283</v>
      </c>
      <c r="B518" s="1139" t="s">
        <v>560</v>
      </c>
      <c r="C518" s="1139" t="s">
        <v>1604</v>
      </c>
      <c r="D518" s="32"/>
      <c r="E518" s="11"/>
      <c r="F518" s="11"/>
      <c r="G518" s="29" t="s">
        <v>6</v>
      </c>
      <c r="H518" s="81" t="s">
        <v>657</v>
      </c>
      <c r="I518" s="504" t="s">
        <v>25</v>
      </c>
      <c r="J518" s="504"/>
      <c r="K518" s="504" t="s">
        <v>1519</v>
      </c>
      <c r="L518" s="504" t="s">
        <v>637</v>
      </c>
      <c r="M518" s="457">
        <v>43040</v>
      </c>
      <c r="N518" s="457">
        <v>43093</v>
      </c>
      <c r="O518" s="505"/>
      <c r="P518" s="505"/>
      <c r="Q518" s="506"/>
      <c r="R518" s="507" t="s">
        <v>625</v>
      </c>
      <c r="S518" s="687"/>
      <c r="T518" s="680"/>
    </row>
    <row r="519" spans="1:20" ht="20.100000000000001" customHeight="1">
      <c r="A519" s="1138" t="s">
        <v>1283</v>
      </c>
      <c r="B519" s="1139" t="s">
        <v>560</v>
      </c>
      <c r="C519" s="1139" t="s">
        <v>999</v>
      </c>
      <c r="D519" s="32">
        <v>2820</v>
      </c>
      <c r="E519" s="11">
        <v>5000</v>
      </c>
      <c r="F519" s="11">
        <v>5000</v>
      </c>
      <c r="G519" s="628" t="s">
        <v>1000</v>
      </c>
      <c r="H519" s="4" t="s">
        <v>967</v>
      </c>
      <c r="I519" s="475" t="s">
        <v>25</v>
      </c>
      <c r="J519" s="475"/>
      <c r="K519" s="475" t="s">
        <v>972</v>
      </c>
      <c r="L519" s="475" t="s">
        <v>966</v>
      </c>
      <c r="M519" s="452">
        <v>42979</v>
      </c>
      <c r="N519" s="452">
        <v>43069</v>
      </c>
      <c r="O519" s="458"/>
      <c r="P519" s="458"/>
      <c r="Q519" s="483"/>
      <c r="R519" s="456" t="s">
        <v>977</v>
      </c>
      <c r="S519" s="687"/>
      <c r="T519" s="680"/>
    </row>
    <row r="520" spans="1:20" ht="20.100000000000001" customHeight="1">
      <c r="A520" s="1138" t="s">
        <v>2963</v>
      </c>
      <c r="B520" s="1139" t="s">
        <v>560</v>
      </c>
      <c r="C520" s="1139" t="s">
        <v>822</v>
      </c>
      <c r="D520" s="32">
        <v>2550</v>
      </c>
      <c r="E520" s="11"/>
      <c r="F520" s="32">
        <v>5100</v>
      </c>
      <c r="G520" s="29" t="s">
        <v>49</v>
      </c>
      <c r="H520" s="36" t="s">
        <v>721</v>
      </c>
      <c r="I520" s="472" t="s">
        <v>80</v>
      </c>
      <c r="J520" s="472"/>
      <c r="K520" s="494" t="s">
        <v>746</v>
      </c>
      <c r="L520" s="451" t="s">
        <v>641</v>
      </c>
      <c r="M520" s="452">
        <v>42979</v>
      </c>
      <c r="N520" s="452">
        <v>43069</v>
      </c>
      <c r="O520" s="458"/>
      <c r="P520" s="458"/>
      <c r="Q520" s="483"/>
      <c r="R520" s="473" t="s">
        <v>776</v>
      </c>
      <c r="S520" s="325"/>
      <c r="T520" s="680"/>
    </row>
    <row r="521" spans="1:20" ht="20.100000000000001" customHeight="1">
      <c r="A521" s="1138" t="s">
        <v>2963</v>
      </c>
      <c r="B521" s="1139" t="s">
        <v>560</v>
      </c>
      <c r="C521" s="1139" t="s">
        <v>822</v>
      </c>
      <c r="D521" s="32">
        <v>2300</v>
      </c>
      <c r="E521" s="11">
        <v>4600</v>
      </c>
      <c r="F521" s="11">
        <v>4600</v>
      </c>
      <c r="G521" s="29" t="s">
        <v>71</v>
      </c>
      <c r="H521" s="48" t="s">
        <v>721</v>
      </c>
      <c r="I521" s="472" t="s">
        <v>25</v>
      </c>
      <c r="J521" s="472"/>
      <c r="K521" s="493" t="s">
        <v>2474</v>
      </c>
      <c r="L521" s="494" t="s">
        <v>637</v>
      </c>
      <c r="M521" s="452">
        <v>43070</v>
      </c>
      <c r="N521" s="452">
        <v>43100</v>
      </c>
      <c r="O521" s="458" t="s">
        <v>600</v>
      </c>
      <c r="P521" s="458"/>
      <c r="Q521" s="458"/>
      <c r="R521" s="456"/>
      <c r="S521" s="687"/>
      <c r="T521" s="680"/>
    </row>
    <row r="522" spans="1:20" ht="20.100000000000001" customHeight="1">
      <c r="A522" s="1142" t="s">
        <v>1283</v>
      </c>
      <c r="B522" s="1135" t="s">
        <v>391</v>
      </c>
      <c r="C522" s="1135" t="s">
        <v>1605</v>
      </c>
      <c r="D522" s="11">
        <v>1500</v>
      </c>
      <c r="E522" s="11"/>
      <c r="F522" s="11">
        <v>3000</v>
      </c>
      <c r="G522" s="36" t="s">
        <v>49</v>
      </c>
      <c r="H522" s="771" t="s">
        <v>3088</v>
      </c>
      <c r="I522" s="493" t="s">
        <v>136</v>
      </c>
      <c r="J522" s="493"/>
      <c r="K522" s="493" t="s">
        <v>682</v>
      </c>
      <c r="L522" s="508" t="s">
        <v>650</v>
      </c>
      <c r="M522" s="452">
        <v>42979</v>
      </c>
      <c r="N522" s="452">
        <v>43069</v>
      </c>
      <c r="O522" s="464"/>
      <c r="P522" s="495"/>
      <c r="Q522" s="458" t="s">
        <v>632</v>
      </c>
      <c r="R522" s="476" t="s">
        <v>185</v>
      </c>
      <c r="S522" s="319"/>
      <c r="T522" s="680"/>
    </row>
    <row r="523" spans="1:20" ht="20.100000000000001" customHeight="1">
      <c r="A523" s="1160" t="s">
        <v>1283</v>
      </c>
      <c r="B523" s="1136" t="s">
        <v>391</v>
      </c>
      <c r="C523" s="1136" t="s">
        <v>390</v>
      </c>
      <c r="D523" s="888">
        <v>1312</v>
      </c>
      <c r="E523" s="888">
        <v>2612</v>
      </c>
      <c r="F523" s="888">
        <v>2612</v>
      </c>
      <c r="G523" s="220" t="s">
        <v>103</v>
      </c>
      <c r="H523" s="22" t="s">
        <v>659</v>
      </c>
      <c r="I523" s="451" t="s">
        <v>16</v>
      </c>
      <c r="J523" s="451"/>
      <c r="K523" s="475">
        <v>19</v>
      </c>
      <c r="L523" s="472" t="s">
        <v>641</v>
      </c>
      <c r="M523" s="452">
        <v>43070</v>
      </c>
      <c r="N523" s="452">
        <v>43100</v>
      </c>
      <c r="O523" s="483"/>
      <c r="P523" s="458"/>
      <c r="Q523" s="455"/>
      <c r="R523" s="456" t="s">
        <v>826</v>
      </c>
      <c r="S523" s="687" t="s">
        <v>1176</v>
      </c>
      <c r="T523" s="313" t="s">
        <v>2838</v>
      </c>
    </row>
    <row r="524" spans="1:20" ht="20.100000000000001" customHeight="1">
      <c r="A524" s="1160" t="s">
        <v>1283</v>
      </c>
      <c r="B524" s="1136" t="s">
        <v>391</v>
      </c>
      <c r="C524" s="1136" t="s">
        <v>390</v>
      </c>
      <c r="D524" s="11">
        <v>1700</v>
      </c>
      <c r="E524" s="525">
        <v>3400</v>
      </c>
      <c r="F524" s="525">
        <v>3400</v>
      </c>
      <c r="G524" s="29" t="s">
        <v>71</v>
      </c>
      <c r="H524" s="48" t="s">
        <v>944</v>
      </c>
      <c r="I524" s="493" t="s">
        <v>16</v>
      </c>
      <c r="J524" s="493"/>
      <c r="K524" s="493">
        <v>20</v>
      </c>
      <c r="L524" s="494" t="s">
        <v>637</v>
      </c>
      <c r="M524" s="452">
        <v>43040</v>
      </c>
      <c r="N524" s="452">
        <v>43100</v>
      </c>
      <c r="O524" s="458" t="s">
        <v>600</v>
      </c>
      <c r="P524" s="495"/>
      <c r="Q524" s="509"/>
      <c r="R524" s="476"/>
      <c r="S524" s="319"/>
      <c r="T524" s="680"/>
    </row>
    <row r="525" spans="1:20" ht="20.100000000000001" customHeight="1">
      <c r="A525" s="1161" t="s">
        <v>1283</v>
      </c>
      <c r="B525" s="1137" t="s">
        <v>391</v>
      </c>
      <c r="C525" s="1137" t="s">
        <v>390</v>
      </c>
      <c r="D525" s="11">
        <v>1390</v>
      </c>
      <c r="E525" s="525">
        <v>2620</v>
      </c>
      <c r="F525" s="525">
        <v>2620</v>
      </c>
      <c r="G525" s="29" t="s">
        <v>2510</v>
      </c>
      <c r="H525" s="56" t="s">
        <v>681</v>
      </c>
      <c r="I525" s="461" t="s">
        <v>136</v>
      </c>
      <c r="J525" s="491"/>
      <c r="K525" s="493" t="s">
        <v>684</v>
      </c>
      <c r="L525" s="510" t="s">
        <v>649</v>
      </c>
      <c r="M525" s="457">
        <v>43040</v>
      </c>
      <c r="N525" s="457">
        <v>43083</v>
      </c>
      <c r="O525" s="483"/>
      <c r="P525" s="511"/>
      <c r="Q525" s="455"/>
      <c r="R525" s="476" t="s">
        <v>1845</v>
      </c>
      <c r="S525" s="315" t="s">
        <v>2832</v>
      </c>
      <c r="T525" s="338"/>
    </row>
    <row r="526" spans="1:20" ht="20.100000000000001" customHeight="1">
      <c r="A526" s="1138" t="s">
        <v>2963</v>
      </c>
      <c r="B526" s="1139" t="s">
        <v>348</v>
      </c>
      <c r="C526" s="1139" t="s">
        <v>1606</v>
      </c>
      <c r="D526" s="11"/>
      <c r="E526" s="11"/>
      <c r="F526" s="11"/>
      <c r="G526" s="29" t="s">
        <v>71</v>
      </c>
      <c r="H526" s="4" t="s">
        <v>944</v>
      </c>
      <c r="I526" s="475" t="s">
        <v>16</v>
      </c>
      <c r="J526" s="475"/>
      <c r="K526" s="491"/>
      <c r="L526" s="475" t="s">
        <v>638</v>
      </c>
      <c r="M526" s="452">
        <v>43040</v>
      </c>
      <c r="N526" s="452">
        <v>43100</v>
      </c>
      <c r="O526" s="458" t="s">
        <v>624</v>
      </c>
      <c r="P526" s="458"/>
      <c r="Q526" s="462" t="s">
        <v>1024</v>
      </c>
      <c r="R526" s="456"/>
      <c r="S526" s="687"/>
      <c r="T526" s="680"/>
    </row>
    <row r="527" spans="1:20" ht="20.100000000000001" customHeight="1">
      <c r="A527" s="1138" t="s">
        <v>2963</v>
      </c>
      <c r="B527" s="1139" t="s">
        <v>348</v>
      </c>
      <c r="C527" s="1139" t="s">
        <v>584</v>
      </c>
      <c r="D527" s="11">
        <v>3900</v>
      </c>
      <c r="E527" s="2"/>
      <c r="F527" s="11">
        <v>5000</v>
      </c>
      <c r="G527" s="29" t="s">
        <v>49</v>
      </c>
      <c r="H527" s="36" t="s">
        <v>725</v>
      </c>
      <c r="I527" s="472" t="s">
        <v>703</v>
      </c>
      <c r="J527" s="472"/>
      <c r="K527" s="494" t="s">
        <v>1316</v>
      </c>
      <c r="L527" s="451" t="s">
        <v>636</v>
      </c>
      <c r="M527" s="452">
        <v>42979</v>
      </c>
      <c r="N527" s="452">
        <v>43069</v>
      </c>
      <c r="O527" s="458" t="s">
        <v>1307</v>
      </c>
      <c r="P527" s="458"/>
      <c r="Q527" s="483"/>
      <c r="R527" s="473" t="s">
        <v>1314</v>
      </c>
      <c r="S527" s="325"/>
      <c r="T527" s="680"/>
    </row>
    <row r="528" spans="1:20" ht="20.100000000000001" customHeight="1">
      <c r="A528" s="1138" t="s">
        <v>2963</v>
      </c>
      <c r="B528" s="1139" t="s">
        <v>348</v>
      </c>
      <c r="C528" s="1139" t="s">
        <v>584</v>
      </c>
      <c r="D528" s="11"/>
      <c r="E528" s="2"/>
      <c r="F528" s="11"/>
      <c r="G528" s="29" t="s">
        <v>13</v>
      </c>
      <c r="H528" s="36" t="s">
        <v>1315</v>
      </c>
      <c r="I528" s="472" t="s">
        <v>703</v>
      </c>
      <c r="J528" s="472"/>
      <c r="K528" s="494" t="s">
        <v>1317</v>
      </c>
      <c r="L528" s="451" t="s">
        <v>636</v>
      </c>
      <c r="M528" s="452">
        <v>43023</v>
      </c>
      <c r="N528" s="452">
        <v>43039</v>
      </c>
      <c r="O528" s="458" t="s">
        <v>608</v>
      </c>
      <c r="P528" s="458"/>
      <c r="Q528" s="462" t="s">
        <v>1024</v>
      </c>
      <c r="R528" s="473" t="s">
        <v>1318</v>
      </c>
      <c r="S528" s="687" t="s">
        <v>1176</v>
      </c>
      <c r="T528" s="680"/>
    </row>
    <row r="529" spans="1:20" ht="20.100000000000001" customHeight="1">
      <c r="A529" s="734" t="s">
        <v>2963</v>
      </c>
      <c r="B529" s="501" t="s">
        <v>348</v>
      </c>
      <c r="C529" s="501" t="s">
        <v>1607</v>
      </c>
      <c r="D529" s="11"/>
      <c r="E529" s="11"/>
      <c r="F529" s="11"/>
      <c r="G529" s="29" t="s">
        <v>49</v>
      </c>
      <c r="H529" s="36" t="s">
        <v>725</v>
      </c>
      <c r="I529" s="472" t="s">
        <v>703</v>
      </c>
      <c r="J529" s="472"/>
      <c r="K529" s="494" t="s">
        <v>775</v>
      </c>
      <c r="L529" s="451" t="s">
        <v>636</v>
      </c>
      <c r="M529" s="452">
        <v>42979</v>
      </c>
      <c r="N529" s="452">
        <v>43069</v>
      </c>
      <c r="O529" s="458" t="s">
        <v>608</v>
      </c>
      <c r="P529" s="458"/>
      <c r="Q529" s="462" t="s">
        <v>1024</v>
      </c>
      <c r="R529" s="473" t="s">
        <v>1314</v>
      </c>
      <c r="S529" s="325"/>
      <c r="T529" s="680"/>
    </row>
    <row r="530" spans="1:20" ht="20.100000000000001" customHeight="1">
      <c r="A530" s="734" t="s">
        <v>2963</v>
      </c>
      <c r="B530" s="501" t="s">
        <v>348</v>
      </c>
      <c r="C530" s="501" t="s">
        <v>1608</v>
      </c>
      <c r="D530" s="11"/>
      <c r="E530" s="11"/>
      <c r="F530" s="11"/>
      <c r="G530" s="29" t="s">
        <v>49</v>
      </c>
      <c r="H530" s="36" t="s">
        <v>725</v>
      </c>
      <c r="I530" s="472" t="s">
        <v>703</v>
      </c>
      <c r="J530" s="472"/>
      <c r="K530" s="494" t="s">
        <v>775</v>
      </c>
      <c r="L530" s="451" t="s">
        <v>636</v>
      </c>
      <c r="M530" s="452">
        <v>42979</v>
      </c>
      <c r="N530" s="452">
        <v>43069</v>
      </c>
      <c r="O530" s="458" t="s">
        <v>608</v>
      </c>
      <c r="P530" s="458"/>
      <c r="Q530" s="462" t="s">
        <v>1024</v>
      </c>
      <c r="R530" s="473" t="s">
        <v>1314</v>
      </c>
      <c r="S530" s="325"/>
      <c r="T530" s="680"/>
    </row>
    <row r="531" spans="1:20" ht="20.100000000000001" customHeight="1">
      <c r="A531" s="734" t="s">
        <v>2963</v>
      </c>
      <c r="B531" s="501" t="s">
        <v>348</v>
      </c>
      <c r="C531" s="501" t="s">
        <v>1609</v>
      </c>
      <c r="D531" s="11"/>
      <c r="E531" s="11"/>
      <c r="F531" s="11"/>
      <c r="G531" s="29" t="s">
        <v>49</v>
      </c>
      <c r="H531" s="36" t="s">
        <v>725</v>
      </c>
      <c r="I531" s="472" t="s">
        <v>703</v>
      </c>
      <c r="J531" s="472"/>
      <c r="K531" s="494" t="s">
        <v>775</v>
      </c>
      <c r="L531" s="451" t="s">
        <v>636</v>
      </c>
      <c r="M531" s="452">
        <v>42979</v>
      </c>
      <c r="N531" s="452">
        <v>43069</v>
      </c>
      <c r="O531" s="458" t="s">
        <v>608</v>
      </c>
      <c r="P531" s="458"/>
      <c r="Q531" s="462" t="s">
        <v>1024</v>
      </c>
      <c r="R531" s="473" t="s">
        <v>1314</v>
      </c>
      <c r="S531" s="325"/>
      <c r="T531" s="680"/>
    </row>
    <row r="532" spans="1:20" ht="20.100000000000001" customHeight="1">
      <c r="A532" s="734" t="s">
        <v>2963</v>
      </c>
      <c r="B532" s="501" t="s">
        <v>348</v>
      </c>
      <c r="C532" s="501" t="s">
        <v>1610</v>
      </c>
      <c r="D532" s="11"/>
      <c r="E532" s="11"/>
      <c r="F532" s="11"/>
      <c r="G532" s="29" t="s">
        <v>49</v>
      </c>
      <c r="H532" s="36" t="s">
        <v>725</v>
      </c>
      <c r="I532" s="472" t="s">
        <v>703</v>
      </c>
      <c r="J532" s="472"/>
      <c r="K532" s="494" t="s">
        <v>775</v>
      </c>
      <c r="L532" s="451" t="s">
        <v>636</v>
      </c>
      <c r="M532" s="452">
        <v>42979</v>
      </c>
      <c r="N532" s="452">
        <v>43069</v>
      </c>
      <c r="O532" s="458" t="s">
        <v>608</v>
      </c>
      <c r="P532" s="458"/>
      <c r="Q532" s="462" t="s">
        <v>1024</v>
      </c>
      <c r="R532" s="473" t="s">
        <v>1314</v>
      </c>
      <c r="S532" s="325"/>
      <c r="T532" s="680"/>
    </row>
    <row r="533" spans="1:20" s="517" customFormat="1" ht="20.100000000000001" customHeight="1">
      <c r="A533" s="307"/>
      <c r="B533" s="512"/>
      <c r="C533" s="513"/>
      <c r="D533" s="825"/>
      <c r="E533" s="825"/>
      <c r="F533" s="825"/>
      <c r="G533" s="695"/>
      <c r="H533" s="695"/>
      <c r="I533" s="514"/>
      <c r="J533" s="514"/>
      <c r="K533" s="515"/>
      <c r="L533" s="516"/>
      <c r="M533" s="516"/>
      <c r="S533" s="324"/>
      <c r="T533" s="44"/>
    </row>
    <row r="534" spans="1:20" s="517" customFormat="1" ht="20.100000000000001" customHeight="1">
      <c r="A534" s="742"/>
      <c r="B534" s="518"/>
      <c r="C534" s="518"/>
      <c r="D534" s="826"/>
      <c r="E534" s="826"/>
      <c r="F534" s="826"/>
      <c r="G534" s="42"/>
      <c r="H534" s="42"/>
      <c r="I534" s="519"/>
      <c r="J534" s="519"/>
      <c r="K534" s="520"/>
      <c r="L534" s="519"/>
      <c r="M534" s="519"/>
      <c r="N534" s="519"/>
      <c r="O534" s="519"/>
      <c r="P534" s="519"/>
      <c r="Q534" s="519"/>
      <c r="S534" s="324"/>
      <c r="T534" s="44"/>
    </row>
  </sheetData>
  <sheetProtection autoFilter="0"/>
  <autoFilter ref="A2:T532">
    <filterColumn colId="3" showButton="0"/>
    <filterColumn colId="4" showButton="0"/>
  </autoFilter>
  <mergeCells count="247">
    <mergeCell ref="C92:C102"/>
    <mergeCell ref="C2:C3"/>
    <mergeCell ref="B59:B81"/>
    <mergeCell ref="C59:C81"/>
    <mergeCell ref="A82:A91"/>
    <mergeCell ref="B82:B91"/>
    <mergeCell ref="C82:C91"/>
    <mergeCell ref="B27:B58"/>
    <mergeCell ref="A92:A102"/>
    <mergeCell ref="B92:B102"/>
    <mergeCell ref="A59:A81"/>
    <mergeCell ref="D2:F2"/>
    <mergeCell ref="L2:L3"/>
    <mergeCell ref="O2:O3"/>
    <mergeCell ref="I2:I3"/>
    <mergeCell ref="J2:J3"/>
    <mergeCell ref="H2:H3"/>
    <mergeCell ref="C4:C26"/>
    <mergeCell ref="C27:C58"/>
    <mergeCell ref="A2:A3"/>
    <mergeCell ref="B2:B3"/>
    <mergeCell ref="A4:A26"/>
    <mergeCell ref="B4:B26"/>
    <mergeCell ref="A27:A58"/>
    <mergeCell ref="M2:M3"/>
    <mergeCell ref="A291:A300"/>
    <mergeCell ref="T2:T3"/>
    <mergeCell ref="A1:T1"/>
    <mergeCell ref="A147:A151"/>
    <mergeCell ref="B147:B151"/>
    <mergeCell ref="C147:C151"/>
    <mergeCell ref="C281:C290"/>
    <mergeCell ref="C172:C174"/>
    <mergeCell ref="C267:C280"/>
    <mergeCell ref="B267:B280"/>
    <mergeCell ref="B172:B174"/>
    <mergeCell ref="B225:B238"/>
    <mergeCell ref="A267:A280"/>
    <mergeCell ref="B281:B290"/>
    <mergeCell ref="C239:C252"/>
    <mergeCell ref="S2:S3"/>
    <mergeCell ref="R2:R3"/>
    <mergeCell ref="N2:N3"/>
    <mergeCell ref="G2:G3"/>
    <mergeCell ref="K2:K3"/>
    <mergeCell ref="C225:C238"/>
    <mergeCell ref="B239:B252"/>
    <mergeCell ref="Q2:Q3"/>
    <mergeCell ref="P2:P3"/>
    <mergeCell ref="B167:B168"/>
    <mergeCell ref="C167:C168"/>
    <mergeCell ref="B175:B180"/>
    <mergeCell ref="A253:A266"/>
    <mergeCell ref="B181:B182"/>
    <mergeCell ref="C181:C182"/>
    <mergeCell ref="A225:A238"/>
    <mergeCell ref="A183:A185"/>
    <mergeCell ref="B183:B185"/>
    <mergeCell ref="C183:C185"/>
    <mergeCell ref="A167:A168"/>
    <mergeCell ref="A181:A182"/>
    <mergeCell ref="C169:C171"/>
    <mergeCell ref="A522:A525"/>
    <mergeCell ref="B522:B525"/>
    <mergeCell ref="C291:C300"/>
    <mergeCell ref="C340:C341"/>
    <mergeCell ref="C345:C347"/>
    <mergeCell ref="C336:C338"/>
    <mergeCell ref="A351:A352"/>
    <mergeCell ref="B351:B352"/>
    <mergeCell ref="A301:A310"/>
    <mergeCell ref="C311:C316"/>
    <mergeCell ref="B311:B316"/>
    <mergeCell ref="B291:B300"/>
    <mergeCell ref="C330:C331"/>
    <mergeCell ref="B345:B347"/>
    <mergeCell ref="B332:B335"/>
    <mergeCell ref="A336:A338"/>
    <mergeCell ref="B336:B338"/>
    <mergeCell ref="A342:A344"/>
    <mergeCell ref="B342:B344"/>
    <mergeCell ref="A345:A347"/>
    <mergeCell ref="C351:C352"/>
    <mergeCell ref="C342:C344"/>
    <mergeCell ref="C317:C321"/>
    <mergeCell ref="C301:C310"/>
    <mergeCell ref="A501:A502"/>
    <mergeCell ref="A518:A521"/>
    <mergeCell ref="A512:A513"/>
    <mergeCell ref="A510:A511"/>
    <mergeCell ref="A505:A509"/>
    <mergeCell ref="A459:A465"/>
    <mergeCell ref="A491:A494"/>
    <mergeCell ref="A444:A450"/>
    <mergeCell ref="B487:B489"/>
    <mergeCell ref="B518:B521"/>
    <mergeCell ref="B451:B457"/>
    <mergeCell ref="B466:B469"/>
    <mergeCell ref="B514:B517"/>
    <mergeCell ref="B470:B473"/>
    <mergeCell ref="C526:C528"/>
    <mergeCell ref="B479:B481"/>
    <mergeCell ref="A477:A478"/>
    <mergeCell ref="B477:B478"/>
    <mergeCell ref="A479:A481"/>
    <mergeCell ref="C479:C481"/>
    <mergeCell ref="C477:C478"/>
    <mergeCell ref="A495:A496"/>
    <mergeCell ref="B495:B496"/>
    <mergeCell ref="C495:C496"/>
    <mergeCell ref="A499:A500"/>
    <mergeCell ref="B499:B500"/>
    <mergeCell ref="A487:A489"/>
    <mergeCell ref="B503:B504"/>
    <mergeCell ref="B512:B513"/>
    <mergeCell ref="C512:C513"/>
    <mergeCell ref="A526:A528"/>
    <mergeCell ref="B526:B528"/>
    <mergeCell ref="B491:B494"/>
    <mergeCell ref="A514:A517"/>
    <mergeCell ref="A497:A498"/>
    <mergeCell ref="A503:A504"/>
    <mergeCell ref="B510:B511"/>
    <mergeCell ref="B501:B502"/>
    <mergeCell ref="A317:A321"/>
    <mergeCell ref="A115:A118"/>
    <mergeCell ref="B115:B118"/>
    <mergeCell ref="C253:C266"/>
    <mergeCell ref="A143:A146"/>
    <mergeCell ref="C175:C180"/>
    <mergeCell ref="A175:A180"/>
    <mergeCell ref="B143:B146"/>
    <mergeCell ref="C425:C427"/>
    <mergeCell ref="B253:B266"/>
    <mergeCell ref="B425:B427"/>
    <mergeCell ref="B301:B310"/>
    <mergeCell ref="A322:A329"/>
    <mergeCell ref="A281:A290"/>
    <mergeCell ref="A239:A252"/>
    <mergeCell ref="A311:A316"/>
    <mergeCell ref="A124:A129"/>
    <mergeCell ref="B124:B129"/>
    <mergeCell ref="A172:A174"/>
    <mergeCell ref="A152:A162"/>
    <mergeCell ref="B152:B162"/>
    <mergeCell ref="C152:C162"/>
    <mergeCell ref="A169:A171"/>
    <mergeCell ref="B169:B171"/>
    <mergeCell ref="A103:A114"/>
    <mergeCell ref="B103:B114"/>
    <mergeCell ref="C103:C114"/>
    <mergeCell ref="A130:A135"/>
    <mergeCell ref="B130:B135"/>
    <mergeCell ref="C130:C135"/>
    <mergeCell ref="A163:A166"/>
    <mergeCell ref="B163:B166"/>
    <mergeCell ref="C163:C166"/>
    <mergeCell ref="C124:C129"/>
    <mergeCell ref="A119:A123"/>
    <mergeCell ref="B119:B123"/>
    <mergeCell ref="C119:C123"/>
    <mergeCell ref="C115:C118"/>
    <mergeCell ref="C143:C146"/>
    <mergeCell ref="A136:A142"/>
    <mergeCell ref="B136:B142"/>
    <mergeCell ref="C136:C142"/>
    <mergeCell ref="A330:A331"/>
    <mergeCell ref="B330:B331"/>
    <mergeCell ref="A340:A341"/>
    <mergeCell ref="B340:B341"/>
    <mergeCell ref="B358:B360"/>
    <mergeCell ref="C514:C517"/>
    <mergeCell ref="C499:C500"/>
    <mergeCell ref="A389:A397"/>
    <mergeCell ref="A405:A408"/>
    <mergeCell ref="B405:B408"/>
    <mergeCell ref="B361:B371"/>
    <mergeCell ref="C466:C469"/>
    <mergeCell ref="C398:C404"/>
    <mergeCell ref="A383:A388"/>
    <mergeCell ref="A372:A382"/>
    <mergeCell ref="B372:B382"/>
    <mergeCell ref="A332:A335"/>
    <mergeCell ref="A466:A469"/>
    <mergeCell ref="A451:A457"/>
    <mergeCell ref="A475:A476"/>
    <mergeCell ref="A483:A486"/>
    <mergeCell ref="A470:A473"/>
    <mergeCell ref="B437:B443"/>
    <mergeCell ref="A437:A443"/>
    <mergeCell ref="B317:B321"/>
    <mergeCell ref="C459:C465"/>
    <mergeCell ref="C405:C408"/>
    <mergeCell ref="C413:C414"/>
    <mergeCell ref="C428:C436"/>
    <mergeCell ref="C354:C355"/>
    <mergeCell ref="C322:C329"/>
    <mergeCell ref="C332:C335"/>
    <mergeCell ref="C361:C371"/>
    <mergeCell ref="C358:C360"/>
    <mergeCell ref="C444:C450"/>
    <mergeCell ref="B322:B329"/>
    <mergeCell ref="B428:B436"/>
    <mergeCell ref="A358:A360"/>
    <mergeCell ref="A354:A355"/>
    <mergeCell ref="B354:B355"/>
    <mergeCell ref="A361:A371"/>
    <mergeCell ref="B383:B388"/>
    <mergeCell ref="C416:C417"/>
    <mergeCell ref="C437:C443"/>
    <mergeCell ref="B459:B465"/>
    <mergeCell ref="B444:B450"/>
    <mergeCell ref="C451:C457"/>
    <mergeCell ref="C389:C397"/>
    <mergeCell ref="C510:C511"/>
    <mergeCell ref="C475:C476"/>
    <mergeCell ref="C483:C486"/>
    <mergeCell ref="B475:B476"/>
    <mergeCell ref="C501:C502"/>
    <mergeCell ref="B497:B498"/>
    <mergeCell ref="C497:C498"/>
    <mergeCell ref="C503:C504"/>
    <mergeCell ref="C491:C494"/>
    <mergeCell ref="C522:C525"/>
    <mergeCell ref="C372:C382"/>
    <mergeCell ref="A413:A414"/>
    <mergeCell ref="A409:A411"/>
    <mergeCell ref="A398:A404"/>
    <mergeCell ref="B409:B411"/>
    <mergeCell ref="A428:A436"/>
    <mergeCell ref="C409:C411"/>
    <mergeCell ref="A416:A417"/>
    <mergeCell ref="C383:C388"/>
    <mergeCell ref="B398:B404"/>
    <mergeCell ref="B416:B417"/>
    <mergeCell ref="B413:B414"/>
    <mergeCell ref="A425:A427"/>
    <mergeCell ref="B389:B397"/>
    <mergeCell ref="A418:A420"/>
    <mergeCell ref="B418:B420"/>
    <mergeCell ref="C418:C420"/>
    <mergeCell ref="C518:C521"/>
    <mergeCell ref="C505:C509"/>
    <mergeCell ref="C470:C473"/>
    <mergeCell ref="B483:B486"/>
    <mergeCell ref="B505:B509"/>
    <mergeCell ref="C487:C489"/>
  </mergeCells>
  <phoneticPr fontId="3" type="noConversion"/>
  <pageMargins left="0.75" right="0.75" top="1" bottom="1" header="0.5" footer="0.5"/>
  <pageSetup paperSize="9" scale="48" orientation="portrait" verticalDpi="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indexed="34"/>
  </sheetPr>
  <dimension ref="A1:T1162"/>
  <sheetViews>
    <sheetView showGridLines="0" zoomScaleNormal="100" workbookViewId="0">
      <pane ySplit="3" topLeftCell="A4" activePane="bottomLeft" state="frozen"/>
      <selection pane="bottomLeft" activeCell="C48" sqref="C48:C106"/>
    </sheetView>
  </sheetViews>
  <sheetFormatPr defaultColWidth="9" defaultRowHeight="20.100000000000001" customHeight="1"/>
  <cols>
    <col min="1" max="1" width="8.75" style="307" bestFit="1" customWidth="1"/>
    <col min="2" max="2" width="9.375" style="591" customWidth="1"/>
    <col min="3" max="3" width="12.875" style="591" customWidth="1"/>
    <col min="4" max="5" width="6.125" style="794" customWidth="1"/>
    <col min="6" max="6" width="5.5" style="794" bestFit="1" customWidth="1"/>
    <col min="7" max="7" width="9.75" style="41" customWidth="1"/>
    <col min="8" max="8" width="9.125" style="41" customWidth="1"/>
    <col min="9" max="9" width="6.125" style="541" customWidth="1"/>
    <col min="10" max="10" width="9.25" style="541" customWidth="1"/>
    <col min="11" max="11" width="6.625" style="593" customWidth="1"/>
    <col min="12" max="12" width="8" style="592" customWidth="1"/>
    <col min="13" max="14" width="10.5" style="592" customWidth="1"/>
    <col min="15" max="15" width="12.875" style="541" customWidth="1"/>
    <col min="16" max="16" width="13.125" style="541" customWidth="1"/>
    <col min="17" max="17" width="16.75" style="44" customWidth="1"/>
    <col min="18" max="18" width="15.25" style="594" customWidth="1"/>
    <col min="19" max="19" width="15.125" style="324" customWidth="1"/>
    <col min="20" max="20" width="10.5" style="44" customWidth="1"/>
    <col min="21" max="16384" width="9" style="541"/>
  </cols>
  <sheetData>
    <row r="1" spans="1:20" ht="20.100000000000001" customHeight="1">
      <c r="A1" s="1176"/>
      <c r="B1" s="1176"/>
      <c r="C1" s="1176"/>
      <c r="D1" s="1177"/>
      <c r="E1" s="1177"/>
      <c r="F1" s="1177"/>
      <c r="G1" s="1176"/>
      <c r="H1" s="1176"/>
      <c r="I1" s="1176"/>
      <c r="J1" s="1176"/>
      <c r="K1" s="1176"/>
      <c r="L1" s="1176"/>
      <c r="M1" s="1176"/>
      <c r="N1" s="1176"/>
      <c r="O1" s="1176"/>
      <c r="P1" s="1176"/>
      <c r="Q1" s="1176"/>
      <c r="R1" s="1176"/>
      <c r="S1" s="1176"/>
      <c r="T1" s="1176"/>
    </row>
    <row r="2" spans="1:20" s="41" customFormat="1" ht="20.100000000000001" customHeight="1">
      <c r="A2" s="1129" t="s">
        <v>801</v>
      </c>
      <c r="B2" s="1129" t="s">
        <v>2879</v>
      </c>
      <c r="C2" s="1129" t="s">
        <v>2880</v>
      </c>
      <c r="D2" s="1133" t="s">
        <v>4526</v>
      </c>
      <c r="E2" s="1133"/>
      <c r="F2" s="1133"/>
      <c r="G2" s="1129" t="s">
        <v>2881</v>
      </c>
      <c r="H2" s="1129" t="s">
        <v>2882</v>
      </c>
      <c r="I2" s="1129" t="s">
        <v>2883</v>
      </c>
      <c r="J2" s="1129" t="s">
        <v>2884</v>
      </c>
      <c r="K2" s="1129" t="s">
        <v>2885</v>
      </c>
      <c r="L2" s="1129" t="s">
        <v>2886</v>
      </c>
      <c r="M2" s="1178" t="s">
        <v>3019</v>
      </c>
      <c r="N2" s="1129" t="s">
        <v>2887</v>
      </c>
      <c r="O2" s="1132" t="s">
        <v>5441</v>
      </c>
      <c r="P2" s="1129" t="s">
        <v>2889</v>
      </c>
      <c r="Q2" s="1129" t="s">
        <v>2984</v>
      </c>
      <c r="R2" s="1129" t="s">
        <v>2891</v>
      </c>
      <c r="S2" s="1129" t="s">
        <v>2892</v>
      </c>
      <c r="T2" s="1173" t="s">
        <v>2839</v>
      </c>
    </row>
    <row r="3" spans="1:20" s="41" customFormat="1" ht="20.100000000000001" customHeight="1">
      <c r="A3" s="1129"/>
      <c r="B3" s="1129"/>
      <c r="C3" s="1129"/>
      <c r="D3" s="879" t="s">
        <v>57</v>
      </c>
      <c r="E3" s="879" t="s">
        <v>58</v>
      </c>
      <c r="F3" s="879" t="s">
        <v>59</v>
      </c>
      <c r="G3" s="1129"/>
      <c r="H3" s="1129"/>
      <c r="I3" s="1129"/>
      <c r="J3" s="1129"/>
      <c r="K3" s="1129"/>
      <c r="L3" s="1129"/>
      <c r="M3" s="1179"/>
      <c r="N3" s="1129"/>
      <c r="O3" s="1129"/>
      <c r="P3" s="1129"/>
      <c r="Q3" s="1129"/>
      <c r="R3" s="1129"/>
      <c r="S3" s="1129"/>
      <c r="T3" s="1173"/>
    </row>
    <row r="4" spans="1:20" ht="20.100000000000001" customHeight="1">
      <c r="A4" s="1169" t="s">
        <v>2955</v>
      </c>
      <c r="B4" s="1170" t="s">
        <v>2575</v>
      </c>
      <c r="C4" s="1169" t="s">
        <v>2575</v>
      </c>
      <c r="D4" s="525">
        <v>85</v>
      </c>
      <c r="E4" s="525">
        <v>170</v>
      </c>
      <c r="F4" s="525">
        <v>170</v>
      </c>
      <c r="G4" s="48" t="s">
        <v>37</v>
      </c>
      <c r="H4" s="36">
        <v>1</v>
      </c>
      <c r="I4" s="542" t="s">
        <v>17</v>
      </c>
      <c r="J4" s="542" t="s">
        <v>1095</v>
      </c>
      <c r="K4" s="542" t="s">
        <v>681</v>
      </c>
      <c r="L4" s="542" t="s">
        <v>636</v>
      </c>
      <c r="M4" s="543">
        <v>43040</v>
      </c>
      <c r="N4" s="543">
        <v>43084</v>
      </c>
      <c r="O4" s="544" t="s">
        <v>955</v>
      </c>
      <c r="P4" s="545" t="s">
        <v>590</v>
      </c>
      <c r="Q4" s="7"/>
      <c r="R4" s="546" t="s">
        <v>192</v>
      </c>
      <c r="S4" s="319" t="s">
        <v>1176</v>
      </c>
      <c r="T4" s="703"/>
    </row>
    <row r="5" spans="1:20" ht="20.100000000000001" customHeight="1">
      <c r="A5" s="1169" t="s">
        <v>2955</v>
      </c>
      <c r="B5" s="1171" t="s">
        <v>2575</v>
      </c>
      <c r="C5" s="1169" t="s">
        <v>2575</v>
      </c>
      <c r="D5" s="526">
        <v>90</v>
      </c>
      <c r="E5" s="526">
        <v>180</v>
      </c>
      <c r="F5" s="526">
        <v>180</v>
      </c>
      <c r="G5" s="628" t="s">
        <v>10</v>
      </c>
      <c r="H5" s="36">
        <v>1</v>
      </c>
      <c r="I5" s="542" t="s">
        <v>17</v>
      </c>
      <c r="J5" s="542" t="s">
        <v>1095</v>
      </c>
      <c r="K5" s="542" t="s">
        <v>681</v>
      </c>
      <c r="L5" s="542" t="s">
        <v>636</v>
      </c>
      <c r="M5" s="547">
        <v>43066</v>
      </c>
      <c r="N5" s="547">
        <v>43084</v>
      </c>
      <c r="O5" s="544" t="s">
        <v>955</v>
      </c>
      <c r="P5" s="545" t="s">
        <v>590</v>
      </c>
      <c r="Q5" s="7"/>
      <c r="R5" s="548" t="s">
        <v>203</v>
      </c>
      <c r="S5" s="316" t="s">
        <v>1176</v>
      </c>
      <c r="T5" s="317">
        <v>14</v>
      </c>
    </row>
    <row r="6" spans="1:20" ht="20.100000000000001" customHeight="1">
      <c r="A6" s="1169" t="s">
        <v>2955</v>
      </c>
      <c r="B6" s="1171" t="s">
        <v>2575</v>
      </c>
      <c r="C6" s="1169" t="s">
        <v>2575</v>
      </c>
      <c r="D6" s="526">
        <v>50</v>
      </c>
      <c r="E6" s="526">
        <v>100</v>
      </c>
      <c r="F6" s="526">
        <v>100</v>
      </c>
      <c r="G6" s="48" t="s">
        <v>62</v>
      </c>
      <c r="H6" s="36" t="s">
        <v>729</v>
      </c>
      <c r="I6" s="542" t="s">
        <v>17</v>
      </c>
      <c r="J6" s="542"/>
      <c r="K6" s="542" t="s">
        <v>681</v>
      </c>
      <c r="L6" s="542" t="s">
        <v>639</v>
      </c>
      <c r="M6" s="549">
        <v>43039</v>
      </c>
      <c r="N6" s="549">
        <v>43086</v>
      </c>
      <c r="O6" s="544" t="s">
        <v>955</v>
      </c>
      <c r="P6" s="550" t="s">
        <v>2577</v>
      </c>
      <c r="Q6" s="7"/>
      <c r="R6" s="546" t="s">
        <v>437</v>
      </c>
      <c r="S6" s="315" t="s">
        <v>2848</v>
      </c>
      <c r="T6" s="338"/>
    </row>
    <row r="7" spans="1:20" ht="20.100000000000001" customHeight="1">
      <c r="A7" s="1169" t="s">
        <v>2955</v>
      </c>
      <c r="B7" s="1171" t="s">
        <v>2575</v>
      </c>
      <c r="C7" s="1169" t="s">
        <v>2575</v>
      </c>
      <c r="D7" s="525">
        <v>90</v>
      </c>
      <c r="E7" s="525">
        <v>180</v>
      </c>
      <c r="F7" s="525">
        <v>180</v>
      </c>
      <c r="G7" s="48" t="s">
        <v>36</v>
      </c>
      <c r="H7" s="56">
        <v>2</v>
      </c>
      <c r="I7" s="542" t="s">
        <v>17</v>
      </c>
      <c r="J7" s="542" t="s">
        <v>1094</v>
      </c>
      <c r="K7" s="542" t="s">
        <v>725</v>
      </c>
      <c r="L7" s="542" t="s">
        <v>649</v>
      </c>
      <c r="M7" s="551">
        <v>43060</v>
      </c>
      <c r="N7" s="551">
        <v>43084</v>
      </c>
      <c r="O7" s="544" t="s">
        <v>955</v>
      </c>
      <c r="P7" s="545" t="s">
        <v>589</v>
      </c>
      <c r="Q7" s="52"/>
      <c r="R7" s="546" t="s">
        <v>307</v>
      </c>
      <c r="S7" s="319"/>
      <c r="T7" s="317">
        <v>14</v>
      </c>
    </row>
    <row r="8" spans="1:20" ht="20.100000000000001" customHeight="1">
      <c r="A8" s="1169" t="s">
        <v>2955</v>
      </c>
      <c r="B8" s="1171" t="s">
        <v>2575</v>
      </c>
      <c r="C8" s="1169" t="s">
        <v>2575</v>
      </c>
      <c r="D8" s="526">
        <v>90</v>
      </c>
      <c r="E8" s="526">
        <v>180</v>
      </c>
      <c r="F8" s="526">
        <v>180</v>
      </c>
      <c r="G8" s="696" t="s">
        <v>558</v>
      </c>
      <c r="H8" s="56">
        <v>2</v>
      </c>
      <c r="I8" s="542" t="s">
        <v>17</v>
      </c>
      <c r="J8" s="542" t="s">
        <v>1094</v>
      </c>
      <c r="K8" s="542" t="s">
        <v>725</v>
      </c>
      <c r="L8" s="542" t="s">
        <v>649</v>
      </c>
      <c r="M8" s="549">
        <v>43046</v>
      </c>
      <c r="N8" s="549">
        <v>43086</v>
      </c>
      <c r="O8" s="544" t="s">
        <v>955</v>
      </c>
      <c r="P8" s="545" t="s">
        <v>590</v>
      </c>
      <c r="Q8" s="52"/>
      <c r="R8" s="546" t="s">
        <v>1552</v>
      </c>
      <c r="S8" s="319"/>
      <c r="T8" s="338" t="s">
        <v>2042</v>
      </c>
    </row>
    <row r="9" spans="1:20" ht="20.100000000000001" customHeight="1">
      <c r="A9" s="1169" t="s">
        <v>2955</v>
      </c>
      <c r="B9" s="1171" t="s">
        <v>2575</v>
      </c>
      <c r="C9" s="1169" t="s">
        <v>2575</v>
      </c>
      <c r="D9" s="526">
        <v>70</v>
      </c>
      <c r="E9" s="526">
        <v>140</v>
      </c>
      <c r="F9" s="526">
        <v>140</v>
      </c>
      <c r="G9" s="56" t="s">
        <v>29</v>
      </c>
      <c r="H9" s="56" t="s">
        <v>742</v>
      </c>
      <c r="I9" s="542" t="s">
        <v>17</v>
      </c>
      <c r="J9" s="542" t="s">
        <v>444</v>
      </c>
      <c r="K9" s="542" t="s">
        <v>725</v>
      </c>
      <c r="L9" s="542" t="s">
        <v>649</v>
      </c>
      <c r="M9" s="547">
        <v>43038</v>
      </c>
      <c r="N9" s="547">
        <v>43072</v>
      </c>
      <c r="O9" s="544" t="s">
        <v>955</v>
      </c>
      <c r="P9" s="545" t="s">
        <v>590</v>
      </c>
      <c r="Q9" s="7"/>
      <c r="R9" s="546" t="s">
        <v>199</v>
      </c>
      <c r="S9" s="319" t="s">
        <v>1176</v>
      </c>
      <c r="T9" s="338" t="s">
        <v>1988</v>
      </c>
    </row>
    <row r="10" spans="1:20" ht="20.100000000000001" customHeight="1">
      <c r="A10" s="1169" t="s">
        <v>2955</v>
      </c>
      <c r="B10" s="1171" t="s">
        <v>2575</v>
      </c>
      <c r="C10" s="1169" t="s">
        <v>2575</v>
      </c>
      <c r="D10" s="526">
        <v>100</v>
      </c>
      <c r="E10" s="526">
        <v>200</v>
      </c>
      <c r="F10" s="526">
        <v>200</v>
      </c>
      <c r="G10" s="628" t="s">
        <v>231</v>
      </c>
      <c r="H10" s="56" t="s">
        <v>742</v>
      </c>
      <c r="I10" s="542" t="s">
        <v>17</v>
      </c>
      <c r="J10" s="542" t="s">
        <v>444</v>
      </c>
      <c r="K10" s="542" t="s">
        <v>725</v>
      </c>
      <c r="L10" s="542" t="s">
        <v>649</v>
      </c>
      <c r="M10" s="547">
        <v>43040</v>
      </c>
      <c r="N10" s="547">
        <v>43087</v>
      </c>
      <c r="O10" s="544" t="s">
        <v>955</v>
      </c>
      <c r="P10" s="545" t="s">
        <v>590</v>
      </c>
      <c r="Q10" s="7"/>
      <c r="R10" s="546" t="s">
        <v>199</v>
      </c>
      <c r="S10" s="319"/>
      <c r="T10" s="338"/>
    </row>
    <row r="11" spans="1:20" ht="20.100000000000001" customHeight="1">
      <c r="A11" s="1169" t="s">
        <v>2955</v>
      </c>
      <c r="B11" s="1171" t="s">
        <v>2575</v>
      </c>
      <c r="C11" s="1169" t="s">
        <v>2575</v>
      </c>
      <c r="D11" s="526">
        <v>80</v>
      </c>
      <c r="E11" s="526">
        <v>125</v>
      </c>
      <c r="F11" s="526">
        <v>125</v>
      </c>
      <c r="G11" s="47" t="s">
        <v>28</v>
      </c>
      <c r="H11" s="56" t="s">
        <v>742</v>
      </c>
      <c r="I11" s="542" t="s">
        <v>17</v>
      </c>
      <c r="J11" s="542"/>
      <c r="K11" s="542" t="s">
        <v>659</v>
      </c>
      <c r="L11" s="542" t="s">
        <v>643</v>
      </c>
      <c r="M11" s="549">
        <v>43041</v>
      </c>
      <c r="N11" s="549">
        <v>43089</v>
      </c>
      <c r="O11" s="552" t="s">
        <v>1144</v>
      </c>
      <c r="P11" s="553" t="s">
        <v>590</v>
      </c>
      <c r="Q11" s="683"/>
      <c r="R11" s="546" t="s">
        <v>1782</v>
      </c>
      <c r="S11" s="316" t="s">
        <v>1176</v>
      </c>
      <c r="T11" s="338"/>
    </row>
    <row r="12" spans="1:20" ht="20.100000000000001" customHeight="1">
      <c r="A12" s="1169" t="s">
        <v>2955</v>
      </c>
      <c r="B12" s="1171" t="s">
        <v>2575</v>
      </c>
      <c r="C12" s="1169" t="s">
        <v>2575</v>
      </c>
      <c r="D12" s="525">
        <v>120</v>
      </c>
      <c r="E12" s="525">
        <v>240</v>
      </c>
      <c r="F12" s="525">
        <v>240</v>
      </c>
      <c r="G12" s="47" t="s">
        <v>5437</v>
      </c>
      <c r="H12" s="56">
        <v>3</v>
      </c>
      <c r="I12" s="542" t="s">
        <v>17</v>
      </c>
      <c r="J12" s="542"/>
      <c r="K12" s="554" t="s">
        <v>725</v>
      </c>
      <c r="L12" s="542" t="s">
        <v>639</v>
      </c>
      <c r="M12" s="551">
        <v>43040</v>
      </c>
      <c r="N12" s="551">
        <v>43086</v>
      </c>
      <c r="O12" s="544" t="s">
        <v>955</v>
      </c>
      <c r="P12" s="545" t="s">
        <v>589</v>
      </c>
      <c r="Q12" s="52"/>
      <c r="R12" s="546" t="s">
        <v>894</v>
      </c>
      <c r="S12" s="319"/>
      <c r="T12" s="338" t="s">
        <v>1988</v>
      </c>
    </row>
    <row r="13" spans="1:20" ht="20.100000000000001" customHeight="1">
      <c r="A13" s="1169" t="s">
        <v>2955</v>
      </c>
      <c r="B13" s="1171" t="s">
        <v>2575</v>
      </c>
      <c r="C13" s="1169" t="s">
        <v>2575</v>
      </c>
      <c r="D13" s="525">
        <v>100</v>
      </c>
      <c r="E13" s="525">
        <v>200</v>
      </c>
      <c r="F13" s="525">
        <v>200</v>
      </c>
      <c r="G13" s="47" t="s">
        <v>873</v>
      </c>
      <c r="H13" s="56">
        <v>3</v>
      </c>
      <c r="I13" s="542" t="s">
        <v>17</v>
      </c>
      <c r="J13" s="542"/>
      <c r="K13" s="554" t="s">
        <v>725</v>
      </c>
      <c r="L13" s="542" t="s">
        <v>639</v>
      </c>
      <c r="M13" s="551">
        <v>42991</v>
      </c>
      <c r="N13" s="551">
        <v>43086</v>
      </c>
      <c r="O13" s="544" t="s">
        <v>955</v>
      </c>
      <c r="P13" s="545" t="s">
        <v>589</v>
      </c>
      <c r="Q13" s="52"/>
      <c r="R13" s="546" t="s">
        <v>894</v>
      </c>
      <c r="S13" s="319"/>
      <c r="T13" s="338" t="s">
        <v>1988</v>
      </c>
    </row>
    <row r="14" spans="1:20" ht="20.100000000000001" customHeight="1">
      <c r="A14" s="1169" t="s">
        <v>2955</v>
      </c>
      <c r="B14" s="1171" t="s">
        <v>2575</v>
      </c>
      <c r="C14" s="1169" t="s">
        <v>2575</v>
      </c>
      <c r="D14" s="526">
        <v>50</v>
      </c>
      <c r="E14" s="526">
        <v>100</v>
      </c>
      <c r="F14" s="526">
        <v>100</v>
      </c>
      <c r="G14" s="47" t="s">
        <v>62</v>
      </c>
      <c r="H14" s="56" t="s">
        <v>2574</v>
      </c>
      <c r="I14" s="542" t="s">
        <v>2546</v>
      </c>
      <c r="J14" s="542"/>
      <c r="K14" s="554" t="s">
        <v>2576</v>
      </c>
      <c r="L14" s="542" t="s">
        <v>639</v>
      </c>
      <c r="M14" s="549">
        <v>43039</v>
      </c>
      <c r="N14" s="549">
        <v>43086</v>
      </c>
      <c r="O14" s="544" t="s">
        <v>955</v>
      </c>
      <c r="P14" s="550" t="s">
        <v>2577</v>
      </c>
      <c r="Q14" s="683"/>
      <c r="R14" s="546" t="s">
        <v>1336</v>
      </c>
      <c r="S14" s="315" t="s">
        <v>2848</v>
      </c>
      <c r="T14" s="338"/>
    </row>
    <row r="15" spans="1:20" ht="20.100000000000001" customHeight="1">
      <c r="A15" s="1169" t="s">
        <v>2955</v>
      </c>
      <c r="B15" s="1171" t="s">
        <v>2575</v>
      </c>
      <c r="C15" s="1169" t="s">
        <v>2575</v>
      </c>
      <c r="D15" s="526">
        <v>70</v>
      </c>
      <c r="E15" s="526">
        <v>140</v>
      </c>
      <c r="F15" s="526">
        <v>140</v>
      </c>
      <c r="G15" s="56" t="s">
        <v>29</v>
      </c>
      <c r="H15" s="56" t="s">
        <v>659</v>
      </c>
      <c r="I15" s="542" t="s">
        <v>17</v>
      </c>
      <c r="J15" s="542" t="s">
        <v>444</v>
      </c>
      <c r="K15" s="542" t="s">
        <v>706</v>
      </c>
      <c r="L15" s="542" t="s">
        <v>636</v>
      </c>
      <c r="M15" s="547">
        <v>43038</v>
      </c>
      <c r="N15" s="547">
        <v>43072</v>
      </c>
      <c r="O15" s="544" t="s">
        <v>955</v>
      </c>
      <c r="P15" s="545" t="s">
        <v>590</v>
      </c>
      <c r="Q15" s="7"/>
      <c r="R15" s="546" t="s">
        <v>191</v>
      </c>
      <c r="S15" s="319" t="s">
        <v>1176</v>
      </c>
      <c r="T15" s="338" t="s">
        <v>1988</v>
      </c>
    </row>
    <row r="16" spans="1:20" ht="20.100000000000001" customHeight="1">
      <c r="A16" s="1169" t="s">
        <v>2955</v>
      </c>
      <c r="B16" s="1171" t="s">
        <v>2575</v>
      </c>
      <c r="C16" s="1169" t="s">
        <v>2575</v>
      </c>
      <c r="D16" s="525">
        <v>120</v>
      </c>
      <c r="E16" s="525">
        <v>240</v>
      </c>
      <c r="F16" s="525">
        <v>240</v>
      </c>
      <c r="G16" s="56" t="s">
        <v>36</v>
      </c>
      <c r="H16" s="36">
        <v>4</v>
      </c>
      <c r="I16" s="542" t="s">
        <v>17</v>
      </c>
      <c r="J16" s="542"/>
      <c r="K16" s="554" t="s">
        <v>2366</v>
      </c>
      <c r="L16" s="542" t="s">
        <v>649</v>
      </c>
      <c r="M16" s="551">
        <v>43076</v>
      </c>
      <c r="N16" s="551">
        <v>43084</v>
      </c>
      <c r="O16" s="544" t="s">
        <v>955</v>
      </c>
      <c r="P16" s="545" t="s">
        <v>589</v>
      </c>
      <c r="Q16" s="7"/>
      <c r="R16" s="546" t="s">
        <v>308</v>
      </c>
      <c r="S16" s="319"/>
      <c r="T16" s="317">
        <v>14</v>
      </c>
    </row>
    <row r="17" spans="1:20" ht="20.100000000000001" customHeight="1">
      <c r="A17" s="1169" t="s">
        <v>2955</v>
      </c>
      <c r="B17" s="1171" t="s">
        <v>2575</v>
      </c>
      <c r="C17" s="1169" t="s">
        <v>2575</v>
      </c>
      <c r="D17" s="525">
        <v>75</v>
      </c>
      <c r="E17" s="525">
        <v>150</v>
      </c>
      <c r="F17" s="525">
        <v>150</v>
      </c>
      <c r="G17" s="224" t="s">
        <v>434</v>
      </c>
      <c r="H17" s="36" t="s">
        <v>725</v>
      </c>
      <c r="I17" s="542" t="s">
        <v>17</v>
      </c>
      <c r="J17" s="542" t="s">
        <v>444</v>
      </c>
      <c r="K17" s="554">
        <v>3</v>
      </c>
      <c r="L17" s="542" t="s">
        <v>639</v>
      </c>
      <c r="M17" s="549">
        <v>43066</v>
      </c>
      <c r="N17" s="549">
        <v>43093</v>
      </c>
      <c r="O17" s="544" t="s">
        <v>955</v>
      </c>
      <c r="P17" s="545" t="s">
        <v>590</v>
      </c>
      <c r="Q17" s="7"/>
      <c r="R17" s="555" t="s">
        <v>316</v>
      </c>
      <c r="S17" s="321" t="s">
        <v>1176</v>
      </c>
      <c r="T17" s="317" t="s">
        <v>2824</v>
      </c>
    </row>
    <row r="18" spans="1:20" ht="20.100000000000001" customHeight="1">
      <c r="A18" s="1169" t="s">
        <v>2955</v>
      </c>
      <c r="B18" s="1171" t="s">
        <v>2575</v>
      </c>
      <c r="C18" s="1169" t="s">
        <v>2575</v>
      </c>
      <c r="D18" s="525">
        <v>110</v>
      </c>
      <c r="E18" s="525">
        <v>220</v>
      </c>
      <c r="F18" s="525">
        <v>220</v>
      </c>
      <c r="G18" s="56" t="s">
        <v>87</v>
      </c>
      <c r="H18" s="36" t="s">
        <v>725</v>
      </c>
      <c r="I18" s="542" t="s">
        <v>17</v>
      </c>
      <c r="J18" s="542" t="s">
        <v>444</v>
      </c>
      <c r="K18" s="554">
        <v>3</v>
      </c>
      <c r="L18" s="542" t="s">
        <v>639</v>
      </c>
      <c r="M18" s="551">
        <v>43056</v>
      </c>
      <c r="N18" s="551">
        <v>43086</v>
      </c>
      <c r="O18" s="544" t="s">
        <v>955</v>
      </c>
      <c r="P18" s="545"/>
      <c r="Q18" s="7"/>
      <c r="R18" s="555" t="s">
        <v>316</v>
      </c>
      <c r="S18" s="315" t="s">
        <v>2849</v>
      </c>
      <c r="T18" s="338" t="s">
        <v>1897</v>
      </c>
    </row>
    <row r="19" spans="1:20" ht="20.100000000000001" customHeight="1">
      <c r="A19" s="1169" t="s">
        <v>2955</v>
      </c>
      <c r="B19" s="1171" t="s">
        <v>2575</v>
      </c>
      <c r="C19" s="1169" t="s">
        <v>2575</v>
      </c>
      <c r="D19" s="525">
        <v>95</v>
      </c>
      <c r="E19" s="525">
        <v>190</v>
      </c>
      <c r="F19" s="525">
        <v>190</v>
      </c>
      <c r="G19" s="56" t="s">
        <v>432</v>
      </c>
      <c r="H19" s="36" t="s">
        <v>725</v>
      </c>
      <c r="I19" s="542" t="s">
        <v>17</v>
      </c>
      <c r="J19" s="542" t="s">
        <v>444</v>
      </c>
      <c r="K19" s="554">
        <v>3</v>
      </c>
      <c r="L19" s="542" t="s">
        <v>639</v>
      </c>
      <c r="M19" s="549">
        <v>43057</v>
      </c>
      <c r="N19" s="549">
        <v>43086</v>
      </c>
      <c r="O19" s="544" t="s">
        <v>955</v>
      </c>
      <c r="P19" s="545" t="s">
        <v>590</v>
      </c>
      <c r="Q19" s="7"/>
      <c r="R19" s="555" t="s">
        <v>316</v>
      </c>
      <c r="S19" s="704" t="s">
        <v>1176</v>
      </c>
      <c r="T19" s="338" t="s">
        <v>2041</v>
      </c>
    </row>
    <row r="20" spans="1:20" ht="20.100000000000001" customHeight="1">
      <c r="A20" s="1169" t="s">
        <v>2955</v>
      </c>
      <c r="B20" s="1171" t="s">
        <v>2575</v>
      </c>
      <c r="C20" s="1169" t="s">
        <v>2575</v>
      </c>
      <c r="D20" s="525">
        <v>120</v>
      </c>
      <c r="E20" s="525">
        <v>240</v>
      </c>
      <c r="F20" s="525">
        <v>240</v>
      </c>
      <c r="G20" s="224" t="s">
        <v>147</v>
      </c>
      <c r="H20" s="36" t="s">
        <v>725</v>
      </c>
      <c r="I20" s="542" t="s">
        <v>17</v>
      </c>
      <c r="J20" s="542" t="s">
        <v>1094</v>
      </c>
      <c r="K20" s="554">
        <v>3</v>
      </c>
      <c r="L20" s="542" t="s">
        <v>639</v>
      </c>
      <c r="M20" s="547">
        <v>43045</v>
      </c>
      <c r="N20" s="547">
        <v>43079</v>
      </c>
      <c r="O20" s="544" t="s">
        <v>955</v>
      </c>
      <c r="P20" s="545" t="s">
        <v>590</v>
      </c>
      <c r="Q20" s="52"/>
      <c r="R20" s="546" t="s">
        <v>258</v>
      </c>
      <c r="S20" s="319"/>
      <c r="T20" s="338" t="s">
        <v>1988</v>
      </c>
    </row>
    <row r="21" spans="1:20" ht="20.100000000000001" customHeight="1">
      <c r="A21" s="1169" t="s">
        <v>2955</v>
      </c>
      <c r="B21" s="1171" t="s">
        <v>2575</v>
      </c>
      <c r="C21" s="1169" t="s">
        <v>2575</v>
      </c>
      <c r="D21" s="525">
        <v>125</v>
      </c>
      <c r="E21" s="525">
        <v>250</v>
      </c>
      <c r="F21" s="525">
        <v>250</v>
      </c>
      <c r="G21" s="224" t="s">
        <v>814</v>
      </c>
      <c r="H21" s="36" t="s">
        <v>725</v>
      </c>
      <c r="I21" s="542" t="s">
        <v>17</v>
      </c>
      <c r="J21" s="542" t="s">
        <v>1094</v>
      </c>
      <c r="K21" s="554">
        <v>3</v>
      </c>
      <c r="L21" s="542" t="s">
        <v>639</v>
      </c>
      <c r="M21" s="547">
        <v>43038</v>
      </c>
      <c r="N21" s="547">
        <v>43086</v>
      </c>
      <c r="O21" s="544" t="s">
        <v>955</v>
      </c>
      <c r="P21" s="545" t="s">
        <v>589</v>
      </c>
      <c r="Q21" s="52"/>
      <c r="R21" s="546" t="s">
        <v>258</v>
      </c>
      <c r="S21" s="319" t="s">
        <v>1176</v>
      </c>
      <c r="T21" s="338" t="s">
        <v>1993</v>
      </c>
    </row>
    <row r="22" spans="1:20" ht="20.100000000000001" customHeight="1">
      <c r="A22" s="1169" t="s">
        <v>2955</v>
      </c>
      <c r="B22" s="1171" t="s">
        <v>2575</v>
      </c>
      <c r="C22" s="1169" t="s">
        <v>2575</v>
      </c>
      <c r="D22" s="525">
        <v>95</v>
      </c>
      <c r="E22" s="525">
        <v>190</v>
      </c>
      <c r="F22" s="525">
        <v>190</v>
      </c>
      <c r="G22" s="56" t="s">
        <v>432</v>
      </c>
      <c r="H22" s="36" t="s">
        <v>725</v>
      </c>
      <c r="I22" s="542" t="s">
        <v>17</v>
      </c>
      <c r="J22" s="542" t="s">
        <v>1094</v>
      </c>
      <c r="K22" s="554">
        <v>3</v>
      </c>
      <c r="L22" s="542" t="s">
        <v>639</v>
      </c>
      <c r="M22" s="549">
        <v>43057</v>
      </c>
      <c r="N22" s="549">
        <v>43086</v>
      </c>
      <c r="O22" s="544" t="s">
        <v>955</v>
      </c>
      <c r="P22" s="545" t="s">
        <v>590</v>
      </c>
      <c r="Q22" s="52"/>
      <c r="R22" s="556" t="s">
        <v>258</v>
      </c>
      <c r="S22" s="704" t="s">
        <v>1176</v>
      </c>
      <c r="T22" s="338" t="s">
        <v>2041</v>
      </c>
    </row>
    <row r="23" spans="1:20" ht="20.100000000000001" customHeight="1">
      <c r="A23" s="1169" t="s">
        <v>2955</v>
      </c>
      <c r="B23" s="1171" t="s">
        <v>2575</v>
      </c>
      <c r="C23" s="1169" t="s">
        <v>2575</v>
      </c>
      <c r="D23" s="320">
        <v>55</v>
      </c>
      <c r="E23" s="320">
        <v>110</v>
      </c>
      <c r="F23" s="320">
        <v>110</v>
      </c>
      <c r="G23" s="56" t="s">
        <v>12</v>
      </c>
      <c r="H23" s="36" t="s">
        <v>725</v>
      </c>
      <c r="I23" s="542" t="s">
        <v>17</v>
      </c>
      <c r="J23" s="542" t="s">
        <v>1094</v>
      </c>
      <c r="K23" s="554">
        <v>3</v>
      </c>
      <c r="L23" s="542" t="s">
        <v>639</v>
      </c>
      <c r="M23" s="551">
        <v>43083</v>
      </c>
      <c r="N23" s="551">
        <v>43086</v>
      </c>
      <c r="O23" s="544" t="s">
        <v>955</v>
      </c>
      <c r="P23" s="686" t="s">
        <v>2826</v>
      </c>
      <c r="Q23" s="52"/>
      <c r="R23" s="546" t="s">
        <v>258</v>
      </c>
      <c r="S23" s="704"/>
      <c r="T23" s="338"/>
    </row>
    <row r="24" spans="1:20" ht="20.100000000000001" customHeight="1">
      <c r="A24" s="1169" t="s">
        <v>2955</v>
      </c>
      <c r="B24" s="1171" t="s">
        <v>2575</v>
      </c>
      <c r="C24" s="1169" t="s">
        <v>2575</v>
      </c>
      <c r="D24" s="525">
        <v>80</v>
      </c>
      <c r="E24" s="525">
        <v>160</v>
      </c>
      <c r="F24" s="525">
        <v>160</v>
      </c>
      <c r="G24" s="699" t="s">
        <v>491</v>
      </c>
      <c r="H24" s="36" t="s">
        <v>725</v>
      </c>
      <c r="I24" s="542" t="s">
        <v>17</v>
      </c>
      <c r="J24" s="50" t="s">
        <v>4086</v>
      </c>
      <c r="K24" s="554" t="s">
        <v>659</v>
      </c>
      <c r="L24" s="542" t="s">
        <v>639</v>
      </c>
      <c r="M24" s="551">
        <v>43076</v>
      </c>
      <c r="N24" s="547">
        <v>43086</v>
      </c>
      <c r="O24" s="544" t="s">
        <v>955</v>
      </c>
      <c r="P24" s="686" t="s">
        <v>4077</v>
      </c>
      <c r="Q24" s="52"/>
      <c r="R24" s="546" t="s">
        <v>2266</v>
      </c>
      <c r="S24" s="704" t="s">
        <v>1176</v>
      </c>
      <c r="T24" s="338" t="s">
        <v>1678</v>
      </c>
    </row>
    <row r="25" spans="1:20" ht="20.100000000000001" customHeight="1">
      <c r="A25" s="1169" t="s">
        <v>2955</v>
      </c>
      <c r="B25" s="1171" t="s">
        <v>2575</v>
      </c>
      <c r="C25" s="1169" t="s">
        <v>2575</v>
      </c>
      <c r="D25" s="525">
        <v>110</v>
      </c>
      <c r="E25" s="525">
        <v>220</v>
      </c>
      <c r="F25" s="525">
        <v>220</v>
      </c>
      <c r="G25" s="47" t="s">
        <v>142</v>
      </c>
      <c r="H25" s="36" t="s">
        <v>2264</v>
      </c>
      <c r="I25" s="542" t="s">
        <v>17</v>
      </c>
      <c r="J25" s="50" t="s">
        <v>4086</v>
      </c>
      <c r="K25" s="554" t="s">
        <v>2267</v>
      </c>
      <c r="L25" s="542" t="s">
        <v>639</v>
      </c>
      <c r="M25" s="549">
        <v>43043</v>
      </c>
      <c r="N25" s="9">
        <v>43084</v>
      </c>
      <c r="O25" s="544" t="s">
        <v>955</v>
      </c>
      <c r="P25" s="545"/>
      <c r="Q25" s="7"/>
      <c r="R25" s="546" t="s">
        <v>2266</v>
      </c>
      <c r="S25" s="704"/>
      <c r="T25" s="338"/>
    </row>
    <row r="26" spans="1:20" ht="20.100000000000001" customHeight="1">
      <c r="A26" s="1169" t="s">
        <v>2955</v>
      </c>
      <c r="B26" s="1171" t="s">
        <v>2575</v>
      </c>
      <c r="C26" s="1169" t="s">
        <v>2575</v>
      </c>
      <c r="D26" s="525">
        <v>110</v>
      </c>
      <c r="E26" s="525">
        <v>220</v>
      </c>
      <c r="F26" s="525">
        <v>220</v>
      </c>
      <c r="G26" s="56" t="s">
        <v>87</v>
      </c>
      <c r="H26" s="56" t="s">
        <v>681</v>
      </c>
      <c r="I26" s="542" t="s">
        <v>17</v>
      </c>
      <c r="J26" s="542" t="s">
        <v>444</v>
      </c>
      <c r="K26" s="542" t="s">
        <v>659</v>
      </c>
      <c r="L26" s="542" t="s">
        <v>639</v>
      </c>
      <c r="M26" s="551">
        <v>43056</v>
      </c>
      <c r="N26" s="551">
        <v>43086</v>
      </c>
      <c r="O26" s="544" t="s">
        <v>955</v>
      </c>
      <c r="P26" s="545"/>
      <c r="Q26" s="683"/>
      <c r="R26" s="556" t="s">
        <v>1352</v>
      </c>
      <c r="S26" s="315" t="s">
        <v>2849</v>
      </c>
      <c r="T26" s="338" t="s">
        <v>1897</v>
      </c>
    </row>
    <row r="27" spans="1:20" ht="20.100000000000001" customHeight="1">
      <c r="A27" s="1169" t="s">
        <v>2955</v>
      </c>
      <c r="B27" s="1171" t="s">
        <v>2575</v>
      </c>
      <c r="C27" s="1169" t="s">
        <v>2575</v>
      </c>
      <c r="D27" s="525">
        <v>70</v>
      </c>
      <c r="E27" s="525">
        <v>140</v>
      </c>
      <c r="F27" s="525">
        <v>140</v>
      </c>
      <c r="G27" s="56" t="s">
        <v>36</v>
      </c>
      <c r="H27" s="36">
        <v>5</v>
      </c>
      <c r="I27" s="542" t="s">
        <v>17</v>
      </c>
      <c r="J27" s="542"/>
      <c r="K27" s="554">
        <v>3</v>
      </c>
      <c r="L27" s="542" t="s">
        <v>649</v>
      </c>
      <c r="M27" s="551">
        <v>43070</v>
      </c>
      <c r="N27" s="551">
        <v>43084</v>
      </c>
      <c r="O27" s="544" t="s">
        <v>955</v>
      </c>
      <c r="P27" s="545" t="s">
        <v>589</v>
      </c>
      <c r="Q27" s="7"/>
      <c r="R27" s="546" t="s">
        <v>773</v>
      </c>
      <c r="S27" s="319"/>
      <c r="T27" s="317">
        <v>14</v>
      </c>
    </row>
    <row r="28" spans="1:20" ht="20.100000000000001" customHeight="1">
      <c r="A28" s="1169" t="s">
        <v>2955</v>
      </c>
      <c r="B28" s="1171" t="s">
        <v>2575</v>
      </c>
      <c r="C28" s="1169" t="s">
        <v>2575</v>
      </c>
      <c r="D28" s="525">
        <v>70</v>
      </c>
      <c r="E28" s="525">
        <v>140</v>
      </c>
      <c r="F28" s="525">
        <v>140</v>
      </c>
      <c r="G28" s="56" t="s">
        <v>36</v>
      </c>
      <c r="H28" s="36">
        <v>5</v>
      </c>
      <c r="I28" s="557" t="s">
        <v>17</v>
      </c>
      <c r="J28" s="558"/>
      <c r="K28" s="559" t="s">
        <v>659</v>
      </c>
      <c r="L28" s="542" t="s">
        <v>649</v>
      </c>
      <c r="M28" s="551">
        <v>43070</v>
      </c>
      <c r="N28" s="551">
        <v>43084</v>
      </c>
      <c r="O28" s="544" t="s">
        <v>955</v>
      </c>
      <c r="P28" s="545" t="s">
        <v>589</v>
      </c>
      <c r="Q28" s="744"/>
      <c r="R28" s="546" t="s">
        <v>309</v>
      </c>
      <c r="S28" s="319"/>
      <c r="T28" s="317">
        <v>14</v>
      </c>
    </row>
    <row r="29" spans="1:20" ht="20.100000000000001" customHeight="1">
      <c r="A29" s="1169" t="s">
        <v>2955</v>
      </c>
      <c r="B29" s="1171" t="s">
        <v>2575</v>
      </c>
      <c r="C29" s="1169" t="s">
        <v>2575</v>
      </c>
      <c r="D29" s="525">
        <v>60</v>
      </c>
      <c r="E29" s="525">
        <v>120</v>
      </c>
      <c r="F29" s="525">
        <v>120</v>
      </c>
      <c r="G29" s="56" t="s">
        <v>33</v>
      </c>
      <c r="H29" s="36" t="s">
        <v>681</v>
      </c>
      <c r="I29" s="542" t="s">
        <v>17</v>
      </c>
      <c r="J29" s="558"/>
      <c r="K29" s="559" t="s">
        <v>742</v>
      </c>
      <c r="L29" s="542" t="s">
        <v>649</v>
      </c>
      <c r="M29" s="549">
        <v>43040</v>
      </c>
      <c r="N29" s="549">
        <v>43079</v>
      </c>
      <c r="O29" s="544" t="s">
        <v>955</v>
      </c>
      <c r="P29" s="545" t="s">
        <v>589</v>
      </c>
      <c r="Q29" s="7"/>
      <c r="R29" s="546" t="s">
        <v>1542</v>
      </c>
      <c r="S29" s="315" t="s">
        <v>2850</v>
      </c>
      <c r="T29" s="338" t="s">
        <v>2040</v>
      </c>
    </row>
    <row r="30" spans="1:20" ht="20.100000000000001" customHeight="1">
      <c r="A30" s="1169" t="s">
        <v>2955</v>
      </c>
      <c r="B30" s="1171" t="s">
        <v>2575</v>
      </c>
      <c r="C30" s="1169" t="s">
        <v>2575</v>
      </c>
      <c r="D30" s="526">
        <v>100</v>
      </c>
      <c r="E30" s="526">
        <v>200</v>
      </c>
      <c r="F30" s="526">
        <v>200</v>
      </c>
      <c r="G30" s="628" t="s">
        <v>231</v>
      </c>
      <c r="H30" s="36" t="s">
        <v>681</v>
      </c>
      <c r="I30" s="542" t="s">
        <v>17</v>
      </c>
      <c r="J30" s="558"/>
      <c r="K30" s="559" t="s">
        <v>742</v>
      </c>
      <c r="L30" s="542" t="s">
        <v>649</v>
      </c>
      <c r="M30" s="547">
        <v>43040</v>
      </c>
      <c r="N30" s="547">
        <v>43087</v>
      </c>
      <c r="O30" s="544" t="s">
        <v>955</v>
      </c>
      <c r="P30" s="545" t="s">
        <v>590</v>
      </c>
      <c r="Q30" s="7"/>
      <c r="R30" s="546" t="s">
        <v>1542</v>
      </c>
      <c r="S30" s="319"/>
      <c r="T30" s="338"/>
    </row>
    <row r="31" spans="1:20" ht="20.100000000000001" customHeight="1">
      <c r="A31" s="1169" t="s">
        <v>2955</v>
      </c>
      <c r="B31" s="1171" t="s">
        <v>2575</v>
      </c>
      <c r="C31" s="1169" t="s">
        <v>2575</v>
      </c>
      <c r="D31" s="526">
        <v>70</v>
      </c>
      <c r="E31" s="526">
        <v>140</v>
      </c>
      <c r="F31" s="526">
        <v>140</v>
      </c>
      <c r="G31" s="56" t="s">
        <v>29</v>
      </c>
      <c r="H31" s="36" t="s">
        <v>681</v>
      </c>
      <c r="I31" s="542" t="s">
        <v>17</v>
      </c>
      <c r="J31" s="558"/>
      <c r="K31" s="559" t="s">
        <v>742</v>
      </c>
      <c r="L31" s="542" t="s">
        <v>649</v>
      </c>
      <c r="M31" s="547">
        <v>43038</v>
      </c>
      <c r="N31" s="547">
        <v>43072</v>
      </c>
      <c r="O31" s="544" t="s">
        <v>955</v>
      </c>
      <c r="P31" s="545" t="s">
        <v>590</v>
      </c>
      <c r="Q31" s="7"/>
      <c r="R31" s="546" t="s">
        <v>1542</v>
      </c>
      <c r="S31" s="319" t="s">
        <v>1176</v>
      </c>
      <c r="T31" s="338" t="s">
        <v>1988</v>
      </c>
    </row>
    <row r="32" spans="1:20" ht="20.100000000000001" customHeight="1">
      <c r="A32" s="1169" t="s">
        <v>2955</v>
      </c>
      <c r="B32" s="1171" t="s">
        <v>2575</v>
      </c>
      <c r="C32" s="1169" t="s">
        <v>2575</v>
      </c>
      <c r="D32" s="525">
        <v>105</v>
      </c>
      <c r="E32" s="525">
        <v>210</v>
      </c>
      <c r="F32" s="525">
        <v>210</v>
      </c>
      <c r="G32" s="224" t="s">
        <v>814</v>
      </c>
      <c r="H32" s="36" t="s">
        <v>721</v>
      </c>
      <c r="I32" s="542" t="s">
        <v>17</v>
      </c>
      <c r="J32" s="542" t="s">
        <v>444</v>
      </c>
      <c r="K32" s="554" t="s">
        <v>725</v>
      </c>
      <c r="L32" s="542" t="s">
        <v>649</v>
      </c>
      <c r="M32" s="547">
        <v>43066</v>
      </c>
      <c r="N32" s="547">
        <v>43086</v>
      </c>
      <c r="O32" s="544" t="s">
        <v>955</v>
      </c>
      <c r="P32" s="545" t="s">
        <v>589</v>
      </c>
      <c r="Q32" s="683"/>
      <c r="R32" s="546" t="s">
        <v>194</v>
      </c>
      <c r="S32" s="319" t="s">
        <v>1176</v>
      </c>
      <c r="T32" s="338" t="s">
        <v>1993</v>
      </c>
    </row>
    <row r="33" spans="1:20" ht="20.100000000000001" customHeight="1">
      <c r="A33" s="1169" t="s">
        <v>2955</v>
      </c>
      <c r="B33" s="1171" t="s">
        <v>2575</v>
      </c>
      <c r="C33" s="1169" t="s">
        <v>2575</v>
      </c>
      <c r="D33" s="525">
        <v>75</v>
      </c>
      <c r="E33" s="525">
        <v>150</v>
      </c>
      <c r="F33" s="525">
        <v>150</v>
      </c>
      <c r="G33" s="224" t="s">
        <v>434</v>
      </c>
      <c r="H33" s="36" t="s">
        <v>721</v>
      </c>
      <c r="I33" s="542" t="s">
        <v>17</v>
      </c>
      <c r="J33" s="542" t="s">
        <v>444</v>
      </c>
      <c r="K33" s="554" t="s">
        <v>725</v>
      </c>
      <c r="L33" s="542" t="s">
        <v>649</v>
      </c>
      <c r="M33" s="549">
        <v>43066</v>
      </c>
      <c r="N33" s="549">
        <v>43093</v>
      </c>
      <c r="O33" s="544" t="s">
        <v>955</v>
      </c>
      <c r="P33" s="545" t="s">
        <v>590</v>
      </c>
      <c r="Q33" s="683"/>
      <c r="R33" s="555" t="s">
        <v>194</v>
      </c>
      <c r="S33" s="321" t="s">
        <v>1176</v>
      </c>
      <c r="T33" s="317" t="s">
        <v>2824</v>
      </c>
    </row>
    <row r="34" spans="1:20" ht="20.100000000000001" customHeight="1">
      <c r="A34" s="1169" t="s">
        <v>2955</v>
      </c>
      <c r="B34" s="1171" t="s">
        <v>2575</v>
      </c>
      <c r="C34" s="1169" t="s">
        <v>2575</v>
      </c>
      <c r="D34" s="525">
        <v>110</v>
      </c>
      <c r="E34" s="525">
        <v>220</v>
      </c>
      <c r="F34" s="525">
        <v>220</v>
      </c>
      <c r="G34" s="56" t="s">
        <v>87</v>
      </c>
      <c r="H34" s="36" t="s">
        <v>721</v>
      </c>
      <c r="I34" s="542" t="s">
        <v>17</v>
      </c>
      <c r="J34" s="542" t="s">
        <v>444</v>
      </c>
      <c r="K34" s="554" t="s">
        <v>725</v>
      </c>
      <c r="L34" s="542" t="s">
        <v>649</v>
      </c>
      <c r="M34" s="551">
        <v>43056</v>
      </c>
      <c r="N34" s="551">
        <v>43086</v>
      </c>
      <c r="O34" s="544" t="s">
        <v>955</v>
      </c>
      <c r="P34" s="545"/>
      <c r="Q34" s="683"/>
      <c r="R34" s="556" t="s">
        <v>263</v>
      </c>
      <c r="S34" s="315" t="s">
        <v>2849</v>
      </c>
      <c r="T34" s="338" t="s">
        <v>1897</v>
      </c>
    </row>
    <row r="35" spans="1:20" ht="20.100000000000001" customHeight="1">
      <c r="A35" s="1169" t="s">
        <v>2955</v>
      </c>
      <c r="B35" s="1171" t="s">
        <v>2575</v>
      </c>
      <c r="C35" s="1169" t="s">
        <v>2575</v>
      </c>
      <c r="D35" s="525">
        <v>90</v>
      </c>
      <c r="E35" s="525">
        <v>180</v>
      </c>
      <c r="F35" s="525">
        <v>180</v>
      </c>
      <c r="G35" s="56" t="s">
        <v>5438</v>
      </c>
      <c r="H35" s="56">
        <v>6</v>
      </c>
      <c r="I35" s="542" t="s">
        <v>17</v>
      </c>
      <c r="J35" s="542"/>
      <c r="K35" s="554">
        <v>2</v>
      </c>
      <c r="L35" s="542" t="s">
        <v>649</v>
      </c>
      <c r="M35" s="551">
        <v>43050</v>
      </c>
      <c r="N35" s="551">
        <v>43084</v>
      </c>
      <c r="O35" s="544" t="s">
        <v>955</v>
      </c>
      <c r="P35" s="545" t="s">
        <v>589</v>
      </c>
      <c r="Q35" s="52"/>
      <c r="R35" s="546" t="s">
        <v>310</v>
      </c>
      <c r="S35" s="319"/>
      <c r="T35" s="317">
        <v>14</v>
      </c>
    </row>
    <row r="36" spans="1:20" ht="20.100000000000001" customHeight="1">
      <c r="A36" s="1169" t="s">
        <v>2955</v>
      </c>
      <c r="B36" s="1171" t="s">
        <v>2575</v>
      </c>
      <c r="C36" s="1169" t="s">
        <v>2575</v>
      </c>
      <c r="D36" s="525">
        <v>425</v>
      </c>
      <c r="E36" s="525">
        <v>850</v>
      </c>
      <c r="F36" s="525">
        <v>850</v>
      </c>
      <c r="G36" s="697" t="s">
        <v>51</v>
      </c>
      <c r="H36" s="56" t="s">
        <v>721</v>
      </c>
      <c r="I36" s="542" t="s">
        <v>17</v>
      </c>
      <c r="J36" s="542" t="s">
        <v>444</v>
      </c>
      <c r="K36" s="542" t="s">
        <v>659</v>
      </c>
      <c r="L36" s="542" t="s">
        <v>639</v>
      </c>
      <c r="M36" s="381">
        <v>43040</v>
      </c>
      <c r="N36" s="381">
        <v>43088</v>
      </c>
      <c r="O36" s="544" t="s">
        <v>955</v>
      </c>
      <c r="P36" s="545"/>
      <c r="Q36" s="683"/>
      <c r="R36" s="556" t="s">
        <v>190</v>
      </c>
      <c r="S36" s="319"/>
      <c r="T36" s="338"/>
    </row>
    <row r="37" spans="1:20" ht="20.100000000000001" customHeight="1">
      <c r="A37" s="1169" t="s">
        <v>2955</v>
      </c>
      <c r="B37" s="1171" t="s">
        <v>2575</v>
      </c>
      <c r="C37" s="1169" t="s">
        <v>2575</v>
      </c>
      <c r="D37" s="525">
        <v>110</v>
      </c>
      <c r="E37" s="525">
        <v>220</v>
      </c>
      <c r="F37" s="525">
        <v>220</v>
      </c>
      <c r="G37" s="56" t="s">
        <v>87</v>
      </c>
      <c r="H37" s="56" t="s">
        <v>721</v>
      </c>
      <c r="I37" s="542" t="s">
        <v>17</v>
      </c>
      <c r="J37" s="542" t="s">
        <v>444</v>
      </c>
      <c r="K37" s="542" t="s">
        <v>659</v>
      </c>
      <c r="L37" s="542" t="s">
        <v>639</v>
      </c>
      <c r="M37" s="551">
        <v>43056</v>
      </c>
      <c r="N37" s="551">
        <v>43086</v>
      </c>
      <c r="O37" s="544" t="s">
        <v>955</v>
      </c>
      <c r="P37" s="545"/>
      <c r="Q37" s="683"/>
      <c r="R37" s="556" t="s">
        <v>190</v>
      </c>
      <c r="S37" s="315" t="s">
        <v>2849</v>
      </c>
      <c r="T37" s="338" t="s">
        <v>1897</v>
      </c>
    </row>
    <row r="38" spans="1:20" ht="20.100000000000001" customHeight="1">
      <c r="A38" s="1169" t="s">
        <v>2955</v>
      </c>
      <c r="B38" s="1171" t="s">
        <v>2575</v>
      </c>
      <c r="C38" s="1169" t="s">
        <v>2575</v>
      </c>
      <c r="D38" s="525">
        <v>95</v>
      </c>
      <c r="E38" s="525">
        <v>190</v>
      </c>
      <c r="F38" s="525">
        <v>190</v>
      </c>
      <c r="G38" s="56" t="s">
        <v>432</v>
      </c>
      <c r="H38" s="56" t="s">
        <v>721</v>
      </c>
      <c r="I38" s="542" t="s">
        <v>17</v>
      </c>
      <c r="J38" s="542" t="s">
        <v>444</v>
      </c>
      <c r="K38" s="542" t="s">
        <v>659</v>
      </c>
      <c r="L38" s="542" t="s">
        <v>639</v>
      </c>
      <c r="M38" s="549">
        <v>43057</v>
      </c>
      <c r="N38" s="549">
        <v>43086</v>
      </c>
      <c r="O38" s="544" t="s">
        <v>955</v>
      </c>
      <c r="P38" s="545" t="s">
        <v>590</v>
      </c>
      <c r="Q38" s="683"/>
      <c r="R38" s="556" t="s">
        <v>190</v>
      </c>
      <c r="S38" s="704" t="s">
        <v>1176</v>
      </c>
      <c r="T38" s="338" t="s">
        <v>2041</v>
      </c>
    </row>
    <row r="39" spans="1:20" ht="20.100000000000001" customHeight="1">
      <c r="A39" s="1169" t="s">
        <v>2955</v>
      </c>
      <c r="B39" s="1171" t="s">
        <v>2575</v>
      </c>
      <c r="C39" s="1169" t="s">
        <v>2575</v>
      </c>
      <c r="D39" s="525">
        <v>120</v>
      </c>
      <c r="E39" s="525">
        <v>240</v>
      </c>
      <c r="F39" s="525">
        <v>240</v>
      </c>
      <c r="G39" s="224" t="s">
        <v>147</v>
      </c>
      <c r="H39" s="56" t="s">
        <v>706</v>
      </c>
      <c r="I39" s="542" t="s">
        <v>17</v>
      </c>
      <c r="J39" s="542" t="s">
        <v>1094</v>
      </c>
      <c r="K39" s="542">
        <v>3</v>
      </c>
      <c r="L39" s="542" t="s">
        <v>639</v>
      </c>
      <c r="M39" s="547">
        <v>43045</v>
      </c>
      <c r="N39" s="547">
        <v>43079</v>
      </c>
      <c r="O39" s="544" t="s">
        <v>955</v>
      </c>
      <c r="P39" s="545" t="s">
        <v>590</v>
      </c>
      <c r="Q39" s="52"/>
      <c r="R39" s="561" t="s">
        <v>259</v>
      </c>
      <c r="S39" s="325"/>
      <c r="T39" s="338" t="s">
        <v>1988</v>
      </c>
    </row>
    <row r="40" spans="1:20" ht="20.100000000000001" customHeight="1">
      <c r="A40" s="1169" t="s">
        <v>2955</v>
      </c>
      <c r="B40" s="1171" t="s">
        <v>2575</v>
      </c>
      <c r="C40" s="1169" t="s">
        <v>2575</v>
      </c>
      <c r="D40" s="525">
        <v>125</v>
      </c>
      <c r="E40" s="525">
        <v>250</v>
      </c>
      <c r="F40" s="525">
        <v>250</v>
      </c>
      <c r="G40" s="224" t="s">
        <v>814</v>
      </c>
      <c r="H40" s="56" t="s">
        <v>706</v>
      </c>
      <c r="I40" s="542" t="s">
        <v>17</v>
      </c>
      <c r="J40" s="542" t="s">
        <v>1094</v>
      </c>
      <c r="K40" s="542">
        <v>3</v>
      </c>
      <c r="L40" s="542" t="s">
        <v>639</v>
      </c>
      <c r="M40" s="547">
        <v>43038</v>
      </c>
      <c r="N40" s="547">
        <v>43086</v>
      </c>
      <c r="O40" s="544" t="s">
        <v>955</v>
      </c>
      <c r="P40" s="545" t="s">
        <v>589</v>
      </c>
      <c r="Q40" s="52"/>
      <c r="R40" s="546" t="s">
        <v>259</v>
      </c>
      <c r="S40" s="319" t="s">
        <v>1176</v>
      </c>
      <c r="T40" s="338" t="s">
        <v>1993</v>
      </c>
    </row>
    <row r="41" spans="1:20" ht="20.100000000000001" customHeight="1">
      <c r="A41" s="1169" t="s">
        <v>2955</v>
      </c>
      <c r="B41" s="1171" t="s">
        <v>2575</v>
      </c>
      <c r="C41" s="1169" t="s">
        <v>2575</v>
      </c>
      <c r="D41" s="525">
        <v>95</v>
      </c>
      <c r="E41" s="525">
        <v>190</v>
      </c>
      <c r="F41" s="525">
        <v>190</v>
      </c>
      <c r="G41" s="56" t="s">
        <v>432</v>
      </c>
      <c r="H41" s="56" t="s">
        <v>706</v>
      </c>
      <c r="I41" s="542" t="s">
        <v>17</v>
      </c>
      <c r="J41" s="542" t="s">
        <v>1094</v>
      </c>
      <c r="K41" s="542">
        <v>3</v>
      </c>
      <c r="L41" s="542" t="s">
        <v>639</v>
      </c>
      <c r="M41" s="549">
        <v>43057</v>
      </c>
      <c r="N41" s="549">
        <v>43086</v>
      </c>
      <c r="O41" s="544" t="s">
        <v>955</v>
      </c>
      <c r="P41" s="545" t="s">
        <v>590</v>
      </c>
      <c r="Q41" s="52"/>
      <c r="R41" s="556" t="s">
        <v>259</v>
      </c>
      <c r="S41" s="704" t="s">
        <v>1176</v>
      </c>
      <c r="T41" s="338" t="s">
        <v>2041</v>
      </c>
    </row>
    <row r="42" spans="1:20" ht="20.100000000000001" customHeight="1">
      <c r="A42" s="1169" t="s">
        <v>2955</v>
      </c>
      <c r="B42" s="1171" t="s">
        <v>2575</v>
      </c>
      <c r="C42" s="1169" t="s">
        <v>2575</v>
      </c>
      <c r="D42" s="525">
        <v>120</v>
      </c>
      <c r="E42" s="525">
        <v>240</v>
      </c>
      <c r="F42" s="525">
        <v>240</v>
      </c>
      <c r="G42" s="47" t="s">
        <v>148</v>
      </c>
      <c r="H42" s="36">
        <v>7</v>
      </c>
      <c r="I42" s="542" t="s">
        <v>17</v>
      </c>
      <c r="J42" s="542"/>
      <c r="K42" s="554">
        <v>3</v>
      </c>
      <c r="L42" s="542" t="s">
        <v>639</v>
      </c>
      <c r="M42" s="551">
        <v>43040</v>
      </c>
      <c r="N42" s="551">
        <v>43086</v>
      </c>
      <c r="O42" s="544" t="s">
        <v>955</v>
      </c>
      <c r="P42" s="545" t="s">
        <v>589</v>
      </c>
      <c r="Q42" s="7"/>
      <c r="R42" s="546" t="s">
        <v>1533</v>
      </c>
      <c r="S42" s="319"/>
      <c r="T42" s="338" t="s">
        <v>1988</v>
      </c>
    </row>
    <row r="43" spans="1:20" ht="20.100000000000001" customHeight="1">
      <c r="A43" s="1169" t="s">
        <v>2955</v>
      </c>
      <c r="B43" s="1171" t="s">
        <v>2575</v>
      </c>
      <c r="C43" s="1169" t="s">
        <v>2575</v>
      </c>
      <c r="D43" s="525">
        <v>90</v>
      </c>
      <c r="E43" s="525">
        <v>180</v>
      </c>
      <c r="F43" s="525">
        <v>180</v>
      </c>
      <c r="G43" s="56" t="s">
        <v>36</v>
      </c>
      <c r="H43" s="36">
        <v>7</v>
      </c>
      <c r="I43" s="542" t="s">
        <v>17</v>
      </c>
      <c r="J43" s="542"/>
      <c r="K43" s="554" t="s">
        <v>659</v>
      </c>
      <c r="L43" s="542" t="s">
        <v>649</v>
      </c>
      <c r="M43" s="551">
        <v>43058</v>
      </c>
      <c r="N43" s="551">
        <v>43084</v>
      </c>
      <c r="O43" s="544" t="s">
        <v>955</v>
      </c>
      <c r="P43" s="545" t="s">
        <v>589</v>
      </c>
      <c r="Q43" s="60"/>
      <c r="R43" s="546" t="s">
        <v>315</v>
      </c>
      <c r="S43" s="319"/>
      <c r="T43" s="317">
        <v>14</v>
      </c>
    </row>
    <row r="44" spans="1:20" ht="20.100000000000001" customHeight="1">
      <c r="A44" s="1169" t="s">
        <v>2955</v>
      </c>
      <c r="B44" s="1172" t="s">
        <v>2575</v>
      </c>
      <c r="C44" s="1169" t="s">
        <v>2575</v>
      </c>
      <c r="D44" s="525">
        <v>60</v>
      </c>
      <c r="E44" s="525">
        <v>120</v>
      </c>
      <c r="F44" s="525">
        <v>120</v>
      </c>
      <c r="G44" s="36" t="s">
        <v>33</v>
      </c>
      <c r="H44" s="36" t="s">
        <v>706</v>
      </c>
      <c r="I44" s="542" t="s">
        <v>17</v>
      </c>
      <c r="J44" s="542"/>
      <c r="K44" s="554" t="s">
        <v>721</v>
      </c>
      <c r="L44" s="557" t="s">
        <v>643</v>
      </c>
      <c r="M44" s="549">
        <v>43040</v>
      </c>
      <c r="N44" s="549">
        <v>43079</v>
      </c>
      <c r="O44" s="544" t="s">
        <v>955</v>
      </c>
      <c r="P44" s="545" t="s">
        <v>589</v>
      </c>
      <c r="Q44" s="52"/>
      <c r="R44" s="561" t="s">
        <v>347</v>
      </c>
      <c r="S44" s="315" t="s">
        <v>2850</v>
      </c>
      <c r="T44" s="338" t="s">
        <v>2040</v>
      </c>
    </row>
    <row r="45" spans="1:20" ht="20.100000000000001" customHeight="1">
      <c r="A45" s="1127" t="s">
        <v>2956</v>
      </c>
      <c r="B45" s="1169" t="s">
        <v>155</v>
      </c>
      <c r="C45" s="1169" t="s">
        <v>155</v>
      </c>
      <c r="D45" s="273">
        <v>700</v>
      </c>
      <c r="E45" s="273">
        <v>1100</v>
      </c>
      <c r="F45" s="273">
        <v>1100</v>
      </c>
      <c r="G45" s="56" t="s">
        <v>29</v>
      </c>
      <c r="H45" s="48" t="s">
        <v>152</v>
      </c>
      <c r="I45" s="554" t="s">
        <v>80</v>
      </c>
      <c r="J45" s="557"/>
      <c r="K45" s="557" t="s">
        <v>681</v>
      </c>
      <c r="L45" s="557" t="s">
        <v>637</v>
      </c>
      <c r="M45" s="547">
        <v>43038</v>
      </c>
      <c r="N45" s="547">
        <v>43072</v>
      </c>
      <c r="O45" s="544" t="s">
        <v>955</v>
      </c>
      <c r="P45" s="545"/>
      <c r="Q45" s="53"/>
      <c r="R45" s="546" t="s">
        <v>741</v>
      </c>
      <c r="S45" s="319" t="s">
        <v>1176</v>
      </c>
      <c r="T45" s="338" t="s">
        <v>1988</v>
      </c>
    </row>
    <row r="46" spans="1:20" ht="20.100000000000001" customHeight="1">
      <c r="A46" s="1127" t="s">
        <v>2956</v>
      </c>
      <c r="B46" s="1169" t="s">
        <v>155</v>
      </c>
      <c r="C46" s="1169" t="s">
        <v>155</v>
      </c>
      <c r="D46" s="526">
        <v>1000</v>
      </c>
      <c r="E46" s="526">
        <v>1900</v>
      </c>
      <c r="F46" s="526">
        <v>1900</v>
      </c>
      <c r="G46" s="18" t="s">
        <v>148</v>
      </c>
      <c r="H46" s="18" t="s">
        <v>646</v>
      </c>
      <c r="I46" s="557" t="s">
        <v>80</v>
      </c>
      <c r="J46" s="557"/>
      <c r="K46" s="557">
        <v>5</v>
      </c>
      <c r="L46" s="542" t="s">
        <v>639</v>
      </c>
      <c r="M46" s="551">
        <v>43040</v>
      </c>
      <c r="N46" s="551">
        <v>43086</v>
      </c>
      <c r="O46" s="544" t="s">
        <v>955</v>
      </c>
      <c r="P46" s="553"/>
      <c r="Q46" s="61"/>
      <c r="R46" s="546" t="s">
        <v>1546</v>
      </c>
      <c r="S46" s="319"/>
      <c r="T46" s="317" t="s">
        <v>1988</v>
      </c>
    </row>
    <row r="47" spans="1:20" ht="20.100000000000001" customHeight="1">
      <c r="A47" s="1127" t="s">
        <v>2956</v>
      </c>
      <c r="B47" s="1169" t="s">
        <v>155</v>
      </c>
      <c r="C47" s="1169" t="s">
        <v>155</v>
      </c>
      <c r="D47" s="526">
        <v>650</v>
      </c>
      <c r="E47" s="526">
        <v>1000</v>
      </c>
      <c r="F47" s="526">
        <v>1000</v>
      </c>
      <c r="G47" s="227" t="s">
        <v>147</v>
      </c>
      <c r="H47" s="18" t="s">
        <v>654</v>
      </c>
      <c r="I47" s="557" t="s">
        <v>80</v>
      </c>
      <c r="J47" s="557"/>
      <c r="K47" s="557" t="s">
        <v>681</v>
      </c>
      <c r="L47" s="542" t="s">
        <v>639</v>
      </c>
      <c r="M47" s="547">
        <v>43045</v>
      </c>
      <c r="N47" s="547">
        <v>43079</v>
      </c>
      <c r="O47" s="544" t="s">
        <v>955</v>
      </c>
      <c r="P47" s="553"/>
      <c r="Q47" s="61"/>
      <c r="R47" s="546" t="s">
        <v>1517</v>
      </c>
      <c r="S47" s="319"/>
      <c r="T47" s="317"/>
    </row>
    <row r="48" spans="1:20" ht="20.100000000000001" customHeight="1">
      <c r="A48" s="1169" t="s">
        <v>2957</v>
      </c>
      <c r="B48" s="1169" t="s">
        <v>350</v>
      </c>
      <c r="C48" s="1169" t="s">
        <v>4066</v>
      </c>
      <c r="D48" s="320">
        <v>115</v>
      </c>
      <c r="E48" s="320">
        <v>230</v>
      </c>
      <c r="F48" s="320">
        <v>230</v>
      </c>
      <c r="G48" s="224" t="s">
        <v>51</v>
      </c>
      <c r="H48" s="18" t="s">
        <v>729</v>
      </c>
      <c r="I48" s="557" t="s">
        <v>17</v>
      </c>
      <c r="J48" s="557" t="s">
        <v>351</v>
      </c>
      <c r="K48" s="557" t="s">
        <v>746</v>
      </c>
      <c r="L48" s="542" t="s">
        <v>639</v>
      </c>
      <c r="M48" s="381">
        <v>43084</v>
      </c>
      <c r="N48" s="381">
        <v>43088</v>
      </c>
      <c r="O48" s="544" t="s">
        <v>955</v>
      </c>
      <c r="P48" s="553"/>
      <c r="Q48" s="7"/>
      <c r="R48" s="546" t="s">
        <v>1908</v>
      </c>
      <c r="S48" s="319"/>
      <c r="T48" s="317">
        <v>12</v>
      </c>
    </row>
    <row r="49" spans="1:20" ht="20.100000000000001" customHeight="1">
      <c r="A49" s="1169" t="s">
        <v>2957</v>
      </c>
      <c r="B49" s="1169" t="s">
        <v>350</v>
      </c>
      <c r="C49" s="1169" t="s">
        <v>4066</v>
      </c>
      <c r="D49" s="885">
        <v>250</v>
      </c>
      <c r="E49" s="885">
        <v>500</v>
      </c>
      <c r="F49" s="885">
        <v>500</v>
      </c>
      <c r="G49" s="628" t="s">
        <v>1659</v>
      </c>
      <c r="H49" s="22" t="s">
        <v>729</v>
      </c>
      <c r="I49" s="557" t="s">
        <v>17</v>
      </c>
      <c r="J49" s="557" t="s">
        <v>351</v>
      </c>
      <c r="K49" s="557" t="s">
        <v>706</v>
      </c>
      <c r="L49" s="557" t="s">
        <v>2296</v>
      </c>
      <c r="M49" s="547">
        <v>43087</v>
      </c>
      <c r="N49" s="547">
        <v>43090</v>
      </c>
      <c r="O49" s="544" t="s">
        <v>955</v>
      </c>
      <c r="P49" s="545" t="s">
        <v>1677</v>
      </c>
      <c r="Q49" s="744"/>
      <c r="R49" s="546" t="s">
        <v>2355</v>
      </c>
      <c r="S49" s="325" t="s">
        <v>1176</v>
      </c>
      <c r="T49" s="338" t="s">
        <v>1678</v>
      </c>
    </row>
    <row r="50" spans="1:20" ht="20.100000000000001" customHeight="1">
      <c r="A50" s="1169" t="s">
        <v>2957</v>
      </c>
      <c r="B50" s="1169" t="s">
        <v>350</v>
      </c>
      <c r="C50" s="1169" t="s">
        <v>4066</v>
      </c>
      <c r="D50" s="526">
        <v>180</v>
      </c>
      <c r="E50" s="526">
        <v>360</v>
      </c>
      <c r="F50" s="526">
        <v>360</v>
      </c>
      <c r="G50" s="18" t="s">
        <v>232</v>
      </c>
      <c r="H50" s="18" t="s">
        <v>742</v>
      </c>
      <c r="I50" s="557" t="s">
        <v>17</v>
      </c>
      <c r="J50" s="557" t="s">
        <v>351</v>
      </c>
      <c r="K50" s="557" t="s">
        <v>681</v>
      </c>
      <c r="L50" s="557" t="s">
        <v>639</v>
      </c>
      <c r="M50" s="551">
        <v>43046</v>
      </c>
      <c r="N50" s="551">
        <v>43086</v>
      </c>
      <c r="O50" s="544" t="s">
        <v>955</v>
      </c>
      <c r="P50" s="545" t="s">
        <v>585</v>
      </c>
      <c r="Q50" s="52"/>
      <c r="R50" s="546" t="s">
        <v>1353</v>
      </c>
      <c r="S50" s="319"/>
      <c r="T50" s="317" t="s">
        <v>1678</v>
      </c>
    </row>
    <row r="51" spans="1:20" ht="20.100000000000001" customHeight="1">
      <c r="A51" s="1169" t="s">
        <v>2957</v>
      </c>
      <c r="B51" s="1169" t="s">
        <v>350</v>
      </c>
      <c r="C51" s="1169" t="s">
        <v>4066</v>
      </c>
      <c r="D51" s="32">
        <v>175</v>
      </c>
      <c r="E51" s="32">
        <v>350</v>
      </c>
      <c r="F51" s="32">
        <v>350</v>
      </c>
      <c r="G51" s="224" t="s">
        <v>434</v>
      </c>
      <c r="H51" s="18" t="s">
        <v>742</v>
      </c>
      <c r="I51" s="557" t="s">
        <v>17</v>
      </c>
      <c r="J51" s="557" t="s">
        <v>351</v>
      </c>
      <c r="K51" s="557" t="s">
        <v>681</v>
      </c>
      <c r="L51" s="557" t="s">
        <v>639</v>
      </c>
      <c r="M51" s="549">
        <v>43080</v>
      </c>
      <c r="N51" s="549">
        <v>43093</v>
      </c>
      <c r="O51" s="544" t="s">
        <v>955</v>
      </c>
      <c r="P51" s="553" t="s">
        <v>893</v>
      </c>
      <c r="Q51" s="52"/>
      <c r="R51" s="546" t="s">
        <v>1353</v>
      </c>
      <c r="S51" s="321" t="s">
        <v>1176</v>
      </c>
      <c r="T51" s="317" t="s">
        <v>2824</v>
      </c>
    </row>
    <row r="52" spans="1:20" ht="20.100000000000001" customHeight="1">
      <c r="A52" s="1169" t="s">
        <v>2957</v>
      </c>
      <c r="B52" s="1169" t="s">
        <v>350</v>
      </c>
      <c r="C52" s="1169" t="s">
        <v>4066</v>
      </c>
      <c r="D52" s="885">
        <v>230</v>
      </c>
      <c r="E52" s="885">
        <v>460</v>
      </c>
      <c r="F52" s="885">
        <v>460</v>
      </c>
      <c r="G52" s="18" t="s">
        <v>87</v>
      </c>
      <c r="H52" s="18" t="s">
        <v>742</v>
      </c>
      <c r="I52" s="557" t="s">
        <v>17</v>
      </c>
      <c r="J52" s="557" t="s">
        <v>351</v>
      </c>
      <c r="K52" s="557" t="s">
        <v>681</v>
      </c>
      <c r="L52" s="557" t="s">
        <v>639</v>
      </c>
      <c r="M52" s="551">
        <v>43089</v>
      </c>
      <c r="N52" s="551">
        <v>43095</v>
      </c>
      <c r="O52" s="544" t="s">
        <v>955</v>
      </c>
      <c r="P52" s="553" t="s">
        <v>586</v>
      </c>
      <c r="Q52" s="52"/>
      <c r="R52" s="546" t="s">
        <v>1353</v>
      </c>
      <c r="S52" s="315" t="s">
        <v>2849</v>
      </c>
      <c r="T52" s="317" t="s">
        <v>1678</v>
      </c>
    </row>
    <row r="53" spans="1:20" ht="20.100000000000001" customHeight="1">
      <c r="A53" s="1169" t="s">
        <v>2957</v>
      </c>
      <c r="B53" s="1169" t="s">
        <v>350</v>
      </c>
      <c r="C53" s="1169" t="s">
        <v>4066</v>
      </c>
      <c r="D53" s="525">
        <v>190</v>
      </c>
      <c r="E53" s="525">
        <v>380</v>
      </c>
      <c r="F53" s="525">
        <v>380</v>
      </c>
      <c r="G53" s="18" t="s">
        <v>432</v>
      </c>
      <c r="H53" s="18" t="s">
        <v>742</v>
      </c>
      <c r="I53" s="557" t="s">
        <v>17</v>
      </c>
      <c r="J53" s="557" t="s">
        <v>351</v>
      </c>
      <c r="K53" s="557" t="s">
        <v>681</v>
      </c>
      <c r="L53" s="557" t="s">
        <v>639</v>
      </c>
      <c r="M53" s="549">
        <v>43067</v>
      </c>
      <c r="N53" s="547">
        <v>43082</v>
      </c>
      <c r="O53" s="544" t="s">
        <v>955</v>
      </c>
      <c r="P53" s="553"/>
      <c r="Q53" s="52"/>
      <c r="R53" s="546" t="s">
        <v>1353</v>
      </c>
      <c r="S53" s="704" t="s">
        <v>1176</v>
      </c>
      <c r="T53" s="317" t="s">
        <v>2039</v>
      </c>
    </row>
    <row r="54" spans="1:20" ht="20.100000000000001" customHeight="1">
      <c r="A54" s="1169" t="s">
        <v>2957</v>
      </c>
      <c r="B54" s="1169" t="s">
        <v>350</v>
      </c>
      <c r="C54" s="1169" t="s">
        <v>4066</v>
      </c>
      <c r="D54" s="525">
        <v>155</v>
      </c>
      <c r="E54" s="525">
        <v>310</v>
      </c>
      <c r="F54" s="525">
        <v>310</v>
      </c>
      <c r="G54" s="18" t="s">
        <v>5439</v>
      </c>
      <c r="H54" s="48">
        <v>2</v>
      </c>
      <c r="I54" s="557" t="s">
        <v>17</v>
      </c>
      <c r="J54" s="558" t="s">
        <v>351</v>
      </c>
      <c r="K54" s="564">
        <v>7</v>
      </c>
      <c r="L54" s="542" t="s">
        <v>649</v>
      </c>
      <c r="M54" s="547">
        <v>43081</v>
      </c>
      <c r="N54" s="547">
        <v>43086</v>
      </c>
      <c r="O54" s="25" t="s">
        <v>4068</v>
      </c>
      <c r="P54" s="755" t="s">
        <v>4078</v>
      </c>
      <c r="Q54" s="52"/>
      <c r="R54" s="546" t="s">
        <v>199</v>
      </c>
      <c r="S54" s="704" t="s">
        <v>1176</v>
      </c>
      <c r="T54" s="317" t="s">
        <v>3883</v>
      </c>
    </row>
    <row r="55" spans="1:20" ht="20.100000000000001" customHeight="1">
      <c r="A55" s="1169" t="s">
        <v>2957</v>
      </c>
      <c r="B55" s="1169" t="s">
        <v>350</v>
      </c>
      <c r="C55" s="1169" t="s">
        <v>4066</v>
      </c>
      <c r="D55" s="32">
        <v>175</v>
      </c>
      <c r="E55" s="32">
        <v>350</v>
      </c>
      <c r="F55" s="32">
        <v>350</v>
      </c>
      <c r="G55" s="628" t="s">
        <v>231</v>
      </c>
      <c r="H55" s="48">
        <v>2</v>
      </c>
      <c r="I55" s="557" t="s">
        <v>17</v>
      </c>
      <c r="J55" s="558" t="s">
        <v>351</v>
      </c>
      <c r="K55" s="564">
        <v>7</v>
      </c>
      <c r="L55" s="542" t="s">
        <v>649</v>
      </c>
      <c r="M55" s="547">
        <v>43074</v>
      </c>
      <c r="N55" s="547">
        <v>43087</v>
      </c>
      <c r="O55" s="544" t="s">
        <v>955</v>
      </c>
      <c r="P55" s="565"/>
      <c r="Q55" s="7"/>
      <c r="R55" s="546" t="s">
        <v>199</v>
      </c>
      <c r="S55" s="319"/>
      <c r="T55" s="338" t="s">
        <v>1992</v>
      </c>
    </row>
    <row r="56" spans="1:20" ht="20.100000000000001" customHeight="1">
      <c r="A56" s="1169" t="s">
        <v>2957</v>
      </c>
      <c r="B56" s="1169" t="s">
        <v>350</v>
      </c>
      <c r="C56" s="1169" t="s">
        <v>4066</v>
      </c>
      <c r="D56" s="525">
        <v>170</v>
      </c>
      <c r="E56" s="525">
        <v>340</v>
      </c>
      <c r="F56" s="525">
        <v>340</v>
      </c>
      <c r="G56" s="70" t="s">
        <v>29</v>
      </c>
      <c r="H56" s="48">
        <v>2</v>
      </c>
      <c r="I56" s="557" t="s">
        <v>17</v>
      </c>
      <c r="J56" s="558" t="s">
        <v>351</v>
      </c>
      <c r="K56" s="564">
        <v>7</v>
      </c>
      <c r="L56" s="542" t="s">
        <v>649</v>
      </c>
      <c r="M56" s="547">
        <v>43059</v>
      </c>
      <c r="N56" s="547">
        <v>43072</v>
      </c>
      <c r="O56" s="544" t="s">
        <v>955</v>
      </c>
      <c r="P56" s="544"/>
      <c r="Q56" s="7"/>
      <c r="R56" s="546" t="s">
        <v>199</v>
      </c>
      <c r="S56" s="319" t="s">
        <v>1176</v>
      </c>
      <c r="T56" s="338" t="s">
        <v>1988</v>
      </c>
    </row>
    <row r="57" spans="1:20" ht="20.100000000000001" customHeight="1">
      <c r="A57" s="1169" t="s">
        <v>2957</v>
      </c>
      <c r="B57" s="1169" t="s">
        <v>350</v>
      </c>
      <c r="C57" s="1169" t="s">
        <v>4066</v>
      </c>
      <c r="D57" s="525">
        <v>175</v>
      </c>
      <c r="E57" s="525">
        <v>350</v>
      </c>
      <c r="F57" s="525">
        <v>350</v>
      </c>
      <c r="G57" s="224" t="s">
        <v>814</v>
      </c>
      <c r="H57" s="48">
        <v>2</v>
      </c>
      <c r="I57" s="566" t="s">
        <v>17</v>
      </c>
      <c r="J57" s="566" t="s">
        <v>351</v>
      </c>
      <c r="K57" s="564">
        <v>7</v>
      </c>
      <c r="L57" s="542" t="s">
        <v>649</v>
      </c>
      <c r="M57" s="547">
        <v>43074</v>
      </c>
      <c r="N57" s="547">
        <v>43086</v>
      </c>
      <c r="O57" s="544" t="s">
        <v>955</v>
      </c>
      <c r="P57" s="545" t="s">
        <v>589</v>
      </c>
      <c r="Q57" s="7" t="s">
        <v>4319</v>
      </c>
      <c r="R57" s="546" t="s">
        <v>199</v>
      </c>
      <c r="S57" s="319" t="s">
        <v>1176</v>
      </c>
      <c r="T57" s="317" t="s">
        <v>2872</v>
      </c>
    </row>
    <row r="58" spans="1:20" ht="20.100000000000001" customHeight="1">
      <c r="A58" s="1169" t="s">
        <v>2957</v>
      </c>
      <c r="B58" s="1169" t="s">
        <v>350</v>
      </c>
      <c r="C58" s="1169" t="s">
        <v>4066</v>
      </c>
      <c r="D58" s="525"/>
      <c r="E58" s="525"/>
      <c r="F58" s="525"/>
      <c r="G58" s="36" t="s">
        <v>2397</v>
      </c>
      <c r="H58" s="48" t="s">
        <v>721</v>
      </c>
      <c r="I58" s="566" t="s">
        <v>17</v>
      </c>
      <c r="J58" s="566" t="s">
        <v>351</v>
      </c>
      <c r="K58" s="564" t="s">
        <v>2401</v>
      </c>
      <c r="L58" s="542" t="s">
        <v>2399</v>
      </c>
      <c r="M58" s="542"/>
      <c r="N58" s="547">
        <v>43022</v>
      </c>
      <c r="O58" s="544" t="s">
        <v>955</v>
      </c>
      <c r="P58" s="545"/>
      <c r="Q58" s="7"/>
      <c r="R58" s="546"/>
      <c r="S58" s="319"/>
      <c r="T58" s="317"/>
    </row>
    <row r="59" spans="1:20" ht="20.100000000000001" customHeight="1">
      <c r="A59" s="1169" t="s">
        <v>2957</v>
      </c>
      <c r="B59" s="1169" t="s">
        <v>350</v>
      </c>
      <c r="C59" s="1169" t="s">
        <v>4066</v>
      </c>
      <c r="D59" s="526">
        <v>180</v>
      </c>
      <c r="E59" s="526">
        <v>360</v>
      </c>
      <c r="F59" s="526">
        <v>360</v>
      </c>
      <c r="G59" s="36" t="s">
        <v>232</v>
      </c>
      <c r="H59" s="48">
        <v>3</v>
      </c>
      <c r="I59" s="558" t="s">
        <v>17</v>
      </c>
      <c r="J59" s="558" t="s">
        <v>351</v>
      </c>
      <c r="K59" s="567">
        <v>4</v>
      </c>
      <c r="L59" s="559" t="s">
        <v>639</v>
      </c>
      <c r="M59" s="551">
        <v>43046</v>
      </c>
      <c r="N59" s="551">
        <v>43086</v>
      </c>
      <c r="O59" s="544" t="s">
        <v>955</v>
      </c>
      <c r="P59" s="545" t="s">
        <v>585</v>
      </c>
      <c r="Q59" s="52"/>
      <c r="R59" s="546" t="s">
        <v>165</v>
      </c>
      <c r="S59" s="319"/>
      <c r="T59" s="317" t="s">
        <v>1678</v>
      </c>
    </row>
    <row r="60" spans="1:20" ht="20.100000000000001" customHeight="1">
      <c r="A60" s="1169" t="s">
        <v>2957</v>
      </c>
      <c r="B60" s="1169" t="s">
        <v>350</v>
      </c>
      <c r="C60" s="1169" t="s">
        <v>4066</v>
      </c>
      <c r="D60" s="885">
        <v>230</v>
      </c>
      <c r="E60" s="885">
        <v>460</v>
      </c>
      <c r="F60" s="885">
        <v>460</v>
      </c>
      <c r="G60" s="48" t="s">
        <v>87</v>
      </c>
      <c r="H60" s="48">
        <v>3</v>
      </c>
      <c r="I60" s="558" t="s">
        <v>17</v>
      </c>
      <c r="J60" s="558" t="s">
        <v>351</v>
      </c>
      <c r="K60" s="567">
        <v>4</v>
      </c>
      <c r="L60" s="559" t="s">
        <v>639</v>
      </c>
      <c r="M60" s="551">
        <v>43089</v>
      </c>
      <c r="N60" s="551">
        <v>43095</v>
      </c>
      <c r="O60" s="544" t="s">
        <v>955</v>
      </c>
      <c r="P60" s="553" t="s">
        <v>586</v>
      </c>
      <c r="Q60" s="52"/>
      <c r="R60" s="555" t="s">
        <v>165</v>
      </c>
      <c r="S60" s="315" t="s">
        <v>2849</v>
      </c>
      <c r="T60" s="317" t="s">
        <v>1678</v>
      </c>
    </row>
    <row r="61" spans="1:20" ht="20.100000000000001" customHeight="1">
      <c r="A61" s="1169" t="s">
        <v>2957</v>
      </c>
      <c r="B61" s="1169" t="s">
        <v>350</v>
      </c>
      <c r="C61" s="1169" t="s">
        <v>4066</v>
      </c>
      <c r="D61" s="526">
        <v>180</v>
      </c>
      <c r="E61" s="526">
        <v>360</v>
      </c>
      <c r="F61" s="526">
        <v>360</v>
      </c>
      <c r="G61" s="64" t="s">
        <v>278</v>
      </c>
      <c r="H61" s="48">
        <v>3</v>
      </c>
      <c r="I61" s="558" t="s">
        <v>17</v>
      </c>
      <c r="J61" s="558" t="s">
        <v>351</v>
      </c>
      <c r="K61" s="567">
        <v>4</v>
      </c>
      <c r="L61" s="559" t="s">
        <v>639</v>
      </c>
      <c r="M61" s="391">
        <v>43052</v>
      </c>
      <c r="N61" s="391">
        <v>43093</v>
      </c>
      <c r="O61" s="544" t="s">
        <v>955</v>
      </c>
      <c r="P61" s="553" t="s">
        <v>782</v>
      </c>
      <c r="Q61" s="52"/>
      <c r="R61" s="555" t="s">
        <v>165</v>
      </c>
      <c r="S61" s="321"/>
      <c r="T61" s="338" t="s">
        <v>1678</v>
      </c>
    </row>
    <row r="62" spans="1:20" ht="20.100000000000001" customHeight="1">
      <c r="A62" s="1169" t="s">
        <v>2957</v>
      </c>
      <c r="B62" s="1169" t="s">
        <v>350</v>
      </c>
      <c r="C62" s="1169" t="s">
        <v>4066</v>
      </c>
      <c r="D62" s="525">
        <v>260</v>
      </c>
      <c r="E62" s="525">
        <v>520</v>
      </c>
      <c r="F62" s="525">
        <v>520</v>
      </c>
      <c r="G62" s="64" t="s">
        <v>432</v>
      </c>
      <c r="H62" s="48">
        <v>3</v>
      </c>
      <c r="I62" s="558" t="s">
        <v>17</v>
      </c>
      <c r="J62" s="558" t="s">
        <v>351</v>
      </c>
      <c r="K62" s="567">
        <v>4</v>
      </c>
      <c r="L62" s="559" t="s">
        <v>639</v>
      </c>
      <c r="M62" s="549">
        <v>43089</v>
      </c>
      <c r="N62" s="549">
        <v>43091</v>
      </c>
      <c r="O62" s="544" t="s">
        <v>955</v>
      </c>
      <c r="P62" s="553"/>
      <c r="Q62" s="52"/>
      <c r="R62" s="555" t="s">
        <v>165</v>
      </c>
      <c r="S62" s="704" t="s">
        <v>1176</v>
      </c>
      <c r="T62" s="317" t="s">
        <v>2039</v>
      </c>
    </row>
    <row r="63" spans="1:20" ht="20.100000000000001" customHeight="1">
      <c r="A63" s="1169" t="s">
        <v>2957</v>
      </c>
      <c r="B63" s="1169" t="s">
        <v>350</v>
      </c>
      <c r="C63" s="1169" t="s">
        <v>4085</v>
      </c>
      <c r="D63" s="525"/>
      <c r="E63" s="525"/>
      <c r="F63" s="525"/>
      <c r="G63" s="224" t="s">
        <v>76</v>
      </c>
      <c r="H63" s="48">
        <v>3</v>
      </c>
      <c r="I63" s="566" t="s">
        <v>17</v>
      </c>
      <c r="J63" s="566" t="s">
        <v>351</v>
      </c>
      <c r="K63" s="564">
        <v>7</v>
      </c>
      <c r="L63" s="542" t="s">
        <v>649</v>
      </c>
      <c r="M63" s="6">
        <v>43059</v>
      </c>
      <c r="N63" s="6">
        <v>43093</v>
      </c>
      <c r="O63" s="544" t="s">
        <v>955</v>
      </c>
      <c r="P63" s="562" t="s">
        <v>782</v>
      </c>
      <c r="Q63" s="7"/>
      <c r="R63" s="546"/>
      <c r="S63" s="315" t="s">
        <v>2851</v>
      </c>
      <c r="T63" s="338" t="s">
        <v>2372</v>
      </c>
    </row>
    <row r="64" spans="1:20" ht="20.100000000000001" customHeight="1">
      <c r="A64" s="1169" t="s">
        <v>2957</v>
      </c>
      <c r="B64" s="1169" t="s">
        <v>350</v>
      </c>
      <c r="C64" s="1169" t="s">
        <v>4085</v>
      </c>
      <c r="D64" s="525">
        <v>175</v>
      </c>
      <c r="E64" s="525">
        <v>350</v>
      </c>
      <c r="F64" s="525">
        <v>350</v>
      </c>
      <c r="G64" s="224" t="s">
        <v>814</v>
      </c>
      <c r="H64" s="48">
        <v>3</v>
      </c>
      <c r="I64" s="566" t="s">
        <v>17</v>
      </c>
      <c r="J64" s="566" t="s">
        <v>351</v>
      </c>
      <c r="K64" s="564">
        <v>7</v>
      </c>
      <c r="L64" s="542" t="s">
        <v>649</v>
      </c>
      <c r="M64" s="547">
        <v>43075</v>
      </c>
      <c r="N64" s="547">
        <v>43086</v>
      </c>
      <c r="O64" s="544" t="s">
        <v>955</v>
      </c>
      <c r="P64" s="545" t="s">
        <v>589</v>
      </c>
      <c r="Q64" s="52"/>
      <c r="R64" s="546" t="s">
        <v>193</v>
      </c>
      <c r="S64" s="319" t="s">
        <v>1176</v>
      </c>
      <c r="T64" s="317" t="s">
        <v>2872</v>
      </c>
    </row>
    <row r="65" spans="1:20" ht="20.100000000000001" customHeight="1">
      <c r="A65" s="1169" t="s">
        <v>2957</v>
      </c>
      <c r="B65" s="1169" t="s">
        <v>350</v>
      </c>
      <c r="C65" s="1169" t="s">
        <v>4085</v>
      </c>
      <c r="D65" s="32">
        <v>175</v>
      </c>
      <c r="E65" s="32">
        <v>350</v>
      </c>
      <c r="F65" s="32">
        <v>350</v>
      </c>
      <c r="G65" s="224" t="s">
        <v>434</v>
      </c>
      <c r="H65" s="48">
        <v>3</v>
      </c>
      <c r="I65" s="558" t="s">
        <v>17</v>
      </c>
      <c r="J65" s="558" t="s">
        <v>351</v>
      </c>
      <c r="K65" s="564">
        <v>7</v>
      </c>
      <c r="L65" s="542" t="s">
        <v>649</v>
      </c>
      <c r="M65" s="549">
        <v>43080</v>
      </c>
      <c r="N65" s="549">
        <v>43093</v>
      </c>
      <c r="O65" s="544" t="s">
        <v>955</v>
      </c>
      <c r="P65" s="553" t="s">
        <v>893</v>
      </c>
      <c r="Q65" s="52"/>
      <c r="R65" s="546" t="s">
        <v>193</v>
      </c>
      <c r="S65" s="321" t="s">
        <v>1176</v>
      </c>
      <c r="T65" s="317" t="s">
        <v>2824</v>
      </c>
    </row>
    <row r="66" spans="1:20" ht="20.100000000000001" customHeight="1">
      <c r="A66" s="1169" t="s">
        <v>2957</v>
      </c>
      <c r="B66" s="1169" t="s">
        <v>350</v>
      </c>
      <c r="C66" s="1169" t="s">
        <v>4066</v>
      </c>
      <c r="D66" s="885">
        <v>230</v>
      </c>
      <c r="E66" s="885">
        <v>460</v>
      </c>
      <c r="F66" s="885">
        <v>460</v>
      </c>
      <c r="G66" s="48" t="s">
        <v>87</v>
      </c>
      <c r="H66" s="48">
        <v>3</v>
      </c>
      <c r="I66" s="558" t="s">
        <v>17</v>
      </c>
      <c r="J66" s="558" t="s">
        <v>351</v>
      </c>
      <c r="K66" s="558">
        <v>7</v>
      </c>
      <c r="L66" s="542" t="s">
        <v>649</v>
      </c>
      <c r="M66" s="551">
        <v>43089</v>
      </c>
      <c r="N66" s="551">
        <v>43095</v>
      </c>
      <c r="O66" s="544" t="s">
        <v>955</v>
      </c>
      <c r="P66" s="553" t="s">
        <v>586</v>
      </c>
      <c r="Q66" s="52"/>
      <c r="R66" s="555" t="s">
        <v>193</v>
      </c>
      <c r="S66" s="315" t="s">
        <v>2849</v>
      </c>
      <c r="T66" s="317" t="s">
        <v>1678</v>
      </c>
    </row>
    <row r="67" spans="1:20" ht="20.100000000000001" customHeight="1">
      <c r="A67" s="1169" t="s">
        <v>2957</v>
      </c>
      <c r="B67" s="1169" t="s">
        <v>350</v>
      </c>
      <c r="C67" s="1169" t="s">
        <v>4085</v>
      </c>
      <c r="D67" s="525">
        <v>180</v>
      </c>
      <c r="E67" s="525">
        <v>360</v>
      </c>
      <c r="F67" s="525">
        <v>360</v>
      </c>
      <c r="G67" s="47" t="s">
        <v>142</v>
      </c>
      <c r="H67" s="48">
        <v>3</v>
      </c>
      <c r="I67" s="558" t="s">
        <v>17</v>
      </c>
      <c r="J67" s="558" t="s">
        <v>351</v>
      </c>
      <c r="K67" s="558">
        <v>7</v>
      </c>
      <c r="L67" s="542" t="s">
        <v>649</v>
      </c>
      <c r="M67" s="549">
        <v>43066</v>
      </c>
      <c r="N67" s="9">
        <v>43084</v>
      </c>
      <c r="O67" s="544" t="s">
        <v>955</v>
      </c>
      <c r="P67" s="565" t="s">
        <v>590</v>
      </c>
      <c r="Q67" s="52"/>
      <c r="R67" s="555" t="s">
        <v>193</v>
      </c>
      <c r="S67" s="321"/>
      <c r="T67" s="338"/>
    </row>
    <row r="68" spans="1:20" ht="20.100000000000001" customHeight="1">
      <c r="A68" s="1169" t="s">
        <v>2957</v>
      </c>
      <c r="B68" s="1169" t="s">
        <v>350</v>
      </c>
      <c r="C68" s="1169" t="s">
        <v>4085</v>
      </c>
      <c r="D68" s="728">
        <v>160</v>
      </c>
      <c r="E68" s="728">
        <v>320</v>
      </c>
      <c r="F68" s="728">
        <v>320</v>
      </c>
      <c r="G68" s="47" t="s">
        <v>1535</v>
      </c>
      <c r="H68" s="48">
        <v>3</v>
      </c>
      <c r="I68" s="558" t="s">
        <v>17</v>
      </c>
      <c r="J68" s="558" t="s">
        <v>351</v>
      </c>
      <c r="K68" s="558">
        <v>7</v>
      </c>
      <c r="L68" s="542" t="s">
        <v>649</v>
      </c>
      <c r="M68" s="549">
        <v>43080</v>
      </c>
      <c r="N68" s="549">
        <v>43086</v>
      </c>
      <c r="O68" s="544" t="s">
        <v>955</v>
      </c>
      <c r="P68" s="565"/>
      <c r="Q68" s="52"/>
      <c r="R68" s="555" t="s">
        <v>193</v>
      </c>
      <c r="S68" s="321"/>
      <c r="T68" s="338" t="s">
        <v>2873</v>
      </c>
    </row>
    <row r="69" spans="1:20" ht="20.100000000000001" customHeight="1">
      <c r="A69" s="1169" t="s">
        <v>2957</v>
      </c>
      <c r="B69" s="1169" t="s">
        <v>350</v>
      </c>
      <c r="C69" s="1169" t="s">
        <v>4085</v>
      </c>
      <c r="D69" s="885">
        <v>240</v>
      </c>
      <c r="E69" s="885">
        <v>480</v>
      </c>
      <c r="F69" s="885">
        <v>480</v>
      </c>
      <c r="G69" s="36" t="s">
        <v>36</v>
      </c>
      <c r="H69" s="48" t="s">
        <v>659</v>
      </c>
      <c r="I69" s="557" t="s">
        <v>17</v>
      </c>
      <c r="J69" s="558" t="s">
        <v>351</v>
      </c>
      <c r="K69" s="559">
        <v>6</v>
      </c>
      <c r="L69" s="542" t="s">
        <v>649</v>
      </c>
      <c r="M69" s="551">
        <v>43089</v>
      </c>
      <c r="N69" s="551">
        <v>43092</v>
      </c>
      <c r="O69" s="544" t="s">
        <v>955</v>
      </c>
      <c r="P69" s="545" t="s">
        <v>782</v>
      </c>
      <c r="Q69" s="60"/>
      <c r="R69" s="546" t="s">
        <v>312</v>
      </c>
      <c r="S69" s="315" t="s">
        <v>2852</v>
      </c>
      <c r="T69" s="317">
        <v>14</v>
      </c>
    </row>
    <row r="70" spans="1:20" ht="20.100000000000001" customHeight="1">
      <c r="A70" s="1169" t="s">
        <v>2957</v>
      </c>
      <c r="B70" s="1169" t="s">
        <v>350</v>
      </c>
      <c r="C70" s="1169" t="s">
        <v>4066</v>
      </c>
      <c r="D70" s="525">
        <v>170</v>
      </c>
      <c r="E70" s="525">
        <v>280</v>
      </c>
      <c r="F70" s="525">
        <v>280</v>
      </c>
      <c r="G70" s="65" t="s">
        <v>62</v>
      </c>
      <c r="H70" s="56" t="s">
        <v>725</v>
      </c>
      <c r="I70" s="542" t="s">
        <v>17</v>
      </c>
      <c r="J70" s="558" t="s">
        <v>351</v>
      </c>
      <c r="K70" s="559" t="s">
        <v>721</v>
      </c>
      <c r="L70" s="542" t="s">
        <v>639</v>
      </c>
      <c r="M70" s="549">
        <v>43055</v>
      </c>
      <c r="N70" s="549">
        <v>43086</v>
      </c>
      <c r="O70" s="544" t="s">
        <v>955</v>
      </c>
      <c r="P70" s="544"/>
      <c r="Q70" s="7"/>
      <c r="R70" s="546" t="s">
        <v>916</v>
      </c>
      <c r="S70" s="315" t="s">
        <v>2848</v>
      </c>
      <c r="T70" s="338" t="s">
        <v>1897</v>
      </c>
    </row>
    <row r="71" spans="1:20" ht="20.100000000000001" customHeight="1">
      <c r="A71" s="1169" t="s">
        <v>2957</v>
      </c>
      <c r="B71" s="1169" t="s">
        <v>350</v>
      </c>
      <c r="C71" s="1169" t="s">
        <v>4085</v>
      </c>
      <c r="D71" s="525">
        <v>175</v>
      </c>
      <c r="E71" s="525">
        <v>350</v>
      </c>
      <c r="F71" s="525">
        <v>350</v>
      </c>
      <c r="G71" s="224" t="s">
        <v>814</v>
      </c>
      <c r="H71" s="56" t="s">
        <v>725</v>
      </c>
      <c r="I71" s="542" t="s">
        <v>17</v>
      </c>
      <c r="J71" s="558" t="s">
        <v>351</v>
      </c>
      <c r="K71" s="559" t="s">
        <v>721</v>
      </c>
      <c r="L71" s="542" t="s">
        <v>649</v>
      </c>
      <c r="M71" s="547">
        <v>43076</v>
      </c>
      <c r="N71" s="547">
        <v>43086</v>
      </c>
      <c r="O71" s="544" t="s">
        <v>955</v>
      </c>
      <c r="P71" s="545" t="s">
        <v>589</v>
      </c>
      <c r="Q71" s="7"/>
      <c r="R71" s="546" t="s">
        <v>1492</v>
      </c>
      <c r="S71" s="319" t="s">
        <v>1176</v>
      </c>
      <c r="T71" s="317" t="s">
        <v>2872</v>
      </c>
    </row>
    <row r="72" spans="1:20" ht="20.100000000000001" customHeight="1">
      <c r="A72" s="1169" t="s">
        <v>2957</v>
      </c>
      <c r="B72" s="1169" t="s">
        <v>350</v>
      </c>
      <c r="C72" s="1169" t="s">
        <v>4085</v>
      </c>
      <c r="D72" s="525">
        <v>190</v>
      </c>
      <c r="E72" s="525">
        <v>380</v>
      </c>
      <c r="F72" s="525">
        <v>380</v>
      </c>
      <c r="G72" s="65" t="s">
        <v>33</v>
      </c>
      <c r="H72" s="56" t="s">
        <v>725</v>
      </c>
      <c r="I72" s="542" t="s">
        <v>17</v>
      </c>
      <c r="J72" s="558" t="s">
        <v>351</v>
      </c>
      <c r="K72" s="559" t="s">
        <v>721</v>
      </c>
      <c r="L72" s="542" t="s">
        <v>649</v>
      </c>
      <c r="M72" s="549">
        <v>43071</v>
      </c>
      <c r="N72" s="549">
        <v>43079</v>
      </c>
      <c r="O72" s="544" t="s">
        <v>955</v>
      </c>
      <c r="P72" s="544"/>
      <c r="Q72" s="7"/>
      <c r="R72" s="546" t="s">
        <v>1492</v>
      </c>
      <c r="S72" s="315" t="s">
        <v>2850</v>
      </c>
      <c r="T72" s="338"/>
    </row>
    <row r="73" spans="1:20" ht="20.100000000000001" customHeight="1">
      <c r="A73" s="1169" t="s">
        <v>2957</v>
      </c>
      <c r="B73" s="1169" t="s">
        <v>350</v>
      </c>
      <c r="C73" s="1169" t="s">
        <v>4085</v>
      </c>
      <c r="D73" s="885">
        <v>240</v>
      </c>
      <c r="E73" s="885">
        <v>480</v>
      </c>
      <c r="F73" s="885">
        <v>480</v>
      </c>
      <c r="G73" s="65" t="s">
        <v>36</v>
      </c>
      <c r="H73" s="56" t="s">
        <v>725</v>
      </c>
      <c r="I73" s="542" t="s">
        <v>17</v>
      </c>
      <c r="J73" s="558" t="s">
        <v>351</v>
      </c>
      <c r="K73" s="559" t="s">
        <v>721</v>
      </c>
      <c r="L73" s="542" t="s">
        <v>649</v>
      </c>
      <c r="M73" s="551">
        <v>43090</v>
      </c>
      <c r="N73" s="551">
        <v>43092</v>
      </c>
      <c r="O73" s="544" t="s">
        <v>955</v>
      </c>
      <c r="P73" s="545" t="s">
        <v>782</v>
      </c>
      <c r="Q73" s="7"/>
      <c r="R73" s="546" t="s">
        <v>1492</v>
      </c>
      <c r="S73" s="315" t="s">
        <v>2852</v>
      </c>
      <c r="T73" s="317">
        <v>14</v>
      </c>
    </row>
    <row r="74" spans="1:20" ht="20.100000000000001" customHeight="1">
      <c r="A74" s="1169" t="s">
        <v>2957</v>
      </c>
      <c r="B74" s="1169" t="s">
        <v>350</v>
      </c>
      <c r="C74" s="1169" t="s">
        <v>4066</v>
      </c>
      <c r="D74" s="525">
        <v>140</v>
      </c>
      <c r="E74" s="525">
        <v>280</v>
      </c>
      <c r="F74" s="525">
        <v>280</v>
      </c>
      <c r="G74" s="699" t="s">
        <v>491</v>
      </c>
      <c r="H74" s="56" t="s">
        <v>725</v>
      </c>
      <c r="I74" s="542" t="s">
        <v>17</v>
      </c>
      <c r="J74" s="558" t="s">
        <v>351</v>
      </c>
      <c r="K74" s="559" t="s">
        <v>726</v>
      </c>
      <c r="L74" s="542" t="s">
        <v>639</v>
      </c>
      <c r="M74" s="551">
        <v>43076</v>
      </c>
      <c r="N74" s="547">
        <v>43086</v>
      </c>
      <c r="O74" s="544" t="s">
        <v>955</v>
      </c>
      <c r="P74" s="686" t="s">
        <v>4077</v>
      </c>
      <c r="Q74" s="7"/>
      <c r="R74" s="546" t="s">
        <v>2266</v>
      </c>
      <c r="S74" s="704" t="s">
        <v>1176</v>
      </c>
      <c r="T74" s="338" t="s">
        <v>1678</v>
      </c>
    </row>
    <row r="75" spans="1:20" ht="20.100000000000001" customHeight="1">
      <c r="A75" s="1169" t="s">
        <v>2957</v>
      </c>
      <c r="B75" s="1169" t="s">
        <v>350</v>
      </c>
      <c r="C75" s="1169" t="s">
        <v>4066</v>
      </c>
      <c r="D75" s="885">
        <v>230</v>
      </c>
      <c r="E75" s="885">
        <v>460</v>
      </c>
      <c r="F75" s="885">
        <v>460</v>
      </c>
      <c r="G75" s="48" t="s">
        <v>87</v>
      </c>
      <c r="H75" s="56" t="s">
        <v>725</v>
      </c>
      <c r="I75" s="542" t="s">
        <v>17</v>
      </c>
      <c r="J75" s="558" t="s">
        <v>351</v>
      </c>
      <c r="K75" s="559" t="s">
        <v>726</v>
      </c>
      <c r="L75" s="542" t="s">
        <v>639</v>
      </c>
      <c r="M75" s="551">
        <v>43089</v>
      </c>
      <c r="N75" s="551">
        <v>43095</v>
      </c>
      <c r="O75" s="544" t="s">
        <v>955</v>
      </c>
      <c r="P75" s="553" t="s">
        <v>586</v>
      </c>
      <c r="Q75" s="7"/>
      <c r="R75" s="546" t="s">
        <v>2266</v>
      </c>
      <c r="S75" s="315" t="s">
        <v>2849</v>
      </c>
      <c r="T75" s="317" t="s">
        <v>1678</v>
      </c>
    </row>
    <row r="76" spans="1:20" ht="20.100000000000001" customHeight="1">
      <c r="A76" s="1169" t="s">
        <v>2957</v>
      </c>
      <c r="B76" s="1169" t="s">
        <v>350</v>
      </c>
      <c r="C76" s="1169" t="s">
        <v>4085</v>
      </c>
      <c r="D76" s="525">
        <v>180</v>
      </c>
      <c r="E76" s="525">
        <v>360</v>
      </c>
      <c r="F76" s="525">
        <v>360</v>
      </c>
      <c r="G76" s="47" t="s">
        <v>5440</v>
      </c>
      <c r="H76" s="56" t="s">
        <v>2264</v>
      </c>
      <c r="I76" s="542" t="s">
        <v>17</v>
      </c>
      <c r="J76" s="558" t="s">
        <v>351</v>
      </c>
      <c r="K76" s="559" t="s">
        <v>2265</v>
      </c>
      <c r="L76" s="542" t="s">
        <v>639</v>
      </c>
      <c r="M76" s="549">
        <v>43066</v>
      </c>
      <c r="N76" s="9">
        <v>43084</v>
      </c>
      <c r="O76" s="544" t="s">
        <v>955</v>
      </c>
      <c r="P76" s="565" t="s">
        <v>590</v>
      </c>
      <c r="Q76" s="7"/>
      <c r="R76" s="546" t="s">
        <v>2266</v>
      </c>
      <c r="S76" s="321"/>
      <c r="T76" s="317"/>
    </row>
    <row r="77" spans="1:20" ht="20.100000000000001" customHeight="1">
      <c r="A77" s="1169" t="s">
        <v>2957</v>
      </c>
      <c r="B77" s="1169" t="s">
        <v>350</v>
      </c>
      <c r="C77" s="1169" t="s">
        <v>4085</v>
      </c>
      <c r="D77" s="526">
        <v>160</v>
      </c>
      <c r="E77" s="526">
        <v>320</v>
      </c>
      <c r="F77" s="526">
        <v>320</v>
      </c>
      <c r="G77" s="56" t="s">
        <v>232</v>
      </c>
      <c r="H77" s="56" t="s">
        <v>2264</v>
      </c>
      <c r="I77" s="542" t="s">
        <v>17</v>
      </c>
      <c r="J77" s="558" t="s">
        <v>351</v>
      </c>
      <c r="K77" s="559" t="s">
        <v>2265</v>
      </c>
      <c r="L77" s="542" t="s">
        <v>639</v>
      </c>
      <c r="M77" s="551">
        <v>43055</v>
      </c>
      <c r="N77" s="551">
        <v>43086</v>
      </c>
      <c r="O77" s="544" t="s">
        <v>955</v>
      </c>
      <c r="P77" s="545" t="s">
        <v>585</v>
      </c>
      <c r="Q77" s="7"/>
      <c r="R77" s="546" t="s">
        <v>2266</v>
      </c>
      <c r="S77" s="325"/>
      <c r="T77" s="317" t="s">
        <v>1678</v>
      </c>
    </row>
    <row r="78" spans="1:20" ht="20.100000000000001" customHeight="1">
      <c r="A78" s="1169" t="s">
        <v>2957</v>
      </c>
      <c r="B78" s="1169" t="s">
        <v>350</v>
      </c>
      <c r="C78" s="1169" t="s">
        <v>4085</v>
      </c>
      <c r="D78" s="525">
        <v>155</v>
      </c>
      <c r="E78" s="525">
        <v>310</v>
      </c>
      <c r="F78" s="525">
        <v>310</v>
      </c>
      <c r="G78" s="18" t="s">
        <v>3876</v>
      </c>
      <c r="H78" s="47">
        <v>4</v>
      </c>
      <c r="I78" s="557" t="s">
        <v>17</v>
      </c>
      <c r="J78" s="558" t="s">
        <v>351</v>
      </c>
      <c r="K78" s="19" t="s">
        <v>4067</v>
      </c>
      <c r="L78" s="840" t="s">
        <v>637</v>
      </c>
      <c r="M78" s="547">
        <v>43081</v>
      </c>
      <c r="N78" s="547">
        <v>43086</v>
      </c>
      <c r="O78" s="25" t="s">
        <v>4068</v>
      </c>
      <c r="P78" s="755" t="s">
        <v>4078</v>
      </c>
      <c r="Q78" s="7"/>
      <c r="R78" s="17" t="s">
        <v>3878</v>
      </c>
      <c r="S78" s="704" t="s">
        <v>1176</v>
      </c>
      <c r="T78" s="317" t="s">
        <v>1395</v>
      </c>
    </row>
    <row r="79" spans="1:20" ht="20.100000000000001" customHeight="1">
      <c r="A79" s="1169" t="s">
        <v>2957</v>
      </c>
      <c r="B79" s="1169" t="s">
        <v>350</v>
      </c>
      <c r="C79" s="1169" t="s">
        <v>4085</v>
      </c>
      <c r="D79" s="525">
        <v>180</v>
      </c>
      <c r="E79" s="525">
        <v>360</v>
      </c>
      <c r="F79" s="525">
        <v>360</v>
      </c>
      <c r="G79" s="47" t="s">
        <v>148</v>
      </c>
      <c r="H79" s="36">
        <v>5</v>
      </c>
      <c r="I79" s="557" t="s">
        <v>17</v>
      </c>
      <c r="J79" s="558" t="s">
        <v>351</v>
      </c>
      <c r="K79" s="559">
        <v>6</v>
      </c>
      <c r="L79" s="542" t="s">
        <v>649</v>
      </c>
      <c r="M79" s="551">
        <v>43066</v>
      </c>
      <c r="N79" s="551">
        <v>43086</v>
      </c>
      <c r="O79" s="544" t="s">
        <v>955</v>
      </c>
      <c r="P79" s="553" t="s">
        <v>590</v>
      </c>
      <c r="Q79" s="744"/>
      <c r="R79" s="546" t="s">
        <v>761</v>
      </c>
      <c r="S79" s="319"/>
      <c r="T79" s="338" t="s">
        <v>1991</v>
      </c>
    </row>
    <row r="80" spans="1:20" ht="20.100000000000001" customHeight="1">
      <c r="A80" s="1169" t="s">
        <v>2957</v>
      </c>
      <c r="B80" s="1169" t="s">
        <v>350</v>
      </c>
      <c r="C80" s="1169" t="s">
        <v>4066</v>
      </c>
      <c r="D80" s="885">
        <v>240</v>
      </c>
      <c r="E80" s="885">
        <v>480</v>
      </c>
      <c r="F80" s="885">
        <v>480</v>
      </c>
      <c r="G80" s="36" t="s">
        <v>36</v>
      </c>
      <c r="H80" s="36">
        <v>5</v>
      </c>
      <c r="I80" s="557" t="s">
        <v>17</v>
      </c>
      <c r="J80" s="558" t="s">
        <v>351</v>
      </c>
      <c r="K80" s="559">
        <v>6</v>
      </c>
      <c r="L80" s="542" t="s">
        <v>649</v>
      </c>
      <c r="M80" s="551">
        <v>43091</v>
      </c>
      <c r="N80" s="551">
        <v>43092</v>
      </c>
      <c r="O80" s="544" t="s">
        <v>955</v>
      </c>
      <c r="P80" s="545" t="s">
        <v>782</v>
      </c>
      <c r="Q80" s="744"/>
      <c r="R80" s="546" t="s">
        <v>309</v>
      </c>
      <c r="S80" s="315" t="s">
        <v>2852</v>
      </c>
      <c r="T80" s="317">
        <v>14</v>
      </c>
    </row>
    <row r="81" spans="1:20" ht="20.100000000000001" customHeight="1">
      <c r="A81" s="1169" t="s">
        <v>2957</v>
      </c>
      <c r="B81" s="1169" t="s">
        <v>350</v>
      </c>
      <c r="C81" s="1169" t="s">
        <v>4085</v>
      </c>
      <c r="D81" s="525"/>
      <c r="E81" s="525"/>
      <c r="F81" s="525"/>
      <c r="G81" s="224" t="s">
        <v>76</v>
      </c>
      <c r="H81" s="36">
        <v>5</v>
      </c>
      <c r="I81" s="569" t="s">
        <v>17</v>
      </c>
      <c r="J81" s="558" t="s">
        <v>351</v>
      </c>
      <c r="K81" s="559">
        <v>7</v>
      </c>
      <c r="L81" s="570" t="s">
        <v>641</v>
      </c>
      <c r="M81" s="6">
        <v>43059</v>
      </c>
      <c r="N81" s="6">
        <v>43093</v>
      </c>
      <c r="O81" s="544" t="s">
        <v>955</v>
      </c>
      <c r="P81" s="562" t="s">
        <v>782</v>
      </c>
      <c r="Q81" s="7"/>
      <c r="R81" s="546"/>
      <c r="S81" s="315" t="s">
        <v>2851</v>
      </c>
      <c r="T81" s="338" t="s">
        <v>2372</v>
      </c>
    </row>
    <row r="82" spans="1:20" ht="20.100000000000001" customHeight="1">
      <c r="A82" s="1169" t="s">
        <v>2957</v>
      </c>
      <c r="B82" s="1169" t="s">
        <v>350</v>
      </c>
      <c r="C82" s="1169" t="s">
        <v>4085</v>
      </c>
      <c r="D82" s="525">
        <v>155</v>
      </c>
      <c r="E82" s="525">
        <v>310</v>
      </c>
      <c r="F82" s="525">
        <v>310</v>
      </c>
      <c r="G82" s="224" t="s">
        <v>814</v>
      </c>
      <c r="H82" s="36">
        <v>5</v>
      </c>
      <c r="I82" s="569" t="s">
        <v>17</v>
      </c>
      <c r="J82" s="558" t="s">
        <v>351</v>
      </c>
      <c r="K82" s="559">
        <v>7</v>
      </c>
      <c r="L82" s="570" t="s">
        <v>641</v>
      </c>
      <c r="M82" s="547">
        <v>43077</v>
      </c>
      <c r="N82" s="547">
        <v>43086</v>
      </c>
      <c r="O82" s="544" t="s">
        <v>955</v>
      </c>
      <c r="P82" s="545" t="s">
        <v>589</v>
      </c>
      <c r="Q82" s="683" t="s">
        <v>4173</v>
      </c>
      <c r="R82" s="561" t="s">
        <v>261</v>
      </c>
      <c r="S82" s="319" t="s">
        <v>1176</v>
      </c>
      <c r="T82" s="317" t="s">
        <v>2872</v>
      </c>
    </row>
    <row r="83" spans="1:20" ht="20.100000000000001" customHeight="1">
      <c r="A83" s="1169" t="s">
        <v>2957</v>
      </c>
      <c r="B83" s="1169" t="s">
        <v>350</v>
      </c>
      <c r="C83" s="1169" t="s">
        <v>4085</v>
      </c>
      <c r="D83" s="32">
        <v>175</v>
      </c>
      <c r="E83" s="32">
        <v>350</v>
      </c>
      <c r="F83" s="32">
        <v>350</v>
      </c>
      <c r="G83" s="226" t="s">
        <v>434</v>
      </c>
      <c r="H83" s="36">
        <v>5</v>
      </c>
      <c r="I83" s="569" t="s">
        <v>17</v>
      </c>
      <c r="J83" s="558" t="s">
        <v>351</v>
      </c>
      <c r="K83" s="559">
        <v>7</v>
      </c>
      <c r="L83" s="570" t="s">
        <v>641</v>
      </c>
      <c r="M83" s="549">
        <v>43080</v>
      </c>
      <c r="N83" s="549">
        <v>43093</v>
      </c>
      <c r="O83" s="544" t="s">
        <v>955</v>
      </c>
      <c r="P83" s="553" t="s">
        <v>893</v>
      </c>
      <c r="Q83" s="683"/>
      <c r="R83" s="561" t="s">
        <v>818</v>
      </c>
      <c r="S83" s="321" t="s">
        <v>1176</v>
      </c>
      <c r="T83" s="317" t="s">
        <v>2824</v>
      </c>
    </row>
    <row r="84" spans="1:20" ht="20.100000000000001" customHeight="1">
      <c r="A84" s="1169" t="s">
        <v>2957</v>
      </c>
      <c r="B84" s="1169" t="s">
        <v>350</v>
      </c>
      <c r="C84" s="1169" t="s">
        <v>4066</v>
      </c>
      <c r="D84" s="885">
        <v>230</v>
      </c>
      <c r="E84" s="885">
        <v>460</v>
      </c>
      <c r="F84" s="885">
        <v>460</v>
      </c>
      <c r="G84" s="65" t="s">
        <v>87</v>
      </c>
      <c r="H84" s="36">
        <v>5</v>
      </c>
      <c r="I84" s="569" t="s">
        <v>17</v>
      </c>
      <c r="J84" s="558" t="s">
        <v>351</v>
      </c>
      <c r="K84" s="559">
        <v>7</v>
      </c>
      <c r="L84" s="570" t="s">
        <v>641</v>
      </c>
      <c r="M84" s="551">
        <v>43089</v>
      </c>
      <c r="N84" s="551">
        <v>43095</v>
      </c>
      <c r="O84" s="544" t="s">
        <v>955</v>
      </c>
      <c r="P84" s="553" t="s">
        <v>586</v>
      </c>
      <c r="Q84" s="683"/>
      <c r="R84" s="561" t="s">
        <v>261</v>
      </c>
      <c r="S84" s="315" t="s">
        <v>2849</v>
      </c>
      <c r="T84" s="317" t="s">
        <v>1678</v>
      </c>
    </row>
    <row r="85" spans="1:20" ht="20.100000000000001" customHeight="1">
      <c r="A85" s="1169" t="s">
        <v>2957</v>
      </c>
      <c r="B85" s="1169" t="s">
        <v>350</v>
      </c>
      <c r="C85" s="1169" t="s">
        <v>4085</v>
      </c>
      <c r="D85" s="525">
        <v>260</v>
      </c>
      <c r="E85" s="525">
        <v>520</v>
      </c>
      <c r="F85" s="525">
        <v>520</v>
      </c>
      <c r="G85" s="56" t="s">
        <v>432</v>
      </c>
      <c r="H85" s="36">
        <v>5</v>
      </c>
      <c r="I85" s="569" t="s">
        <v>17</v>
      </c>
      <c r="J85" s="558" t="s">
        <v>351</v>
      </c>
      <c r="K85" s="559">
        <v>7</v>
      </c>
      <c r="L85" s="570" t="s">
        <v>641</v>
      </c>
      <c r="M85" s="549">
        <v>43091</v>
      </c>
      <c r="N85" s="549">
        <v>43091</v>
      </c>
      <c r="O85" s="544" t="s">
        <v>955</v>
      </c>
      <c r="P85" s="553"/>
      <c r="Q85" s="683"/>
      <c r="R85" s="561" t="s">
        <v>261</v>
      </c>
      <c r="S85" s="704" t="s">
        <v>1176</v>
      </c>
      <c r="T85" s="317" t="s">
        <v>2039</v>
      </c>
    </row>
    <row r="86" spans="1:20" ht="20.100000000000001" customHeight="1">
      <c r="A86" s="1169" t="s">
        <v>2957</v>
      </c>
      <c r="B86" s="1169" t="s">
        <v>350</v>
      </c>
      <c r="C86" s="1169" t="s">
        <v>4085</v>
      </c>
      <c r="D86" s="525">
        <v>155</v>
      </c>
      <c r="E86" s="525">
        <v>310</v>
      </c>
      <c r="F86" s="525">
        <v>310</v>
      </c>
      <c r="G86" s="18" t="s">
        <v>3876</v>
      </c>
      <c r="H86" s="36" t="s">
        <v>681</v>
      </c>
      <c r="I86" s="557" t="s">
        <v>17</v>
      </c>
      <c r="J86" s="558" t="s">
        <v>351</v>
      </c>
      <c r="K86" s="559" t="s">
        <v>721</v>
      </c>
      <c r="L86" s="542" t="s">
        <v>649</v>
      </c>
      <c r="M86" s="547">
        <v>43081</v>
      </c>
      <c r="N86" s="547">
        <v>43086</v>
      </c>
      <c r="O86" s="25" t="s">
        <v>4068</v>
      </c>
      <c r="P86" s="755" t="s">
        <v>4078</v>
      </c>
      <c r="Q86" s="683"/>
      <c r="R86" s="546" t="s">
        <v>1542</v>
      </c>
      <c r="S86" s="704" t="s">
        <v>1176</v>
      </c>
      <c r="T86" s="317" t="s">
        <v>3883</v>
      </c>
    </row>
    <row r="87" spans="1:20" ht="20.100000000000001" customHeight="1">
      <c r="A87" s="1169" t="s">
        <v>2957</v>
      </c>
      <c r="B87" s="1169" t="s">
        <v>350</v>
      </c>
      <c r="C87" s="1169" t="s">
        <v>4085</v>
      </c>
      <c r="D87" s="32">
        <v>185</v>
      </c>
      <c r="E87" s="32">
        <v>370</v>
      </c>
      <c r="F87" s="32">
        <v>370</v>
      </c>
      <c r="G87" s="628" t="s">
        <v>231</v>
      </c>
      <c r="H87" s="36" t="s">
        <v>681</v>
      </c>
      <c r="I87" s="557" t="s">
        <v>17</v>
      </c>
      <c r="J87" s="558" t="s">
        <v>351</v>
      </c>
      <c r="K87" s="559" t="s">
        <v>721</v>
      </c>
      <c r="L87" s="542" t="s">
        <v>649</v>
      </c>
      <c r="M87" s="547">
        <v>43077</v>
      </c>
      <c r="N87" s="547">
        <v>43087</v>
      </c>
      <c r="O87" s="544" t="s">
        <v>955</v>
      </c>
      <c r="P87" s="545"/>
      <c r="Q87" s="7"/>
      <c r="R87" s="546" t="s">
        <v>1542</v>
      </c>
      <c r="S87" s="325"/>
      <c r="T87" s="338" t="s">
        <v>1992</v>
      </c>
    </row>
    <row r="88" spans="1:20" ht="20.100000000000001" customHeight="1">
      <c r="A88" s="1169" t="s">
        <v>2957</v>
      </c>
      <c r="B88" s="1169" t="s">
        <v>350</v>
      </c>
      <c r="C88" s="1169" t="s">
        <v>4085</v>
      </c>
      <c r="D88" s="525">
        <v>190</v>
      </c>
      <c r="E88" s="525">
        <v>380</v>
      </c>
      <c r="F88" s="525">
        <v>380</v>
      </c>
      <c r="G88" s="36" t="s">
        <v>33</v>
      </c>
      <c r="H88" s="36" t="s">
        <v>681</v>
      </c>
      <c r="I88" s="557" t="s">
        <v>17</v>
      </c>
      <c r="J88" s="558" t="s">
        <v>351</v>
      </c>
      <c r="K88" s="559" t="s">
        <v>721</v>
      </c>
      <c r="L88" s="542" t="s">
        <v>649</v>
      </c>
      <c r="M88" s="549">
        <v>43071</v>
      </c>
      <c r="N88" s="549">
        <v>43079</v>
      </c>
      <c r="O88" s="544" t="s">
        <v>955</v>
      </c>
      <c r="P88" s="545"/>
      <c r="Q88" s="7"/>
      <c r="R88" s="546" t="s">
        <v>1542</v>
      </c>
      <c r="S88" s="315" t="s">
        <v>2850</v>
      </c>
      <c r="T88" s="338"/>
    </row>
    <row r="89" spans="1:20" ht="20.100000000000001" customHeight="1">
      <c r="A89" s="1169" t="s">
        <v>2957</v>
      </c>
      <c r="B89" s="1169" t="s">
        <v>350</v>
      </c>
      <c r="C89" s="1169" t="s">
        <v>4066</v>
      </c>
      <c r="D89" s="525">
        <v>170</v>
      </c>
      <c r="E89" s="525">
        <v>340</v>
      </c>
      <c r="F89" s="525">
        <v>340</v>
      </c>
      <c r="G89" s="56" t="s">
        <v>29</v>
      </c>
      <c r="H89" s="36" t="s">
        <v>681</v>
      </c>
      <c r="I89" s="557" t="s">
        <v>17</v>
      </c>
      <c r="J89" s="558" t="s">
        <v>351</v>
      </c>
      <c r="K89" s="559" t="s">
        <v>721</v>
      </c>
      <c r="L89" s="542" t="s">
        <v>649</v>
      </c>
      <c r="M89" s="547">
        <v>43059</v>
      </c>
      <c r="N89" s="547">
        <v>43072</v>
      </c>
      <c r="O89" s="544" t="s">
        <v>955</v>
      </c>
      <c r="P89" s="545"/>
      <c r="Q89" s="7"/>
      <c r="R89" s="546" t="s">
        <v>1542</v>
      </c>
      <c r="S89" s="319" t="s">
        <v>1176</v>
      </c>
      <c r="T89" s="338" t="s">
        <v>1988</v>
      </c>
    </row>
    <row r="90" spans="1:20" ht="20.100000000000001" customHeight="1">
      <c r="A90" s="1169" t="s">
        <v>2957</v>
      </c>
      <c r="B90" s="1169" t="s">
        <v>350</v>
      </c>
      <c r="C90" s="1169" t="s">
        <v>4085</v>
      </c>
      <c r="D90" s="525">
        <v>180</v>
      </c>
      <c r="E90" s="525">
        <v>360</v>
      </c>
      <c r="F90" s="525">
        <v>360</v>
      </c>
      <c r="G90" s="628" t="s">
        <v>1659</v>
      </c>
      <c r="H90" s="48">
        <v>6</v>
      </c>
      <c r="I90" s="557" t="s">
        <v>17</v>
      </c>
      <c r="J90" s="558" t="s">
        <v>351</v>
      </c>
      <c r="K90" s="559" t="s">
        <v>681</v>
      </c>
      <c r="L90" s="542" t="s">
        <v>636</v>
      </c>
      <c r="M90" s="547">
        <v>43057</v>
      </c>
      <c r="N90" s="547">
        <v>43090</v>
      </c>
      <c r="O90" s="544" t="s">
        <v>955</v>
      </c>
      <c r="P90" s="545" t="s">
        <v>1677</v>
      </c>
      <c r="Q90" s="744"/>
      <c r="R90" s="546" t="s">
        <v>761</v>
      </c>
      <c r="S90" s="325" t="s">
        <v>1176</v>
      </c>
      <c r="T90" s="338" t="s">
        <v>1678</v>
      </c>
    </row>
    <row r="91" spans="1:20" ht="20.100000000000001" customHeight="1">
      <c r="A91" s="1169" t="s">
        <v>2957</v>
      </c>
      <c r="B91" s="1169" t="s">
        <v>350</v>
      </c>
      <c r="C91" s="1169" t="s">
        <v>4085</v>
      </c>
      <c r="D91" s="525">
        <v>160</v>
      </c>
      <c r="E91" s="525">
        <v>320</v>
      </c>
      <c r="F91" s="525">
        <v>320</v>
      </c>
      <c r="G91" s="56" t="s">
        <v>2441</v>
      </c>
      <c r="H91" s="48">
        <v>6</v>
      </c>
      <c r="I91" s="557" t="s">
        <v>17</v>
      </c>
      <c r="J91" s="558" t="s">
        <v>351</v>
      </c>
      <c r="K91" s="559">
        <v>6</v>
      </c>
      <c r="L91" s="542" t="s">
        <v>649</v>
      </c>
      <c r="M91" s="549">
        <v>43064</v>
      </c>
      <c r="N91" s="549">
        <v>43086</v>
      </c>
      <c r="O91" s="544" t="s">
        <v>955</v>
      </c>
      <c r="P91" s="545"/>
      <c r="Q91" s="744"/>
      <c r="R91" s="546" t="s">
        <v>313</v>
      </c>
      <c r="S91" s="325"/>
      <c r="T91" s="338"/>
    </row>
    <row r="92" spans="1:20" ht="20.100000000000001" customHeight="1">
      <c r="A92" s="1169" t="s">
        <v>2957</v>
      </c>
      <c r="B92" s="1169" t="s">
        <v>350</v>
      </c>
      <c r="C92" s="1169" t="s">
        <v>4085</v>
      </c>
      <c r="D92" s="885">
        <v>240</v>
      </c>
      <c r="E92" s="885">
        <v>480</v>
      </c>
      <c r="F92" s="885">
        <v>480</v>
      </c>
      <c r="G92" s="36" t="s">
        <v>36</v>
      </c>
      <c r="H92" s="48">
        <v>6</v>
      </c>
      <c r="I92" s="557" t="s">
        <v>17</v>
      </c>
      <c r="J92" s="558" t="s">
        <v>351</v>
      </c>
      <c r="K92" s="559">
        <v>6</v>
      </c>
      <c r="L92" s="542" t="s">
        <v>649</v>
      </c>
      <c r="M92" s="551">
        <v>43092</v>
      </c>
      <c r="N92" s="551">
        <v>43092</v>
      </c>
      <c r="O92" s="544" t="s">
        <v>955</v>
      </c>
      <c r="P92" s="545" t="s">
        <v>782</v>
      </c>
      <c r="Q92" s="7"/>
      <c r="R92" s="546" t="s">
        <v>313</v>
      </c>
      <c r="S92" s="315" t="s">
        <v>2852</v>
      </c>
      <c r="T92" s="317">
        <v>14</v>
      </c>
    </row>
    <row r="93" spans="1:20" ht="20.100000000000001" customHeight="1">
      <c r="A93" s="1169" t="s">
        <v>2957</v>
      </c>
      <c r="B93" s="1169" t="s">
        <v>350</v>
      </c>
      <c r="C93" s="1169" t="s">
        <v>4085</v>
      </c>
      <c r="D93" s="32">
        <v>170</v>
      </c>
      <c r="E93" s="32">
        <v>320</v>
      </c>
      <c r="F93" s="32">
        <v>320</v>
      </c>
      <c r="G93" s="65" t="s">
        <v>30</v>
      </c>
      <c r="H93" s="48">
        <v>6</v>
      </c>
      <c r="I93" s="569" t="s">
        <v>17</v>
      </c>
      <c r="J93" s="558" t="s">
        <v>351</v>
      </c>
      <c r="K93" s="559">
        <v>6</v>
      </c>
      <c r="L93" s="542" t="s">
        <v>649</v>
      </c>
      <c r="M93" s="568">
        <v>43074</v>
      </c>
      <c r="N93" s="568">
        <v>43083</v>
      </c>
      <c r="O93" s="544" t="s">
        <v>955</v>
      </c>
      <c r="P93" s="544"/>
      <c r="Q93" s="7"/>
      <c r="R93" s="561" t="s">
        <v>314</v>
      </c>
      <c r="S93" s="325"/>
      <c r="T93" s="317">
        <v>14</v>
      </c>
    </row>
    <row r="94" spans="1:20" ht="20.100000000000001" customHeight="1">
      <c r="A94" s="1169" t="s">
        <v>2957</v>
      </c>
      <c r="B94" s="1169" t="s">
        <v>350</v>
      </c>
      <c r="C94" s="1169" t="s">
        <v>4066</v>
      </c>
      <c r="D94" s="525">
        <v>210</v>
      </c>
      <c r="E94" s="525">
        <v>380</v>
      </c>
      <c r="F94" s="525">
        <v>380</v>
      </c>
      <c r="G94" s="226" t="s">
        <v>147</v>
      </c>
      <c r="H94" s="36">
        <v>7</v>
      </c>
      <c r="I94" s="558" t="s">
        <v>17</v>
      </c>
      <c r="J94" s="558" t="s">
        <v>351</v>
      </c>
      <c r="K94" s="554" t="s">
        <v>721</v>
      </c>
      <c r="L94" s="542" t="s">
        <v>649</v>
      </c>
      <c r="M94" s="547">
        <v>43051</v>
      </c>
      <c r="N94" s="547">
        <v>43079</v>
      </c>
      <c r="O94" s="544" t="s">
        <v>955</v>
      </c>
      <c r="P94" s="553"/>
      <c r="Q94" s="60"/>
      <c r="R94" s="546" t="s">
        <v>169</v>
      </c>
      <c r="S94" s="316"/>
      <c r="T94" s="317">
        <v>14</v>
      </c>
    </row>
    <row r="95" spans="1:20" ht="20.100000000000001" customHeight="1">
      <c r="A95" s="1169" t="s">
        <v>2957</v>
      </c>
      <c r="B95" s="1169" t="s">
        <v>350</v>
      </c>
      <c r="C95" s="1169" t="s">
        <v>4085</v>
      </c>
      <c r="D95" s="525"/>
      <c r="E95" s="525"/>
      <c r="F95" s="525"/>
      <c r="G95" s="224" t="s">
        <v>76</v>
      </c>
      <c r="H95" s="36">
        <v>7</v>
      </c>
      <c r="I95" s="558" t="s">
        <v>17</v>
      </c>
      <c r="J95" s="558" t="s">
        <v>351</v>
      </c>
      <c r="K95" s="554" t="s">
        <v>721</v>
      </c>
      <c r="L95" s="542" t="s">
        <v>649</v>
      </c>
      <c r="M95" s="6">
        <v>43059</v>
      </c>
      <c r="N95" s="6">
        <v>43093</v>
      </c>
      <c r="O95" s="544" t="s">
        <v>955</v>
      </c>
      <c r="P95" s="562" t="s">
        <v>782</v>
      </c>
      <c r="Q95" s="7"/>
      <c r="R95" s="546"/>
      <c r="S95" s="315" t="s">
        <v>2851</v>
      </c>
      <c r="T95" s="338" t="s">
        <v>2372</v>
      </c>
    </row>
    <row r="96" spans="1:20" ht="20.100000000000001" customHeight="1">
      <c r="A96" s="1169" t="s">
        <v>2957</v>
      </c>
      <c r="B96" s="1169" t="s">
        <v>350</v>
      </c>
      <c r="C96" s="1169" t="s">
        <v>4085</v>
      </c>
      <c r="D96" s="525">
        <v>160</v>
      </c>
      <c r="E96" s="525">
        <v>320</v>
      </c>
      <c r="F96" s="525">
        <v>320</v>
      </c>
      <c r="G96" s="65" t="s">
        <v>148</v>
      </c>
      <c r="H96" s="36">
        <v>7</v>
      </c>
      <c r="I96" s="558" t="s">
        <v>17</v>
      </c>
      <c r="J96" s="558" t="s">
        <v>351</v>
      </c>
      <c r="K96" s="554" t="s">
        <v>721</v>
      </c>
      <c r="L96" s="542" t="s">
        <v>649</v>
      </c>
      <c r="M96" s="551">
        <v>43066</v>
      </c>
      <c r="N96" s="551">
        <v>43086</v>
      </c>
      <c r="O96" s="544" t="s">
        <v>955</v>
      </c>
      <c r="P96" s="553" t="s">
        <v>590</v>
      </c>
      <c r="Q96" s="60"/>
      <c r="R96" s="561" t="s">
        <v>1543</v>
      </c>
      <c r="S96" s="316"/>
      <c r="T96" s="338" t="s">
        <v>1991</v>
      </c>
    </row>
    <row r="97" spans="1:20" ht="20.100000000000001" customHeight="1">
      <c r="A97" s="1169" t="s">
        <v>2957</v>
      </c>
      <c r="B97" s="1169" t="s">
        <v>350</v>
      </c>
      <c r="C97" s="1169" t="s">
        <v>4085</v>
      </c>
      <c r="D97" s="525">
        <v>180</v>
      </c>
      <c r="E97" s="525">
        <v>360</v>
      </c>
      <c r="F97" s="525">
        <v>360</v>
      </c>
      <c r="G97" s="224" t="s">
        <v>10</v>
      </c>
      <c r="H97" s="36">
        <v>7</v>
      </c>
      <c r="I97" s="558" t="s">
        <v>17</v>
      </c>
      <c r="J97" s="558" t="s">
        <v>351</v>
      </c>
      <c r="K97" s="554" t="s">
        <v>721</v>
      </c>
      <c r="L97" s="542" t="s">
        <v>649</v>
      </c>
      <c r="M97" s="547">
        <v>43051</v>
      </c>
      <c r="N97" s="547">
        <v>43084</v>
      </c>
      <c r="O97" s="544" t="s">
        <v>955</v>
      </c>
      <c r="P97" s="565"/>
      <c r="Q97" s="7"/>
      <c r="R97" s="546" t="s">
        <v>953</v>
      </c>
      <c r="S97" s="316" t="s">
        <v>1176</v>
      </c>
      <c r="T97" s="317">
        <v>21</v>
      </c>
    </row>
    <row r="98" spans="1:20" ht="20.100000000000001" customHeight="1">
      <c r="A98" s="1169" t="s">
        <v>2957</v>
      </c>
      <c r="B98" s="1169" t="s">
        <v>350</v>
      </c>
      <c r="C98" s="1169" t="s">
        <v>4066</v>
      </c>
      <c r="D98" s="32">
        <v>180</v>
      </c>
      <c r="E98" s="32">
        <v>360</v>
      </c>
      <c r="F98" s="32">
        <v>360</v>
      </c>
      <c r="G98" s="47" t="s">
        <v>28</v>
      </c>
      <c r="H98" s="36">
        <v>7</v>
      </c>
      <c r="I98" s="557" t="s">
        <v>17</v>
      </c>
      <c r="J98" s="558" t="s">
        <v>351</v>
      </c>
      <c r="K98" s="554" t="s">
        <v>721</v>
      </c>
      <c r="L98" s="542" t="s">
        <v>649</v>
      </c>
      <c r="M98" s="549">
        <v>43062</v>
      </c>
      <c r="N98" s="549">
        <v>43089</v>
      </c>
      <c r="O98" s="544" t="s">
        <v>955</v>
      </c>
      <c r="P98" s="553" t="s">
        <v>590</v>
      </c>
      <c r="Q98" s="683"/>
      <c r="R98" s="546" t="s">
        <v>188</v>
      </c>
      <c r="S98" s="316" t="s">
        <v>1176</v>
      </c>
      <c r="T98" s="338"/>
    </row>
    <row r="99" spans="1:20" ht="20.100000000000001" customHeight="1">
      <c r="A99" s="1169" t="s">
        <v>2957</v>
      </c>
      <c r="B99" s="1169" t="s">
        <v>350</v>
      </c>
      <c r="C99" s="1169" t="s">
        <v>4085</v>
      </c>
      <c r="D99" s="525">
        <v>150</v>
      </c>
      <c r="E99" s="525">
        <v>300</v>
      </c>
      <c r="F99" s="525">
        <v>300</v>
      </c>
      <c r="G99" s="36" t="s">
        <v>12</v>
      </c>
      <c r="H99" s="36" t="s">
        <v>706</v>
      </c>
      <c r="I99" s="557" t="s">
        <v>17</v>
      </c>
      <c r="J99" s="558" t="s">
        <v>351</v>
      </c>
      <c r="K99" s="557" t="s">
        <v>721</v>
      </c>
      <c r="L99" s="542" t="s">
        <v>649</v>
      </c>
      <c r="M99" s="551">
        <v>43079</v>
      </c>
      <c r="N99" s="551">
        <v>43086</v>
      </c>
      <c r="O99" s="544" t="s">
        <v>955</v>
      </c>
      <c r="P99" s="545" t="s">
        <v>589</v>
      </c>
      <c r="Q99" s="52"/>
      <c r="R99" s="546" t="s">
        <v>169</v>
      </c>
      <c r="S99" s="319"/>
      <c r="T99" s="338" t="s">
        <v>1994</v>
      </c>
    </row>
    <row r="100" spans="1:20" ht="20.100000000000001" customHeight="1">
      <c r="A100" s="1169" t="s">
        <v>2957</v>
      </c>
      <c r="B100" s="1169" t="s">
        <v>350</v>
      </c>
      <c r="C100" s="1169" t="s">
        <v>4085</v>
      </c>
      <c r="D100" s="525">
        <v>175</v>
      </c>
      <c r="E100" s="525">
        <v>350</v>
      </c>
      <c r="F100" s="525">
        <v>350</v>
      </c>
      <c r="G100" s="36" t="s">
        <v>37</v>
      </c>
      <c r="H100" s="36">
        <v>7</v>
      </c>
      <c r="I100" s="557" t="s">
        <v>17</v>
      </c>
      <c r="J100" s="558" t="s">
        <v>351</v>
      </c>
      <c r="K100" s="557" t="s">
        <v>721</v>
      </c>
      <c r="L100" s="542" t="s">
        <v>649</v>
      </c>
      <c r="M100" s="543">
        <v>43079</v>
      </c>
      <c r="N100" s="543">
        <v>43084</v>
      </c>
      <c r="O100" s="544" t="s">
        <v>955</v>
      </c>
      <c r="P100" s="545"/>
      <c r="Q100" s="60"/>
      <c r="R100" s="546" t="s">
        <v>1297</v>
      </c>
      <c r="S100" s="319" t="s">
        <v>1176</v>
      </c>
      <c r="T100" s="338"/>
    </row>
    <row r="101" spans="1:20" ht="20.100000000000001" customHeight="1">
      <c r="A101" s="1169" t="s">
        <v>2957</v>
      </c>
      <c r="B101" s="1169" t="s">
        <v>350</v>
      </c>
      <c r="C101" s="1169" t="s">
        <v>4085</v>
      </c>
      <c r="D101" s="320">
        <v>115</v>
      </c>
      <c r="E101" s="320">
        <v>230</v>
      </c>
      <c r="F101" s="320">
        <v>230</v>
      </c>
      <c r="G101" s="224" t="s">
        <v>51</v>
      </c>
      <c r="H101" s="36" t="s">
        <v>706</v>
      </c>
      <c r="I101" s="557" t="s">
        <v>17</v>
      </c>
      <c r="J101" s="558" t="s">
        <v>351</v>
      </c>
      <c r="K101" s="557" t="s">
        <v>681</v>
      </c>
      <c r="L101" s="542" t="s">
        <v>649</v>
      </c>
      <c r="M101" s="381">
        <v>43084</v>
      </c>
      <c r="N101" s="381">
        <v>43088</v>
      </c>
      <c r="O101" s="544" t="s">
        <v>955</v>
      </c>
      <c r="P101" s="553"/>
      <c r="Q101" s="60"/>
      <c r="R101" s="546" t="s">
        <v>1339</v>
      </c>
      <c r="S101" s="319"/>
      <c r="T101" s="317">
        <v>12</v>
      </c>
    </row>
    <row r="102" spans="1:20" ht="20.100000000000001" customHeight="1">
      <c r="A102" s="1169" t="s">
        <v>2957</v>
      </c>
      <c r="B102" s="1169" t="s">
        <v>350</v>
      </c>
      <c r="C102" s="1169" t="s">
        <v>4085</v>
      </c>
      <c r="D102" s="525">
        <v>225</v>
      </c>
      <c r="E102" s="525">
        <v>450</v>
      </c>
      <c r="F102" s="525">
        <v>450</v>
      </c>
      <c r="G102" s="224" t="s">
        <v>814</v>
      </c>
      <c r="H102" s="36" t="s">
        <v>706</v>
      </c>
      <c r="I102" s="557" t="s">
        <v>17</v>
      </c>
      <c r="J102" s="558" t="s">
        <v>351</v>
      </c>
      <c r="K102" s="557" t="s">
        <v>681</v>
      </c>
      <c r="L102" s="542" t="s">
        <v>649</v>
      </c>
      <c r="M102" s="547">
        <v>43086</v>
      </c>
      <c r="N102" s="547">
        <v>43086</v>
      </c>
      <c r="O102" s="544" t="s">
        <v>955</v>
      </c>
      <c r="P102" s="545" t="s">
        <v>589</v>
      </c>
      <c r="Q102" s="60"/>
      <c r="R102" s="546" t="s">
        <v>1343</v>
      </c>
      <c r="S102" s="319" t="s">
        <v>1176</v>
      </c>
      <c r="T102" s="317" t="s">
        <v>2872</v>
      </c>
    </row>
    <row r="103" spans="1:20" ht="20.100000000000001" customHeight="1">
      <c r="A103" s="1169" t="s">
        <v>2957</v>
      </c>
      <c r="B103" s="1169" t="s">
        <v>350</v>
      </c>
      <c r="C103" s="1169" t="s">
        <v>4066</v>
      </c>
      <c r="D103" s="525">
        <v>160</v>
      </c>
      <c r="E103" s="525">
        <v>320</v>
      </c>
      <c r="F103" s="525">
        <v>320</v>
      </c>
      <c r="G103" s="65" t="s">
        <v>148</v>
      </c>
      <c r="H103" s="36" t="s">
        <v>706</v>
      </c>
      <c r="I103" s="557" t="s">
        <v>17</v>
      </c>
      <c r="J103" s="558" t="s">
        <v>351</v>
      </c>
      <c r="K103" s="557" t="s">
        <v>681</v>
      </c>
      <c r="L103" s="542" t="s">
        <v>649</v>
      </c>
      <c r="M103" s="551">
        <v>43066</v>
      </c>
      <c r="N103" s="551">
        <v>43086</v>
      </c>
      <c r="O103" s="544" t="s">
        <v>955</v>
      </c>
      <c r="P103" s="553" t="s">
        <v>590</v>
      </c>
      <c r="Q103" s="60"/>
      <c r="R103" s="561" t="s">
        <v>1544</v>
      </c>
      <c r="S103" s="319"/>
      <c r="T103" s="338" t="s">
        <v>1991</v>
      </c>
    </row>
    <row r="104" spans="1:20" ht="20.100000000000001" customHeight="1">
      <c r="A104" s="1169" t="s">
        <v>2957</v>
      </c>
      <c r="B104" s="1169" t="s">
        <v>350</v>
      </c>
      <c r="C104" s="1169" t="s">
        <v>4085</v>
      </c>
      <c r="D104" s="525">
        <v>175</v>
      </c>
      <c r="E104" s="525">
        <v>350</v>
      </c>
      <c r="F104" s="525">
        <v>350</v>
      </c>
      <c r="G104" s="47" t="s">
        <v>37</v>
      </c>
      <c r="H104" s="194" t="s">
        <v>706</v>
      </c>
      <c r="I104" s="557" t="s">
        <v>17</v>
      </c>
      <c r="J104" s="558" t="s">
        <v>351</v>
      </c>
      <c r="K104" s="557" t="s">
        <v>681</v>
      </c>
      <c r="L104" s="542" t="s">
        <v>649</v>
      </c>
      <c r="M104" s="543">
        <v>43079</v>
      </c>
      <c r="N104" s="543">
        <v>43084</v>
      </c>
      <c r="O104" s="544" t="s">
        <v>955</v>
      </c>
      <c r="P104" s="553"/>
      <c r="Q104" s="60"/>
      <c r="R104" s="546" t="s">
        <v>1344</v>
      </c>
      <c r="S104" s="319" t="s">
        <v>1176</v>
      </c>
      <c r="T104" s="338"/>
    </row>
    <row r="105" spans="1:20" ht="20.100000000000001" customHeight="1">
      <c r="A105" s="1169" t="s">
        <v>2957</v>
      </c>
      <c r="B105" s="1169" t="s">
        <v>350</v>
      </c>
      <c r="C105" s="1169" t="s">
        <v>4085</v>
      </c>
      <c r="D105" s="885">
        <v>175</v>
      </c>
      <c r="E105" s="885">
        <v>350</v>
      </c>
      <c r="F105" s="885">
        <v>350</v>
      </c>
      <c r="G105" s="36" t="s">
        <v>13</v>
      </c>
      <c r="H105" s="36" t="s">
        <v>706</v>
      </c>
      <c r="I105" s="557" t="s">
        <v>17</v>
      </c>
      <c r="J105" s="558" t="s">
        <v>351</v>
      </c>
      <c r="K105" s="557" t="s">
        <v>681</v>
      </c>
      <c r="L105" s="542" t="s">
        <v>649</v>
      </c>
      <c r="M105" s="6">
        <v>43086</v>
      </c>
      <c r="N105" s="6">
        <v>43086</v>
      </c>
      <c r="O105" s="544" t="s">
        <v>955</v>
      </c>
      <c r="P105" s="545" t="s">
        <v>1406</v>
      </c>
      <c r="Q105" s="60"/>
      <c r="R105" s="546" t="s">
        <v>1339</v>
      </c>
      <c r="S105" s="319" t="s">
        <v>1176</v>
      </c>
      <c r="T105" s="338" t="s">
        <v>1997</v>
      </c>
    </row>
    <row r="106" spans="1:20" ht="20.100000000000001" customHeight="1">
      <c r="A106" s="1169" t="s">
        <v>2957</v>
      </c>
      <c r="B106" s="1169" t="s">
        <v>350</v>
      </c>
      <c r="C106" s="1169" t="s">
        <v>4085</v>
      </c>
      <c r="D106" s="525">
        <v>250</v>
      </c>
      <c r="E106" s="525">
        <v>500</v>
      </c>
      <c r="F106" s="525">
        <v>500</v>
      </c>
      <c r="G106" s="36" t="s">
        <v>36</v>
      </c>
      <c r="H106" s="36">
        <v>7</v>
      </c>
      <c r="I106" s="557" t="s">
        <v>17</v>
      </c>
      <c r="J106" s="558" t="s">
        <v>351</v>
      </c>
      <c r="K106" s="557" t="s">
        <v>721</v>
      </c>
      <c r="L106" s="542" t="s">
        <v>649</v>
      </c>
      <c r="M106" s="551">
        <v>43086</v>
      </c>
      <c r="N106" s="551">
        <v>43092</v>
      </c>
      <c r="O106" s="544" t="s">
        <v>955</v>
      </c>
      <c r="P106" s="545" t="s">
        <v>782</v>
      </c>
      <c r="Q106" s="60"/>
      <c r="R106" s="546" t="s">
        <v>315</v>
      </c>
      <c r="S106" s="315" t="s">
        <v>2852</v>
      </c>
      <c r="T106" s="317">
        <v>14</v>
      </c>
    </row>
    <row r="107" spans="1:20" ht="20.100000000000001" customHeight="1">
      <c r="A107" s="1127" t="s">
        <v>2957</v>
      </c>
      <c r="B107" s="1169" t="s">
        <v>350</v>
      </c>
      <c r="C107" s="1169" t="s">
        <v>352</v>
      </c>
      <c r="D107" s="526">
        <f>D122</f>
        <v>210</v>
      </c>
      <c r="E107" s="526">
        <f>E122</f>
        <v>420</v>
      </c>
      <c r="F107" s="526">
        <f>F122</f>
        <v>420</v>
      </c>
      <c r="G107" s="225" t="s">
        <v>22</v>
      </c>
      <c r="H107" s="36" t="s">
        <v>740</v>
      </c>
      <c r="I107" s="559" t="s">
        <v>80</v>
      </c>
      <c r="J107" s="558" t="s">
        <v>351</v>
      </c>
      <c r="K107" s="554" t="s">
        <v>20</v>
      </c>
      <c r="L107" s="559" t="s">
        <v>643</v>
      </c>
      <c r="M107" s="547">
        <v>43009</v>
      </c>
      <c r="N107" s="547">
        <v>43069</v>
      </c>
      <c r="O107" s="544" t="s">
        <v>955</v>
      </c>
      <c r="P107" s="553" t="s">
        <v>1884</v>
      </c>
      <c r="Q107" s="683"/>
      <c r="R107" s="561" t="s">
        <v>2019</v>
      </c>
      <c r="S107" s="316" t="s">
        <v>1176</v>
      </c>
      <c r="T107" s="317">
        <v>14</v>
      </c>
    </row>
    <row r="108" spans="1:20" ht="20.100000000000001" customHeight="1">
      <c r="A108" s="1127" t="s">
        <v>2957</v>
      </c>
      <c r="B108" s="1169" t="s">
        <v>350</v>
      </c>
      <c r="C108" s="1169" t="s">
        <v>352</v>
      </c>
      <c r="D108" s="32">
        <v>240</v>
      </c>
      <c r="E108" s="32">
        <v>480</v>
      </c>
      <c r="F108" s="32">
        <v>480</v>
      </c>
      <c r="G108" s="36" t="s">
        <v>33</v>
      </c>
      <c r="H108" s="56" t="s">
        <v>886</v>
      </c>
      <c r="I108" s="542" t="s">
        <v>80</v>
      </c>
      <c r="J108" s="558" t="s">
        <v>351</v>
      </c>
      <c r="K108" s="542">
        <v>16</v>
      </c>
      <c r="L108" s="557" t="s">
        <v>637</v>
      </c>
      <c r="M108" s="549">
        <v>43050</v>
      </c>
      <c r="N108" s="549">
        <v>43079</v>
      </c>
      <c r="O108" s="544" t="s">
        <v>955</v>
      </c>
      <c r="P108" s="553"/>
      <c r="Q108" s="53"/>
      <c r="R108" s="561" t="s">
        <v>1074</v>
      </c>
      <c r="S108" s="315" t="s">
        <v>2850</v>
      </c>
      <c r="T108" s="338"/>
    </row>
    <row r="109" spans="1:20" ht="20.100000000000001" customHeight="1">
      <c r="A109" s="1127" t="s">
        <v>2957</v>
      </c>
      <c r="B109" s="1169" t="s">
        <v>350</v>
      </c>
      <c r="C109" s="1169" t="s">
        <v>352</v>
      </c>
      <c r="D109" s="728">
        <v>563</v>
      </c>
      <c r="E109" s="728">
        <v>663</v>
      </c>
      <c r="F109" s="728">
        <v>663</v>
      </c>
      <c r="G109" s="36" t="s">
        <v>19</v>
      </c>
      <c r="H109" s="56">
        <v>2</v>
      </c>
      <c r="I109" s="557" t="s">
        <v>16</v>
      </c>
      <c r="J109" s="571" t="s">
        <v>351</v>
      </c>
      <c r="K109" s="566" t="s">
        <v>746</v>
      </c>
      <c r="L109" s="559" t="s">
        <v>639</v>
      </c>
      <c r="M109" s="559"/>
      <c r="N109" s="549">
        <v>42825</v>
      </c>
      <c r="O109" s="544" t="s">
        <v>955</v>
      </c>
      <c r="P109" s="553"/>
      <c r="Q109" s="52"/>
      <c r="R109" s="546" t="s">
        <v>187</v>
      </c>
      <c r="S109" s="322"/>
      <c r="T109" s="338"/>
    </row>
    <row r="110" spans="1:20" ht="20.100000000000001" customHeight="1">
      <c r="A110" s="1127" t="s">
        <v>2957</v>
      </c>
      <c r="B110" s="1169" t="s">
        <v>350</v>
      </c>
      <c r="C110" s="1169" t="s">
        <v>352</v>
      </c>
      <c r="D110" s="526">
        <v>255</v>
      </c>
      <c r="E110" s="526">
        <v>510</v>
      </c>
      <c r="F110" s="526">
        <v>510</v>
      </c>
      <c r="G110" s="66" t="s">
        <v>6</v>
      </c>
      <c r="H110" s="22" t="s">
        <v>721</v>
      </c>
      <c r="I110" s="558" t="s">
        <v>16</v>
      </c>
      <c r="J110" s="558" t="s">
        <v>351</v>
      </c>
      <c r="K110" s="564">
        <v>16</v>
      </c>
      <c r="L110" s="559" t="s">
        <v>639</v>
      </c>
      <c r="M110" s="549">
        <v>43070</v>
      </c>
      <c r="N110" s="549">
        <v>43074</v>
      </c>
      <c r="O110" s="544" t="s">
        <v>955</v>
      </c>
      <c r="P110" s="572"/>
      <c r="Q110" s="745"/>
      <c r="R110" s="546" t="s">
        <v>1694</v>
      </c>
      <c r="S110" s="316" t="s">
        <v>2853</v>
      </c>
      <c r="T110" s="338" t="s">
        <v>2874</v>
      </c>
    </row>
    <row r="111" spans="1:20" ht="20.100000000000001" customHeight="1">
      <c r="A111" s="1127" t="s">
        <v>2957</v>
      </c>
      <c r="B111" s="1169" t="s">
        <v>350</v>
      </c>
      <c r="C111" s="1169" t="s">
        <v>352</v>
      </c>
      <c r="D111" s="525">
        <v>345</v>
      </c>
      <c r="E111" s="525">
        <v>515</v>
      </c>
      <c r="F111" s="525">
        <v>490</v>
      </c>
      <c r="G111" s="48" t="s">
        <v>568</v>
      </c>
      <c r="H111" s="36" t="s">
        <v>2108</v>
      </c>
      <c r="I111" s="557" t="s">
        <v>16</v>
      </c>
      <c r="J111" s="564" t="s">
        <v>351</v>
      </c>
      <c r="K111" s="566" t="s">
        <v>2110</v>
      </c>
      <c r="L111" s="559" t="s">
        <v>643</v>
      </c>
      <c r="M111" s="551">
        <v>43070</v>
      </c>
      <c r="N111" s="551">
        <v>43083</v>
      </c>
      <c r="O111" s="544" t="s">
        <v>955</v>
      </c>
      <c r="P111" s="553"/>
      <c r="Q111" s="60"/>
      <c r="R111" s="555" t="s">
        <v>1783</v>
      </c>
      <c r="S111" s="321"/>
      <c r="T111" s="338"/>
    </row>
    <row r="112" spans="1:20" ht="20.100000000000001" customHeight="1">
      <c r="A112" s="732" t="s">
        <v>1070</v>
      </c>
      <c r="B112" s="573" t="s">
        <v>350</v>
      </c>
      <c r="C112" s="573" t="s">
        <v>352</v>
      </c>
      <c r="D112" s="526">
        <f>D122</f>
        <v>210</v>
      </c>
      <c r="E112" s="526">
        <f>E122</f>
        <v>420</v>
      </c>
      <c r="F112" s="526">
        <f>F122</f>
        <v>420</v>
      </c>
      <c r="G112" s="225" t="s">
        <v>22</v>
      </c>
      <c r="H112" s="36" t="s">
        <v>740</v>
      </c>
      <c r="I112" s="559" t="s">
        <v>80</v>
      </c>
      <c r="J112" s="558" t="s">
        <v>1155</v>
      </c>
      <c r="K112" s="554" t="s">
        <v>20</v>
      </c>
      <c r="L112" s="559" t="s">
        <v>643</v>
      </c>
      <c r="M112" s="547">
        <v>43009</v>
      </c>
      <c r="N112" s="547">
        <v>43069</v>
      </c>
      <c r="O112" s="544" t="s">
        <v>955</v>
      </c>
      <c r="P112" s="553" t="s">
        <v>1884</v>
      </c>
      <c r="Q112" s="683"/>
      <c r="R112" s="561" t="s">
        <v>2019</v>
      </c>
      <c r="S112" s="316" t="s">
        <v>1176</v>
      </c>
      <c r="T112" s="317">
        <v>14</v>
      </c>
    </row>
    <row r="113" spans="1:20" ht="20.100000000000001" customHeight="1">
      <c r="A113" s="1127" t="s">
        <v>1070</v>
      </c>
      <c r="B113" s="1169" t="s">
        <v>350</v>
      </c>
      <c r="C113" s="1169" t="s">
        <v>352</v>
      </c>
      <c r="D113" s="526">
        <v>180</v>
      </c>
      <c r="E113" s="526">
        <v>360</v>
      </c>
      <c r="F113" s="526">
        <v>360</v>
      </c>
      <c r="G113" s="47" t="s">
        <v>232</v>
      </c>
      <c r="H113" s="36">
        <v>5</v>
      </c>
      <c r="I113" s="557" t="s">
        <v>17</v>
      </c>
      <c r="J113" s="564" t="s">
        <v>353</v>
      </c>
      <c r="K113" s="566">
        <v>12</v>
      </c>
      <c r="L113" s="559" t="s">
        <v>639</v>
      </c>
      <c r="M113" s="551">
        <v>43046</v>
      </c>
      <c r="N113" s="551">
        <v>43086</v>
      </c>
      <c r="O113" s="544" t="s">
        <v>955</v>
      </c>
      <c r="P113" s="545" t="s">
        <v>585</v>
      </c>
      <c r="Q113" s="683"/>
      <c r="R113" s="546" t="s">
        <v>1352</v>
      </c>
      <c r="S113" s="319"/>
      <c r="T113" s="317" t="s">
        <v>1678</v>
      </c>
    </row>
    <row r="114" spans="1:20" ht="20.100000000000001" customHeight="1">
      <c r="A114" s="1127" t="s">
        <v>2957</v>
      </c>
      <c r="B114" s="1169" t="s">
        <v>350</v>
      </c>
      <c r="C114" s="1169" t="s">
        <v>352</v>
      </c>
      <c r="D114" s="885">
        <v>230</v>
      </c>
      <c r="E114" s="885">
        <v>460</v>
      </c>
      <c r="F114" s="885">
        <v>460</v>
      </c>
      <c r="G114" s="48" t="s">
        <v>87</v>
      </c>
      <c r="H114" s="36">
        <v>5</v>
      </c>
      <c r="I114" s="558" t="s">
        <v>17</v>
      </c>
      <c r="J114" s="564" t="s">
        <v>353</v>
      </c>
      <c r="K114" s="566">
        <v>12</v>
      </c>
      <c r="L114" s="559" t="s">
        <v>639</v>
      </c>
      <c r="M114" s="551">
        <v>43089</v>
      </c>
      <c r="N114" s="551">
        <v>43095</v>
      </c>
      <c r="O114" s="544" t="s">
        <v>955</v>
      </c>
      <c r="P114" s="553" t="s">
        <v>586</v>
      </c>
      <c r="Q114" s="683"/>
      <c r="R114" s="556" t="s">
        <v>1352</v>
      </c>
      <c r="S114" s="315" t="s">
        <v>2849</v>
      </c>
      <c r="T114" s="317" t="s">
        <v>1678</v>
      </c>
    </row>
    <row r="115" spans="1:20" ht="20.100000000000001" customHeight="1">
      <c r="A115" s="1127" t="s">
        <v>2957</v>
      </c>
      <c r="B115" s="1169" t="s">
        <v>350</v>
      </c>
      <c r="C115" s="1169" t="s">
        <v>352</v>
      </c>
      <c r="D115" s="526">
        <v>400</v>
      </c>
      <c r="E115" s="526">
        <v>700</v>
      </c>
      <c r="F115" s="526">
        <v>700</v>
      </c>
      <c r="G115" s="48" t="s">
        <v>13</v>
      </c>
      <c r="H115" s="48" t="s">
        <v>760</v>
      </c>
      <c r="I115" s="558" t="s">
        <v>16</v>
      </c>
      <c r="J115" s="564" t="s">
        <v>353</v>
      </c>
      <c r="K115" s="558">
        <v>16</v>
      </c>
      <c r="L115" s="557" t="s">
        <v>637</v>
      </c>
      <c r="M115" s="6">
        <v>43040</v>
      </c>
      <c r="N115" s="6">
        <v>43100</v>
      </c>
      <c r="O115" s="544" t="s">
        <v>955</v>
      </c>
      <c r="P115" s="553"/>
      <c r="Q115" s="677"/>
      <c r="R115" s="546" t="s">
        <v>1958</v>
      </c>
      <c r="S115" s="319" t="s">
        <v>1176</v>
      </c>
      <c r="T115" s="338" t="s">
        <v>1997</v>
      </c>
    </row>
    <row r="116" spans="1:20" ht="20.100000000000001" customHeight="1">
      <c r="A116" s="1127" t="s">
        <v>2957</v>
      </c>
      <c r="B116" s="1169" t="s">
        <v>350</v>
      </c>
      <c r="C116" s="1169" t="s">
        <v>352</v>
      </c>
      <c r="D116" s="525">
        <f>D57+300</f>
        <v>475</v>
      </c>
      <c r="E116" s="525">
        <f>E57+450</f>
        <v>800</v>
      </c>
      <c r="F116" s="525">
        <f>F57+450</f>
        <v>800</v>
      </c>
      <c r="G116" s="225" t="s">
        <v>814</v>
      </c>
      <c r="H116" s="674" t="s">
        <v>742</v>
      </c>
      <c r="I116" s="542" t="s">
        <v>122</v>
      </c>
      <c r="J116" s="566" t="s">
        <v>353</v>
      </c>
      <c r="K116" s="559" t="s">
        <v>726</v>
      </c>
      <c r="L116" s="542" t="s">
        <v>649</v>
      </c>
      <c r="M116" s="547">
        <v>43074</v>
      </c>
      <c r="N116" s="547">
        <v>43086</v>
      </c>
      <c r="O116" s="544" t="s">
        <v>955</v>
      </c>
      <c r="P116" s="545" t="s">
        <v>589</v>
      </c>
      <c r="Q116" s="7" t="s">
        <v>4319</v>
      </c>
      <c r="R116" s="546" t="s">
        <v>199</v>
      </c>
      <c r="S116" s="319" t="s">
        <v>1176</v>
      </c>
      <c r="T116" s="317" t="s">
        <v>2872</v>
      </c>
    </row>
    <row r="117" spans="1:20" ht="20.100000000000001" customHeight="1">
      <c r="A117" s="1127" t="s">
        <v>2957</v>
      </c>
      <c r="B117" s="1169" t="s">
        <v>350</v>
      </c>
      <c r="C117" s="1169" t="s">
        <v>352</v>
      </c>
      <c r="D117" s="525">
        <f>D64+300</f>
        <v>475</v>
      </c>
      <c r="E117" s="525">
        <f>E64+450</f>
        <v>800</v>
      </c>
      <c r="F117" s="525">
        <f>F64+450</f>
        <v>800</v>
      </c>
      <c r="G117" s="225" t="s">
        <v>814</v>
      </c>
      <c r="H117" s="674" t="s">
        <v>659</v>
      </c>
      <c r="I117" s="542" t="s">
        <v>122</v>
      </c>
      <c r="J117" s="566" t="s">
        <v>353</v>
      </c>
      <c r="K117" s="559" t="s">
        <v>726</v>
      </c>
      <c r="L117" s="542" t="s">
        <v>649</v>
      </c>
      <c r="M117" s="547">
        <v>43075</v>
      </c>
      <c r="N117" s="547">
        <v>43086</v>
      </c>
      <c r="O117" s="544" t="s">
        <v>955</v>
      </c>
      <c r="P117" s="545" t="s">
        <v>589</v>
      </c>
      <c r="Q117" s="52"/>
      <c r="R117" s="546" t="s">
        <v>193</v>
      </c>
      <c r="S117" s="319" t="s">
        <v>1176</v>
      </c>
      <c r="T117" s="317" t="s">
        <v>2872</v>
      </c>
    </row>
    <row r="118" spans="1:20" ht="20.100000000000001" customHeight="1">
      <c r="A118" s="1127" t="s">
        <v>2957</v>
      </c>
      <c r="B118" s="1169" t="s">
        <v>350</v>
      </c>
      <c r="C118" s="1169" t="s">
        <v>352</v>
      </c>
      <c r="D118" s="525">
        <f>D59+10</f>
        <v>190</v>
      </c>
      <c r="E118" s="525">
        <f>E59+20</f>
        <v>380</v>
      </c>
      <c r="F118" s="525">
        <f>F59+20</f>
        <v>380</v>
      </c>
      <c r="G118" s="67" t="s">
        <v>232</v>
      </c>
      <c r="H118" s="56">
        <v>3</v>
      </c>
      <c r="I118" s="566" t="s">
        <v>122</v>
      </c>
      <c r="J118" s="566" t="s">
        <v>353</v>
      </c>
      <c r="K118" s="566">
        <v>6</v>
      </c>
      <c r="L118" s="559" t="s">
        <v>639</v>
      </c>
      <c r="M118" s="551">
        <v>43046</v>
      </c>
      <c r="N118" s="551">
        <v>43086</v>
      </c>
      <c r="O118" s="544" t="s">
        <v>955</v>
      </c>
      <c r="P118" s="545" t="s">
        <v>585</v>
      </c>
      <c r="Q118" s="52"/>
      <c r="R118" s="546" t="s">
        <v>165</v>
      </c>
      <c r="S118" s="319"/>
      <c r="T118" s="317" t="s">
        <v>1678</v>
      </c>
    </row>
    <row r="119" spans="1:20" ht="20.100000000000001" customHeight="1">
      <c r="A119" s="1127" t="s">
        <v>2957</v>
      </c>
      <c r="B119" s="1169" t="s">
        <v>350</v>
      </c>
      <c r="C119" s="1169" t="s">
        <v>352</v>
      </c>
      <c r="D119" s="525">
        <f>D82+300</f>
        <v>455</v>
      </c>
      <c r="E119" s="525">
        <f>E82+450</f>
        <v>760</v>
      </c>
      <c r="F119" s="525">
        <f>F82+450</f>
        <v>760</v>
      </c>
      <c r="G119" s="225" t="s">
        <v>814</v>
      </c>
      <c r="H119" s="56" t="s">
        <v>681</v>
      </c>
      <c r="I119" s="542" t="s">
        <v>122</v>
      </c>
      <c r="J119" s="566" t="s">
        <v>353</v>
      </c>
      <c r="K119" s="559" t="s">
        <v>726</v>
      </c>
      <c r="L119" s="542" t="s">
        <v>641</v>
      </c>
      <c r="M119" s="547">
        <v>43077</v>
      </c>
      <c r="N119" s="547">
        <v>43086</v>
      </c>
      <c r="O119" s="544" t="s">
        <v>955</v>
      </c>
      <c r="P119" s="545" t="s">
        <v>589</v>
      </c>
      <c r="Q119" s="683" t="s">
        <v>4173</v>
      </c>
      <c r="R119" s="546" t="s">
        <v>261</v>
      </c>
      <c r="S119" s="319" t="s">
        <v>1176</v>
      </c>
      <c r="T119" s="317" t="s">
        <v>2872</v>
      </c>
    </row>
    <row r="120" spans="1:20" ht="20.100000000000001" customHeight="1">
      <c r="A120" s="1127" t="s">
        <v>2957</v>
      </c>
      <c r="B120" s="1169" t="s">
        <v>350</v>
      </c>
      <c r="C120" s="1169" t="s">
        <v>352</v>
      </c>
      <c r="D120" s="526">
        <f>D98+150</f>
        <v>330</v>
      </c>
      <c r="E120" s="526">
        <f>E98+220</f>
        <v>580</v>
      </c>
      <c r="F120" s="526">
        <f>F98+220</f>
        <v>580</v>
      </c>
      <c r="G120" s="698" t="s">
        <v>28</v>
      </c>
      <c r="H120" s="36">
        <v>7</v>
      </c>
      <c r="I120" s="574" t="s">
        <v>122</v>
      </c>
      <c r="J120" s="564" t="s">
        <v>353</v>
      </c>
      <c r="K120" s="559" t="s">
        <v>706</v>
      </c>
      <c r="L120" s="542" t="s">
        <v>649</v>
      </c>
      <c r="M120" s="549">
        <v>43062</v>
      </c>
      <c r="N120" s="549">
        <v>43089</v>
      </c>
      <c r="O120" s="544" t="s">
        <v>955</v>
      </c>
      <c r="P120" s="553"/>
      <c r="Q120" s="683"/>
      <c r="R120" s="546" t="s">
        <v>188</v>
      </c>
      <c r="S120" s="316" t="s">
        <v>1176</v>
      </c>
      <c r="T120" s="338"/>
    </row>
    <row r="121" spans="1:20" ht="20.100000000000001" customHeight="1">
      <c r="A121" s="1127" t="s">
        <v>1070</v>
      </c>
      <c r="B121" s="1169" t="s">
        <v>350</v>
      </c>
      <c r="C121" s="1169" t="s">
        <v>352</v>
      </c>
      <c r="D121" s="525">
        <v>320</v>
      </c>
      <c r="E121" s="525">
        <v>630</v>
      </c>
      <c r="F121" s="525">
        <v>630</v>
      </c>
      <c r="G121" s="56" t="s">
        <v>62</v>
      </c>
      <c r="H121" s="56" t="s">
        <v>729</v>
      </c>
      <c r="I121" s="566" t="s">
        <v>80</v>
      </c>
      <c r="J121" s="559" t="s">
        <v>354</v>
      </c>
      <c r="K121" s="559" t="s">
        <v>723</v>
      </c>
      <c r="L121" s="542" t="s">
        <v>639</v>
      </c>
      <c r="M121" s="549">
        <v>43039</v>
      </c>
      <c r="N121" s="549">
        <v>43086</v>
      </c>
      <c r="O121" s="544" t="s">
        <v>955</v>
      </c>
      <c r="P121" s="562"/>
      <c r="Q121" s="7"/>
      <c r="R121" s="546" t="s">
        <v>437</v>
      </c>
      <c r="S121" s="315" t="s">
        <v>2848</v>
      </c>
      <c r="T121" s="338" t="s">
        <v>1897</v>
      </c>
    </row>
    <row r="122" spans="1:20" ht="20.100000000000001" customHeight="1">
      <c r="A122" s="1127" t="s">
        <v>2957</v>
      </c>
      <c r="B122" s="1169" t="s">
        <v>350</v>
      </c>
      <c r="C122" s="1169" t="s">
        <v>352</v>
      </c>
      <c r="D122" s="526">
        <v>210</v>
      </c>
      <c r="E122" s="526">
        <v>420</v>
      </c>
      <c r="F122" s="526">
        <v>420</v>
      </c>
      <c r="G122" s="224" t="s">
        <v>22</v>
      </c>
      <c r="H122" s="36" t="s">
        <v>740</v>
      </c>
      <c r="I122" s="559" t="s">
        <v>80</v>
      </c>
      <c r="J122" s="557" t="s">
        <v>354</v>
      </c>
      <c r="K122" s="554" t="s">
        <v>20</v>
      </c>
      <c r="L122" s="559" t="s">
        <v>643</v>
      </c>
      <c r="M122" s="547">
        <v>43009</v>
      </c>
      <c r="N122" s="547">
        <v>43069</v>
      </c>
      <c r="O122" s="544" t="s">
        <v>955</v>
      </c>
      <c r="P122" s="553" t="s">
        <v>1884</v>
      </c>
      <c r="Q122" s="683"/>
      <c r="R122" s="561" t="s">
        <v>2019</v>
      </c>
      <c r="S122" s="316" t="s">
        <v>1176</v>
      </c>
      <c r="T122" s="317">
        <v>14</v>
      </c>
    </row>
    <row r="123" spans="1:20" ht="20.100000000000001" customHeight="1">
      <c r="A123" s="1127" t="s">
        <v>2957</v>
      </c>
      <c r="B123" s="1169" t="s">
        <v>350</v>
      </c>
      <c r="C123" s="1169" t="s">
        <v>352</v>
      </c>
      <c r="D123" s="525">
        <f>D57+500</f>
        <v>675</v>
      </c>
      <c r="E123" s="525">
        <f>E57+600</f>
        <v>950</v>
      </c>
      <c r="F123" s="525">
        <f>F57+600</f>
        <v>950</v>
      </c>
      <c r="G123" s="225" t="s">
        <v>814</v>
      </c>
      <c r="H123" s="674" t="s">
        <v>742</v>
      </c>
      <c r="I123" s="542" t="s">
        <v>122</v>
      </c>
      <c r="J123" s="542" t="s">
        <v>354</v>
      </c>
      <c r="K123" s="559" t="s">
        <v>726</v>
      </c>
      <c r="L123" s="542" t="s">
        <v>649</v>
      </c>
      <c r="M123" s="547">
        <v>43074</v>
      </c>
      <c r="N123" s="547">
        <v>43086</v>
      </c>
      <c r="O123" s="544" t="s">
        <v>955</v>
      </c>
      <c r="P123" s="545" t="s">
        <v>589</v>
      </c>
      <c r="Q123" s="7" t="s">
        <v>4319</v>
      </c>
      <c r="R123" s="546" t="s">
        <v>199</v>
      </c>
      <c r="S123" s="319" t="s">
        <v>1176</v>
      </c>
      <c r="T123" s="317" t="s">
        <v>2872</v>
      </c>
    </row>
    <row r="124" spans="1:20" ht="20.100000000000001" customHeight="1">
      <c r="A124" s="1127" t="s">
        <v>2957</v>
      </c>
      <c r="B124" s="1169" t="s">
        <v>350</v>
      </c>
      <c r="C124" s="1169" t="s">
        <v>352</v>
      </c>
      <c r="D124" s="525">
        <f>D64+500</f>
        <v>675</v>
      </c>
      <c r="E124" s="525">
        <f>E64+600</f>
        <v>950</v>
      </c>
      <c r="F124" s="525">
        <f>F64+600</f>
        <v>950</v>
      </c>
      <c r="G124" s="225" t="s">
        <v>814</v>
      </c>
      <c r="H124" s="674" t="s">
        <v>659</v>
      </c>
      <c r="I124" s="542" t="s">
        <v>122</v>
      </c>
      <c r="J124" s="542" t="s">
        <v>354</v>
      </c>
      <c r="K124" s="559" t="s">
        <v>726</v>
      </c>
      <c r="L124" s="542" t="s">
        <v>649</v>
      </c>
      <c r="M124" s="547">
        <v>43075</v>
      </c>
      <c r="N124" s="547">
        <v>43086</v>
      </c>
      <c r="O124" s="544" t="s">
        <v>955</v>
      </c>
      <c r="P124" s="545" t="s">
        <v>589</v>
      </c>
      <c r="Q124" s="52"/>
      <c r="R124" s="546" t="s">
        <v>193</v>
      </c>
      <c r="S124" s="319" t="s">
        <v>1176</v>
      </c>
      <c r="T124" s="317" t="s">
        <v>2872</v>
      </c>
    </row>
    <row r="125" spans="1:20" ht="20.100000000000001" customHeight="1">
      <c r="A125" s="1127" t="s">
        <v>2957</v>
      </c>
      <c r="B125" s="1169" t="s">
        <v>350</v>
      </c>
      <c r="C125" s="1169" t="s">
        <v>352</v>
      </c>
      <c r="D125" s="526">
        <f>D82+500</f>
        <v>655</v>
      </c>
      <c r="E125" s="526">
        <f>E82+600</f>
        <v>910</v>
      </c>
      <c r="F125" s="526">
        <f>F82+600</f>
        <v>910</v>
      </c>
      <c r="G125" s="225" t="s">
        <v>814</v>
      </c>
      <c r="H125" s="674" t="s">
        <v>681</v>
      </c>
      <c r="I125" s="542" t="s">
        <v>122</v>
      </c>
      <c r="J125" s="542" t="s">
        <v>354</v>
      </c>
      <c r="K125" s="559" t="s">
        <v>726</v>
      </c>
      <c r="L125" s="542" t="s">
        <v>641</v>
      </c>
      <c r="M125" s="547">
        <v>43077</v>
      </c>
      <c r="N125" s="547">
        <v>43086</v>
      </c>
      <c r="O125" s="25" t="s">
        <v>955</v>
      </c>
      <c r="P125" s="545" t="s">
        <v>589</v>
      </c>
      <c r="Q125" s="683" t="s">
        <v>4173</v>
      </c>
      <c r="R125" s="546" t="s">
        <v>261</v>
      </c>
      <c r="S125" s="319" t="s">
        <v>1176</v>
      </c>
      <c r="T125" s="317" t="s">
        <v>2872</v>
      </c>
    </row>
    <row r="126" spans="1:20" ht="20.100000000000001" customHeight="1">
      <c r="A126" s="1127" t="s">
        <v>1070</v>
      </c>
      <c r="B126" s="1169" t="s">
        <v>350</v>
      </c>
      <c r="C126" s="1169" t="s">
        <v>352</v>
      </c>
      <c r="D126" s="525">
        <v>420</v>
      </c>
      <c r="E126" s="525">
        <v>840</v>
      </c>
      <c r="F126" s="525">
        <v>840</v>
      </c>
      <c r="G126" s="36" t="s">
        <v>36</v>
      </c>
      <c r="H126" s="47">
        <v>4</v>
      </c>
      <c r="I126" s="557" t="s">
        <v>17</v>
      </c>
      <c r="J126" s="542" t="s">
        <v>1391</v>
      </c>
      <c r="K126" s="554" t="s">
        <v>706</v>
      </c>
      <c r="L126" s="542" t="s">
        <v>649</v>
      </c>
      <c r="M126" s="551">
        <v>42670</v>
      </c>
      <c r="N126" s="551">
        <v>43092</v>
      </c>
      <c r="O126" s="544" t="s">
        <v>955</v>
      </c>
      <c r="P126" s="545" t="s">
        <v>782</v>
      </c>
      <c r="Q126" s="7"/>
      <c r="R126" s="546" t="s">
        <v>308</v>
      </c>
      <c r="S126" s="315" t="s">
        <v>2852</v>
      </c>
      <c r="T126" s="317">
        <v>14</v>
      </c>
    </row>
    <row r="127" spans="1:20" ht="20.100000000000001" customHeight="1">
      <c r="A127" s="1127" t="s">
        <v>1070</v>
      </c>
      <c r="B127" s="1169" t="s">
        <v>350</v>
      </c>
      <c r="C127" s="1169" t="s">
        <v>352</v>
      </c>
      <c r="D127" s="525"/>
      <c r="E127" s="525"/>
      <c r="F127" s="525"/>
      <c r="G127" s="36" t="s">
        <v>36</v>
      </c>
      <c r="H127" s="47" t="s">
        <v>706</v>
      </c>
      <c r="I127" s="557" t="s">
        <v>17</v>
      </c>
      <c r="J127" s="542" t="s">
        <v>1391</v>
      </c>
      <c r="K127" s="554" t="s">
        <v>725</v>
      </c>
      <c r="L127" s="542" t="s">
        <v>649</v>
      </c>
      <c r="M127" s="551">
        <v>42670</v>
      </c>
      <c r="N127" s="551">
        <v>43092</v>
      </c>
      <c r="O127" s="544" t="s">
        <v>955</v>
      </c>
      <c r="P127" s="545" t="s">
        <v>782</v>
      </c>
      <c r="Q127" s="683"/>
      <c r="R127" s="546" t="s">
        <v>311</v>
      </c>
      <c r="S127" s="315" t="s">
        <v>2852</v>
      </c>
      <c r="T127" s="317">
        <v>14</v>
      </c>
    </row>
    <row r="128" spans="1:20" ht="20.100000000000001" customHeight="1">
      <c r="A128" s="1169" t="s">
        <v>2957</v>
      </c>
      <c r="B128" s="1169" t="s">
        <v>350</v>
      </c>
      <c r="C128" s="1169" t="s">
        <v>216</v>
      </c>
      <c r="D128" s="526">
        <v>0</v>
      </c>
      <c r="E128" s="526">
        <v>0</v>
      </c>
      <c r="F128" s="526">
        <v>0</v>
      </c>
      <c r="G128" s="696" t="s">
        <v>558</v>
      </c>
      <c r="H128" s="48">
        <v>2</v>
      </c>
      <c r="I128" s="557" t="s">
        <v>17</v>
      </c>
      <c r="J128" s="559" t="s">
        <v>1186</v>
      </c>
      <c r="K128" s="564">
        <v>6</v>
      </c>
      <c r="L128" s="542" t="s">
        <v>649</v>
      </c>
      <c r="M128" s="549">
        <v>43081</v>
      </c>
      <c r="N128" s="549">
        <v>43086</v>
      </c>
      <c r="O128" s="544" t="s">
        <v>955</v>
      </c>
      <c r="P128" s="553" t="s">
        <v>1998</v>
      </c>
      <c r="Q128" s="52"/>
      <c r="R128" s="546" t="s">
        <v>1552</v>
      </c>
      <c r="S128" s="319"/>
      <c r="T128" s="338" t="s">
        <v>2272</v>
      </c>
    </row>
    <row r="129" spans="1:20" ht="20.100000000000001" customHeight="1">
      <c r="A129" s="1169" t="s">
        <v>2957</v>
      </c>
      <c r="B129" s="1169" t="s">
        <v>350</v>
      </c>
      <c r="C129" s="1169" t="s">
        <v>216</v>
      </c>
      <c r="D129" s="525">
        <v>80</v>
      </c>
      <c r="E129" s="525">
        <v>160</v>
      </c>
      <c r="F129" s="525">
        <v>160</v>
      </c>
      <c r="G129" s="36" t="s">
        <v>36</v>
      </c>
      <c r="H129" s="48">
        <v>2</v>
      </c>
      <c r="I129" s="557" t="s">
        <v>17</v>
      </c>
      <c r="J129" s="559" t="s">
        <v>1186</v>
      </c>
      <c r="K129" s="564">
        <v>6</v>
      </c>
      <c r="L129" s="542" t="s">
        <v>649</v>
      </c>
      <c r="M129" s="551">
        <v>43088</v>
      </c>
      <c r="N129" s="551">
        <v>43088</v>
      </c>
      <c r="O129" s="544" t="s">
        <v>955</v>
      </c>
      <c r="P129" s="545" t="s">
        <v>592</v>
      </c>
      <c r="Q129" s="52"/>
      <c r="R129" s="546" t="s">
        <v>307</v>
      </c>
      <c r="S129" s="315" t="s">
        <v>2852</v>
      </c>
      <c r="T129" s="317">
        <v>14</v>
      </c>
    </row>
    <row r="130" spans="1:20" ht="20.100000000000001" customHeight="1">
      <c r="A130" s="1169" t="s">
        <v>2957</v>
      </c>
      <c r="B130" s="1169" t="s">
        <v>350</v>
      </c>
      <c r="C130" s="1169" t="s">
        <v>216</v>
      </c>
      <c r="D130" s="525">
        <v>0</v>
      </c>
      <c r="E130" s="525">
        <v>0</v>
      </c>
      <c r="F130" s="525">
        <v>0</v>
      </c>
      <c r="G130" s="68" t="s">
        <v>148</v>
      </c>
      <c r="H130" s="56">
        <v>3</v>
      </c>
      <c r="I130" s="558" t="s">
        <v>17</v>
      </c>
      <c r="J130" s="559" t="s">
        <v>887</v>
      </c>
      <c r="K130" s="564" t="s">
        <v>706</v>
      </c>
      <c r="L130" s="542" t="s">
        <v>639</v>
      </c>
      <c r="M130" s="551">
        <v>43080</v>
      </c>
      <c r="N130" s="551">
        <v>43086</v>
      </c>
      <c r="O130" s="544" t="s">
        <v>955</v>
      </c>
      <c r="P130" s="553"/>
      <c r="Q130" s="52"/>
      <c r="R130" s="546" t="s">
        <v>894</v>
      </c>
      <c r="S130" s="319"/>
      <c r="T130" s="338" t="s">
        <v>1991</v>
      </c>
    </row>
    <row r="131" spans="1:20" ht="20.100000000000001" customHeight="1">
      <c r="A131" s="1169" t="s">
        <v>2957</v>
      </c>
      <c r="B131" s="1169" t="s">
        <v>350</v>
      </c>
      <c r="C131" s="1169" t="s">
        <v>216</v>
      </c>
      <c r="D131" s="525">
        <v>70</v>
      </c>
      <c r="E131" s="525">
        <v>140</v>
      </c>
      <c r="F131" s="525">
        <v>140</v>
      </c>
      <c r="G131" s="68" t="s">
        <v>873</v>
      </c>
      <c r="H131" s="56">
        <v>3</v>
      </c>
      <c r="I131" s="558" t="s">
        <v>17</v>
      </c>
      <c r="J131" s="559" t="s">
        <v>887</v>
      </c>
      <c r="K131" s="564" t="s">
        <v>706</v>
      </c>
      <c r="L131" s="542" t="s">
        <v>639</v>
      </c>
      <c r="M131" s="551">
        <v>43082</v>
      </c>
      <c r="N131" s="551">
        <v>43086</v>
      </c>
      <c r="O131" s="544" t="s">
        <v>955</v>
      </c>
      <c r="P131" s="553"/>
      <c r="Q131" s="52"/>
      <c r="R131" s="546" t="s">
        <v>894</v>
      </c>
      <c r="S131" s="319"/>
      <c r="T131" s="338" t="s">
        <v>1988</v>
      </c>
    </row>
    <row r="132" spans="1:20" ht="20.100000000000001" customHeight="1">
      <c r="A132" s="1169" t="s">
        <v>2957</v>
      </c>
      <c r="B132" s="1169" t="s">
        <v>350</v>
      </c>
      <c r="C132" s="1169" t="s">
        <v>216</v>
      </c>
      <c r="D132" s="525">
        <v>80</v>
      </c>
      <c r="E132" s="525">
        <v>160</v>
      </c>
      <c r="F132" s="525">
        <v>160</v>
      </c>
      <c r="G132" s="699" t="s">
        <v>491</v>
      </c>
      <c r="H132" s="48">
        <v>3</v>
      </c>
      <c r="I132" s="558" t="s">
        <v>17</v>
      </c>
      <c r="J132" s="559" t="s">
        <v>889</v>
      </c>
      <c r="K132" s="564" t="s">
        <v>725</v>
      </c>
      <c r="L132" s="542" t="s">
        <v>641</v>
      </c>
      <c r="M132" s="547">
        <v>43082</v>
      </c>
      <c r="N132" s="547">
        <v>43086</v>
      </c>
      <c r="O132" s="544" t="s">
        <v>955</v>
      </c>
      <c r="P132" s="565" t="s">
        <v>2020</v>
      </c>
      <c r="Q132" s="52"/>
      <c r="R132" s="546" t="s">
        <v>757</v>
      </c>
      <c r="S132" s="704" t="s">
        <v>1176</v>
      </c>
      <c r="T132" s="338" t="s">
        <v>1678</v>
      </c>
    </row>
    <row r="133" spans="1:20" ht="20.100000000000001" customHeight="1">
      <c r="A133" s="1169" t="s">
        <v>2957</v>
      </c>
      <c r="B133" s="1169" t="s">
        <v>350</v>
      </c>
      <c r="C133" s="1169" t="s">
        <v>216</v>
      </c>
      <c r="D133" s="525">
        <v>10</v>
      </c>
      <c r="E133" s="525">
        <v>20</v>
      </c>
      <c r="F133" s="525">
        <v>20</v>
      </c>
      <c r="G133" s="18" t="s">
        <v>3876</v>
      </c>
      <c r="H133" s="48">
        <v>3</v>
      </c>
      <c r="I133" s="558" t="s">
        <v>17</v>
      </c>
      <c r="J133" s="559" t="s">
        <v>889</v>
      </c>
      <c r="K133" s="564" t="s">
        <v>725</v>
      </c>
      <c r="L133" s="542" t="s">
        <v>641</v>
      </c>
      <c r="M133" s="547">
        <v>43082</v>
      </c>
      <c r="N133" s="547">
        <v>43086</v>
      </c>
      <c r="O133" s="25" t="s">
        <v>4068</v>
      </c>
      <c r="P133" s="844" t="s">
        <v>2020</v>
      </c>
      <c r="Q133" s="52"/>
      <c r="R133" s="546" t="s">
        <v>808</v>
      </c>
      <c r="S133" s="704" t="s">
        <v>1176</v>
      </c>
      <c r="T133" s="317" t="s">
        <v>3883</v>
      </c>
    </row>
    <row r="134" spans="1:20" ht="20.100000000000001" customHeight="1">
      <c r="A134" s="1169" t="s">
        <v>2957</v>
      </c>
      <c r="B134" s="1169" t="s">
        <v>350</v>
      </c>
      <c r="C134" s="1169" t="s">
        <v>216</v>
      </c>
      <c r="D134" s="32">
        <v>65</v>
      </c>
      <c r="E134" s="32">
        <v>130</v>
      </c>
      <c r="F134" s="32">
        <v>130</v>
      </c>
      <c r="G134" s="228" t="s">
        <v>434</v>
      </c>
      <c r="H134" s="48">
        <v>3</v>
      </c>
      <c r="I134" s="558" t="s">
        <v>17</v>
      </c>
      <c r="J134" s="559" t="s">
        <v>889</v>
      </c>
      <c r="K134" s="564" t="s">
        <v>725</v>
      </c>
      <c r="L134" s="542" t="s">
        <v>641</v>
      </c>
      <c r="M134" s="549">
        <v>43080</v>
      </c>
      <c r="N134" s="549">
        <v>43093</v>
      </c>
      <c r="O134" s="544" t="s">
        <v>955</v>
      </c>
      <c r="P134" s="553" t="s">
        <v>1447</v>
      </c>
      <c r="Q134" s="52"/>
      <c r="R134" s="546" t="s">
        <v>757</v>
      </c>
      <c r="S134" s="321" t="s">
        <v>1176</v>
      </c>
      <c r="T134" s="317" t="s">
        <v>2824</v>
      </c>
    </row>
    <row r="135" spans="1:20" ht="20.100000000000001" customHeight="1">
      <c r="A135" s="1169" t="s">
        <v>2957</v>
      </c>
      <c r="B135" s="1169" t="s">
        <v>350</v>
      </c>
      <c r="C135" s="1169" t="s">
        <v>216</v>
      </c>
      <c r="D135" s="525">
        <v>70</v>
      </c>
      <c r="E135" s="525">
        <v>140</v>
      </c>
      <c r="F135" s="525">
        <v>140</v>
      </c>
      <c r="G135" s="68" t="s">
        <v>87</v>
      </c>
      <c r="H135" s="48">
        <v>3</v>
      </c>
      <c r="I135" s="557" t="s">
        <v>17</v>
      </c>
      <c r="J135" s="559" t="s">
        <v>889</v>
      </c>
      <c r="K135" s="557">
        <v>4</v>
      </c>
      <c r="L135" s="542" t="s">
        <v>641</v>
      </c>
      <c r="M135" s="551">
        <v>43082</v>
      </c>
      <c r="N135" s="551">
        <v>43086</v>
      </c>
      <c r="O135" s="544" t="s">
        <v>955</v>
      </c>
      <c r="P135" s="553" t="s">
        <v>1998</v>
      </c>
      <c r="Q135" s="52"/>
      <c r="R135" s="546" t="s">
        <v>757</v>
      </c>
      <c r="S135" s="315" t="s">
        <v>2849</v>
      </c>
      <c r="T135" s="317" t="s">
        <v>1678</v>
      </c>
    </row>
    <row r="136" spans="1:20" ht="20.100000000000001" customHeight="1">
      <c r="A136" s="1169" t="s">
        <v>2957</v>
      </c>
      <c r="B136" s="1169" t="s">
        <v>350</v>
      </c>
      <c r="C136" s="1169" t="s">
        <v>216</v>
      </c>
      <c r="D136" s="526">
        <v>30</v>
      </c>
      <c r="E136" s="526">
        <v>60</v>
      </c>
      <c r="F136" s="526">
        <v>60</v>
      </c>
      <c r="G136" s="68" t="s">
        <v>232</v>
      </c>
      <c r="H136" s="48">
        <v>3</v>
      </c>
      <c r="I136" s="557" t="s">
        <v>17</v>
      </c>
      <c r="J136" s="559" t="s">
        <v>889</v>
      </c>
      <c r="K136" s="557">
        <v>4</v>
      </c>
      <c r="L136" s="542" t="s">
        <v>641</v>
      </c>
      <c r="M136" s="551">
        <v>43082</v>
      </c>
      <c r="N136" s="551">
        <v>43086</v>
      </c>
      <c r="O136" s="544" t="s">
        <v>955</v>
      </c>
      <c r="P136" s="545" t="s">
        <v>2005</v>
      </c>
      <c r="Q136" s="52"/>
      <c r="R136" s="546" t="s">
        <v>808</v>
      </c>
      <c r="S136" s="319"/>
      <c r="T136" s="317" t="s">
        <v>1678</v>
      </c>
    </row>
    <row r="137" spans="1:20" ht="20.100000000000001" customHeight="1">
      <c r="A137" s="1169" t="s">
        <v>2957</v>
      </c>
      <c r="B137" s="1169" t="s">
        <v>350</v>
      </c>
      <c r="C137" s="1169" t="s">
        <v>216</v>
      </c>
      <c r="D137" s="525">
        <v>90</v>
      </c>
      <c r="E137" s="525">
        <v>180</v>
      </c>
      <c r="F137" s="525">
        <v>180</v>
      </c>
      <c r="G137" s="56" t="s">
        <v>432</v>
      </c>
      <c r="H137" s="48">
        <v>3</v>
      </c>
      <c r="I137" s="557" t="s">
        <v>17</v>
      </c>
      <c r="J137" s="559" t="s">
        <v>889</v>
      </c>
      <c r="K137" s="557">
        <v>4</v>
      </c>
      <c r="L137" s="542" t="s">
        <v>641</v>
      </c>
      <c r="M137" s="549">
        <v>43082</v>
      </c>
      <c r="N137" s="549">
        <v>43089</v>
      </c>
      <c r="O137" s="544" t="s">
        <v>955</v>
      </c>
      <c r="P137" s="553"/>
      <c r="Q137" s="52"/>
      <c r="R137" s="546" t="s">
        <v>757</v>
      </c>
      <c r="S137" s="704" t="s">
        <v>1176</v>
      </c>
      <c r="T137" s="317" t="s">
        <v>2039</v>
      </c>
    </row>
    <row r="138" spans="1:20" ht="20.100000000000001" customHeight="1">
      <c r="A138" s="1169" t="s">
        <v>2957</v>
      </c>
      <c r="B138" s="1169" t="s">
        <v>350</v>
      </c>
      <c r="C138" s="1169" t="s">
        <v>216</v>
      </c>
      <c r="D138" s="525">
        <v>120</v>
      </c>
      <c r="E138" s="525">
        <v>240</v>
      </c>
      <c r="F138" s="525">
        <v>240</v>
      </c>
      <c r="G138" s="36" t="s">
        <v>36</v>
      </c>
      <c r="H138" s="47">
        <v>4</v>
      </c>
      <c r="I138" s="557" t="s">
        <v>17</v>
      </c>
      <c r="J138" s="559" t="s">
        <v>888</v>
      </c>
      <c r="K138" s="559" t="s">
        <v>2367</v>
      </c>
      <c r="L138" s="542" t="s">
        <v>649</v>
      </c>
      <c r="M138" s="551">
        <v>43076</v>
      </c>
      <c r="N138" s="551">
        <v>43088</v>
      </c>
      <c r="O138" s="544" t="s">
        <v>955</v>
      </c>
      <c r="P138" s="545" t="s">
        <v>592</v>
      </c>
      <c r="Q138" s="7"/>
      <c r="R138" s="546" t="s">
        <v>308</v>
      </c>
      <c r="S138" s="315" t="s">
        <v>2852</v>
      </c>
      <c r="T138" s="317">
        <v>14</v>
      </c>
    </row>
    <row r="139" spans="1:20" ht="20.100000000000001" customHeight="1">
      <c r="A139" s="1169" t="s">
        <v>2957</v>
      </c>
      <c r="B139" s="1169" t="s">
        <v>350</v>
      </c>
      <c r="C139" s="1169" t="s">
        <v>216</v>
      </c>
      <c r="D139" s="525">
        <v>60</v>
      </c>
      <c r="E139" s="525">
        <v>120</v>
      </c>
      <c r="F139" s="525">
        <v>120</v>
      </c>
      <c r="G139" s="699" t="s">
        <v>147</v>
      </c>
      <c r="H139" s="47">
        <v>4</v>
      </c>
      <c r="I139" s="557" t="s">
        <v>17</v>
      </c>
      <c r="J139" s="564" t="s">
        <v>887</v>
      </c>
      <c r="K139" s="564">
        <v>5</v>
      </c>
      <c r="L139" s="559" t="s">
        <v>639</v>
      </c>
      <c r="M139" s="547">
        <v>43083</v>
      </c>
      <c r="N139" s="547">
        <v>43086</v>
      </c>
      <c r="O139" s="544" t="s">
        <v>955</v>
      </c>
      <c r="P139" s="553" t="s">
        <v>587</v>
      </c>
      <c r="Q139" s="52"/>
      <c r="R139" s="546" t="s">
        <v>258</v>
      </c>
      <c r="S139" s="319"/>
      <c r="T139" s="317">
        <v>14</v>
      </c>
    </row>
    <row r="140" spans="1:20" ht="20.100000000000001" customHeight="1">
      <c r="A140" s="1169" t="s">
        <v>2957</v>
      </c>
      <c r="B140" s="1169" t="s">
        <v>350</v>
      </c>
      <c r="C140" s="1169" t="s">
        <v>216</v>
      </c>
      <c r="D140" s="525">
        <v>75</v>
      </c>
      <c r="E140" s="525">
        <v>150</v>
      </c>
      <c r="F140" s="525">
        <v>150</v>
      </c>
      <c r="G140" s="224" t="s">
        <v>814</v>
      </c>
      <c r="H140" s="47">
        <v>4</v>
      </c>
      <c r="I140" s="557" t="s">
        <v>17</v>
      </c>
      <c r="J140" s="564" t="s">
        <v>887</v>
      </c>
      <c r="K140" s="564">
        <v>5</v>
      </c>
      <c r="L140" s="559" t="s">
        <v>639</v>
      </c>
      <c r="M140" s="547">
        <v>43080</v>
      </c>
      <c r="N140" s="547">
        <v>43086</v>
      </c>
      <c r="O140" s="544" t="s">
        <v>955</v>
      </c>
      <c r="P140" s="545" t="s">
        <v>782</v>
      </c>
      <c r="Q140" s="52"/>
      <c r="R140" s="546" t="s">
        <v>258</v>
      </c>
      <c r="S140" s="319" t="s">
        <v>1176</v>
      </c>
      <c r="T140" s="317" t="s">
        <v>2872</v>
      </c>
    </row>
    <row r="141" spans="1:20" ht="20.100000000000001" customHeight="1">
      <c r="A141" s="1169" t="s">
        <v>2957</v>
      </c>
      <c r="B141" s="1169" t="s">
        <v>350</v>
      </c>
      <c r="C141" s="1169" t="s">
        <v>216</v>
      </c>
      <c r="D141" s="525">
        <v>-40</v>
      </c>
      <c r="E141" s="525">
        <v>-80</v>
      </c>
      <c r="F141" s="525">
        <v>-80</v>
      </c>
      <c r="G141" s="56" t="s">
        <v>62</v>
      </c>
      <c r="H141" s="47">
        <v>4</v>
      </c>
      <c r="I141" s="557" t="s">
        <v>17</v>
      </c>
      <c r="J141" s="564" t="s">
        <v>887</v>
      </c>
      <c r="K141" s="564">
        <v>5</v>
      </c>
      <c r="L141" s="559" t="s">
        <v>639</v>
      </c>
      <c r="M141" s="549">
        <v>43083</v>
      </c>
      <c r="N141" s="549">
        <v>43086</v>
      </c>
      <c r="O141" s="544" t="s">
        <v>955</v>
      </c>
      <c r="P141" s="545"/>
      <c r="Q141" s="7"/>
      <c r="R141" s="546" t="s">
        <v>1488</v>
      </c>
      <c r="S141" s="315" t="s">
        <v>2848</v>
      </c>
      <c r="T141" s="338" t="s">
        <v>1897</v>
      </c>
    </row>
    <row r="142" spans="1:20" ht="20.100000000000001" customHeight="1">
      <c r="A142" s="1169" t="s">
        <v>2957</v>
      </c>
      <c r="B142" s="1169" t="s">
        <v>350</v>
      </c>
      <c r="C142" s="1169" t="s">
        <v>216</v>
      </c>
      <c r="D142" s="525">
        <v>90</v>
      </c>
      <c r="E142" s="525">
        <v>180</v>
      </c>
      <c r="F142" s="525">
        <v>180</v>
      </c>
      <c r="G142" s="56" t="s">
        <v>432</v>
      </c>
      <c r="H142" s="47">
        <v>4</v>
      </c>
      <c r="I142" s="557" t="s">
        <v>17</v>
      </c>
      <c r="J142" s="564" t="s">
        <v>887</v>
      </c>
      <c r="K142" s="564">
        <v>5</v>
      </c>
      <c r="L142" s="559" t="s">
        <v>639</v>
      </c>
      <c r="M142" s="549">
        <v>43083</v>
      </c>
      <c r="N142" s="549">
        <v>43089</v>
      </c>
      <c r="O142" s="544" t="s">
        <v>955</v>
      </c>
      <c r="P142" s="553"/>
      <c r="Q142" s="52"/>
      <c r="R142" s="546" t="s">
        <v>258</v>
      </c>
      <c r="S142" s="704" t="s">
        <v>1176</v>
      </c>
      <c r="T142" s="317" t="s">
        <v>2039</v>
      </c>
    </row>
    <row r="143" spans="1:20" ht="20.100000000000001" customHeight="1">
      <c r="A143" s="1169" t="s">
        <v>2957</v>
      </c>
      <c r="B143" s="1169" t="s">
        <v>350</v>
      </c>
      <c r="C143" s="1169" t="s">
        <v>216</v>
      </c>
      <c r="D143" s="320">
        <v>45</v>
      </c>
      <c r="E143" s="320">
        <v>90</v>
      </c>
      <c r="F143" s="320">
        <v>90</v>
      </c>
      <c r="G143" s="56" t="s">
        <v>12</v>
      </c>
      <c r="H143" s="47">
        <v>4</v>
      </c>
      <c r="I143" s="557" t="s">
        <v>17</v>
      </c>
      <c r="J143" s="564" t="s">
        <v>887</v>
      </c>
      <c r="K143" s="564">
        <v>5</v>
      </c>
      <c r="L143" s="559" t="s">
        <v>639</v>
      </c>
      <c r="M143" s="551">
        <v>43083</v>
      </c>
      <c r="N143" s="551">
        <v>43086</v>
      </c>
      <c r="O143" s="544" t="s">
        <v>955</v>
      </c>
      <c r="P143" s="553"/>
      <c r="Q143" s="52"/>
      <c r="R143" s="546" t="s">
        <v>258</v>
      </c>
      <c r="S143" s="704"/>
      <c r="T143" s="338" t="s">
        <v>1994</v>
      </c>
    </row>
    <row r="144" spans="1:20" ht="20.100000000000001" customHeight="1">
      <c r="A144" s="1169" t="s">
        <v>2957</v>
      </c>
      <c r="B144" s="1169" t="s">
        <v>350</v>
      </c>
      <c r="C144" s="1169" t="s">
        <v>216</v>
      </c>
      <c r="D144" s="525">
        <v>75</v>
      </c>
      <c r="E144" s="525">
        <v>150</v>
      </c>
      <c r="F144" s="525">
        <v>150</v>
      </c>
      <c r="G144" s="224" t="s">
        <v>814</v>
      </c>
      <c r="H144" s="47" t="s">
        <v>681</v>
      </c>
      <c r="I144" s="557" t="s">
        <v>17</v>
      </c>
      <c r="J144" s="5" t="s">
        <v>3483</v>
      </c>
      <c r="K144" s="564" t="s">
        <v>659</v>
      </c>
      <c r="L144" s="542" t="s">
        <v>641</v>
      </c>
      <c r="M144" s="547">
        <v>43080</v>
      </c>
      <c r="N144" s="547">
        <v>43086</v>
      </c>
      <c r="O144" s="544" t="s">
        <v>955</v>
      </c>
      <c r="P144" s="545" t="s">
        <v>782</v>
      </c>
      <c r="Q144" s="7"/>
      <c r="R144" s="546" t="s">
        <v>1443</v>
      </c>
      <c r="S144" s="319" t="s">
        <v>1176</v>
      </c>
      <c r="T144" s="317" t="s">
        <v>2872</v>
      </c>
    </row>
    <row r="145" spans="1:20" ht="20.100000000000001" customHeight="1">
      <c r="A145" s="1169" t="s">
        <v>2957</v>
      </c>
      <c r="B145" s="1169" t="s">
        <v>350</v>
      </c>
      <c r="C145" s="1169" t="s">
        <v>216</v>
      </c>
      <c r="D145" s="525">
        <v>10</v>
      </c>
      <c r="E145" s="525">
        <v>20</v>
      </c>
      <c r="F145" s="525">
        <v>20</v>
      </c>
      <c r="G145" s="18" t="s">
        <v>3876</v>
      </c>
      <c r="H145" s="47" t="s">
        <v>681</v>
      </c>
      <c r="I145" s="557" t="s">
        <v>17</v>
      </c>
      <c r="J145" s="5" t="s">
        <v>3483</v>
      </c>
      <c r="K145" s="564" t="s">
        <v>659</v>
      </c>
      <c r="L145" s="542" t="s">
        <v>641</v>
      </c>
      <c r="M145" s="547">
        <v>43082</v>
      </c>
      <c r="N145" s="547">
        <v>43086</v>
      </c>
      <c r="O145" s="25" t="s">
        <v>4068</v>
      </c>
      <c r="P145" s="844" t="s">
        <v>2020</v>
      </c>
      <c r="Q145" s="7"/>
      <c r="R145" s="17" t="s">
        <v>3484</v>
      </c>
      <c r="S145" s="704" t="s">
        <v>1176</v>
      </c>
      <c r="T145" s="317" t="s">
        <v>3883</v>
      </c>
    </row>
    <row r="146" spans="1:20" ht="20.100000000000001" customHeight="1">
      <c r="A146" s="1169" t="s">
        <v>2957</v>
      </c>
      <c r="B146" s="1169" t="s">
        <v>350</v>
      </c>
      <c r="C146" s="1169" t="s">
        <v>216</v>
      </c>
      <c r="D146" s="526">
        <v>-20</v>
      </c>
      <c r="E146" s="526">
        <v>-40</v>
      </c>
      <c r="F146" s="526">
        <v>-40</v>
      </c>
      <c r="G146" s="68" t="s">
        <v>232</v>
      </c>
      <c r="H146" s="47" t="s">
        <v>681</v>
      </c>
      <c r="I146" s="557" t="s">
        <v>17</v>
      </c>
      <c r="J146" s="5" t="s">
        <v>3483</v>
      </c>
      <c r="K146" s="564" t="s">
        <v>659</v>
      </c>
      <c r="L146" s="542" t="s">
        <v>641</v>
      </c>
      <c r="M146" s="551">
        <v>43084</v>
      </c>
      <c r="N146" s="551">
        <v>43086</v>
      </c>
      <c r="O146" s="544" t="s">
        <v>955</v>
      </c>
      <c r="P146" s="545" t="s">
        <v>2005</v>
      </c>
      <c r="Q146" s="7"/>
      <c r="R146" s="546" t="s">
        <v>1443</v>
      </c>
      <c r="S146" s="704"/>
      <c r="T146" s="317" t="s">
        <v>1678</v>
      </c>
    </row>
    <row r="147" spans="1:20" ht="20.100000000000001" customHeight="1">
      <c r="A147" s="1169" t="s">
        <v>2957</v>
      </c>
      <c r="B147" s="1169" t="s">
        <v>350</v>
      </c>
      <c r="C147" s="1169" t="s">
        <v>216</v>
      </c>
      <c r="D147" s="525">
        <v>30</v>
      </c>
      <c r="E147" s="525">
        <v>60</v>
      </c>
      <c r="F147" s="525">
        <v>60</v>
      </c>
      <c r="G147" s="48" t="s">
        <v>29</v>
      </c>
      <c r="H147" s="36">
        <v>5</v>
      </c>
      <c r="I147" s="557" t="s">
        <v>17</v>
      </c>
      <c r="J147" s="5" t="s">
        <v>3483</v>
      </c>
      <c r="K147" s="564" t="s">
        <v>659</v>
      </c>
      <c r="L147" s="542" t="s">
        <v>641</v>
      </c>
      <c r="M147" s="547">
        <v>43084</v>
      </c>
      <c r="N147" s="547">
        <v>43084</v>
      </c>
      <c r="O147" s="544" t="s">
        <v>955</v>
      </c>
      <c r="P147" s="553"/>
      <c r="Q147" s="7" t="s">
        <v>4167</v>
      </c>
      <c r="R147" s="17" t="s">
        <v>3484</v>
      </c>
      <c r="S147" s="319" t="s">
        <v>1176</v>
      </c>
      <c r="T147" s="338" t="s">
        <v>1988</v>
      </c>
    </row>
    <row r="148" spans="1:20" ht="20.100000000000001" customHeight="1">
      <c r="A148" s="1169" t="s">
        <v>2957</v>
      </c>
      <c r="B148" s="1169" t="s">
        <v>350</v>
      </c>
      <c r="C148" s="1169" t="s">
        <v>216</v>
      </c>
      <c r="D148" s="525">
        <v>80</v>
      </c>
      <c r="E148" s="525">
        <v>160</v>
      </c>
      <c r="F148" s="525">
        <v>160</v>
      </c>
      <c r="G148" s="699" t="s">
        <v>491</v>
      </c>
      <c r="H148" s="36">
        <v>5</v>
      </c>
      <c r="I148" s="559" t="s">
        <v>17</v>
      </c>
      <c r="J148" s="559" t="s">
        <v>887</v>
      </c>
      <c r="K148" s="557">
        <v>4</v>
      </c>
      <c r="L148" s="570" t="s">
        <v>641</v>
      </c>
      <c r="M148" s="547">
        <v>43082</v>
      </c>
      <c r="N148" s="547">
        <v>43086</v>
      </c>
      <c r="O148" s="544" t="s">
        <v>955</v>
      </c>
      <c r="P148" s="565" t="s">
        <v>2020</v>
      </c>
      <c r="Q148" s="7"/>
      <c r="R148" s="546" t="s">
        <v>443</v>
      </c>
      <c r="S148" s="704" t="s">
        <v>1176</v>
      </c>
      <c r="T148" s="338" t="s">
        <v>1678</v>
      </c>
    </row>
    <row r="149" spans="1:20" ht="20.100000000000001" customHeight="1">
      <c r="A149" s="1169" t="s">
        <v>2957</v>
      </c>
      <c r="B149" s="1169" t="s">
        <v>350</v>
      </c>
      <c r="C149" s="1169" t="s">
        <v>216</v>
      </c>
      <c r="D149" s="32">
        <v>65</v>
      </c>
      <c r="E149" s="32">
        <v>130</v>
      </c>
      <c r="F149" s="32">
        <v>130</v>
      </c>
      <c r="G149" s="228" t="s">
        <v>434</v>
      </c>
      <c r="H149" s="36">
        <v>5</v>
      </c>
      <c r="I149" s="559" t="s">
        <v>17</v>
      </c>
      <c r="J149" s="559" t="s">
        <v>887</v>
      </c>
      <c r="K149" s="557">
        <v>4</v>
      </c>
      <c r="L149" s="570" t="s">
        <v>641</v>
      </c>
      <c r="M149" s="549">
        <v>43080</v>
      </c>
      <c r="N149" s="549">
        <v>43093</v>
      </c>
      <c r="O149" s="544" t="s">
        <v>955</v>
      </c>
      <c r="P149" s="553" t="s">
        <v>1447</v>
      </c>
      <c r="Q149" s="7"/>
      <c r="R149" s="546" t="s">
        <v>443</v>
      </c>
      <c r="S149" s="321" t="s">
        <v>1176</v>
      </c>
      <c r="T149" s="317" t="s">
        <v>2824</v>
      </c>
    </row>
    <row r="150" spans="1:20" ht="20.100000000000001" customHeight="1">
      <c r="A150" s="1169" t="s">
        <v>2957</v>
      </c>
      <c r="B150" s="1169" t="s">
        <v>350</v>
      </c>
      <c r="C150" s="1169" t="s">
        <v>216</v>
      </c>
      <c r="D150" s="525">
        <v>70</v>
      </c>
      <c r="E150" s="525">
        <v>140</v>
      </c>
      <c r="F150" s="525">
        <v>140</v>
      </c>
      <c r="G150" s="48" t="s">
        <v>87</v>
      </c>
      <c r="H150" s="36">
        <v>5</v>
      </c>
      <c r="I150" s="559" t="s">
        <v>17</v>
      </c>
      <c r="J150" s="559" t="s">
        <v>887</v>
      </c>
      <c r="K150" s="557">
        <v>4</v>
      </c>
      <c r="L150" s="570" t="s">
        <v>641</v>
      </c>
      <c r="M150" s="551">
        <v>43082</v>
      </c>
      <c r="N150" s="551">
        <v>43086</v>
      </c>
      <c r="O150" s="544" t="s">
        <v>955</v>
      </c>
      <c r="P150" s="553" t="s">
        <v>1998</v>
      </c>
      <c r="Q150" s="7"/>
      <c r="R150" s="546" t="s">
        <v>442</v>
      </c>
      <c r="S150" s="315" t="s">
        <v>2849</v>
      </c>
      <c r="T150" s="317" t="s">
        <v>1678</v>
      </c>
    </row>
    <row r="151" spans="1:20" ht="20.100000000000001" customHeight="1">
      <c r="A151" s="1169" t="s">
        <v>2957</v>
      </c>
      <c r="B151" s="1169" t="s">
        <v>350</v>
      </c>
      <c r="C151" s="1169" t="s">
        <v>216</v>
      </c>
      <c r="D151" s="525">
        <v>50</v>
      </c>
      <c r="E151" s="525">
        <v>100</v>
      </c>
      <c r="F151" s="525">
        <v>100</v>
      </c>
      <c r="G151" s="36" t="s">
        <v>36</v>
      </c>
      <c r="H151" s="36">
        <v>5</v>
      </c>
      <c r="I151" s="557" t="s">
        <v>17</v>
      </c>
      <c r="J151" s="559" t="s">
        <v>888</v>
      </c>
      <c r="K151" s="559">
        <v>5</v>
      </c>
      <c r="L151" s="542" t="s">
        <v>649</v>
      </c>
      <c r="M151" s="551">
        <v>43084</v>
      </c>
      <c r="N151" s="551">
        <v>43088</v>
      </c>
      <c r="O151" s="544" t="s">
        <v>955</v>
      </c>
      <c r="P151" s="545" t="s">
        <v>592</v>
      </c>
      <c r="Q151" s="7"/>
      <c r="R151" s="546" t="s">
        <v>773</v>
      </c>
      <c r="S151" s="315" t="s">
        <v>2852</v>
      </c>
      <c r="T151" s="317">
        <v>14</v>
      </c>
    </row>
    <row r="152" spans="1:20" ht="20.100000000000001" customHeight="1">
      <c r="A152" s="1169" t="s">
        <v>2957</v>
      </c>
      <c r="B152" s="1169" t="s">
        <v>350</v>
      </c>
      <c r="C152" s="1169" t="s">
        <v>216</v>
      </c>
      <c r="D152" s="320">
        <v>60</v>
      </c>
      <c r="E152" s="320">
        <v>120</v>
      </c>
      <c r="F152" s="320">
        <v>120</v>
      </c>
      <c r="G152" s="36" t="s">
        <v>36</v>
      </c>
      <c r="H152" s="48">
        <v>6</v>
      </c>
      <c r="I152" s="557" t="s">
        <v>17</v>
      </c>
      <c r="J152" s="559" t="s">
        <v>888</v>
      </c>
      <c r="K152" s="559" t="s">
        <v>725</v>
      </c>
      <c r="L152" s="542" t="s">
        <v>649</v>
      </c>
      <c r="M152" s="551">
        <v>43085</v>
      </c>
      <c r="N152" s="551">
        <v>43088</v>
      </c>
      <c r="O152" s="544" t="s">
        <v>955</v>
      </c>
      <c r="P152" s="545" t="s">
        <v>592</v>
      </c>
      <c r="Q152" s="52"/>
      <c r="R152" s="546" t="s">
        <v>310</v>
      </c>
      <c r="S152" s="315" t="s">
        <v>2852</v>
      </c>
      <c r="T152" s="317">
        <v>14</v>
      </c>
    </row>
    <row r="153" spans="1:20" ht="20.100000000000001" customHeight="1">
      <c r="A153" s="1169" t="s">
        <v>2957</v>
      </c>
      <c r="B153" s="1169" t="s">
        <v>350</v>
      </c>
      <c r="C153" s="1169" t="s">
        <v>216</v>
      </c>
      <c r="D153" s="525">
        <v>60</v>
      </c>
      <c r="E153" s="525">
        <v>120</v>
      </c>
      <c r="F153" s="525">
        <v>120</v>
      </c>
      <c r="G153" s="699" t="s">
        <v>147</v>
      </c>
      <c r="H153" s="36">
        <v>7</v>
      </c>
      <c r="I153" s="542" t="s">
        <v>17</v>
      </c>
      <c r="J153" s="564" t="s">
        <v>887</v>
      </c>
      <c r="K153" s="554">
        <v>5</v>
      </c>
      <c r="L153" s="559" t="s">
        <v>639</v>
      </c>
      <c r="M153" s="547">
        <v>43083</v>
      </c>
      <c r="N153" s="547">
        <v>43086</v>
      </c>
      <c r="O153" s="544" t="s">
        <v>955</v>
      </c>
      <c r="P153" s="553" t="s">
        <v>587</v>
      </c>
      <c r="Q153" s="52"/>
      <c r="R153" s="561" t="s">
        <v>259</v>
      </c>
      <c r="S153" s="325"/>
      <c r="T153" s="317">
        <v>14</v>
      </c>
    </row>
    <row r="154" spans="1:20" ht="20.100000000000001" customHeight="1">
      <c r="A154" s="1169" t="s">
        <v>2957</v>
      </c>
      <c r="B154" s="1169" t="s">
        <v>350</v>
      </c>
      <c r="C154" s="1169" t="s">
        <v>216</v>
      </c>
      <c r="D154" s="525">
        <v>75</v>
      </c>
      <c r="E154" s="525">
        <v>150</v>
      </c>
      <c r="F154" s="525">
        <v>150</v>
      </c>
      <c r="G154" s="224" t="s">
        <v>814</v>
      </c>
      <c r="H154" s="36">
        <v>7</v>
      </c>
      <c r="I154" s="542" t="s">
        <v>17</v>
      </c>
      <c r="J154" s="564" t="s">
        <v>2373</v>
      </c>
      <c r="K154" s="554">
        <v>5</v>
      </c>
      <c r="L154" s="559" t="s">
        <v>639</v>
      </c>
      <c r="M154" s="547">
        <v>43080</v>
      </c>
      <c r="N154" s="547">
        <v>43086</v>
      </c>
      <c r="O154" s="544" t="s">
        <v>955</v>
      </c>
      <c r="P154" s="545" t="s">
        <v>782</v>
      </c>
      <c r="Q154" s="52"/>
      <c r="R154" s="561" t="s">
        <v>259</v>
      </c>
      <c r="S154" s="319" t="s">
        <v>1176</v>
      </c>
      <c r="T154" s="317" t="s">
        <v>2872</v>
      </c>
    </row>
    <row r="155" spans="1:20" ht="20.100000000000001" customHeight="1">
      <c r="A155" s="1169" t="s">
        <v>2957</v>
      </c>
      <c r="B155" s="1169" t="s">
        <v>350</v>
      </c>
      <c r="C155" s="1169" t="s">
        <v>216</v>
      </c>
      <c r="D155" s="525">
        <v>50</v>
      </c>
      <c r="E155" s="525">
        <v>100</v>
      </c>
      <c r="F155" s="525">
        <v>100</v>
      </c>
      <c r="G155" s="18" t="s">
        <v>3876</v>
      </c>
      <c r="H155" s="36">
        <v>7</v>
      </c>
      <c r="I155" s="542" t="s">
        <v>17</v>
      </c>
      <c r="J155" s="564" t="s">
        <v>887</v>
      </c>
      <c r="K155" s="554">
        <v>5</v>
      </c>
      <c r="L155" s="559" t="s">
        <v>639</v>
      </c>
      <c r="M155" s="547">
        <v>43082</v>
      </c>
      <c r="N155" s="547">
        <v>43086</v>
      </c>
      <c r="O155" s="25" t="s">
        <v>4068</v>
      </c>
      <c r="P155" s="844" t="s">
        <v>2020</v>
      </c>
      <c r="Q155" s="52"/>
      <c r="R155" s="561" t="s">
        <v>259</v>
      </c>
      <c r="S155" s="704" t="s">
        <v>1176</v>
      </c>
      <c r="T155" s="317" t="s">
        <v>3883</v>
      </c>
    </row>
    <row r="156" spans="1:20" ht="20.100000000000001" customHeight="1">
      <c r="A156" s="1169" t="s">
        <v>2957</v>
      </c>
      <c r="B156" s="1169" t="s">
        <v>350</v>
      </c>
      <c r="C156" s="1169" t="s">
        <v>216</v>
      </c>
      <c r="D156" s="525">
        <v>90</v>
      </c>
      <c r="E156" s="525">
        <v>180</v>
      </c>
      <c r="F156" s="525">
        <v>180</v>
      </c>
      <c r="G156" s="56" t="s">
        <v>432</v>
      </c>
      <c r="H156" s="36">
        <v>7</v>
      </c>
      <c r="I156" s="542" t="s">
        <v>17</v>
      </c>
      <c r="J156" s="564" t="s">
        <v>887</v>
      </c>
      <c r="K156" s="554">
        <v>5</v>
      </c>
      <c r="L156" s="559" t="s">
        <v>639</v>
      </c>
      <c r="M156" s="549">
        <v>43086</v>
      </c>
      <c r="N156" s="549">
        <v>43089</v>
      </c>
      <c r="O156" s="544" t="s">
        <v>955</v>
      </c>
      <c r="P156" s="545"/>
      <c r="Q156" s="52"/>
      <c r="R156" s="561" t="s">
        <v>259</v>
      </c>
      <c r="S156" s="704" t="s">
        <v>1176</v>
      </c>
      <c r="T156" s="317" t="s">
        <v>2039</v>
      </c>
    </row>
    <row r="157" spans="1:20" ht="20.100000000000001" customHeight="1">
      <c r="A157" s="1169" t="s">
        <v>2957</v>
      </c>
      <c r="B157" s="1169" t="s">
        <v>350</v>
      </c>
      <c r="C157" s="1169" t="s">
        <v>216</v>
      </c>
      <c r="D157" s="525"/>
      <c r="E157" s="525"/>
      <c r="F157" s="525"/>
      <c r="G157" s="56" t="s">
        <v>12</v>
      </c>
      <c r="H157" s="36">
        <v>7</v>
      </c>
      <c r="I157" s="542" t="s">
        <v>17</v>
      </c>
      <c r="J157" s="564" t="s">
        <v>887</v>
      </c>
      <c r="K157" s="554">
        <v>5</v>
      </c>
      <c r="L157" s="559" t="s">
        <v>639</v>
      </c>
      <c r="M157" s="551">
        <v>43083</v>
      </c>
      <c r="N157" s="551">
        <v>43086</v>
      </c>
      <c r="O157" s="544" t="s">
        <v>955</v>
      </c>
      <c r="P157" s="545"/>
      <c r="Q157" s="52"/>
      <c r="R157" s="561" t="s">
        <v>259</v>
      </c>
      <c r="S157" s="704"/>
      <c r="T157" s="338" t="s">
        <v>1994</v>
      </c>
    </row>
    <row r="158" spans="1:20" ht="20.100000000000001" customHeight="1">
      <c r="A158" s="1169" t="s">
        <v>2957</v>
      </c>
      <c r="B158" s="1169" t="s">
        <v>350</v>
      </c>
      <c r="C158" s="1169" t="s">
        <v>216</v>
      </c>
      <c r="D158" s="32">
        <v>35</v>
      </c>
      <c r="E158" s="32">
        <v>70</v>
      </c>
      <c r="F158" s="32">
        <v>70</v>
      </c>
      <c r="G158" s="699" t="s">
        <v>51</v>
      </c>
      <c r="H158" s="36">
        <v>7</v>
      </c>
      <c r="I158" s="542" t="s">
        <v>17</v>
      </c>
      <c r="J158" s="559" t="s">
        <v>887</v>
      </c>
      <c r="K158" s="554" t="s">
        <v>721</v>
      </c>
      <c r="L158" s="559" t="s">
        <v>639</v>
      </c>
      <c r="M158" s="381">
        <v>43084</v>
      </c>
      <c r="N158" s="381">
        <v>43088</v>
      </c>
      <c r="O158" s="544" t="s">
        <v>955</v>
      </c>
      <c r="P158" s="545"/>
      <c r="Q158" s="7"/>
      <c r="R158" s="546" t="s">
        <v>1533</v>
      </c>
      <c r="S158" s="704"/>
      <c r="T158" s="317">
        <v>12</v>
      </c>
    </row>
    <row r="159" spans="1:20" ht="20.100000000000001" customHeight="1">
      <c r="A159" s="1169" t="s">
        <v>2957</v>
      </c>
      <c r="B159" s="1169" t="s">
        <v>350</v>
      </c>
      <c r="C159" s="1169" t="s">
        <v>216</v>
      </c>
      <c r="D159" s="525">
        <v>0</v>
      </c>
      <c r="E159" s="525">
        <v>0</v>
      </c>
      <c r="F159" s="525">
        <v>0</v>
      </c>
      <c r="G159" s="68" t="s">
        <v>148</v>
      </c>
      <c r="H159" s="36">
        <v>7</v>
      </c>
      <c r="I159" s="542" t="s">
        <v>17</v>
      </c>
      <c r="J159" s="559" t="s">
        <v>887</v>
      </c>
      <c r="K159" s="554" t="s">
        <v>721</v>
      </c>
      <c r="L159" s="559" t="s">
        <v>639</v>
      </c>
      <c r="M159" s="551">
        <v>43080</v>
      </c>
      <c r="N159" s="551">
        <v>43086</v>
      </c>
      <c r="O159" s="544" t="s">
        <v>955</v>
      </c>
      <c r="P159" s="545"/>
      <c r="Q159" s="7"/>
      <c r="R159" s="546" t="s">
        <v>1533</v>
      </c>
      <c r="S159" s="319"/>
      <c r="T159" s="338" t="s">
        <v>1991</v>
      </c>
    </row>
    <row r="160" spans="1:20" ht="20.100000000000001" customHeight="1">
      <c r="A160" s="1169" t="s">
        <v>2957</v>
      </c>
      <c r="B160" s="1169" t="s">
        <v>350</v>
      </c>
      <c r="C160" s="1169" t="s">
        <v>216</v>
      </c>
      <c r="D160" s="525">
        <v>70</v>
      </c>
      <c r="E160" s="525">
        <v>140</v>
      </c>
      <c r="F160" s="525">
        <v>140</v>
      </c>
      <c r="G160" s="68" t="s">
        <v>873</v>
      </c>
      <c r="H160" s="36">
        <v>7</v>
      </c>
      <c r="I160" s="542" t="s">
        <v>17</v>
      </c>
      <c r="J160" s="559" t="s">
        <v>887</v>
      </c>
      <c r="K160" s="554" t="s">
        <v>721</v>
      </c>
      <c r="L160" s="559" t="s">
        <v>639</v>
      </c>
      <c r="M160" s="551">
        <v>43082</v>
      </c>
      <c r="N160" s="551">
        <v>43086</v>
      </c>
      <c r="O160" s="544" t="s">
        <v>955</v>
      </c>
      <c r="P160" s="545"/>
      <c r="Q160" s="7"/>
      <c r="R160" s="546" t="s">
        <v>1533</v>
      </c>
      <c r="S160" s="319"/>
      <c r="T160" s="338" t="s">
        <v>1988</v>
      </c>
    </row>
    <row r="161" spans="1:20" ht="20.100000000000001" customHeight="1">
      <c r="A161" s="1169" t="s">
        <v>2957</v>
      </c>
      <c r="B161" s="1169" t="s">
        <v>350</v>
      </c>
      <c r="C161" s="1169" t="s">
        <v>216</v>
      </c>
      <c r="D161" s="525">
        <v>50</v>
      </c>
      <c r="E161" s="525">
        <v>100</v>
      </c>
      <c r="F161" s="525">
        <v>100</v>
      </c>
      <c r="G161" s="36" t="s">
        <v>36</v>
      </c>
      <c r="H161" s="36">
        <v>7</v>
      </c>
      <c r="I161" s="557" t="s">
        <v>17</v>
      </c>
      <c r="J161" s="559" t="s">
        <v>888</v>
      </c>
      <c r="K161" s="559">
        <v>6</v>
      </c>
      <c r="L161" s="542" t="s">
        <v>649</v>
      </c>
      <c r="M161" s="551">
        <v>43086</v>
      </c>
      <c r="N161" s="551">
        <v>43088</v>
      </c>
      <c r="O161" s="544" t="s">
        <v>955</v>
      </c>
      <c r="P161" s="545" t="s">
        <v>592</v>
      </c>
      <c r="Q161" s="683"/>
      <c r="R161" s="546" t="s">
        <v>311</v>
      </c>
      <c r="S161" s="315" t="s">
        <v>2852</v>
      </c>
      <c r="T161" s="317">
        <v>14</v>
      </c>
    </row>
    <row r="162" spans="1:20" ht="20.100000000000001" customHeight="1">
      <c r="A162" s="1127" t="s">
        <v>2957</v>
      </c>
      <c r="B162" s="1169" t="s">
        <v>350</v>
      </c>
      <c r="C162" s="1169" t="s">
        <v>216</v>
      </c>
      <c r="D162" s="2">
        <v>400</v>
      </c>
      <c r="E162" s="2">
        <v>650</v>
      </c>
      <c r="F162" s="2">
        <v>650</v>
      </c>
      <c r="G162" s="224" t="s">
        <v>22</v>
      </c>
      <c r="H162" s="36" t="s">
        <v>740</v>
      </c>
      <c r="I162" s="559" t="s">
        <v>80</v>
      </c>
      <c r="J162" s="559"/>
      <c r="K162" s="554" t="s">
        <v>20</v>
      </c>
      <c r="L162" s="559" t="s">
        <v>643</v>
      </c>
      <c r="M162" s="547">
        <v>43009</v>
      </c>
      <c r="N162" s="547">
        <v>43069</v>
      </c>
      <c r="O162" s="544" t="s">
        <v>955</v>
      </c>
      <c r="P162" s="553" t="s">
        <v>1883</v>
      </c>
      <c r="Q162" s="683"/>
      <c r="R162" s="561" t="s">
        <v>2019</v>
      </c>
      <c r="S162" s="316" t="s">
        <v>1176</v>
      </c>
      <c r="T162" s="317">
        <v>14</v>
      </c>
    </row>
    <row r="163" spans="1:20" ht="20.100000000000001" customHeight="1">
      <c r="A163" s="1127" t="s">
        <v>2957</v>
      </c>
      <c r="B163" s="1169" t="s">
        <v>350</v>
      </c>
      <c r="C163" s="1169" t="s">
        <v>216</v>
      </c>
      <c r="D163" s="526">
        <v>275</v>
      </c>
      <c r="E163" s="526">
        <v>540</v>
      </c>
      <c r="F163" s="526">
        <v>540</v>
      </c>
      <c r="G163" s="628" t="s">
        <v>10</v>
      </c>
      <c r="H163" s="47">
        <v>1</v>
      </c>
      <c r="I163" s="558" t="s">
        <v>80</v>
      </c>
      <c r="J163" s="559"/>
      <c r="K163" s="564">
        <v>14</v>
      </c>
      <c r="L163" s="557" t="s">
        <v>636</v>
      </c>
      <c r="M163" s="547">
        <v>43040</v>
      </c>
      <c r="N163" s="547">
        <v>43084</v>
      </c>
      <c r="O163" s="544" t="s">
        <v>955</v>
      </c>
      <c r="P163" s="553"/>
      <c r="Q163" s="7"/>
      <c r="R163" s="548" t="s">
        <v>203</v>
      </c>
      <c r="S163" s="316" t="s">
        <v>1176</v>
      </c>
      <c r="T163" s="317">
        <v>14</v>
      </c>
    </row>
    <row r="164" spans="1:20" ht="20.100000000000001" customHeight="1">
      <c r="A164" s="1127" t="s">
        <v>2957</v>
      </c>
      <c r="B164" s="1169" t="s">
        <v>350</v>
      </c>
      <c r="C164" s="1169" t="s">
        <v>216</v>
      </c>
      <c r="D164" s="525">
        <v>290</v>
      </c>
      <c r="E164" s="525">
        <v>380</v>
      </c>
      <c r="F164" s="525">
        <v>380</v>
      </c>
      <c r="G164" s="48" t="s">
        <v>37</v>
      </c>
      <c r="H164" s="47">
        <v>1</v>
      </c>
      <c r="I164" s="558" t="s">
        <v>80</v>
      </c>
      <c r="J164" s="557"/>
      <c r="K164" s="557">
        <v>9</v>
      </c>
      <c r="L164" s="557" t="s">
        <v>637</v>
      </c>
      <c r="M164" s="543">
        <v>43040</v>
      </c>
      <c r="N164" s="543">
        <v>43084</v>
      </c>
      <c r="O164" s="544" t="s">
        <v>955</v>
      </c>
      <c r="P164" s="553" t="s">
        <v>588</v>
      </c>
      <c r="Q164" s="7"/>
      <c r="R164" s="546" t="s">
        <v>192</v>
      </c>
      <c r="S164" s="319" t="s">
        <v>1176</v>
      </c>
      <c r="T164" s="338"/>
    </row>
    <row r="165" spans="1:20" ht="20.100000000000001" customHeight="1">
      <c r="A165" s="1127" t="s">
        <v>2957</v>
      </c>
      <c r="B165" s="1169" t="s">
        <v>350</v>
      </c>
      <c r="C165" s="1169" t="s">
        <v>216</v>
      </c>
      <c r="D165" s="525">
        <v>100</v>
      </c>
      <c r="E165" s="525">
        <v>200</v>
      </c>
      <c r="F165" s="525">
        <v>200</v>
      </c>
      <c r="G165" s="56" t="s">
        <v>29</v>
      </c>
      <c r="H165" s="56" t="s">
        <v>2102</v>
      </c>
      <c r="I165" s="554" t="s">
        <v>80</v>
      </c>
      <c r="J165" s="554" t="s">
        <v>1096</v>
      </c>
      <c r="K165" s="542">
        <v>7</v>
      </c>
      <c r="L165" s="557" t="s">
        <v>637</v>
      </c>
      <c r="M165" s="547">
        <v>43052</v>
      </c>
      <c r="N165" s="547">
        <v>43072</v>
      </c>
      <c r="O165" s="544" t="s">
        <v>955</v>
      </c>
      <c r="P165" s="544"/>
      <c r="Q165" s="745"/>
      <c r="R165" s="546" t="s">
        <v>2103</v>
      </c>
      <c r="S165" s="319" t="s">
        <v>1176</v>
      </c>
      <c r="T165" s="338" t="s">
        <v>1988</v>
      </c>
    </row>
    <row r="166" spans="1:20" ht="20.100000000000001" customHeight="1">
      <c r="A166" s="1127" t="s">
        <v>2957</v>
      </c>
      <c r="B166" s="1169" t="s">
        <v>350</v>
      </c>
      <c r="C166" s="1169" t="s">
        <v>216</v>
      </c>
      <c r="D166" s="525">
        <v>150</v>
      </c>
      <c r="E166" s="525">
        <v>280</v>
      </c>
      <c r="F166" s="525">
        <v>280</v>
      </c>
      <c r="G166" s="36" t="s">
        <v>33</v>
      </c>
      <c r="H166" s="56" t="s">
        <v>659</v>
      </c>
      <c r="I166" s="542" t="s">
        <v>80</v>
      </c>
      <c r="J166" s="542"/>
      <c r="K166" s="554">
        <v>14</v>
      </c>
      <c r="L166" s="557" t="s">
        <v>637</v>
      </c>
      <c r="M166" s="549">
        <v>43040</v>
      </c>
      <c r="N166" s="549">
        <v>43079</v>
      </c>
      <c r="O166" s="544" t="s">
        <v>955</v>
      </c>
      <c r="P166" s="553"/>
      <c r="Q166" s="53"/>
      <c r="R166" s="561" t="s">
        <v>243</v>
      </c>
      <c r="S166" s="315" t="s">
        <v>2850</v>
      </c>
      <c r="T166" s="338"/>
    </row>
    <row r="167" spans="1:20" ht="20.100000000000001" customHeight="1">
      <c r="A167" s="1127" t="s">
        <v>2957</v>
      </c>
      <c r="B167" s="1169" t="s">
        <v>350</v>
      </c>
      <c r="C167" s="1169" t="s">
        <v>216</v>
      </c>
      <c r="D167" s="526">
        <v>400</v>
      </c>
      <c r="E167" s="526">
        <v>700</v>
      </c>
      <c r="F167" s="526">
        <v>700</v>
      </c>
      <c r="G167" s="48" t="s">
        <v>13</v>
      </c>
      <c r="H167" s="48" t="s">
        <v>760</v>
      </c>
      <c r="I167" s="558" t="s">
        <v>16</v>
      </c>
      <c r="J167" s="558"/>
      <c r="K167" s="558">
        <v>15</v>
      </c>
      <c r="L167" s="557" t="s">
        <v>637</v>
      </c>
      <c r="M167" s="6">
        <v>43040</v>
      </c>
      <c r="N167" s="6">
        <v>43100</v>
      </c>
      <c r="O167" s="544" t="s">
        <v>955</v>
      </c>
      <c r="P167" s="553"/>
      <c r="Q167" s="677"/>
      <c r="R167" s="546" t="s">
        <v>1958</v>
      </c>
      <c r="S167" s="319" t="s">
        <v>1176</v>
      </c>
      <c r="T167" s="338" t="s">
        <v>2875</v>
      </c>
    </row>
    <row r="168" spans="1:20" ht="20.100000000000001" customHeight="1">
      <c r="A168" s="1127" t="s">
        <v>2957</v>
      </c>
      <c r="B168" s="1169" t="s">
        <v>350</v>
      </c>
      <c r="C168" s="1169" t="s">
        <v>216</v>
      </c>
      <c r="D168" s="525">
        <v>470</v>
      </c>
      <c r="E168" s="525">
        <v>940</v>
      </c>
      <c r="F168" s="525">
        <v>940</v>
      </c>
      <c r="G168" s="36" t="s">
        <v>28</v>
      </c>
      <c r="H168" s="47">
        <v>4</v>
      </c>
      <c r="I168" s="542" t="s">
        <v>27</v>
      </c>
      <c r="J168" s="542"/>
      <c r="K168" s="542">
        <v>14</v>
      </c>
      <c r="L168" s="557" t="s">
        <v>637</v>
      </c>
      <c r="M168" s="549">
        <v>43041</v>
      </c>
      <c r="N168" s="549">
        <v>43089</v>
      </c>
      <c r="O168" s="544" t="s">
        <v>955</v>
      </c>
      <c r="P168" s="553"/>
      <c r="Q168" s="7"/>
      <c r="R168" s="561" t="s">
        <v>249</v>
      </c>
      <c r="S168" s="316" t="s">
        <v>1176</v>
      </c>
      <c r="T168" s="338"/>
    </row>
    <row r="169" spans="1:20" ht="20.100000000000001" customHeight="1">
      <c r="A169" s="1127" t="s">
        <v>2957</v>
      </c>
      <c r="B169" s="1169" t="s">
        <v>350</v>
      </c>
      <c r="C169" s="1169" t="s">
        <v>216</v>
      </c>
      <c r="D169" s="525">
        <v>305</v>
      </c>
      <c r="E169" s="525">
        <v>495</v>
      </c>
      <c r="F169" s="525">
        <v>495</v>
      </c>
      <c r="G169" s="36" t="s">
        <v>6</v>
      </c>
      <c r="H169" s="55" t="s">
        <v>721</v>
      </c>
      <c r="I169" s="566" t="s">
        <v>80</v>
      </c>
      <c r="J169" s="542"/>
      <c r="K169" s="559" t="s">
        <v>682</v>
      </c>
      <c r="L169" s="559" t="s">
        <v>639</v>
      </c>
      <c r="M169" s="549">
        <v>43070</v>
      </c>
      <c r="N169" s="549">
        <v>43074</v>
      </c>
      <c r="O169" s="544" t="s">
        <v>955</v>
      </c>
      <c r="P169" s="553"/>
      <c r="Q169" s="745"/>
      <c r="R169" s="546" t="s">
        <v>1694</v>
      </c>
      <c r="S169" s="325" t="s">
        <v>1176</v>
      </c>
      <c r="T169" s="338" t="s">
        <v>2874</v>
      </c>
    </row>
    <row r="170" spans="1:20" ht="20.100000000000001" customHeight="1">
      <c r="A170" s="1127" t="s">
        <v>2957</v>
      </c>
      <c r="B170" s="1169" t="s">
        <v>350</v>
      </c>
      <c r="C170" s="1169" t="s">
        <v>355</v>
      </c>
      <c r="D170" s="525">
        <v>415</v>
      </c>
      <c r="E170" s="525">
        <v>830</v>
      </c>
      <c r="F170" s="525">
        <v>830</v>
      </c>
      <c r="G170" s="628" t="s">
        <v>231</v>
      </c>
      <c r="H170" s="48">
        <v>2</v>
      </c>
      <c r="I170" s="557" t="s">
        <v>17</v>
      </c>
      <c r="J170" s="559"/>
      <c r="K170" s="559">
        <v>9</v>
      </c>
      <c r="L170" s="542" t="s">
        <v>649</v>
      </c>
      <c r="M170" s="547">
        <v>43040</v>
      </c>
      <c r="N170" s="547">
        <v>43087</v>
      </c>
      <c r="O170" s="544" t="s">
        <v>955</v>
      </c>
      <c r="P170" s="565"/>
      <c r="Q170" s="7"/>
      <c r="R170" s="546" t="s">
        <v>199</v>
      </c>
      <c r="S170" s="319"/>
      <c r="T170" s="338" t="s">
        <v>1992</v>
      </c>
    </row>
    <row r="171" spans="1:20" ht="20.100000000000001" customHeight="1">
      <c r="A171" s="1127" t="s">
        <v>2957</v>
      </c>
      <c r="B171" s="1169" t="s">
        <v>350</v>
      </c>
      <c r="C171" s="1169" t="s">
        <v>355</v>
      </c>
      <c r="D171" s="526">
        <v>400</v>
      </c>
      <c r="E171" s="526">
        <v>800</v>
      </c>
      <c r="F171" s="526">
        <v>800</v>
      </c>
      <c r="G171" s="36" t="s">
        <v>29</v>
      </c>
      <c r="H171" s="48">
        <v>2</v>
      </c>
      <c r="I171" s="557" t="s">
        <v>17</v>
      </c>
      <c r="J171" s="559"/>
      <c r="K171" s="559">
        <v>9</v>
      </c>
      <c r="L171" s="542" t="s">
        <v>649</v>
      </c>
      <c r="M171" s="547">
        <v>43038</v>
      </c>
      <c r="N171" s="547">
        <v>43072</v>
      </c>
      <c r="O171" s="544" t="s">
        <v>955</v>
      </c>
      <c r="P171" s="544"/>
      <c r="Q171" s="7"/>
      <c r="R171" s="546" t="s">
        <v>199</v>
      </c>
      <c r="S171" s="319" t="s">
        <v>1176</v>
      </c>
      <c r="T171" s="338" t="s">
        <v>1988</v>
      </c>
    </row>
    <row r="172" spans="1:20" ht="20.100000000000001" customHeight="1">
      <c r="A172" s="1127" t="s">
        <v>2957</v>
      </c>
      <c r="B172" s="1169" t="s">
        <v>350</v>
      </c>
      <c r="C172" s="1169" t="s">
        <v>355</v>
      </c>
      <c r="D172" s="525">
        <v>420</v>
      </c>
      <c r="E172" s="525">
        <v>840</v>
      </c>
      <c r="F172" s="525">
        <v>840</v>
      </c>
      <c r="G172" s="36" t="s">
        <v>36</v>
      </c>
      <c r="H172" s="48">
        <v>2</v>
      </c>
      <c r="I172" s="557" t="s">
        <v>17</v>
      </c>
      <c r="J172" s="559"/>
      <c r="K172" s="559">
        <v>8</v>
      </c>
      <c r="L172" s="542" t="s">
        <v>649</v>
      </c>
      <c r="M172" s="551">
        <v>43060</v>
      </c>
      <c r="N172" s="551">
        <v>43088</v>
      </c>
      <c r="O172" s="544" t="s">
        <v>955</v>
      </c>
      <c r="P172" s="545" t="s">
        <v>893</v>
      </c>
      <c r="Q172" s="52"/>
      <c r="R172" s="546" t="s">
        <v>307</v>
      </c>
      <c r="S172" s="319"/>
      <c r="T172" s="317">
        <v>14</v>
      </c>
    </row>
    <row r="173" spans="1:20" ht="20.100000000000001" customHeight="1">
      <c r="A173" s="1127" t="s">
        <v>2957</v>
      </c>
      <c r="B173" s="1169" t="s">
        <v>350</v>
      </c>
      <c r="C173" s="1169" t="s">
        <v>355</v>
      </c>
      <c r="D173" s="525">
        <v>420</v>
      </c>
      <c r="E173" s="525">
        <v>840</v>
      </c>
      <c r="F173" s="525">
        <v>840</v>
      </c>
      <c r="G173" s="36" t="s">
        <v>36</v>
      </c>
      <c r="H173" s="47">
        <v>4</v>
      </c>
      <c r="I173" s="557" t="s">
        <v>17</v>
      </c>
      <c r="J173" s="557"/>
      <c r="K173" s="559" t="s">
        <v>726</v>
      </c>
      <c r="L173" s="542" t="s">
        <v>649</v>
      </c>
      <c r="M173" s="551">
        <v>43062</v>
      </c>
      <c r="N173" s="551">
        <v>43088</v>
      </c>
      <c r="O173" s="544" t="s">
        <v>955</v>
      </c>
      <c r="P173" s="545" t="s">
        <v>893</v>
      </c>
      <c r="Q173" s="7"/>
      <c r="R173" s="546" t="s">
        <v>308</v>
      </c>
      <c r="S173" s="319"/>
      <c r="T173" s="317">
        <v>14</v>
      </c>
    </row>
    <row r="174" spans="1:20" ht="20.100000000000001" customHeight="1">
      <c r="A174" s="1127" t="s">
        <v>2957</v>
      </c>
      <c r="B174" s="1169" t="s">
        <v>350</v>
      </c>
      <c r="C174" s="1169" t="s">
        <v>355</v>
      </c>
      <c r="D174" s="525">
        <v>425</v>
      </c>
      <c r="E174" s="525">
        <v>850</v>
      </c>
      <c r="F174" s="525">
        <v>850</v>
      </c>
      <c r="G174" s="699" t="s">
        <v>51</v>
      </c>
      <c r="H174" s="47" t="s">
        <v>2492</v>
      </c>
      <c r="I174" s="542" t="s">
        <v>17</v>
      </c>
      <c r="J174" s="557"/>
      <c r="K174" s="559" t="s">
        <v>2493</v>
      </c>
      <c r="L174" s="559" t="s">
        <v>649</v>
      </c>
      <c r="M174" s="381">
        <v>43040</v>
      </c>
      <c r="N174" s="381">
        <v>43088</v>
      </c>
      <c r="O174" s="544" t="s">
        <v>955</v>
      </c>
      <c r="P174" s="545"/>
      <c r="Q174" s="52"/>
      <c r="R174" s="546" t="s">
        <v>2494</v>
      </c>
      <c r="S174" s="319"/>
      <c r="T174" s="317">
        <v>12</v>
      </c>
    </row>
    <row r="175" spans="1:20" ht="20.100000000000001" customHeight="1">
      <c r="A175" s="1127" t="s">
        <v>2957</v>
      </c>
      <c r="B175" s="1169" t="s">
        <v>350</v>
      </c>
      <c r="C175" s="1169" t="s">
        <v>355</v>
      </c>
      <c r="D175" s="525">
        <v>415</v>
      </c>
      <c r="E175" s="525">
        <v>830</v>
      </c>
      <c r="F175" s="525">
        <v>830</v>
      </c>
      <c r="G175" s="628" t="s">
        <v>231</v>
      </c>
      <c r="H175" s="36" t="s">
        <v>681</v>
      </c>
      <c r="I175" s="557" t="s">
        <v>17</v>
      </c>
      <c r="J175" s="564"/>
      <c r="K175" s="564" t="s">
        <v>726</v>
      </c>
      <c r="L175" s="542" t="s">
        <v>649</v>
      </c>
      <c r="M175" s="547">
        <v>43040</v>
      </c>
      <c r="N175" s="547">
        <v>43087</v>
      </c>
      <c r="O175" s="544" t="s">
        <v>955</v>
      </c>
      <c r="P175" s="545"/>
      <c r="Q175" s="7"/>
      <c r="R175" s="546" t="s">
        <v>1542</v>
      </c>
      <c r="S175" s="704"/>
      <c r="T175" s="338" t="s">
        <v>1992</v>
      </c>
    </row>
    <row r="176" spans="1:20" ht="20.100000000000001" customHeight="1">
      <c r="A176" s="1127" t="s">
        <v>2957</v>
      </c>
      <c r="B176" s="1169" t="s">
        <v>350</v>
      </c>
      <c r="C176" s="1169" t="s">
        <v>355</v>
      </c>
      <c r="D176" s="526">
        <v>400</v>
      </c>
      <c r="E176" s="526">
        <v>800</v>
      </c>
      <c r="F176" s="526">
        <v>800</v>
      </c>
      <c r="G176" s="56" t="s">
        <v>29</v>
      </c>
      <c r="H176" s="36" t="s">
        <v>681</v>
      </c>
      <c r="I176" s="557" t="s">
        <v>17</v>
      </c>
      <c r="J176" s="564"/>
      <c r="K176" s="564" t="s">
        <v>726</v>
      </c>
      <c r="L176" s="542" t="s">
        <v>649</v>
      </c>
      <c r="M176" s="547">
        <v>43038</v>
      </c>
      <c r="N176" s="547">
        <v>43072</v>
      </c>
      <c r="O176" s="544" t="s">
        <v>955</v>
      </c>
      <c r="P176" s="545"/>
      <c r="Q176" s="7"/>
      <c r="R176" s="546" t="s">
        <v>1542</v>
      </c>
      <c r="S176" s="319" t="s">
        <v>1176</v>
      </c>
      <c r="T176" s="338" t="s">
        <v>1988</v>
      </c>
    </row>
    <row r="177" spans="1:20" ht="20.100000000000001" customHeight="1">
      <c r="A177" s="1127" t="s">
        <v>2957</v>
      </c>
      <c r="B177" s="1169" t="s">
        <v>350</v>
      </c>
      <c r="C177" s="1169" t="s">
        <v>355</v>
      </c>
      <c r="D177" s="525">
        <v>750</v>
      </c>
      <c r="E177" s="525">
        <v>1300</v>
      </c>
      <c r="F177" s="525">
        <v>1300</v>
      </c>
      <c r="G177" s="224" t="s">
        <v>22</v>
      </c>
      <c r="H177" s="36" t="s">
        <v>740</v>
      </c>
      <c r="I177" s="558" t="s">
        <v>80</v>
      </c>
      <c r="J177" s="564"/>
      <c r="K177" s="564" t="s">
        <v>723</v>
      </c>
      <c r="L177" s="559" t="s">
        <v>643</v>
      </c>
      <c r="M177" s="547">
        <v>43009</v>
      </c>
      <c r="N177" s="547">
        <v>43069</v>
      </c>
      <c r="O177" s="544" t="s">
        <v>955</v>
      </c>
      <c r="P177" s="553"/>
      <c r="Q177" s="683"/>
      <c r="R177" s="561" t="s">
        <v>2019</v>
      </c>
      <c r="S177" s="316" t="s">
        <v>1176</v>
      </c>
      <c r="T177" s="317">
        <v>14</v>
      </c>
    </row>
    <row r="178" spans="1:20" ht="20.100000000000001" customHeight="1">
      <c r="A178" s="1127" t="s">
        <v>2957</v>
      </c>
      <c r="B178" s="1169" t="s">
        <v>350</v>
      </c>
      <c r="C178" s="1169" t="s">
        <v>355</v>
      </c>
      <c r="D178" s="273">
        <v>785</v>
      </c>
      <c r="E178" s="273">
        <v>1470</v>
      </c>
      <c r="F178" s="273">
        <v>1470</v>
      </c>
      <c r="G178" s="55" t="s">
        <v>37</v>
      </c>
      <c r="H178" s="48" t="s">
        <v>1875</v>
      </c>
      <c r="I178" s="558" t="s">
        <v>16</v>
      </c>
      <c r="J178" s="557"/>
      <c r="K178" s="558" t="s">
        <v>728</v>
      </c>
      <c r="L178" s="557" t="s">
        <v>637</v>
      </c>
      <c r="M178" s="543">
        <v>43040</v>
      </c>
      <c r="N178" s="543">
        <v>43084</v>
      </c>
      <c r="O178" s="544" t="s">
        <v>955</v>
      </c>
      <c r="P178" s="553"/>
      <c r="Q178" s="7"/>
      <c r="R178" s="546" t="s">
        <v>1876</v>
      </c>
      <c r="S178" s="319" t="s">
        <v>1176</v>
      </c>
      <c r="T178" s="338"/>
    </row>
    <row r="179" spans="1:20" ht="20.100000000000001" customHeight="1">
      <c r="A179" s="1127" t="s">
        <v>2957</v>
      </c>
      <c r="B179" s="1169" t="s">
        <v>350</v>
      </c>
      <c r="C179" s="1169" t="s">
        <v>355</v>
      </c>
      <c r="D179" s="526">
        <v>600</v>
      </c>
      <c r="E179" s="526">
        <v>1100</v>
      </c>
      <c r="F179" s="526">
        <v>1100</v>
      </c>
      <c r="G179" s="48" t="s">
        <v>13</v>
      </c>
      <c r="H179" s="48" t="s">
        <v>760</v>
      </c>
      <c r="I179" s="558" t="s">
        <v>16</v>
      </c>
      <c r="J179" s="558"/>
      <c r="K179" s="558">
        <v>15</v>
      </c>
      <c r="L179" s="557" t="s">
        <v>637</v>
      </c>
      <c r="M179" s="6">
        <v>43040</v>
      </c>
      <c r="N179" s="6">
        <v>43100</v>
      </c>
      <c r="O179" s="544" t="s">
        <v>955</v>
      </c>
      <c r="P179" s="553"/>
      <c r="Q179" s="677"/>
      <c r="R179" s="546" t="s">
        <v>1958</v>
      </c>
      <c r="S179" s="319" t="s">
        <v>1176</v>
      </c>
      <c r="T179" s="338" t="s">
        <v>2875</v>
      </c>
    </row>
    <row r="180" spans="1:20" ht="20.100000000000001" customHeight="1">
      <c r="A180" s="1127" t="s">
        <v>2957</v>
      </c>
      <c r="B180" s="1169" t="s">
        <v>350</v>
      </c>
      <c r="C180" s="1169" t="s">
        <v>2491</v>
      </c>
      <c r="D180" s="525">
        <f>D1071+400</f>
        <v>650</v>
      </c>
      <c r="E180" s="525">
        <f>E1071+650</f>
        <v>1150</v>
      </c>
      <c r="F180" s="525">
        <f>F1071+650</f>
        <v>1150</v>
      </c>
      <c r="G180" s="225" t="s">
        <v>51</v>
      </c>
      <c r="H180" s="36" t="s">
        <v>2370</v>
      </c>
      <c r="I180" s="557" t="s">
        <v>16</v>
      </c>
      <c r="J180" s="558"/>
      <c r="K180" s="558">
        <v>18</v>
      </c>
      <c r="L180" s="542" t="s">
        <v>637</v>
      </c>
      <c r="M180" s="381">
        <v>43040</v>
      </c>
      <c r="N180" s="381">
        <v>43088</v>
      </c>
      <c r="O180" s="544" t="s">
        <v>955</v>
      </c>
      <c r="P180" s="545"/>
      <c r="Q180" s="52"/>
      <c r="R180" s="575" t="s">
        <v>2371</v>
      </c>
      <c r="S180" s="319"/>
      <c r="T180" s="317">
        <v>12</v>
      </c>
    </row>
    <row r="181" spans="1:20" ht="20.100000000000001" customHeight="1">
      <c r="A181" s="1127" t="s">
        <v>2957</v>
      </c>
      <c r="B181" s="1169" t="s">
        <v>350</v>
      </c>
      <c r="C181" s="1169" t="s">
        <v>355</v>
      </c>
      <c r="D181" s="525">
        <v>500</v>
      </c>
      <c r="E181" s="525">
        <v>730</v>
      </c>
      <c r="F181" s="525">
        <v>730</v>
      </c>
      <c r="G181" s="36" t="s">
        <v>28</v>
      </c>
      <c r="H181" s="47">
        <v>4</v>
      </c>
      <c r="I181" s="542" t="s">
        <v>27</v>
      </c>
      <c r="J181" s="554"/>
      <c r="K181" s="542">
        <v>16</v>
      </c>
      <c r="L181" s="557" t="s">
        <v>637</v>
      </c>
      <c r="M181" s="549">
        <v>43062</v>
      </c>
      <c r="N181" s="549">
        <v>43089</v>
      </c>
      <c r="O181" s="544" t="s">
        <v>955</v>
      </c>
      <c r="P181" s="553"/>
      <c r="Q181" s="7"/>
      <c r="R181" s="561" t="s">
        <v>249</v>
      </c>
      <c r="S181" s="316" t="s">
        <v>1176</v>
      </c>
      <c r="T181" s="338"/>
    </row>
    <row r="182" spans="1:20" ht="20.100000000000001" customHeight="1">
      <c r="A182" s="1127" t="s">
        <v>2957</v>
      </c>
      <c r="B182" s="1169" t="s">
        <v>350</v>
      </c>
      <c r="C182" s="1169" t="s">
        <v>2491</v>
      </c>
      <c r="D182" s="526">
        <v>415</v>
      </c>
      <c r="E182" s="526">
        <v>830</v>
      </c>
      <c r="F182" s="526">
        <v>830</v>
      </c>
      <c r="G182" s="69" t="s">
        <v>62</v>
      </c>
      <c r="H182" s="56" t="s">
        <v>681</v>
      </c>
      <c r="I182" s="566" t="s">
        <v>1</v>
      </c>
      <c r="J182" s="559"/>
      <c r="K182" s="559" t="s">
        <v>151</v>
      </c>
      <c r="L182" s="542" t="s">
        <v>649</v>
      </c>
      <c r="M182" s="549">
        <v>43039</v>
      </c>
      <c r="N182" s="549">
        <v>43086</v>
      </c>
      <c r="O182" s="544" t="s">
        <v>955</v>
      </c>
      <c r="P182" s="562"/>
      <c r="Q182" s="683"/>
      <c r="R182" s="546" t="s">
        <v>1845</v>
      </c>
      <c r="S182" s="315" t="s">
        <v>2848</v>
      </c>
      <c r="T182" s="338"/>
    </row>
    <row r="183" spans="1:20" ht="20.100000000000001" customHeight="1">
      <c r="A183" s="1127" t="s">
        <v>2957</v>
      </c>
      <c r="B183" s="1169" t="s">
        <v>350</v>
      </c>
      <c r="C183" s="1169" t="s">
        <v>355</v>
      </c>
      <c r="D183" s="525">
        <v>970</v>
      </c>
      <c r="E183" s="525">
        <v>1390</v>
      </c>
      <c r="F183" s="525">
        <v>1390</v>
      </c>
      <c r="G183" s="36" t="s">
        <v>33</v>
      </c>
      <c r="H183" s="56" t="s">
        <v>659</v>
      </c>
      <c r="I183" s="542" t="s">
        <v>27</v>
      </c>
      <c r="J183" s="554"/>
      <c r="K183" s="542" t="s">
        <v>771</v>
      </c>
      <c r="L183" s="557" t="s">
        <v>637</v>
      </c>
      <c r="M183" s="549">
        <v>43040</v>
      </c>
      <c r="N183" s="549">
        <v>43079</v>
      </c>
      <c r="O183" s="544" t="s">
        <v>955</v>
      </c>
      <c r="P183" s="553"/>
      <c r="Q183" s="53"/>
      <c r="R183" s="561" t="s">
        <v>243</v>
      </c>
      <c r="S183" s="315" t="s">
        <v>2850</v>
      </c>
      <c r="T183" s="338"/>
    </row>
    <row r="184" spans="1:20" ht="20.100000000000001" customHeight="1">
      <c r="A184" s="1127" t="s">
        <v>2957</v>
      </c>
      <c r="B184" s="1169" t="s">
        <v>350</v>
      </c>
      <c r="C184" s="1169" t="s">
        <v>356</v>
      </c>
      <c r="D184" s="273">
        <v>800</v>
      </c>
      <c r="E184" s="273">
        <v>1600</v>
      </c>
      <c r="F184" s="273">
        <v>1600</v>
      </c>
      <c r="G184" s="55" t="s">
        <v>29</v>
      </c>
      <c r="H184" s="56">
        <v>2</v>
      </c>
      <c r="I184" s="559" t="s">
        <v>122</v>
      </c>
      <c r="J184" s="557"/>
      <c r="K184" s="559">
        <v>8</v>
      </c>
      <c r="L184" s="557" t="s">
        <v>637</v>
      </c>
      <c r="M184" s="547">
        <v>43038</v>
      </c>
      <c r="N184" s="547">
        <v>43072</v>
      </c>
      <c r="O184" s="544" t="s">
        <v>955</v>
      </c>
      <c r="P184" s="544"/>
      <c r="Q184" s="7"/>
      <c r="R184" s="546" t="s">
        <v>199</v>
      </c>
      <c r="S184" s="319" t="s">
        <v>1176</v>
      </c>
      <c r="T184" s="338" t="s">
        <v>1988</v>
      </c>
    </row>
    <row r="185" spans="1:20" ht="20.100000000000001" customHeight="1">
      <c r="A185" s="1127" t="s">
        <v>2957</v>
      </c>
      <c r="B185" s="1169" t="s">
        <v>350</v>
      </c>
      <c r="C185" s="1169" t="s">
        <v>356</v>
      </c>
      <c r="D185" s="525">
        <v>620</v>
      </c>
      <c r="E185" s="525">
        <v>1240</v>
      </c>
      <c r="F185" s="525">
        <v>1240</v>
      </c>
      <c r="G185" s="47" t="s">
        <v>36</v>
      </c>
      <c r="H185" s="47" t="s">
        <v>644</v>
      </c>
      <c r="I185" s="557" t="s">
        <v>123</v>
      </c>
      <c r="J185" s="557" t="s">
        <v>1887</v>
      </c>
      <c r="K185" s="559">
        <v>9</v>
      </c>
      <c r="L185" s="542" t="s">
        <v>649</v>
      </c>
      <c r="M185" s="551">
        <v>42468</v>
      </c>
      <c r="N185" s="551">
        <v>43088</v>
      </c>
      <c r="O185" s="544" t="s">
        <v>955</v>
      </c>
      <c r="P185" s="545" t="s">
        <v>592</v>
      </c>
      <c r="Q185" s="61"/>
      <c r="R185" s="546" t="s">
        <v>795</v>
      </c>
      <c r="S185" s="315" t="s">
        <v>2852</v>
      </c>
      <c r="T185" s="317">
        <v>14</v>
      </c>
    </row>
    <row r="186" spans="1:20" ht="20.100000000000001" customHeight="1">
      <c r="A186" s="1127" t="s">
        <v>2957</v>
      </c>
      <c r="B186" s="1169" t="s">
        <v>350</v>
      </c>
      <c r="C186" s="1169" t="s">
        <v>356</v>
      </c>
      <c r="D186" s="525">
        <f>D158+400</f>
        <v>435</v>
      </c>
      <c r="E186" s="525">
        <f>E158+700</f>
        <v>770</v>
      </c>
      <c r="F186" s="525">
        <f>F158+700</f>
        <v>770</v>
      </c>
      <c r="G186" s="225" t="s">
        <v>51</v>
      </c>
      <c r="H186" s="47" t="s">
        <v>706</v>
      </c>
      <c r="I186" s="557" t="s">
        <v>123</v>
      </c>
      <c r="J186" s="557"/>
      <c r="K186" s="559" t="s">
        <v>726</v>
      </c>
      <c r="L186" s="559" t="s">
        <v>639</v>
      </c>
      <c r="M186" s="381">
        <v>43040</v>
      </c>
      <c r="N186" s="381">
        <v>43088</v>
      </c>
      <c r="O186" s="544" t="s">
        <v>955</v>
      </c>
      <c r="P186" s="544"/>
      <c r="Q186" s="7"/>
      <c r="R186" s="546" t="s">
        <v>1533</v>
      </c>
      <c r="S186" s="319"/>
      <c r="T186" s="317">
        <v>12</v>
      </c>
    </row>
    <row r="187" spans="1:20" ht="20.100000000000001" customHeight="1">
      <c r="A187" s="1127" t="s">
        <v>2957</v>
      </c>
      <c r="B187" s="1169" t="s">
        <v>350</v>
      </c>
      <c r="C187" s="1169" t="s">
        <v>535</v>
      </c>
      <c r="D187" s="525">
        <f>D107+50</f>
        <v>260</v>
      </c>
      <c r="E187" s="525">
        <f>E107+100</f>
        <v>520</v>
      </c>
      <c r="F187" s="525">
        <f>F107+100</f>
        <v>520</v>
      </c>
      <c r="G187" s="225" t="s">
        <v>22</v>
      </c>
      <c r="H187" s="36" t="s">
        <v>740</v>
      </c>
      <c r="I187" s="559" t="s">
        <v>80</v>
      </c>
      <c r="J187" s="558"/>
      <c r="K187" s="554" t="s">
        <v>20</v>
      </c>
      <c r="L187" s="559" t="s">
        <v>643</v>
      </c>
      <c r="M187" s="547">
        <v>43009</v>
      </c>
      <c r="N187" s="547">
        <v>43069</v>
      </c>
      <c r="O187" s="544" t="s">
        <v>955</v>
      </c>
      <c r="P187" s="553" t="s">
        <v>1884</v>
      </c>
      <c r="Q187" s="683"/>
      <c r="R187" s="561" t="s">
        <v>2019</v>
      </c>
      <c r="S187" s="316" t="s">
        <v>1176</v>
      </c>
      <c r="T187" s="317">
        <v>14</v>
      </c>
    </row>
    <row r="188" spans="1:20" ht="20.100000000000001" customHeight="1">
      <c r="A188" s="1127" t="s">
        <v>2957</v>
      </c>
      <c r="B188" s="1169" t="s">
        <v>350</v>
      </c>
      <c r="C188" s="1169" t="s">
        <v>535</v>
      </c>
      <c r="D188" s="273">
        <v>550</v>
      </c>
      <c r="E188" s="273">
        <v>1100</v>
      </c>
      <c r="F188" s="273">
        <v>1100</v>
      </c>
      <c r="G188" s="55" t="s">
        <v>29</v>
      </c>
      <c r="H188" s="56">
        <v>2</v>
      </c>
      <c r="I188" s="559" t="s">
        <v>122</v>
      </c>
      <c r="J188" s="559"/>
      <c r="K188" s="559">
        <v>8</v>
      </c>
      <c r="L188" s="557" t="s">
        <v>637</v>
      </c>
      <c r="M188" s="547">
        <v>43038</v>
      </c>
      <c r="N188" s="547">
        <v>43072</v>
      </c>
      <c r="O188" s="544" t="s">
        <v>955</v>
      </c>
      <c r="P188" s="544"/>
      <c r="Q188" s="7"/>
      <c r="R188" s="546" t="s">
        <v>199</v>
      </c>
      <c r="S188" s="319" t="s">
        <v>1176</v>
      </c>
      <c r="T188" s="338" t="s">
        <v>1988</v>
      </c>
    </row>
    <row r="189" spans="1:20" ht="20.100000000000001" customHeight="1">
      <c r="A189" s="1127" t="s">
        <v>2957</v>
      </c>
      <c r="B189" s="1169" t="s">
        <v>350</v>
      </c>
      <c r="C189" s="1169" t="s">
        <v>535</v>
      </c>
      <c r="D189" s="525">
        <f>D57+250</f>
        <v>425</v>
      </c>
      <c r="E189" s="525">
        <f>E57+350</f>
        <v>700</v>
      </c>
      <c r="F189" s="525">
        <f>F57+350</f>
        <v>700</v>
      </c>
      <c r="G189" s="225" t="s">
        <v>814</v>
      </c>
      <c r="H189" s="674" t="s">
        <v>742</v>
      </c>
      <c r="I189" s="542" t="s">
        <v>122</v>
      </c>
      <c r="J189" s="566"/>
      <c r="K189" s="559" t="s">
        <v>726</v>
      </c>
      <c r="L189" s="542" t="s">
        <v>649</v>
      </c>
      <c r="M189" s="547">
        <v>43074</v>
      </c>
      <c r="N189" s="547">
        <v>43086</v>
      </c>
      <c r="O189" s="544" t="s">
        <v>955</v>
      </c>
      <c r="P189" s="545"/>
      <c r="Q189" s="7" t="s">
        <v>4319</v>
      </c>
      <c r="R189" s="546" t="s">
        <v>199</v>
      </c>
      <c r="S189" s="319" t="s">
        <v>1176</v>
      </c>
      <c r="T189" s="317" t="s">
        <v>2872</v>
      </c>
    </row>
    <row r="190" spans="1:20" ht="20.100000000000001" customHeight="1">
      <c r="A190" s="1127" t="s">
        <v>2957</v>
      </c>
      <c r="B190" s="1169" t="s">
        <v>350</v>
      </c>
      <c r="C190" s="1169" t="s">
        <v>535</v>
      </c>
      <c r="D190" s="525">
        <f>D64+250</f>
        <v>425</v>
      </c>
      <c r="E190" s="525">
        <f>E64+350</f>
        <v>700</v>
      </c>
      <c r="F190" s="525">
        <f>F64+350</f>
        <v>700</v>
      </c>
      <c r="G190" s="225" t="s">
        <v>814</v>
      </c>
      <c r="H190" s="674" t="s">
        <v>659</v>
      </c>
      <c r="I190" s="542" t="s">
        <v>122</v>
      </c>
      <c r="J190" s="566"/>
      <c r="K190" s="559" t="s">
        <v>726</v>
      </c>
      <c r="L190" s="542" t="s">
        <v>649</v>
      </c>
      <c r="M190" s="547">
        <v>43075</v>
      </c>
      <c r="N190" s="547">
        <v>43086</v>
      </c>
      <c r="O190" s="544" t="s">
        <v>955</v>
      </c>
      <c r="P190" s="545"/>
      <c r="Q190" s="52"/>
      <c r="R190" s="546" t="s">
        <v>193</v>
      </c>
      <c r="S190" s="319" t="s">
        <v>1176</v>
      </c>
      <c r="T190" s="317" t="s">
        <v>2872</v>
      </c>
    </row>
    <row r="191" spans="1:20" ht="20.100000000000001" customHeight="1">
      <c r="A191" s="1127" t="s">
        <v>2957</v>
      </c>
      <c r="B191" s="1169" t="s">
        <v>350</v>
      </c>
      <c r="C191" s="1169" t="s">
        <v>535</v>
      </c>
      <c r="D191" s="525">
        <f>D59+50</f>
        <v>230</v>
      </c>
      <c r="E191" s="525">
        <f>E59+100</f>
        <v>460</v>
      </c>
      <c r="F191" s="525">
        <f>F59+100</f>
        <v>460</v>
      </c>
      <c r="G191" s="700" t="s">
        <v>232</v>
      </c>
      <c r="H191" s="36">
        <v>3</v>
      </c>
      <c r="I191" s="566" t="s">
        <v>122</v>
      </c>
      <c r="J191" s="558"/>
      <c r="K191" s="559" t="s">
        <v>721</v>
      </c>
      <c r="L191" s="559" t="s">
        <v>639</v>
      </c>
      <c r="M191" s="551">
        <v>43046</v>
      </c>
      <c r="N191" s="551">
        <v>43086</v>
      </c>
      <c r="O191" s="544" t="s">
        <v>955</v>
      </c>
      <c r="P191" s="545" t="s">
        <v>585</v>
      </c>
      <c r="Q191" s="52"/>
      <c r="R191" s="546" t="s">
        <v>165</v>
      </c>
      <c r="S191" s="319"/>
      <c r="T191" s="317" t="s">
        <v>1678</v>
      </c>
    </row>
    <row r="192" spans="1:20" ht="20.100000000000001" customHeight="1">
      <c r="A192" s="1127" t="s">
        <v>2957</v>
      </c>
      <c r="B192" s="1169" t="s">
        <v>350</v>
      </c>
      <c r="C192" s="1169" t="s">
        <v>535</v>
      </c>
      <c r="D192" s="525">
        <f>D69+200</f>
        <v>440</v>
      </c>
      <c r="E192" s="525">
        <f>E69+400</f>
        <v>880</v>
      </c>
      <c r="F192" s="525">
        <f>F69+400</f>
        <v>880</v>
      </c>
      <c r="G192" s="700" t="s">
        <v>36</v>
      </c>
      <c r="H192" s="48">
        <v>3</v>
      </c>
      <c r="I192" s="557" t="s">
        <v>122</v>
      </c>
      <c r="J192" s="558" t="s">
        <v>886</v>
      </c>
      <c r="K192" s="559">
        <v>7</v>
      </c>
      <c r="L192" s="542" t="s">
        <v>649</v>
      </c>
      <c r="M192" s="551">
        <v>43089</v>
      </c>
      <c r="N192" s="551">
        <v>43092</v>
      </c>
      <c r="O192" s="544" t="s">
        <v>955</v>
      </c>
      <c r="P192" s="545" t="s">
        <v>782</v>
      </c>
      <c r="Q192" s="60"/>
      <c r="R192" s="546" t="s">
        <v>312</v>
      </c>
      <c r="S192" s="315" t="s">
        <v>2852</v>
      </c>
      <c r="T192" s="317">
        <v>14</v>
      </c>
    </row>
    <row r="193" spans="1:20" ht="20.100000000000001" customHeight="1">
      <c r="A193" s="1127" t="s">
        <v>2957</v>
      </c>
      <c r="B193" s="1169" t="s">
        <v>350</v>
      </c>
      <c r="C193" s="1169" t="s">
        <v>535</v>
      </c>
      <c r="D193" s="526">
        <v>400</v>
      </c>
      <c r="E193" s="526">
        <v>700</v>
      </c>
      <c r="F193" s="526">
        <v>700</v>
      </c>
      <c r="G193" s="48" t="s">
        <v>13</v>
      </c>
      <c r="H193" s="48" t="s">
        <v>760</v>
      </c>
      <c r="I193" s="558" t="s">
        <v>16</v>
      </c>
      <c r="J193" s="558"/>
      <c r="K193" s="558">
        <v>15</v>
      </c>
      <c r="L193" s="557" t="s">
        <v>637</v>
      </c>
      <c r="M193" s="6">
        <v>43040</v>
      </c>
      <c r="N193" s="6">
        <v>43100</v>
      </c>
      <c r="O193" s="544" t="s">
        <v>955</v>
      </c>
      <c r="P193" s="553"/>
      <c r="Q193" s="745"/>
      <c r="R193" s="546" t="s">
        <v>1958</v>
      </c>
      <c r="S193" s="319" t="s">
        <v>1176</v>
      </c>
      <c r="T193" s="338" t="s">
        <v>2875</v>
      </c>
    </row>
    <row r="194" spans="1:20" ht="20.100000000000001" customHeight="1">
      <c r="A194" s="1127" t="s">
        <v>2957</v>
      </c>
      <c r="B194" s="1169" t="s">
        <v>350</v>
      </c>
      <c r="C194" s="1169" t="s">
        <v>535</v>
      </c>
      <c r="D194" s="525">
        <f>D73+200</f>
        <v>440</v>
      </c>
      <c r="E194" s="525">
        <f>E73+400</f>
        <v>880</v>
      </c>
      <c r="F194" s="525">
        <f>F73+400</f>
        <v>880</v>
      </c>
      <c r="G194" s="700" t="s">
        <v>36</v>
      </c>
      <c r="H194" s="47">
        <v>4</v>
      </c>
      <c r="I194" s="557" t="s">
        <v>122</v>
      </c>
      <c r="J194" s="558" t="s">
        <v>886</v>
      </c>
      <c r="K194" s="559" t="s">
        <v>721</v>
      </c>
      <c r="L194" s="542" t="s">
        <v>649</v>
      </c>
      <c r="M194" s="551">
        <v>43090</v>
      </c>
      <c r="N194" s="551">
        <v>43092</v>
      </c>
      <c r="O194" s="544" t="s">
        <v>955</v>
      </c>
      <c r="P194" s="545" t="s">
        <v>782</v>
      </c>
      <c r="Q194" s="7"/>
      <c r="R194" s="546" t="s">
        <v>1492</v>
      </c>
      <c r="S194" s="315" t="s">
        <v>2852</v>
      </c>
      <c r="T194" s="317">
        <v>14</v>
      </c>
    </row>
    <row r="195" spans="1:20" ht="20.100000000000001" customHeight="1">
      <c r="A195" s="1127" t="s">
        <v>2957</v>
      </c>
      <c r="B195" s="1169" t="s">
        <v>350</v>
      </c>
      <c r="C195" s="1169" t="s">
        <v>535</v>
      </c>
      <c r="D195" s="525">
        <f>D70+0+25</f>
        <v>195</v>
      </c>
      <c r="E195" s="525">
        <f>E70+0+50</f>
        <v>330</v>
      </c>
      <c r="F195" s="525">
        <f>F70+0+50</f>
        <v>330</v>
      </c>
      <c r="G195" s="701" t="s">
        <v>62</v>
      </c>
      <c r="H195" s="56" t="s">
        <v>725</v>
      </c>
      <c r="I195" s="542" t="s">
        <v>122</v>
      </c>
      <c r="J195" s="558"/>
      <c r="K195" s="559" t="s">
        <v>726</v>
      </c>
      <c r="L195" s="542" t="s">
        <v>639</v>
      </c>
      <c r="M195" s="549">
        <v>43039</v>
      </c>
      <c r="N195" s="549">
        <v>43086</v>
      </c>
      <c r="O195" s="544" t="s">
        <v>955</v>
      </c>
      <c r="P195" s="553"/>
      <c r="Q195" s="7"/>
      <c r="R195" s="546" t="s">
        <v>916</v>
      </c>
      <c r="S195" s="315" t="s">
        <v>2848</v>
      </c>
      <c r="T195" s="338"/>
    </row>
    <row r="196" spans="1:20" ht="20.100000000000001" customHeight="1">
      <c r="A196" s="1127" t="s">
        <v>2957</v>
      </c>
      <c r="B196" s="1169" t="s">
        <v>350</v>
      </c>
      <c r="C196" s="1169" t="s">
        <v>535</v>
      </c>
      <c r="D196" s="525">
        <f>D82+250</f>
        <v>405</v>
      </c>
      <c r="E196" s="525">
        <f>E82+350</f>
        <v>660</v>
      </c>
      <c r="F196" s="525">
        <f>F82+350</f>
        <v>660</v>
      </c>
      <c r="G196" s="225" t="s">
        <v>814</v>
      </c>
      <c r="H196" s="674" t="s">
        <v>681</v>
      </c>
      <c r="I196" s="542" t="s">
        <v>122</v>
      </c>
      <c r="J196" s="566"/>
      <c r="K196" s="559" t="s">
        <v>726</v>
      </c>
      <c r="L196" s="542" t="s">
        <v>641</v>
      </c>
      <c r="M196" s="547">
        <v>43077</v>
      </c>
      <c r="N196" s="547">
        <v>43086</v>
      </c>
      <c r="O196" s="544" t="s">
        <v>955</v>
      </c>
      <c r="P196" s="545"/>
      <c r="Q196" s="683" t="s">
        <v>4173</v>
      </c>
      <c r="R196" s="546" t="s">
        <v>261</v>
      </c>
      <c r="S196" s="319" t="s">
        <v>1176</v>
      </c>
      <c r="T196" s="317" t="s">
        <v>2872</v>
      </c>
    </row>
    <row r="197" spans="1:20" ht="20.100000000000001" customHeight="1">
      <c r="A197" s="1127" t="s">
        <v>2957</v>
      </c>
      <c r="B197" s="1169" t="s">
        <v>350</v>
      </c>
      <c r="C197" s="1169" t="s">
        <v>535</v>
      </c>
      <c r="D197" s="525">
        <f>D80+200</f>
        <v>440</v>
      </c>
      <c r="E197" s="525">
        <f>E80+400</f>
        <v>880</v>
      </c>
      <c r="F197" s="525">
        <f>F80+400</f>
        <v>880</v>
      </c>
      <c r="G197" s="700" t="s">
        <v>36</v>
      </c>
      <c r="H197" s="36">
        <v>5</v>
      </c>
      <c r="I197" s="557" t="s">
        <v>122</v>
      </c>
      <c r="J197" s="558" t="s">
        <v>886</v>
      </c>
      <c r="K197" s="559">
        <v>7</v>
      </c>
      <c r="L197" s="542" t="s">
        <v>649</v>
      </c>
      <c r="M197" s="551">
        <v>43091</v>
      </c>
      <c r="N197" s="551">
        <v>43092</v>
      </c>
      <c r="O197" s="544" t="s">
        <v>955</v>
      </c>
      <c r="P197" s="545" t="s">
        <v>782</v>
      </c>
      <c r="Q197" s="744"/>
      <c r="R197" s="546" t="s">
        <v>309</v>
      </c>
      <c r="S197" s="315" t="s">
        <v>2852</v>
      </c>
      <c r="T197" s="317">
        <v>14</v>
      </c>
    </row>
    <row r="198" spans="1:20" ht="20.100000000000001" customHeight="1">
      <c r="A198" s="1127" t="s">
        <v>2957</v>
      </c>
      <c r="B198" s="1169" t="s">
        <v>350</v>
      </c>
      <c r="C198" s="1169" t="s">
        <v>535</v>
      </c>
      <c r="D198" s="525">
        <v>355</v>
      </c>
      <c r="E198" s="525">
        <v>685</v>
      </c>
      <c r="F198" s="525">
        <v>685</v>
      </c>
      <c r="G198" s="64" t="s">
        <v>6</v>
      </c>
      <c r="H198" s="55" t="s">
        <v>721</v>
      </c>
      <c r="I198" s="566" t="s">
        <v>80</v>
      </c>
      <c r="J198" s="558"/>
      <c r="K198" s="559" t="s">
        <v>747</v>
      </c>
      <c r="L198" s="559" t="s">
        <v>639</v>
      </c>
      <c r="M198" s="549">
        <v>43070</v>
      </c>
      <c r="N198" s="549">
        <v>43074</v>
      </c>
      <c r="O198" s="544" t="s">
        <v>955</v>
      </c>
      <c r="P198" s="545"/>
      <c r="Q198" s="745"/>
      <c r="R198" s="546" t="s">
        <v>1694</v>
      </c>
      <c r="S198" s="316" t="s">
        <v>2853</v>
      </c>
      <c r="T198" s="338" t="s">
        <v>2874</v>
      </c>
    </row>
    <row r="199" spans="1:20" ht="20.100000000000001" customHeight="1">
      <c r="A199" s="1127" t="s">
        <v>2957</v>
      </c>
      <c r="B199" s="1169" t="s">
        <v>350</v>
      </c>
      <c r="C199" s="1169" t="s">
        <v>535</v>
      </c>
      <c r="D199" s="525">
        <f>D92+200</f>
        <v>440</v>
      </c>
      <c r="E199" s="525">
        <f>E92+400</f>
        <v>880</v>
      </c>
      <c r="F199" s="525">
        <f>F92+400</f>
        <v>880</v>
      </c>
      <c r="G199" s="700" t="s">
        <v>36</v>
      </c>
      <c r="H199" s="48">
        <v>6</v>
      </c>
      <c r="I199" s="557" t="s">
        <v>122</v>
      </c>
      <c r="J199" s="558" t="s">
        <v>886</v>
      </c>
      <c r="K199" s="559">
        <v>7</v>
      </c>
      <c r="L199" s="542" t="s">
        <v>649</v>
      </c>
      <c r="M199" s="551">
        <v>43092</v>
      </c>
      <c r="N199" s="551">
        <v>43092</v>
      </c>
      <c r="O199" s="544" t="s">
        <v>955</v>
      </c>
      <c r="P199" s="545" t="s">
        <v>782</v>
      </c>
      <c r="Q199" s="7"/>
      <c r="R199" s="546" t="s">
        <v>313</v>
      </c>
      <c r="S199" s="315" t="s">
        <v>2852</v>
      </c>
      <c r="T199" s="317">
        <v>14</v>
      </c>
    </row>
    <row r="200" spans="1:20" ht="20.100000000000001" customHeight="1">
      <c r="A200" s="1127" t="s">
        <v>2957</v>
      </c>
      <c r="B200" s="1169" t="s">
        <v>350</v>
      </c>
      <c r="C200" s="1169" t="s">
        <v>535</v>
      </c>
      <c r="D200" s="525">
        <f>D106+200</f>
        <v>450</v>
      </c>
      <c r="E200" s="525">
        <f>E106+400</f>
        <v>900</v>
      </c>
      <c r="F200" s="525">
        <f>F106+400</f>
        <v>900</v>
      </c>
      <c r="G200" s="700" t="s">
        <v>36</v>
      </c>
      <c r="H200" s="36">
        <v>7</v>
      </c>
      <c r="I200" s="557" t="s">
        <v>122</v>
      </c>
      <c r="J200" s="558" t="s">
        <v>886</v>
      </c>
      <c r="K200" s="559">
        <v>9</v>
      </c>
      <c r="L200" s="542" t="s">
        <v>649</v>
      </c>
      <c r="M200" s="551">
        <v>43086</v>
      </c>
      <c r="N200" s="551">
        <v>43092</v>
      </c>
      <c r="O200" s="544" t="s">
        <v>955</v>
      </c>
      <c r="P200" s="545" t="s">
        <v>782</v>
      </c>
      <c r="Q200" s="60"/>
      <c r="R200" s="546" t="s">
        <v>315</v>
      </c>
      <c r="S200" s="315" t="s">
        <v>2852</v>
      </c>
      <c r="T200" s="317">
        <v>14</v>
      </c>
    </row>
    <row r="201" spans="1:20" ht="20.100000000000001" customHeight="1">
      <c r="A201" s="1127" t="s">
        <v>2957</v>
      </c>
      <c r="B201" s="1169" t="s">
        <v>350</v>
      </c>
      <c r="C201" s="1169" t="s">
        <v>535</v>
      </c>
      <c r="D201" s="525">
        <v>440</v>
      </c>
      <c r="E201" s="525">
        <v>840</v>
      </c>
      <c r="F201" s="525">
        <v>840</v>
      </c>
      <c r="G201" s="55" t="s">
        <v>37</v>
      </c>
      <c r="H201" s="56" t="s">
        <v>706</v>
      </c>
      <c r="I201" s="558" t="s">
        <v>122</v>
      </c>
      <c r="J201" s="558"/>
      <c r="K201" s="558" t="s">
        <v>736</v>
      </c>
      <c r="L201" s="557" t="s">
        <v>637</v>
      </c>
      <c r="M201" s="543">
        <v>43040</v>
      </c>
      <c r="N201" s="543">
        <v>43084</v>
      </c>
      <c r="O201" s="544" t="s">
        <v>955</v>
      </c>
      <c r="P201" s="553"/>
      <c r="Q201" s="7"/>
      <c r="R201" s="546" t="s">
        <v>1345</v>
      </c>
      <c r="S201" s="319" t="s">
        <v>1176</v>
      </c>
      <c r="T201" s="338"/>
    </row>
    <row r="202" spans="1:20" ht="20.100000000000001" customHeight="1">
      <c r="A202" s="1127" t="s">
        <v>2957</v>
      </c>
      <c r="B202" s="1169" t="s">
        <v>350</v>
      </c>
      <c r="C202" s="1169" t="s">
        <v>535</v>
      </c>
      <c r="D202" s="525">
        <f>D98+120</f>
        <v>300</v>
      </c>
      <c r="E202" s="525">
        <f>E98+160</f>
        <v>520</v>
      </c>
      <c r="F202" s="525">
        <f>F98+160</f>
        <v>520</v>
      </c>
      <c r="G202" s="701" t="s">
        <v>28</v>
      </c>
      <c r="H202" s="36">
        <v>7</v>
      </c>
      <c r="I202" s="574" t="s">
        <v>122</v>
      </c>
      <c r="J202" s="574"/>
      <c r="K202" s="559" t="s">
        <v>706</v>
      </c>
      <c r="L202" s="542" t="s">
        <v>649</v>
      </c>
      <c r="M202" s="549">
        <v>43062</v>
      </c>
      <c r="N202" s="549">
        <v>43089</v>
      </c>
      <c r="O202" s="544" t="s">
        <v>955</v>
      </c>
      <c r="P202" s="553"/>
      <c r="Q202" s="683"/>
      <c r="R202" s="546" t="s">
        <v>188</v>
      </c>
      <c r="S202" s="316" t="s">
        <v>1176</v>
      </c>
      <c r="T202" s="338"/>
    </row>
    <row r="203" spans="1:20" ht="20.100000000000001" customHeight="1">
      <c r="A203" s="732" t="s">
        <v>2957</v>
      </c>
      <c r="B203" s="573" t="s">
        <v>350</v>
      </c>
      <c r="C203" s="573" t="s">
        <v>357</v>
      </c>
      <c r="D203" s="525">
        <f>D57+350</f>
        <v>525</v>
      </c>
      <c r="E203" s="525">
        <f>E57+450</f>
        <v>800</v>
      </c>
      <c r="F203" s="525">
        <f>F57+450</f>
        <v>800</v>
      </c>
      <c r="G203" s="225" t="s">
        <v>814</v>
      </c>
      <c r="H203" s="674" t="s">
        <v>152</v>
      </c>
      <c r="I203" s="542" t="s">
        <v>122</v>
      </c>
      <c r="J203" s="566"/>
      <c r="K203" s="559">
        <v>10</v>
      </c>
      <c r="L203" s="542" t="s">
        <v>649</v>
      </c>
      <c r="M203" s="547">
        <v>43059</v>
      </c>
      <c r="N203" s="547">
        <v>43086</v>
      </c>
      <c r="O203" s="544" t="s">
        <v>955</v>
      </c>
      <c r="P203" s="553"/>
      <c r="Q203" s="7"/>
      <c r="R203" s="546" t="s">
        <v>1310</v>
      </c>
      <c r="S203" s="319" t="s">
        <v>1176</v>
      </c>
      <c r="T203" s="317" t="s">
        <v>2872</v>
      </c>
    </row>
    <row r="204" spans="1:20" ht="20.100000000000001" customHeight="1">
      <c r="A204" s="1127" t="s">
        <v>2957</v>
      </c>
      <c r="B204" s="1169" t="s">
        <v>350</v>
      </c>
      <c r="C204" s="1169" t="s">
        <v>358</v>
      </c>
      <c r="D204" s="525">
        <f>D57+400</f>
        <v>575</v>
      </c>
      <c r="E204" s="525">
        <f>E57+300</f>
        <v>650</v>
      </c>
      <c r="F204" s="525">
        <f>F57+300</f>
        <v>650</v>
      </c>
      <c r="G204" s="225" t="s">
        <v>814</v>
      </c>
      <c r="H204" s="674" t="s">
        <v>152</v>
      </c>
      <c r="I204" s="542" t="s">
        <v>122</v>
      </c>
      <c r="J204" s="566"/>
      <c r="K204" s="559">
        <v>10</v>
      </c>
      <c r="L204" s="542" t="s">
        <v>649</v>
      </c>
      <c r="M204" s="547">
        <v>43059</v>
      </c>
      <c r="N204" s="547">
        <v>43086</v>
      </c>
      <c r="O204" s="544" t="s">
        <v>955</v>
      </c>
      <c r="P204" s="553"/>
      <c r="Q204" s="7"/>
      <c r="R204" s="546" t="s">
        <v>1310</v>
      </c>
      <c r="S204" s="319" t="s">
        <v>1176</v>
      </c>
      <c r="T204" s="317" t="s">
        <v>2872</v>
      </c>
    </row>
    <row r="205" spans="1:20" ht="20.100000000000001" customHeight="1">
      <c r="A205" s="1127" t="s">
        <v>2957</v>
      </c>
      <c r="B205" s="1169" t="s">
        <v>350</v>
      </c>
      <c r="C205" s="1169" t="s">
        <v>358</v>
      </c>
      <c r="D205" s="525">
        <f>D122</f>
        <v>210</v>
      </c>
      <c r="E205" s="525">
        <f>E122</f>
        <v>420</v>
      </c>
      <c r="F205" s="525">
        <f>F122</f>
        <v>420</v>
      </c>
      <c r="G205" s="225" t="s">
        <v>22</v>
      </c>
      <c r="H205" s="36" t="s">
        <v>740</v>
      </c>
      <c r="I205" s="559" t="s">
        <v>80</v>
      </c>
      <c r="J205" s="558"/>
      <c r="K205" s="554" t="s">
        <v>20</v>
      </c>
      <c r="L205" s="559" t="s">
        <v>643</v>
      </c>
      <c r="M205" s="547">
        <v>43009</v>
      </c>
      <c r="N205" s="547">
        <v>43069</v>
      </c>
      <c r="O205" s="544" t="s">
        <v>955</v>
      </c>
      <c r="P205" s="553" t="s">
        <v>1884</v>
      </c>
      <c r="Q205" s="683"/>
      <c r="R205" s="561" t="s">
        <v>2019</v>
      </c>
      <c r="S205" s="316" t="s">
        <v>1176</v>
      </c>
      <c r="T205" s="317">
        <v>14</v>
      </c>
    </row>
    <row r="206" spans="1:20" ht="20.100000000000001" customHeight="1">
      <c r="A206" s="732" t="s">
        <v>2957</v>
      </c>
      <c r="B206" s="573" t="s">
        <v>350</v>
      </c>
      <c r="C206" s="573" t="s">
        <v>359</v>
      </c>
      <c r="D206" s="525">
        <f>D57+300</f>
        <v>475</v>
      </c>
      <c r="E206" s="525">
        <f>E57+350</f>
        <v>700</v>
      </c>
      <c r="F206" s="525">
        <f>F57+350</f>
        <v>700</v>
      </c>
      <c r="G206" s="225" t="s">
        <v>814</v>
      </c>
      <c r="H206" s="674" t="s">
        <v>152</v>
      </c>
      <c r="I206" s="542" t="s">
        <v>122</v>
      </c>
      <c r="J206" s="566"/>
      <c r="K206" s="559">
        <v>10</v>
      </c>
      <c r="L206" s="542" t="s">
        <v>649</v>
      </c>
      <c r="M206" s="547">
        <v>43059</v>
      </c>
      <c r="N206" s="547">
        <v>43086</v>
      </c>
      <c r="O206" s="544" t="s">
        <v>955</v>
      </c>
      <c r="P206" s="553"/>
      <c r="Q206" s="7"/>
      <c r="R206" s="546" t="s">
        <v>1310</v>
      </c>
      <c r="S206" s="319" t="s">
        <v>1176</v>
      </c>
      <c r="T206" s="317" t="s">
        <v>2872</v>
      </c>
    </row>
    <row r="207" spans="1:20" ht="20.100000000000001" customHeight="1">
      <c r="A207" s="1174" t="s">
        <v>3408</v>
      </c>
      <c r="B207" s="1169" t="s">
        <v>350</v>
      </c>
      <c r="C207" s="1169" t="s">
        <v>1553</v>
      </c>
      <c r="D207" s="525">
        <f>D69+150</f>
        <v>390</v>
      </c>
      <c r="E207" s="525">
        <f>E69+300</f>
        <v>780</v>
      </c>
      <c r="F207" s="525">
        <f>F69+300</f>
        <v>780</v>
      </c>
      <c r="G207" s="700" t="s">
        <v>36</v>
      </c>
      <c r="H207" s="48">
        <v>3</v>
      </c>
      <c r="I207" s="557" t="s">
        <v>122</v>
      </c>
      <c r="J207" s="557"/>
      <c r="K207" s="559">
        <v>7</v>
      </c>
      <c r="L207" s="542" t="s">
        <v>649</v>
      </c>
      <c r="M207" s="551">
        <v>43089</v>
      </c>
      <c r="N207" s="551">
        <v>43092</v>
      </c>
      <c r="O207" s="544" t="s">
        <v>955</v>
      </c>
      <c r="P207" s="545" t="s">
        <v>782</v>
      </c>
      <c r="Q207" s="60"/>
      <c r="R207" s="546" t="s">
        <v>312</v>
      </c>
      <c r="S207" s="315" t="s">
        <v>2852</v>
      </c>
      <c r="T207" s="317">
        <v>14</v>
      </c>
    </row>
    <row r="208" spans="1:20" ht="20.100000000000001" customHeight="1">
      <c r="A208" s="1127" t="s">
        <v>1070</v>
      </c>
      <c r="B208" s="1169" t="s">
        <v>350</v>
      </c>
      <c r="C208" s="1169" t="s">
        <v>1553</v>
      </c>
      <c r="D208" s="525">
        <f>D73+150</f>
        <v>390</v>
      </c>
      <c r="E208" s="525">
        <f>E73+300</f>
        <v>780</v>
      </c>
      <c r="F208" s="525">
        <f>F73+300</f>
        <v>780</v>
      </c>
      <c r="G208" s="700" t="s">
        <v>36</v>
      </c>
      <c r="H208" s="47">
        <v>4</v>
      </c>
      <c r="I208" s="557" t="s">
        <v>122</v>
      </c>
      <c r="J208" s="557"/>
      <c r="K208" s="559" t="s">
        <v>721</v>
      </c>
      <c r="L208" s="542" t="s">
        <v>649</v>
      </c>
      <c r="M208" s="551">
        <v>43090</v>
      </c>
      <c r="N208" s="551">
        <v>43092</v>
      </c>
      <c r="O208" s="544" t="s">
        <v>955</v>
      </c>
      <c r="P208" s="545" t="s">
        <v>782</v>
      </c>
      <c r="Q208" s="7"/>
      <c r="R208" s="546" t="s">
        <v>1492</v>
      </c>
      <c r="S208" s="315" t="s">
        <v>2852</v>
      </c>
      <c r="T208" s="317">
        <v>14</v>
      </c>
    </row>
    <row r="209" spans="1:20" ht="20.100000000000001" customHeight="1">
      <c r="A209" s="1127" t="s">
        <v>1070</v>
      </c>
      <c r="B209" s="1169" t="s">
        <v>350</v>
      </c>
      <c r="C209" s="1169" t="s">
        <v>1553</v>
      </c>
      <c r="D209" s="525">
        <f>D80+150</f>
        <v>390</v>
      </c>
      <c r="E209" s="525">
        <f>E80+300</f>
        <v>780</v>
      </c>
      <c r="F209" s="525">
        <f>F80+300</f>
        <v>780</v>
      </c>
      <c r="G209" s="700" t="s">
        <v>36</v>
      </c>
      <c r="H209" s="36">
        <v>5</v>
      </c>
      <c r="I209" s="557" t="s">
        <v>122</v>
      </c>
      <c r="J209" s="557"/>
      <c r="K209" s="559">
        <v>7</v>
      </c>
      <c r="L209" s="542" t="s">
        <v>649</v>
      </c>
      <c r="M209" s="551">
        <v>43091</v>
      </c>
      <c r="N209" s="551">
        <v>43092</v>
      </c>
      <c r="O209" s="544" t="s">
        <v>955</v>
      </c>
      <c r="P209" s="545" t="s">
        <v>782</v>
      </c>
      <c r="Q209" s="744"/>
      <c r="R209" s="546" t="s">
        <v>309</v>
      </c>
      <c r="S209" s="315" t="s">
        <v>2852</v>
      </c>
      <c r="T209" s="317">
        <v>14</v>
      </c>
    </row>
    <row r="210" spans="1:20" ht="20.100000000000001" customHeight="1">
      <c r="A210" s="1127" t="s">
        <v>1070</v>
      </c>
      <c r="B210" s="1169" t="s">
        <v>350</v>
      </c>
      <c r="C210" s="1169" t="s">
        <v>1553</v>
      </c>
      <c r="D210" s="525">
        <f>D92+150</f>
        <v>390</v>
      </c>
      <c r="E210" s="525">
        <f>E92+300</f>
        <v>780</v>
      </c>
      <c r="F210" s="525">
        <f>F92+300</f>
        <v>780</v>
      </c>
      <c r="G210" s="700" t="s">
        <v>36</v>
      </c>
      <c r="H210" s="48">
        <v>6</v>
      </c>
      <c r="I210" s="557" t="s">
        <v>122</v>
      </c>
      <c r="J210" s="557"/>
      <c r="K210" s="559">
        <v>7</v>
      </c>
      <c r="L210" s="542" t="s">
        <v>649</v>
      </c>
      <c r="M210" s="551">
        <v>43092</v>
      </c>
      <c r="N210" s="551">
        <v>43092</v>
      </c>
      <c r="O210" s="544" t="s">
        <v>955</v>
      </c>
      <c r="P210" s="545" t="s">
        <v>782</v>
      </c>
      <c r="Q210" s="7"/>
      <c r="R210" s="546" t="s">
        <v>313</v>
      </c>
      <c r="S210" s="315" t="s">
        <v>2852</v>
      </c>
      <c r="T210" s="317">
        <v>14</v>
      </c>
    </row>
    <row r="211" spans="1:20" ht="20.100000000000001" customHeight="1">
      <c r="A211" s="1127" t="s">
        <v>1070</v>
      </c>
      <c r="B211" s="1169" t="s">
        <v>350</v>
      </c>
      <c r="C211" s="1169" t="s">
        <v>1553</v>
      </c>
      <c r="D211" s="525">
        <f>D106+150</f>
        <v>400</v>
      </c>
      <c r="E211" s="525">
        <f>E106+300</f>
        <v>800</v>
      </c>
      <c r="F211" s="525">
        <f>F106+300</f>
        <v>800</v>
      </c>
      <c r="G211" s="700" t="s">
        <v>36</v>
      </c>
      <c r="H211" s="36">
        <v>7</v>
      </c>
      <c r="I211" s="557" t="s">
        <v>122</v>
      </c>
      <c r="J211" s="557"/>
      <c r="K211" s="557">
        <v>10</v>
      </c>
      <c r="L211" s="542" t="s">
        <v>649</v>
      </c>
      <c r="M211" s="551">
        <v>43086</v>
      </c>
      <c r="N211" s="551">
        <v>43092</v>
      </c>
      <c r="O211" s="544" t="s">
        <v>955</v>
      </c>
      <c r="P211" s="545" t="s">
        <v>782</v>
      </c>
      <c r="Q211" s="60"/>
      <c r="R211" s="546" t="s">
        <v>315</v>
      </c>
      <c r="S211" s="315" t="s">
        <v>2852</v>
      </c>
      <c r="T211" s="317">
        <v>14</v>
      </c>
    </row>
    <row r="212" spans="1:20" ht="20.100000000000001" customHeight="1">
      <c r="A212" s="732" t="s">
        <v>2957</v>
      </c>
      <c r="B212" s="573" t="s">
        <v>350</v>
      </c>
      <c r="C212" s="573" t="s">
        <v>892</v>
      </c>
      <c r="D212" s="525">
        <v>615</v>
      </c>
      <c r="E212" s="525">
        <v>1220</v>
      </c>
      <c r="F212" s="525">
        <v>1220</v>
      </c>
      <c r="G212" s="36" t="s">
        <v>62</v>
      </c>
      <c r="H212" s="56" t="s">
        <v>725</v>
      </c>
      <c r="I212" s="542" t="s">
        <v>122</v>
      </c>
      <c r="J212" s="558"/>
      <c r="K212" s="559" t="s">
        <v>736</v>
      </c>
      <c r="L212" s="542" t="s">
        <v>639</v>
      </c>
      <c r="M212" s="549">
        <v>43039</v>
      </c>
      <c r="N212" s="549">
        <v>43086</v>
      </c>
      <c r="O212" s="544" t="s">
        <v>955</v>
      </c>
      <c r="P212" s="563"/>
      <c r="Q212" s="7"/>
      <c r="R212" s="546" t="s">
        <v>916</v>
      </c>
      <c r="S212" s="315" t="s">
        <v>2848</v>
      </c>
      <c r="T212" s="338"/>
    </row>
    <row r="213" spans="1:20" ht="20.100000000000001" customHeight="1">
      <c r="A213" s="732" t="s">
        <v>2957</v>
      </c>
      <c r="B213" s="573" t="s">
        <v>350</v>
      </c>
      <c r="C213" s="573" t="s">
        <v>821</v>
      </c>
      <c r="D213" s="525">
        <f>D122</f>
        <v>210</v>
      </c>
      <c r="E213" s="525">
        <f>E122</f>
        <v>420</v>
      </c>
      <c r="F213" s="525">
        <f>F122</f>
        <v>420</v>
      </c>
      <c r="G213" s="225" t="s">
        <v>22</v>
      </c>
      <c r="H213" s="36" t="s">
        <v>740</v>
      </c>
      <c r="I213" s="559" t="s">
        <v>80</v>
      </c>
      <c r="J213" s="558"/>
      <c r="K213" s="554" t="s">
        <v>20</v>
      </c>
      <c r="L213" s="559" t="s">
        <v>643</v>
      </c>
      <c r="M213" s="547">
        <v>43009</v>
      </c>
      <c r="N213" s="547">
        <v>43069</v>
      </c>
      <c r="O213" s="544" t="s">
        <v>955</v>
      </c>
      <c r="P213" s="553" t="s">
        <v>1884</v>
      </c>
      <c r="Q213" s="683"/>
      <c r="R213" s="561" t="s">
        <v>2019</v>
      </c>
      <c r="S213" s="316" t="s">
        <v>1176</v>
      </c>
      <c r="T213" s="317">
        <v>14</v>
      </c>
    </row>
    <row r="214" spans="1:20" ht="20.100000000000001" customHeight="1">
      <c r="A214" s="732" t="s">
        <v>2957</v>
      </c>
      <c r="B214" s="573" t="s">
        <v>350</v>
      </c>
      <c r="C214" s="573" t="s">
        <v>360</v>
      </c>
      <c r="D214" s="525">
        <f>D57+400</f>
        <v>575</v>
      </c>
      <c r="E214" s="525">
        <f>E57+400</f>
        <v>750</v>
      </c>
      <c r="F214" s="525">
        <f>F57+400</f>
        <v>750</v>
      </c>
      <c r="G214" s="225" t="s">
        <v>814</v>
      </c>
      <c r="H214" s="674" t="s">
        <v>152</v>
      </c>
      <c r="I214" s="542" t="s">
        <v>122</v>
      </c>
      <c r="J214" s="566"/>
      <c r="K214" s="559">
        <v>10</v>
      </c>
      <c r="L214" s="542" t="s">
        <v>649</v>
      </c>
      <c r="M214" s="547">
        <v>43059</v>
      </c>
      <c r="N214" s="547">
        <v>43086</v>
      </c>
      <c r="O214" s="544" t="s">
        <v>955</v>
      </c>
      <c r="P214" s="553"/>
      <c r="Q214" s="7"/>
      <c r="R214" s="546" t="s">
        <v>1310</v>
      </c>
      <c r="S214" s="319" t="s">
        <v>1176</v>
      </c>
      <c r="T214" s="317" t="s">
        <v>2872</v>
      </c>
    </row>
    <row r="215" spans="1:20" ht="20.100000000000001" customHeight="1">
      <c r="A215" s="1127" t="s">
        <v>2957</v>
      </c>
      <c r="B215" s="1169" t="s">
        <v>350</v>
      </c>
      <c r="C215" s="1169" t="s">
        <v>361</v>
      </c>
      <c r="D215" s="32">
        <f>D69+250</f>
        <v>490</v>
      </c>
      <c r="E215" s="32">
        <f>E69+400</f>
        <v>880</v>
      </c>
      <c r="F215" s="32">
        <f>F69+400</f>
        <v>880</v>
      </c>
      <c r="G215" s="700" t="s">
        <v>36</v>
      </c>
      <c r="H215" s="48">
        <v>3</v>
      </c>
      <c r="I215" s="557" t="s">
        <v>122</v>
      </c>
      <c r="J215" s="557"/>
      <c r="K215" s="559">
        <v>7</v>
      </c>
      <c r="L215" s="542" t="s">
        <v>649</v>
      </c>
      <c r="M215" s="551">
        <v>43089</v>
      </c>
      <c r="N215" s="551">
        <v>43092</v>
      </c>
      <c r="O215" s="544" t="s">
        <v>955</v>
      </c>
      <c r="P215" s="545" t="s">
        <v>782</v>
      </c>
      <c r="Q215" s="60"/>
      <c r="R215" s="546" t="s">
        <v>312</v>
      </c>
      <c r="S215" s="315" t="s">
        <v>2852</v>
      </c>
      <c r="T215" s="317">
        <v>14</v>
      </c>
    </row>
    <row r="216" spans="1:20" ht="20.100000000000001" customHeight="1">
      <c r="A216" s="1127" t="s">
        <v>2957</v>
      </c>
      <c r="B216" s="1169" t="s">
        <v>350</v>
      </c>
      <c r="C216" s="1169" t="s">
        <v>361</v>
      </c>
      <c r="D216" s="32">
        <f>D73+250</f>
        <v>490</v>
      </c>
      <c r="E216" s="32">
        <f>E73+400</f>
        <v>880</v>
      </c>
      <c r="F216" s="32">
        <f>F73+400</f>
        <v>880</v>
      </c>
      <c r="G216" s="700" t="s">
        <v>36</v>
      </c>
      <c r="H216" s="47">
        <v>4</v>
      </c>
      <c r="I216" s="557" t="s">
        <v>122</v>
      </c>
      <c r="J216" s="557"/>
      <c r="K216" s="559" t="s">
        <v>721</v>
      </c>
      <c r="L216" s="542" t="s">
        <v>649</v>
      </c>
      <c r="M216" s="551">
        <v>43090</v>
      </c>
      <c r="N216" s="551">
        <v>43092</v>
      </c>
      <c r="O216" s="544" t="s">
        <v>955</v>
      </c>
      <c r="P216" s="545" t="s">
        <v>782</v>
      </c>
      <c r="Q216" s="7"/>
      <c r="R216" s="546" t="s">
        <v>1492</v>
      </c>
      <c r="S216" s="315" t="s">
        <v>2852</v>
      </c>
      <c r="T216" s="317">
        <v>14</v>
      </c>
    </row>
    <row r="217" spans="1:20" ht="20.100000000000001" customHeight="1">
      <c r="A217" s="1127" t="s">
        <v>2957</v>
      </c>
      <c r="B217" s="1169" t="s">
        <v>350</v>
      </c>
      <c r="C217" s="1169" t="s">
        <v>361</v>
      </c>
      <c r="D217" s="32">
        <f>D80+250</f>
        <v>490</v>
      </c>
      <c r="E217" s="32">
        <f>E80+400</f>
        <v>880</v>
      </c>
      <c r="F217" s="32">
        <f>F80+400</f>
        <v>880</v>
      </c>
      <c r="G217" s="700" t="s">
        <v>36</v>
      </c>
      <c r="H217" s="36">
        <v>5</v>
      </c>
      <c r="I217" s="557" t="s">
        <v>122</v>
      </c>
      <c r="J217" s="557"/>
      <c r="K217" s="559">
        <v>7</v>
      </c>
      <c r="L217" s="542" t="s">
        <v>649</v>
      </c>
      <c r="M217" s="551">
        <v>43091</v>
      </c>
      <c r="N217" s="551">
        <v>43092</v>
      </c>
      <c r="O217" s="544" t="s">
        <v>955</v>
      </c>
      <c r="P217" s="545" t="s">
        <v>782</v>
      </c>
      <c r="Q217" s="744"/>
      <c r="R217" s="546" t="s">
        <v>309</v>
      </c>
      <c r="S217" s="315" t="s">
        <v>2852</v>
      </c>
      <c r="T217" s="317">
        <v>14</v>
      </c>
    </row>
    <row r="218" spans="1:20" ht="20.100000000000001" customHeight="1">
      <c r="A218" s="1127" t="s">
        <v>2957</v>
      </c>
      <c r="B218" s="1169" t="s">
        <v>350</v>
      </c>
      <c r="C218" s="1169" t="s">
        <v>361</v>
      </c>
      <c r="D218" s="32">
        <f>D92+250</f>
        <v>490</v>
      </c>
      <c r="E218" s="32">
        <f>E92+400</f>
        <v>880</v>
      </c>
      <c r="F218" s="32">
        <f>F92+400</f>
        <v>880</v>
      </c>
      <c r="G218" s="700" t="s">
        <v>36</v>
      </c>
      <c r="H218" s="48">
        <v>6</v>
      </c>
      <c r="I218" s="557" t="s">
        <v>122</v>
      </c>
      <c r="J218" s="557"/>
      <c r="K218" s="559">
        <v>7</v>
      </c>
      <c r="L218" s="542" t="s">
        <v>649</v>
      </c>
      <c r="M218" s="551">
        <v>43092</v>
      </c>
      <c r="N218" s="551">
        <v>43092</v>
      </c>
      <c r="O218" s="544" t="s">
        <v>955</v>
      </c>
      <c r="P218" s="545" t="s">
        <v>782</v>
      </c>
      <c r="Q218" s="7"/>
      <c r="R218" s="546" t="s">
        <v>313</v>
      </c>
      <c r="S218" s="315" t="s">
        <v>2852</v>
      </c>
      <c r="T218" s="317">
        <v>14</v>
      </c>
    </row>
    <row r="219" spans="1:20" ht="20.100000000000001" customHeight="1">
      <c r="A219" s="1127" t="s">
        <v>2957</v>
      </c>
      <c r="B219" s="1169" t="s">
        <v>350</v>
      </c>
      <c r="C219" s="1169" t="s">
        <v>361</v>
      </c>
      <c r="D219" s="525">
        <f>D106+250</f>
        <v>500</v>
      </c>
      <c r="E219" s="525">
        <f>E106+400</f>
        <v>900</v>
      </c>
      <c r="F219" s="525">
        <f>F106+400</f>
        <v>900</v>
      </c>
      <c r="G219" s="700" t="s">
        <v>36</v>
      </c>
      <c r="H219" s="36">
        <v>7</v>
      </c>
      <c r="I219" s="557" t="s">
        <v>122</v>
      </c>
      <c r="J219" s="557"/>
      <c r="K219" s="557">
        <v>10</v>
      </c>
      <c r="L219" s="542" t="s">
        <v>649</v>
      </c>
      <c r="M219" s="551">
        <v>43086</v>
      </c>
      <c r="N219" s="551">
        <v>43092</v>
      </c>
      <c r="O219" s="544" t="s">
        <v>955</v>
      </c>
      <c r="P219" s="545" t="s">
        <v>782</v>
      </c>
      <c r="Q219" s="60"/>
      <c r="R219" s="546" t="s">
        <v>315</v>
      </c>
      <c r="S219" s="315" t="s">
        <v>2852</v>
      </c>
      <c r="T219" s="317">
        <v>14</v>
      </c>
    </row>
    <row r="220" spans="1:20" ht="20.100000000000001" customHeight="1">
      <c r="A220" s="732" t="s">
        <v>2957</v>
      </c>
      <c r="B220" s="573" t="s">
        <v>350</v>
      </c>
      <c r="C220" s="573" t="s">
        <v>153</v>
      </c>
      <c r="D220" s="525">
        <f>D57+850</f>
        <v>1025</v>
      </c>
      <c r="E220" s="525">
        <f>E57+950</f>
        <v>1300</v>
      </c>
      <c r="F220" s="525">
        <f>F57+950</f>
        <v>1300</v>
      </c>
      <c r="G220" s="225" t="s">
        <v>814</v>
      </c>
      <c r="H220" s="674" t="s">
        <v>152</v>
      </c>
      <c r="I220" s="542" t="s">
        <v>122</v>
      </c>
      <c r="J220" s="566"/>
      <c r="K220" s="559">
        <v>10</v>
      </c>
      <c r="L220" s="542" t="s">
        <v>649</v>
      </c>
      <c r="M220" s="547">
        <v>43059</v>
      </c>
      <c r="N220" s="547">
        <v>43086</v>
      </c>
      <c r="O220" s="544" t="s">
        <v>955</v>
      </c>
      <c r="P220" s="553"/>
      <c r="Q220" s="7"/>
      <c r="R220" s="546" t="s">
        <v>1310</v>
      </c>
      <c r="S220" s="319" t="s">
        <v>1176</v>
      </c>
      <c r="T220" s="317" t="s">
        <v>2872</v>
      </c>
    </row>
    <row r="221" spans="1:20" ht="20.100000000000001" customHeight="1">
      <c r="A221" s="732" t="s">
        <v>2957</v>
      </c>
      <c r="B221" s="573" t="s">
        <v>350</v>
      </c>
      <c r="C221" s="573" t="s">
        <v>1298</v>
      </c>
      <c r="D221" s="525">
        <f>D122</f>
        <v>210</v>
      </c>
      <c r="E221" s="525">
        <f>E122</f>
        <v>420</v>
      </c>
      <c r="F221" s="525">
        <f>F122</f>
        <v>420</v>
      </c>
      <c r="G221" s="225" t="s">
        <v>22</v>
      </c>
      <c r="H221" s="36" t="s">
        <v>740</v>
      </c>
      <c r="I221" s="559" t="s">
        <v>80</v>
      </c>
      <c r="J221" s="558"/>
      <c r="K221" s="554" t="s">
        <v>20</v>
      </c>
      <c r="L221" s="559" t="s">
        <v>643</v>
      </c>
      <c r="M221" s="547">
        <v>43009</v>
      </c>
      <c r="N221" s="547">
        <v>43069</v>
      </c>
      <c r="O221" s="544" t="s">
        <v>955</v>
      </c>
      <c r="P221" s="553" t="s">
        <v>1884</v>
      </c>
      <c r="Q221" s="683"/>
      <c r="R221" s="561" t="s">
        <v>2019</v>
      </c>
      <c r="S221" s="316" t="s">
        <v>1176</v>
      </c>
      <c r="T221" s="317">
        <v>14</v>
      </c>
    </row>
    <row r="222" spans="1:20" ht="20.100000000000001" customHeight="1">
      <c r="A222" s="732" t="s">
        <v>2957</v>
      </c>
      <c r="B222" s="573" t="s">
        <v>350</v>
      </c>
      <c r="C222" s="573" t="s">
        <v>362</v>
      </c>
      <c r="D222" s="525">
        <f>D57+550</f>
        <v>725</v>
      </c>
      <c r="E222" s="525">
        <f>E57+650</f>
        <v>1000</v>
      </c>
      <c r="F222" s="525">
        <f>F57+650</f>
        <v>1000</v>
      </c>
      <c r="G222" s="225" t="s">
        <v>814</v>
      </c>
      <c r="H222" s="674" t="s">
        <v>152</v>
      </c>
      <c r="I222" s="542" t="s">
        <v>122</v>
      </c>
      <c r="J222" s="566"/>
      <c r="K222" s="559">
        <v>10</v>
      </c>
      <c r="L222" s="542" t="s">
        <v>649</v>
      </c>
      <c r="M222" s="547">
        <v>43059</v>
      </c>
      <c r="N222" s="547">
        <v>43086</v>
      </c>
      <c r="O222" s="544" t="s">
        <v>955</v>
      </c>
      <c r="P222" s="553"/>
      <c r="Q222" s="7"/>
      <c r="R222" s="546" t="s">
        <v>1310</v>
      </c>
      <c r="S222" s="319" t="s">
        <v>1176</v>
      </c>
      <c r="T222" s="317" t="s">
        <v>2872</v>
      </c>
    </row>
    <row r="223" spans="1:20" ht="20.100000000000001" customHeight="1">
      <c r="A223" s="1127" t="s">
        <v>2957</v>
      </c>
      <c r="B223" s="1169" t="s">
        <v>350</v>
      </c>
      <c r="C223" s="1169" t="s">
        <v>513</v>
      </c>
      <c r="D223" s="526">
        <v>1050</v>
      </c>
      <c r="E223" s="526">
        <v>2000</v>
      </c>
      <c r="F223" s="526">
        <v>2000</v>
      </c>
      <c r="G223" s="48" t="s">
        <v>13</v>
      </c>
      <c r="H223" s="48" t="s">
        <v>760</v>
      </c>
      <c r="I223" s="558" t="s">
        <v>16</v>
      </c>
      <c r="J223" s="558"/>
      <c r="K223" s="558"/>
      <c r="L223" s="557" t="s">
        <v>637</v>
      </c>
      <c r="M223" s="6">
        <v>43040</v>
      </c>
      <c r="N223" s="6">
        <v>43100</v>
      </c>
      <c r="O223" s="544" t="s">
        <v>955</v>
      </c>
      <c r="P223" s="553"/>
      <c r="Q223" s="677"/>
      <c r="R223" s="546" t="s">
        <v>1958</v>
      </c>
      <c r="S223" s="319" t="s">
        <v>1176</v>
      </c>
      <c r="T223" s="338" t="s">
        <v>2875</v>
      </c>
    </row>
    <row r="224" spans="1:20" ht="20.100000000000001" customHeight="1">
      <c r="A224" s="1127" t="s">
        <v>2957</v>
      </c>
      <c r="B224" s="1169" t="s">
        <v>350</v>
      </c>
      <c r="C224" s="1169" t="s">
        <v>513</v>
      </c>
      <c r="D224" s="273">
        <v>1050</v>
      </c>
      <c r="E224" s="273">
        <v>2100</v>
      </c>
      <c r="F224" s="273">
        <v>2100</v>
      </c>
      <c r="G224" s="55" t="s">
        <v>29</v>
      </c>
      <c r="H224" s="56">
        <v>2</v>
      </c>
      <c r="I224" s="559" t="s">
        <v>122</v>
      </c>
      <c r="J224" s="559"/>
      <c r="K224" s="559">
        <v>8</v>
      </c>
      <c r="L224" s="557" t="s">
        <v>637</v>
      </c>
      <c r="M224" s="547">
        <v>43038</v>
      </c>
      <c r="N224" s="547">
        <v>43072</v>
      </c>
      <c r="O224" s="544" t="s">
        <v>955</v>
      </c>
      <c r="P224" s="544"/>
      <c r="Q224" s="7"/>
      <c r="R224" s="546" t="s">
        <v>199</v>
      </c>
      <c r="S224" s="319" t="s">
        <v>1176</v>
      </c>
      <c r="T224" s="338" t="s">
        <v>1988</v>
      </c>
    </row>
    <row r="225" spans="1:20" ht="20.100000000000001" customHeight="1">
      <c r="A225" s="1127" t="s">
        <v>2957</v>
      </c>
      <c r="B225" s="1169" t="s">
        <v>350</v>
      </c>
      <c r="C225" s="1169" t="s">
        <v>513</v>
      </c>
      <c r="D225" s="525">
        <f>D1071+400</f>
        <v>650</v>
      </c>
      <c r="E225" s="525">
        <f>E1071+650</f>
        <v>1150</v>
      </c>
      <c r="F225" s="525">
        <f>F1071+650</f>
        <v>1150</v>
      </c>
      <c r="G225" s="225" t="s">
        <v>51</v>
      </c>
      <c r="H225" s="36" t="s">
        <v>2370</v>
      </c>
      <c r="I225" s="557" t="s">
        <v>16</v>
      </c>
      <c r="J225" s="558"/>
      <c r="K225" s="558">
        <v>23</v>
      </c>
      <c r="L225" s="542" t="s">
        <v>637</v>
      </c>
      <c r="M225" s="381">
        <v>43040</v>
      </c>
      <c r="N225" s="381">
        <v>43088</v>
      </c>
      <c r="O225" s="544" t="s">
        <v>955</v>
      </c>
      <c r="P225" s="545"/>
      <c r="Q225" s="52"/>
      <c r="R225" s="575" t="s">
        <v>2371</v>
      </c>
      <c r="S225" s="319"/>
      <c r="T225" s="317">
        <v>12</v>
      </c>
    </row>
    <row r="226" spans="1:20" ht="20.100000000000001" customHeight="1">
      <c r="A226" s="1127" t="s">
        <v>2957</v>
      </c>
      <c r="B226" s="1169" t="s">
        <v>350</v>
      </c>
      <c r="C226" s="1169" t="s">
        <v>513</v>
      </c>
      <c r="D226" s="526">
        <v>515</v>
      </c>
      <c r="E226" s="526">
        <v>830</v>
      </c>
      <c r="F226" s="526">
        <v>830</v>
      </c>
      <c r="G226" s="69" t="s">
        <v>62</v>
      </c>
      <c r="H226" s="56" t="s">
        <v>681</v>
      </c>
      <c r="I226" s="566" t="s">
        <v>1</v>
      </c>
      <c r="J226" s="559"/>
      <c r="K226" s="559" t="s">
        <v>743</v>
      </c>
      <c r="L226" s="542" t="s">
        <v>649</v>
      </c>
      <c r="M226" s="549">
        <v>43039</v>
      </c>
      <c r="N226" s="549">
        <v>43086</v>
      </c>
      <c r="O226" s="544" t="s">
        <v>955</v>
      </c>
      <c r="P226" s="562"/>
      <c r="Q226" s="683"/>
      <c r="R226" s="546" t="s">
        <v>1845</v>
      </c>
      <c r="S226" s="315" t="s">
        <v>2848</v>
      </c>
      <c r="T226" s="317"/>
    </row>
    <row r="227" spans="1:20" ht="20.100000000000001" customHeight="1">
      <c r="A227" s="1127" t="s">
        <v>1070</v>
      </c>
      <c r="B227" s="1169" t="s">
        <v>350</v>
      </c>
      <c r="C227" s="1169" t="s">
        <v>1554</v>
      </c>
      <c r="D227" s="525">
        <f>D69+150</f>
        <v>390</v>
      </c>
      <c r="E227" s="525">
        <f>E69+300</f>
        <v>780</v>
      </c>
      <c r="F227" s="525">
        <f>F69+300</f>
        <v>780</v>
      </c>
      <c r="G227" s="700" t="s">
        <v>36</v>
      </c>
      <c r="H227" s="48">
        <v>3</v>
      </c>
      <c r="I227" s="557" t="s">
        <v>122</v>
      </c>
      <c r="J227" s="557"/>
      <c r="K227" s="559">
        <v>7</v>
      </c>
      <c r="L227" s="542" t="s">
        <v>649</v>
      </c>
      <c r="M227" s="551">
        <v>43089</v>
      </c>
      <c r="N227" s="551">
        <v>43092</v>
      </c>
      <c r="O227" s="544" t="s">
        <v>955</v>
      </c>
      <c r="P227" s="545" t="s">
        <v>782</v>
      </c>
      <c r="Q227" s="60"/>
      <c r="R227" s="546" t="s">
        <v>312</v>
      </c>
      <c r="S227" s="315" t="s">
        <v>2852</v>
      </c>
      <c r="T227" s="317">
        <v>14</v>
      </c>
    </row>
    <row r="228" spans="1:20" ht="20.100000000000001" customHeight="1">
      <c r="A228" s="1127" t="s">
        <v>1070</v>
      </c>
      <c r="B228" s="1169" t="s">
        <v>350</v>
      </c>
      <c r="C228" s="1169" t="s">
        <v>1554</v>
      </c>
      <c r="D228" s="525">
        <f>D73+150</f>
        <v>390</v>
      </c>
      <c r="E228" s="525">
        <f>E73+300</f>
        <v>780</v>
      </c>
      <c r="F228" s="525">
        <f>F73+300</f>
        <v>780</v>
      </c>
      <c r="G228" s="700" t="s">
        <v>36</v>
      </c>
      <c r="H228" s="47">
        <v>4</v>
      </c>
      <c r="I228" s="557" t="s">
        <v>122</v>
      </c>
      <c r="J228" s="557"/>
      <c r="K228" s="559" t="s">
        <v>721</v>
      </c>
      <c r="L228" s="542" t="s">
        <v>649</v>
      </c>
      <c r="M228" s="551">
        <v>43090</v>
      </c>
      <c r="N228" s="551">
        <v>43092</v>
      </c>
      <c r="O228" s="544" t="s">
        <v>955</v>
      </c>
      <c r="P228" s="545" t="s">
        <v>782</v>
      </c>
      <c r="Q228" s="7"/>
      <c r="R228" s="546" t="s">
        <v>1492</v>
      </c>
      <c r="S228" s="315" t="s">
        <v>2852</v>
      </c>
      <c r="T228" s="317">
        <v>14</v>
      </c>
    </row>
    <row r="229" spans="1:20" ht="20.100000000000001" customHeight="1">
      <c r="A229" s="1127" t="s">
        <v>1070</v>
      </c>
      <c r="B229" s="1169" t="s">
        <v>350</v>
      </c>
      <c r="C229" s="1169" t="s">
        <v>1554</v>
      </c>
      <c r="D229" s="525">
        <f>D80+150</f>
        <v>390</v>
      </c>
      <c r="E229" s="525">
        <f>E80+300</f>
        <v>780</v>
      </c>
      <c r="F229" s="525">
        <f>F80+300</f>
        <v>780</v>
      </c>
      <c r="G229" s="700" t="s">
        <v>36</v>
      </c>
      <c r="H229" s="36">
        <v>5</v>
      </c>
      <c r="I229" s="557" t="s">
        <v>122</v>
      </c>
      <c r="J229" s="557"/>
      <c r="K229" s="559">
        <v>7</v>
      </c>
      <c r="L229" s="542" t="s">
        <v>649</v>
      </c>
      <c r="M229" s="551">
        <v>43091</v>
      </c>
      <c r="N229" s="551">
        <v>43092</v>
      </c>
      <c r="O229" s="544" t="s">
        <v>955</v>
      </c>
      <c r="P229" s="545" t="s">
        <v>782</v>
      </c>
      <c r="Q229" s="744"/>
      <c r="R229" s="546" t="s">
        <v>309</v>
      </c>
      <c r="S229" s="315" t="s">
        <v>2852</v>
      </c>
      <c r="T229" s="317">
        <v>14</v>
      </c>
    </row>
    <row r="230" spans="1:20" ht="20.100000000000001" customHeight="1">
      <c r="A230" s="1127" t="s">
        <v>1070</v>
      </c>
      <c r="B230" s="1169" t="s">
        <v>350</v>
      </c>
      <c r="C230" s="1169" t="s">
        <v>1554</v>
      </c>
      <c r="D230" s="525">
        <f>D92+150</f>
        <v>390</v>
      </c>
      <c r="E230" s="525">
        <f>E92+300</f>
        <v>780</v>
      </c>
      <c r="F230" s="525">
        <f>F92+300</f>
        <v>780</v>
      </c>
      <c r="G230" s="700" t="s">
        <v>36</v>
      </c>
      <c r="H230" s="48">
        <v>6</v>
      </c>
      <c r="I230" s="557" t="s">
        <v>122</v>
      </c>
      <c r="J230" s="557"/>
      <c r="K230" s="559">
        <v>7</v>
      </c>
      <c r="L230" s="542" t="s">
        <v>649</v>
      </c>
      <c r="M230" s="551">
        <v>43092</v>
      </c>
      <c r="N230" s="551">
        <v>43092</v>
      </c>
      <c r="O230" s="544" t="s">
        <v>955</v>
      </c>
      <c r="P230" s="545" t="s">
        <v>782</v>
      </c>
      <c r="Q230" s="7"/>
      <c r="R230" s="546" t="s">
        <v>313</v>
      </c>
      <c r="S230" s="315" t="s">
        <v>2852</v>
      </c>
      <c r="T230" s="317">
        <v>14</v>
      </c>
    </row>
    <row r="231" spans="1:20" ht="20.100000000000001" customHeight="1">
      <c r="A231" s="1127" t="s">
        <v>1070</v>
      </c>
      <c r="B231" s="1169" t="s">
        <v>350</v>
      </c>
      <c r="C231" s="1169" t="s">
        <v>1554</v>
      </c>
      <c r="D231" s="525">
        <f>D106+150</f>
        <v>400</v>
      </c>
      <c r="E231" s="525">
        <f>E106+300</f>
        <v>800</v>
      </c>
      <c r="F231" s="525">
        <f>F106+300</f>
        <v>800</v>
      </c>
      <c r="G231" s="700" t="s">
        <v>36</v>
      </c>
      <c r="H231" s="36">
        <v>7</v>
      </c>
      <c r="I231" s="557" t="s">
        <v>122</v>
      </c>
      <c r="J231" s="557"/>
      <c r="K231" s="557">
        <v>10</v>
      </c>
      <c r="L231" s="542" t="s">
        <v>649</v>
      </c>
      <c r="M231" s="551">
        <v>43086</v>
      </c>
      <c r="N231" s="551">
        <v>43092</v>
      </c>
      <c r="O231" s="544" t="s">
        <v>955</v>
      </c>
      <c r="P231" s="545" t="s">
        <v>782</v>
      </c>
      <c r="Q231" s="60"/>
      <c r="R231" s="546" t="s">
        <v>315</v>
      </c>
      <c r="S231" s="315" t="s">
        <v>2852</v>
      </c>
      <c r="T231" s="317">
        <v>14</v>
      </c>
    </row>
    <row r="232" spans="1:20" ht="20.100000000000001" customHeight="1">
      <c r="A232" s="1127" t="s">
        <v>2954</v>
      </c>
      <c r="B232" s="1169" t="s">
        <v>350</v>
      </c>
      <c r="C232" s="1169" t="s">
        <v>363</v>
      </c>
      <c r="D232" s="32">
        <f>D57+250</f>
        <v>425</v>
      </c>
      <c r="E232" s="32">
        <f>E57+350</f>
        <v>700</v>
      </c>
      <c r="F232" s="32">
        <f>F57+350</f>
        <v>700</v>
      </c>
      <c r="G232" s="225" t="s">
        <v>814</v>
      </c>
      <c r="H232" s="674" t="s">
        <v>152</v>
      </c>
      <c r="I232" s="542" t="s">
        <v>122</v>
      </c>
      <c r="J232" s="566"/>
      <c r="K232" s="559">
        <v>10</v>
      </c>
      <c r="L232" s="542" t="s">
        <v>649</v>
      </c>
      <c r="M232" s="547">
        <v>43059</v>
      </c>
      <c r="N232" s="547">
        <v>43086</v>
      </c>
      <c r="O232" s="544" t="s">
        <v>955</v>
      </c>
      <c r="P232" s="553"/>
      <c r="Q232" s="7"/>
      <c r="R232" s="546" t="s">
        <v>1310</v>
      </c>
      <c r="S232" s="319" t="s">
        <v>1176</v>
      </c>
      <c r="T232" s="317" t="s">
        <v>2872</v>
      </c>
    </row>
    <row r="233" spans="1:20" ht="20.100000000000001" customHeight="1">
      <c r="A233" s="1127" t="s">
        <v>2957</v>
      </c>
      <c r="B233" s="1169" t="s">
        <v>350</v>
      </c>
      <c r="C233" s="1169" t="s">
        <v>363</v>
      </c>
      <c r="D233" s="32">
        <f>D69+100</f>
        <v>340</v>
      </c>
      <c r="E233" s="32">
        <f>E69+200</f>
        <v>680</v>
      </c>
      <c r="F233" s="32">
        <f>F69+200</f>
        <v>680</v>
      </c>
      <c r="G233" s="700" t="s">
        <v>36</v>
      </c>
      <c r="H233" s="48">
        <v>3</v>
      </c>
      <c r="I233" s="557" t="s">
        <v>122</v>
      </c>
      <c r="J233" s="557"/>
      <c r="K233" s="559">
        <v>7</v>
      </c>
      <c r="L233" s="542" t="s">
        <v>649</v>
      </c>
      <c r="M233" s="551">
        <v>43089</v>
      </c>
      <c r="N233" s="551">
        <v>43092</v>
      </c>
      <c r="O233" s="544" t="s">
        <v>955</v>
      </c>
      <c r="P233" s="545" t="s">
        <v>782</v>
      </c>
      <c r="Q233" s="60"/>
      <c r="R233" s="546" t="s">
        <v>312</v>
      </c>
      <c r="S233" s="315" t="s">
        <v>2852</v>
      </c>
      <c r="T233" s="317">
        <v>14</v>
      </c>
    </row>
    <row r="234" spans="1:20" ht="20.100000000000001" customHeight="1">
      <c r="A234" s="1127" t="s">
        <v>2957</v>
      </c>
      <c r="B234" s="1169" t="s">
        <v>350</v>
      </c>
      <c r="C234" s="1169" t="s">
        <v>363</v>
      </c>
      <c r="D234" s="32">
        <f>D73+100</f>
        <v>340</v>
      </c>
      <c r="E234" s="32">
        <f>E73+200</f>
        <v>680</v>
      </c>
      <c r="F234" s="32">
        <f>F73+200</f>
        <v>680</v>
      </c>
      <c r="G234" s="700" t="s">
        <v>36</v>
      </c>
      <c r="H234" s="47">
        <v>4</v>
      </c>
      <c r="I234" s="557" t="s">
        <v>122</v>
      </c>
      <c r="J234" s="557"/>
      <c r="K234" s="559" t="s">
        <v>721</v>
      </c>
      <c r="L234" s="542" t="s">
        <v>649</v>
      </c>
      <c r="M234" s="551">
        <v>43090</v>
      </c>
      <c r="N234" s="551">
        <v>43092</v>
      </c>
      <c r="O234" s="544" t="s">
        <v>955</v>
      </c>
      <c r="P234" s="545" t="s">
        <v>782</v>
      </c>
      <c r="Q234" s="7"/>
      <c r="R234" s="546" t="s">
        <v>1492</v>
      </c>
      <c r="S234" s="315" t="s">
        <v>2852</v>
      </c>
      <c r="T234" s="317">
        <v>14</v>
      </c>
    </row>
    <row r="235" spans="1:20" ht="20.100000000000001" customHeight="1">
      <c r="A235" s="1127" t="s">
        <v>2957</v>
      </c>
      <c r="B235" s="1169" t="s">
        <v>350</v>
      </c>
      <c r="C235" s="1169" t="s">
        <v>363</v>
      </c>
      <c r="D235" s="32">
        <f>D80+100</f>
        <v>340</v>
      </c>
      <c r="E235" s="32">
        <f>E80+200</f>
        <v>680</v>
      </c>
      <c r="F235" s="32">
        <f>F80+200</f>
        <v>680</v>
      </c>
      <c r="G235" s="700" t="s">
        <v>36</v>
      </c>
      <c r="H235" s="36">
        <v>5</v>
      </c>
      <c r="I235" s="557" t="s">
        <v>122</v>
      </c>
      <c r="J235" s="557"/>
      <c r="K235" s="559">
        <v>7</v>
      </c>
      <c r="L235" s="542" t="s">
        <v>649</v>
      </c>
      <c r="M235" s="551">
        <v>43091</v>
      </c>
      <c r="N235" s="551">
        <v>43092</v>
      </c>
      <c r="O235" s="544" t="s">
        <v>955</v>
      </c>
      <c r="P235" s="545" t="s">
        <v>782</v>
      </c>
      <c r="Q235" s="744"/>
      <c r="R235" s="546" t="s">
        <v>309</v>
      </c>
      <c r="S235" s="315" t="s">
        <v>2852</v>
      </c>
      <c r="T235" s="317">
        <v>14</v>
      </c>
    </row>
    <row r="236" spans="1:20" ht="20.100000000000001" customHeight="1">
      <c r="A236" s="1127" t="s">
        <v>2957</v>
      </c>
      <c r="B236" s="1169" t="s">
        <v>350</v>
      </c>
      <c r="C236" s="1169" t="s">
        <v>363</v>
      </c>
      <c r="D236" s="32">
        <f>D92+100</f>
        <v>340</v>
      </c>
      <c r="E236" s="32">
        <f>E92+200</f>
        <v>680</v>
      </c>
      <c r="F236" s="32">
        <f>F92+200</f>
        <v>680</v>
      </c>
      <c r="G236" s="700" t="s">
        <v>36</v>
      </c>
      <c r="H236" s="48">
        <v>6</v>
      </c>
      <c r="I236" s="557" t="s">
        <v>122</v>
      </c>
      <c r="J236" s="557"/>
      <c r="K236" s="559">
        <v>7</v>
      </c>
      <c r="L236" s="542" t="s">
        <v>649</v>
      </c>
      <c r="M236" s="551">
        <v>43092</v>
      </c>
      <c r="N236" s="551">
        <v>43092</v>
      </c>
      <c r="O236" s="544" t="s">
        <v>955</v>
      </c>
      <c r="P236" s="545" t="s">
        <v>782</v>
      </c>
      <c r="Q236" s="7"/>
      <c r="R236" s="546" t="s">
        <v>313</v>
      </c>
      <c r="S236" s="315" t="s">
        <v>2852</v>
      </c>
      <c r="T236" s="317">
        <v>14</v>
      </c>
    </row>
    <row r="237" spans="1:20" ht="20.100000000000001" customHeight="1">
      <c r="A237" s="1127" t="s">
        <v>2957</v>
      </c>
      <c r="B237" s="1169" t="s">
        <v>350</v>
      </c>
      <c r="C237" s="1169" t="s">
        <v>363</v>
      </c>
      <c r="D237" s="32">
        <f>D106+100</f>
        <v>350</v>
      </c>
      <c r="E237" s="32">
        <f>E106+200</f>
        <v>700</v>
      </c>
      <c r="F237" s="32">
        <f>F106+200</f>
        <v>700</v>
      </c>
      <c r="G237" s="700" t="s">
        <v>36</v>
      </c>
      <c r="H237" s="36">
        <v>7</v>
      </c>
      <c r="I237" s="557" t="s">
        <v>122</v>
      </c>
      <c r="J237" s="557"/>
      <c r="K237" s="557">
        <v>10</v>
      </c>
      <c r="L237" s="542" t="s">
        <v>649</v>
      </c>
      <c r="M237" s="551">
        <v>43086</v>
      </c>
      <c r="N237" s="551">
        <v>43092</v>
      </c>
      <c r="O237" s="544" t="s">
        <v>955</v>
      </c>
      <c r="P237" s="545" t="s">
        <v>782</v>
      </c>
      <c r="Q237" s="60"/>
      <c r="R237" s="546" t="s">
        <v>315</v>
      </c>
      <c r="S237" s="315" t="s">
        <v>2852</v>
      </c>
      <c r="T237" s="317">
        <v>14</v>
      </c>
    </row>
    <row r="238" spans="1:20" ht="20.100000000000001" customHeight="1">
      <c r="A238" s="1127" t="s">
        <v>2957</v>
      </c>
      <c r="B238" s="1169" t="s">
        <v>350</v>
      </c>
      <c r="C238" s="1169" t="s">
        <v>563</v>
      </c>
      <c r="D238" s="525">
        <f>D122</f>
        <v>210</v>
      </c>
      <c r="E238" s="525">
        <f>E122</f>
        <v>420</v>
      </c>
      <c r="F238" s="525">
        <f>F122</f>
        <v>420</v>
      </c>
      <c r="G238" s="225" t="s">
        <v>22</v>
      </c>
      <c r="H238" s="36" t="s">
        <v>740</v>
      </c>
      <c r="I238" s="559" t="s">
        <v>80</v>
      </c>
      <c r="J238" s="558"/>
      <c r="K238" s="554" t="s">
        <v>20</v>
      </c>
      <c r="L238" s="559" t="s">
        <v>643</v>
      </c>
      <c r="M238" s="547">
        <v>43009</v>
      </c>
      <c r="N238" s="547">
        <v>43069</v>
      </c>
      <c r="O238" s="544" t="s">
        <v>955</v>
      </c>
      <c r="P238" s="553" t="s">
        <v>1884</v>
      </c>
      <c r="Q238" s="683"/>
      <c r="R238" s="561" t="s">
        <v>2019</v>
      </c>
      <c r="S238" s="316" t="s">
        <v>1176</v>
      </c>
      <c r="T238" s="317">
        <v>14</v>
      </c>
    </row>
    <row r="239" spans="1:20" ht="20.100000000000001" customHeight="1">
      <c r="A239" s="1127" t="s">
        <v>2957</v>
      </c>
      <c r="B239" s="1169" t="s">
        <v>350</v>
      </c>
      <c r="C239" s="1169" t="s">
        <v>563</v>
      </c>
      <c r="D239" s="32">
        <f>D69+80</f>
        <v>320</v>
      </c>
      <c r="E239" s="32">
        <f>E69+160</f>
        <v>640</v>
      </c>
      <c r="F239" s="32">
        <f>F69+160</f>
        <v>640</v>
      </c>
      <c r="G239" s="700" t="s">
        <v>36</v>
      </c>
      <c r="H239" s="48">
        <v>3</v>
      </c>
      <c r="I239" s="557" t="s">
        <v>122</v>
      </c>
      <c r="J239" s="557"/>
      <c r="K239" s="559">
        <v>7</v>
      </c>
      <c r="L239" s="542" t="s">
        <v>649</v>
      </c>
      <c r="M239" s="551">
        <v>43089</v>
      </c>
      <c r="N239" s="551">
        <v>43092</v>
      </c>
      <c r="O239" s="544" t="s">
        <v>955</v>
      </c>
      <c r="P239" s="545" t="s">
        <v>782</v>
      </c>
      <c r="Q239" s="60"/>
      <c r="R239" s="546" t="s">
        <v>312</v>
      </c>
      <c r="S239" s="315" t="s">
        <v>2852</v>
      </c>
      <c r="T239" s="317">
        <v>14</v>
      </c>
    </row>
    <row r="240" spans="1:20" ht="20.100000000000001" customHeight="1">
      <c r="A240" s="1127" t="s">
        <v>2957</v>
      </c>
      <c r="B240" s="1169" t="s">
        <v>350</v>
      </c>
      <c r="C240" s="1169" t="s">
        <v>563</v>
      </c>
      <c r="D240" s="32">
        <f>D73+80</f>
        <v>320</v>
      </c>
      <c r="E240" s="32">
        <f>E73+160</f>
        <v>640</v>
      </c>
      <c r="F240" s="32">
        <f>F73+160</f>
        <v>640</v>
      </c>
      <c r="G240" s="700" t="s">
        <v>36</v>
      </c>
      <c r="H240" s="47">
        <v>4</v>
      </c>
      <c r="I240" s="557" t="s">
        <v>122</v>
      </c>
      <c r="J240" s="557"/>
      <c r="K240" s="559" t="s">
        <v>721</v>
      </c>
      <c r="L240" s="542" t="s">
        <v>649</v>
      </c>
      <c r="M240" s="551">
        <v>43090</v>
      </c>
      <c r="N240" s="551">
        <v>43092</v>
      </c>
      <c r="O240" s="544" t="s">
        <v>955</v>
      </c>
      <c r="P240" s="545" t="s">
        <v>782</v>
      </c>
      <c r="Q240" s="7"/>
      <c r="R240" s="546" t="s">
        <v>1492</v>
      </c>
      <c r="S240" s="315" t="s">
        <v>2852</v>
      </c>
      <c r="T240" s="317">
        <v>14</v>
      </c>
    </row>
    <row r="241" spans="1:20" ht="20.100000000000001" customHeight="1">
      <c r="A241" s="1127" t="s">
        <v>2957</v>
      </c>
      <c r="B241" s="1169" t="s">
        <v>350</v>
      </c>
      <c r="C241" s="1169" t="s">
        <v>563</v>
      </c>
      <c r="D241" s="32">
        <f>D80+80</f>
        <v>320</v>
      </c>
      <c r="E241" s="32">
        <f>E80+160</f>
        <v>640</v>
      </c>
      <c r="F241" s="32">
        <f>F80+160</f>
        <v>640</v>
      </c>
      <c r="G241" s="700" t="s">
        <v>36</v>
      </c>
      <c r="H241" s="36">
        <v>5</v>
      </c>
      <c r="I241" s="557" t="s">
        <v>122</v>
      </c>
      <c r="J241" s="557"/>
      <c r="K241" s="559">
        <v>7</v>
      </c>
      <c r="L241" s="542" t="s">
        <v>649</v>
      </c>
      <c r="M241" s="551">
        <v>43091</v>
      </c>
      <c r="N241" s="551">
        <v>43092</v>
      </c>
      <c r="O241" s="544" t="s">
        <v>955</v>
      </c>
      <c r="P241" s="545" t="s">
        <v>782</v>
      </c>
      <c r="Q241" s="744"/>
      <c r="R241" s="546" t="s">
        <v>309</v>
      </c>
      <c r="S241" s="315" t="s">
        <v>2852</v>
      </c>
      <c r="T241" s="317">
        <v>14</v>
      </c>
    </row>
    <row r="242" spans="1:20" ht="20.100000000000001" customHeight="1">
      <c r="A242" s="1127" t="s">
        <v>2957</v>
      </c>
      <c r="B242" s="1169" t="s">
        <v>350</v>
      </c>
      <c r="C242" s="1169" t="s">
        <v>563</v>
      </c>
      <c r="D242" s="32">
        <f>D92+80</f>
        <v>320</v>
      </c>
      <c r="E242" s="32">
        <f>E92+160</f>
        <v>640</v>
      </c>
      <c r="F242" s="32">
        <f>F92+160</f>
        <v>640</v>
      </c>
      <c r="G242" s="700" t="s">
        <v>36</v>
      </c>
      <c r="H242" s="48">
        <v>6</v>
      </c>
      <c r="I242" s="557" t="s">
        <v>122</v>
      </c>
      <c r="J242" s="557"/>
      <c r="K242" s="559">
        <v>7</v>
      </c>
      <c r="L242" s="542" t="s">
        <v>649</v>
      </c>
      <c r="M242" s="551">
        <v>43092</v>
      </c>
      <c r="N242" s="551">
        <v>43092</v>
      </c>
      <c r="O242" s="544" t="s">
        <v>955</v>
      </c>
      <c r="P242" s="545" t="s">
        <v>782</v>
      </c>
      <c r="Q242" s="7"/>
      <c r="R242" s="546" t="s">
        <v>313</v>
      </c>
      <c r="S242" s="315" t="s">
        <v>2852</v>
      </c>
      <c r="T242" s="317">
        <v>14</v>
      </c>
    </row>
    <row r="243" spans="1:20" ht="20.100000000000001" customHeight="1">
      <c r="A243" s="1127" t="s">
        <v>2957</v>
      </c>
      <c r="B243" s="1169" t="s">
        <v>350</v>
      </c>
      <c r="C243" s="1169" t="s">
        <v>563</v>
      </c>
      <c r="D243" s="32">
        <f>D106+80</f>
        <v>330</v>
      </c>
      <c r="E243" s="32">
        <f>E106+160</f>
        <v>660</v>
      </c>
      <c r="F243" s="32">
        <f>F106+160</f>
        <v>660</v>
      </c>
      <c r="G243" s="700" t="s">
        <v>36</v>
      </c>
      <c r="H243" s="36">
        <v>7</v>
      </c>
      <c r="I243" s="557" t="s">
        <v>122</v>
      </c>
      <c r="J243" s="557"/>
      <c r="K243" s="557">
        <v>10</v>
      </c>
      <c r="L243" s="542" t="s">
        <v>649</v>
      </c>
      <c r="M243" s="551">
        <v>43086</v>
      </c>
      <c r="N243" s="551">
        <v>43092</v>
      </c>
      <c r="O243" s="544" t="s">
        <v>955</v>
      </c>
      <c r="P243" s="545" t="s">
        <v>782</v>
      </c>
      <c r="Q243" s="60"/>
      <c r="R243" s="546" t="s">
        <v>315</v>
      </c>
      <c r="S243" s="315" t="s">
        <v>2852</v>
      </c>
      <c r="T243" s="317">
        <v>14</v>
      </c>
    </row>
    <row r="244" spans="1:20" ht="20.100000000000001" customHeight="1">
      <c r="A244" s="732" t="s">
        <v>2957</v>
      </c>
      <c r="B244" s="573" t="s">
        <v>350</v>
      </c>
      <c r="C244" s="573" t="s">
        <v>364</v>
      </c>
      <c r="D244" s="525">
        <f>D57+350</f>
        <v>525</v>
      </c>
      <c r="E244" s="525">
        <f>E57+400</f>
        <v>750</v>
      </c>
      <c r="F244" s="525">
        <f>F57+400</f>
        <v>750</v>
      </c>
      <c r="G244" s="225" t="s">
        <v>814</v>
      </c>
      <c r="H244" s="674" t="s">
        <v>152</v>
      </c>
      <c r="I244" s="542" t="s">
        <v>122</v>
      </c>
      <c r="J244" s="566"/>
      <c r="K244" s="559">
        <v>10</v>
      </c>
      <c r="L244" s="542" t="s">
        <v>649</v>
      </c>
      <c r="M244" s="547">
        <v>43059</v>
      </c>
      <c r="N244" s="547">
        <v>43086</v>
      </c>
      <c r="O244" s="544" t="s">
        <v>955</v>
      </c>
      <c r="P244" s="553"/>
      <c r="Q244" s="7"/>
      <c r="R244" s="546" t="s">
        <v>1310</v>
      </c>
      <c r="S244" s="319" t="s">
        <v>1176</v>
      </c>
      <c r="T244" s="317" t="s">
        <v>2872</v>
      </c>
    </row>
    <row r="245" spans="1:20" ht="20.100000000000001" customHeight="1">
      <c r="A245" s="1127" t="s">
        <v>2957</v>
      </c>
      <c r="B245" s="1169" t="s">
        <v>350</v>
      </c>
      <c r="C245" s="1169" t="s">
        <v>365</v>
      </c>
      <c r="D245" s="525">
        <f>D122</f>
        <v>210</v>
      </c>
      <c r="E245" s="525">
        <f>E122</f>
        <v>420</v>
      </c>
      <c r="F245" s="525">
        <f>F122</f>
        <v>420</v>
      </c>
      <c r="G245" s="225" t="s">
        <v>22</v>
      </c>
      <c r="H245" s="36" t="s">
        <v>740</v>
      </c>
      <c r="I245" s="559" t="s">
        <v>80</v>
      </c>
      <c r="J245" s="558"/>
      <c r="K245" s="554" t="s">
        <v>20</v>
      </c>
      <c r="L245" s="559" t="s">
        <v>643</v>
      </c>
      <c r="M245" s="547">
        <v>43009</v>
      </c>
      <c r="N245" s="547">
        <v>43069</v>
      </c>
      <c r="O245" s="544" t="s">
        <v>955</v>
      </c>
      <c r="P245" s="553" t="s">
        <v>1884</v>
      </c>
      <c r="Q245" s="683"/>
      <c r="R245" s="561" t="s">
        <v>2019</v>
      </c>
      <c r="S245" s="316" t="s">
        <v>1176</v>
      </c>
      <c r="T245" s="317">
        <v>14</v>
      </c>
    </row>
    <row r="246" spans="1:20" ht="20.100000000000001" customHeight="1">
      <c r="A246" s="1127" t="s">
        <v>2957</v>
      </c>
      <c r="B246" s="1169" t="s">
        <v>350</v>
      </c>
      <c r="C246" s="1169" t="s">
        <v>365</v>
      </c>
      <c r="D246" s="525">
        <f>D57+250</f>
        <v>425</v>
      </c>
      <c r="E246" s="525">
        <f>E57+350</f>
        <v>700</v>
      </c>
      <c r="F246" s="525">
        <f>F57+350</f>
        <v>700</v>
      </c>
      <c r="G246" s="225" t="s">
        <v>814</v>
      </c>
      <c r="H246" s="674" t="s">
        <v>152</v>
      </c>
      <c r="I246" s="542" t="s">
        <v>122</v>
      </c>
      <c r="J246" s="566"/>
      <c r="K246" s="559">
        <v>10</v>
      </c>
      <c r="L246" s="542" t="s">
        <v>649</v>
      </c>
      <c r="M246" s="547">
        <v>43059</v>
      </c>
      <c r="N246" s="547">
        <v>43086</v>
      </c>
      <c r="O246" s="544" t="s">
        <v>955</v>
      </c>
      <c r="P246" s="553"/>
      <c r="Q246" s="7"/>
      <c r="R246" s="546" t="s">
        <v>1310</v>
      </c>
      <c r="S246" s="319" t="s">
        <v>1176</v>
      </c>
      <c r="T246" s="317" t="s">
        <v>2872</v>
      </c>
    </row>
    <row r="247" spans="1:20" ht="20.100000000000001" customHeight="1">
      <c r="A247" s="1127" t="s">
        <v>2957</v>
      </c>
      <c r="B247" s="1169" t="s">
        <v>350</v>
      </c>
      <c r="C247" s="1169" t="s">
        <v>365</v>
      </c>
      <c r="D247" s="32">
        <f>D70+0+25</f>
        <v>195</v>
      </c>
      <c r="E247" s="32">
        <f>E70+0+50</f>
        <v>330</v>
      </c>
      <c r="F247" s="32">
        <f>F70+0+50</f>
        <v>330</v>
      </c>
      <c r="G247" s="700" t="s">
        <v>62</v>
      </c>
      <c r="H247" s="56" t="s">
        <v>725</v>
      </c>
      <c r="I247" s="542" t="s">
        <v>122</v>
      </c>
      <c r="J247" s="558"/>
      <c r="K247" s="559" t="s">
        <v>726</v>
      </c>
      <c r="L247" s="542" t="s">
        <v>639</v>
      </c>
      <c r="M247" s="549">
        <v>43039</v>
      </c>
      <c r="N247" s="549">
        <v>43086</v>
      </c>
      <c r="O247" s="544" t="s">
        <v>955</v>
      </c>
      <c r="P247" s="553"/>
      <c r="Q247" s="7"/>
      <c r="R247" s="546" t="s">
        <v>916</v>
      </c>
      <c r="S247" s="315" t="s">
        <v>2848</v>
      </c>
      <c r="T247" s="338"/>
    </row>
    <row r="248" spans="1:20" ht="20.100000000000001" customHeight="1">
      <c r="A248" s="1127" t="s">
        <v>1070</v>
      </c>
      <c r="B248" s="1169" t="s">
        <v>350</v>
      </c>
      <c r="C248" s="1169" t="s">
        <v>1555</v>
      </c>
      <c r="D248" s="32">
        <f>D69+150</f>
        <v>390</v>
      </c>
      <c r="E248" s="32">
        <f>E69+300</f>
        <v>780</v>
      </c>
      <c r="F248" s="32">
        <f>F69+300</f>
        <v>780</v>
      </c>
      <c r="G248" s="700" t="s">
        <v>36</v>
      </c>
      <c r="H248" s="48">
        <v>3</v>
      </c>
      <c r="I248" s="557" t="s">
        <v>122</v>
      </c>
      <c r="J248" s="557"/>
      <c r="K248" s="559">
        <v>7</v>
      </c>
      <c r="L248" s="542" t="s">
        <v>649</v>
      </c>
      <c r="M248" s="551">
        <v>43089</v>
      </c>
      <c r="N248" s="551">
        <v>43092</v>
      </c>
      <c r="O248" s="544" t="s">
        <v>955</v>
      </c>
      <c r="P248" s="545" t="s">
        <v>782</v>
      </c>
      <c r="Q248" s="60"/>
      <c r="R248" s="546" t="s">
        <v>312</v>
      </c>
      <c r="S248" s="315" t="s">
        <v>2852</v>
      </c>
      <c r="T248" s="317">
        <v>14</v>
      </c>
    </row>
    <row r="249" spans="1:20" ht="20.100000000000001" customHeight="1">
      <c r="A249" s="1127" t="s">
        <v>1070</v>
      </c>
      <c r="B249" s="1169" t="s">
        <v>350</v>
      </c>
      <c r="C249" s="1169" t="s">
        <v>1555</v>
      </c>
      <c r="D249" s="32">
        <f>D73+150</f>
        <v>390</v>
      </c>
      <c r="E249" s="32">
        <f>E73+300</f>
        <v>780</v>
      </c>
      <c r="F249" s="32">
        <f>F73+300</f>
        <v>780</v>
      </c>
      <c r="G249" s="700" t="s">
        <v>36</v>
      </c>
      <c r="H249" s="47">
        <v>4</v>
      </c>
      <c r="I249" s="557" t="s">
        <v>122</v>
      </c>
      <c r="J249" s="557"/>
      <c r="K249" s="559" t="s">
        <v>721</v>
      </c>
      <c r="L249" s="542" t="s">
        <v>649</v>
      </c>
      <c r="M249" s="551">
        <v>43090</v>
      </c>
      <c r="N249" s="551">
        <v>43092</v>
      </c>
      <c r="O249" s="544" t="s">
        <v>955</v>
      </c>
      <c r="P249" s="545" t="s">
        <v>782</v>
      </c>
      <c r="Q249" s="7"/>
      <c r="R249" s="546" t="s">
        <v>1492</v>
      </c>
      <c r="S249" s="315" t="s">
        <v>2852</v>
      </c>
      <c r="T249" s="317">
        <v>14</v>
      </c>
    </row>
    <row r="250" spans="1:20" ht="20.100000000000001" customHeight="1">
      <c r="A250" s="1127" t="s">
        <v>1070</v>
      </c>
      <c r="B250" s="1169" t="s">
        <v>350</v>
      </c>
      <c r="C250" s="1169" t="s">
        <v>1555</v>
      </c>
      <c r="D250" s="32">
        <f>D80+150</f>
        <v>390</v>
      </c>
      <c r="E250" s="32">
        <f>E80+300</f>
        <v>780</v>
      </c>
      <c r="F250" s="32">
        <f>F80+300</f>
        <v>780</v>
      </c>
      <c r="G250" s="700" t="s">
        <v>36</v>
      </c>
      <c r="H250" s="36">
        <v>5</v>
      </c>
      <c r="I250" s="557" t="s">
        <v>122</v>
      </c>
      <c r="J250" s="557"/>
      <c r="K250" s="559">
        <v>7</v>
      </c>
      <c r="L250" s="542" t="s">
        <v>649</v>
      </c>
      <c r="M250" s="551">
        <v>43091</v>
      </c>
      <c r="N250" s="551">
        <v>43092</v>
      </c>
      <c r="O250" s="544" t="s">
        <v>955</v>
      </c>
      <c r="P250" s="545" t="s">
        <v>782</v>
      </c>
      <c r="Q250" s="744"/>
      <c r="R250" s="546" t="s">
        <v>309</v>
      </c>
      <c r="S250" s="315" t="s">
        <v>2852</v>
      </c>
      <c r="T250" s="317">
        <v>14</v>
      </c>
    </row>
    <row r="251" spans="1:20" ht="20.100000000000001" customHeight="1">
      <c r="A251" s="1127" t="s">
        <v>1070</v>
      </c>
      <c r="B251" s="1169" t="s">
        <v>350</v>
      </c>
      <c r="C251" s="1169" t="s">
        <v>1555</v>
      </c>
      <c r="D251" s="32">
        <f>D92+150</f>
        <v>390</v>
      </c>
      <c r="E251" s="32">
        <f>E92+300</f>
        <v>780</v>
      </c>
      <c r="F251" s="32">
        <f>F92+300</f>
        <v>780</v>
      </c>
      <c r="G251" s="700" t="s">
        <v>36</v>
      </c>
      <c r="H251" s="48">
        <v>6</v>
      </c>
      <c r="I251" s="557" t="s">
        <v>122</v>
      </c>
      <c r="J251" s="557"/>
      <c r="K251" s="559">
        <v>7</v>
      </c>
      <c r="L251" s="542" t="s">
        <v>649</v>
      </c>
      <c r="M251" s="551">
        <v>43092</v>
      </c>
      <c r="N251" s="551">
        <v>43092</v>
      </c>
      <c r="O251" s="544" t="s">
        <v>955</v>
      </c>
      <c r="P251" s="545" t="s">
        <v>782</v>
      </c>
      <c r="Q251" s="7"/>
      <c r="R251" s="546" t="s">
        <v>313</v>
      </c>
      <c r="S251" s="315" t="s">
        <v>2852</v>
      </c>
      <c r="T251" s="317">
        <v>14</v>
      </c>
    </row>
    <row r="252" spans="1:20" ht="20.100000000000001" customHeight="1">
      <c r="A252" s="1127" t="s">
        <v>1070</v>
      </c>
      <c r="B252" s="1169" t="s">
        <v>350</v>
      </c>
      <c r="C252" s="1169" t="s">
        <v>1555</v>
      </c>
      <c r="D252" s="32">
        <f>D106+150</f>
        <v>400</v>
      </c>
      <c r="E252" s="32">
        <f>E106+300</f>
        <v>800</v>
      </c>
      <c r="F252" s="32">
        <f>F106+300</f>
        <v>800</v>
      </c>
      <c r="G252" s="700" t="s">
        <v>36</v>
      </c>
      <c r="H252" s="36">
        <v>7</v>
      </c>
      <c r="I252" s="557" t="s">
        <v>122</v>
      </c>
      <c r="J252" s="557"/>
      <c r="K252" s="557">
        <v>10</v>
      </c>
      <c r="L252" s="542" t="s">
        <v>649</v>
      </c>
      <c r="M252" s="551">
        <v>43086</v>
      </c>
      <c r="N252" s="551">
        <v>43092</v>
      </c>
      <c r="O252" s="544" t="s">
        <v>955</v>
      </c>
      <c r="P252" s="545" t="s">
        <v>782</v>
      </c>
      <c r="Q252" s="60"/>
      <c r="R252" s="546" t="s">
        <v>315</v>
      </c>
      <c r="S252" s="315" t="s">
        <v>2852</v>
      </c>
      <c r="T252" s="317">
        <v>14</v>
      </c>
    </row>
    <row r="253" spans="1:20" ht="20.100000000000001" customHeight="1">
      <c r="A253" s="1127" t="s">
        <v>2957</v>
      </c>
      <c r="B253" s="1169" t="s">
        <v>350</v>
      </c>
      <c r="C253" s="1169" t="s">
        <v>366</v>
      </c>
      <c r="D253" s="525">
        <f>D122</f>
        <v>210</v>
      </c>
      <c r="E253" s="525">
        <f>E122</f>
        <v>420</v>
      </c>
      <c r="F253" s="525">
        <f>F122</f>
        <v>420</v>
      </c>
      <c r="G253" s="225" t="s">
        <v>22</v>
      </c>
      <c r="H253" s="36" t="s">
        <v>740</v>
      </c>
      <c r="I253" s="559" t="s">
        <v>80</v>
      </c>
      <c r="J253" s="558"/>
      <c r="K253" s="554" t="s">
        <v>20</v>
      </c>
      <c r="L253" s="559" t="s">
        <v>643</v>
      </c>
      <c r="M253" s="547">
        <v>43009</v>
      </c>
      <c r="N253" s="547">
        <v>43069</v>
      </c>
      <c r="O253" s="544" t="s">
        <v>955</v>
      </c>
      <c r="P253" s="553" t="s">
        <v>1884</v>
      </c>
      <c r="Q253" s="683"/>
      <c r="R253" s="561" t="s">
        <v>2019</v>
      </c>
      <c r="S253" s="316" t="s">
        <v>1176</v>
      </c>
      <c r="T253" s="317">
        <v>14</v>
      </c>
    </row>
    <row r="254" spans="1:20" ht="20.100000000000001" customHeight="1">
      <c r="A254" s="1127" t="s">
        <v>2957</v>
      </c>
      <c r="B254" s="1169" t="s">
        <v>350</v>
      </c>
      <c r="C254" s="1169" t="s">
        <v>366</v>
      </c>
      <c r="D254" s="11">
        <f>D57+250</f>
        <v>425</v>
      </c>
      <c r="E254" s="11">
        <f>E57+350</f>
        <v>700</v>
      </c>
      <c r="F254" s="11">
        <f>F57+350</f>
        <v>700</v>
      </c>
      <c r="G254" s="225" t="s">
        <v>814</v>
      </c>
      <c r="H254" s="674" t="s">
        <v>152</v>
      </c>
      <c r="I254" s="542" t="s">
        <v>122</v>
      </c>
      <c r="J254" s="566"/>
      <c r="K254" s="559">
        <v>10</v>
      </c>
      <c r="L254" s="542" t="s">
        <v>649</v>
      </c>
      <c r="M254" s="547">
        <v>43059</v>
      </c>
      <c r="N254" s="547">
        <v>43086</v>
      </c>
      <c r="O254" s="544" t="s">
        <v>955</v>
      </c>
      <c r="P254" s="553"/>
      <c r="Q254" s="7"/>
      <c r="R254" s="546" t="s">
        <v>1310</v>
      </c>
      <c r="S254" s="319" t="s">
        <v>1176</v>
      </c>
      <c r="T254" s="317" t="s">
        <v>2872</v>
      </c>
    </row>
    <row r="255" spans="1:20" ht="20.100000000000001" customHeight="1">
      <c r="A255" s="1127" t="s">
        <v>2957</v>
      </c>
      <c r="B255" s="1169" t="s">
        <v>350</v>
      </c>
      <c r="C255" s="1169" t="s">
        <v>366</v>
      </c>
      <c r="D255" s="525">
        <f>D69+80</f>
        <v>320</v>
      </c>
      <c r="E255" s="525">
        <f>E69+160</f>
        <v>640</v>
      </c>
      <c r="F255" s="525">
        <f>F69+160</f>
        <v>640</v>
      </c>
      <c r="G255" s="700" t="s">
        <v>36</v>
      </c>
      <c r="H255" s="48">
        <v>3</v>
      </c>
      <c r="I255" s="557" t="s">
        <v>122</v>
      </c>
      <c r="J255" s="557"/>
      <c r="K255" s="559">
        <v>7</v>
      </c>
      <c r="L255" s="542" t="s">
        <v>649</v>
      </c>
      <c r="M255" s="551">
        <v>43089</v>
      </c>
      <c r="N255" s="551">
        <v>43092</v>
      </c>
      <c r="O255" s="544" t="s">
        <v>955</v>
      </c>
      <c r="P255" s="545" t="s">
        <v>782</v>
      </c>
      <c r="Q255" s="60"/>
      <c r="R255" s="546" t="s">
        <v>312</v>
      </c>
      <c r="S255" s="315" t="s">
        <v>2852</v>
      </c>
      <c r="T255" s="317">
        <v>14</v>
      </c>
    </row>
    <row r="256" spans="1:20" ht="20.100000000000001" customHeight="1">
      <c r="A256" s="1127" t="s">
        <v>2957</v>
      </c>
      <c r="B256" s="1169" t="s">
        <v>350</v>
      </c>
      <c r="C256" s="1169" t="s">
        <v>366</v>
      </c>
      <c r="D256" s="11">
        <f>D73+80</f>
        <v>320</v>
      </c>
      <c r="E256" s="11">
        <f>E73+160</f>
        <v>640</v>
      </c>
      <c r="F256" s="11">
        <f>F73+160</f>
        <v>640</v>
      </c>
      <c r="G256" s="700" t="s">
        <v>36</v>
      </c>
      <c r="H256" s="47">
        <v>4</v>
      </c>
      <c r="I256" s="557" t="s">
        <v>122</v>
      </c>
      <c r="J256" s="557"/>
      <c r="K256" s="559" t="s">
        <v>721</v>
      </c>
      <c r="L256" s="542" t="s">
        <v>649</v>
      </c>
      <c r="M256" s="551">
        <v>43090</v>
      </c>
      <c r="N256" s="551">
        <v>43092</v>
      </c>
      <c r="O256" s="544" t="s">
        <v>955</v>
      </c>
      <c r="P256" s="545" t="s">
        <v>782</v>
      </c>
      <c r="Q256" s="7"/>
      <c r="R256" s="546" t="s">
        <v>1492</v>
      </c>
      <c r="S256" s="315" t="s">
        <v>2852</v>
      </c>
      <c r="T256" s="317">
        <v>14</v>
      </c>
    </row>
    <row r="257" spans="1:20" ht="20.100000000000001" customHeight="1">
      <c r="A257" s="1127" t="s">
        <v>2957</v>
      </c>
      <c r="B257" s="1169" t="s">
        <v>350</v>
      </c>
      <c r="C257" s="1169" t="s">
        <v>366</v>
      </c>
      <c r="D257" s="32">
        <f>D70+0+25</f>
        <v>195</v>
      </c>
      <c r="E257" s="32">
        <f>E70+0+50</f>
        <v>330</v>
      </c>
      <c r="F257" s="32">
        <f>F70+0+50</f>
        <v>330</v>
      </c>
      <c r="G257" s="700" t="s">
        <v>62</v>
      </c>
      <c r="H257" s="56" t="s">
        <v>725</v>
      </c>
      <c r="I257" s="542" t="s">
        <v>122</v>
      </c>
      <c r="J257" s="558"/>
      <c r="K257" s="559" t="s">
        <v>726</v>
      </c>
      <c r="L257" s="542" t="s">
        <v>639</v>
      </c>
      <c r="M257" s="549">
        <v>43039</v>
      </c>
      <c r="N257" s="549">
        <v>43086</v>
      </c>
      <c r="O257" s="544" t="s">
        <v>955</v>
      </c>
      <c r="P257" s="553"/>
      <c r="Q257" s="7"/>
      <c r="R257" s="546" t="s">
        <v>916</v>
      </c>
      <c r="S257" s="315" t="s">
        <v>2848</v>
      </c>
      <c r="T257" s="338"/>
    </row>
    <row r="258" spans="1:20" ht="20.100000000000001" customHeight="1">
      <c r="A258" s="1127" t="s">
        <v>2957</v>
      </c>
      <c r="B258" s="1169" t="s">
        <v>350</v>
      </c>
      <c r="C258" s="1169" t="s">
        <v>366</v>
      </c>
      <c r="D258" s="32">
        <f>D80+80</f>
        <v>320</v>
      </c>
      <c r="E258" s="32">
        <f>E80+160</f>
        <v>640</v>
      </c>
      <c r="F258" s="32">
        <f>F80+160</f>
        <v>640</v>
      </c>
      <c r="G258" s="700" t="s">
        <v>36</v>
      </c>
      <c r="H258" s="36">
        <v>5</v>
      </c>
      <c r="I258" s="557" t="s">
        <v>122</v>
      </c>
      <c r="J258" s="557"/>
      <c r="K258" s="559">
        <v>7</v>
      </c>
      <c r="L258" s="542" t="s">
        <v>649</v>
      </c>
      <c r="M258" s="551">
        <v>43091</v>
      </c>
      <c r="N258" s="551">
        <v>43092</v>
      </c>
      <c r="O258" s="544" t="s">
        <v>955</v>
      </c>
      <c r="P258" s="545" t="s">
        <v>782</v>
      </c>
      <c r="Q258" s="744"/>
      <c r="R258" s="546" t="s">
        <v>309</v>
      </c>
      <c r="S258" s="315" t="s">
        <v>2852</v>
      </c>
      <c r="T258" s="317">
        <v>14</v>
      </c>
    </row>
    <row r="259" spans="1:20" ht="20.100000000000001" customHeight="1">
      <c r="A259" s="1127" t="s">
        <v>2957</v>
      </c>
      <c r="B259" s="1169" t="s">
        <v>350</v>
      </c>
      <c r="C259" s="1169" t="s">
        <v>366</v>
      </c>
      <c r="D259" s="32">
        <f>D92+80</f>
        <v>320</v>
      </c>
      <c r="E259" s="32">
        <f>E92+160</f>
        <v>640</v>
      </c>
      <c r="F259" s="32">
        <f>F92+160</f>
        <v>640</v>
      </c>
      <c r="G259" s="700" t="s">
        <v>36</v>
      </c>
      <c r="H259" s="48">
        <v>6</v>
      </c>
      <c r="I259" s="557" t="s">
        <v>122</v>
      </c>
      <c r="J259" s="557"/>
      <c r="K259" s="559">
        <v>7</v>
      </c>
      <c r="L259" s="542" t="s">
        <v>649</v>
      </c>
      <c r="M259" s="551">
        <v>43092</v>
      </c>
      <c r="N259" s="551">
        <v>43092</v>
      </c>
      <c r="O259" s="544" t="s">
        <v>955</v>
      </c>
      <c r="P259" s="545" t="s">
        <v>782</v>
      </c>
      <c r="Q259" s="7"/>
      <c r="R259" s="546" t="s">
        <v>313</v>
      </c>
      <c r="S259" s="315" t="s">
        <v>2852</v>
      </c>
      <c r="T259" s="317">
        <v>14</v>
      </c>
    </row>
    <row r="260" spans="1:20" ht="20.100000000000001" customHeight="1">
      <c r="A260" s="1127" t="s">
        <v>2957</v>
      </c>
      <c r="B260" s="1169" t="s">
        <v>350</v>
      </c>
      <c r="C260" s="1169" t="s">
        <v>366</v>
      </c>
      <c r="D260" s="525">
        <f>D106+80</f>
        <v>330</v>
      </c>
      <c r="E260" s="525">
        <f>E106+160</f>
        <v>660</v>
      </c>
      <c r="F260" s="525">
        <f>F106+160</f>
        <v>660</v>
      </c>
      <c r="G260" s="700" t="s">
        <v>36</v>
      </c>
      <c r="H260" s="36">
        <v>7</v>
      </c>
      <c r="I260" s="557" t="s">
        <v>122</v>
      </c>
      <c r="J260" s="558"/>
      <c r="K260" s="557">
        <v>10</v>
      </c>
      <c r="L260" s="542" t="s">
        <v>649</v>
      </c>
      <c r="M260" s="551">
        <v>43086</v>
      </c>
      <c r="N260" s="551">
        <v>43092</v>
      </c>
      <c r="O260" s="544" t="s">
        <v>955</v>
      </c>
      <c r="P260" s="545" t="s">
        <v>782</v>
      </c>
      <c r="Q260" s="60"/>
      <c r="R260" s="546" t="s">
        <v>315</v>
      </c>
      <c r="S260" s="315" t="s">
        <v>2852</v>
      </c>
      <c r="T260" s="317">
        <v>14</v>
      </c>
    </row>
    <row r="261" spans="1:20" ht="20.100000000000001" customHeight="1">
      <c r="A261" s="1127" t="s">
        <v>2957</v>
      </c>
      <c r="B261" s="1169" t="s">
        <v>350</v>
      </c>
      <c r="C261" s="573" t="s">
        <v>367</v>
      </c>
      <c r="D261" s="525">
        <f>D57+300</f>
        <v>475</v>
      </c>
      <c r="E261" s="525">
        <f>E57+350</f>
        <v>700</v>
      </c>
      <c r="F261" s="525">
        <f>F57+350</f>
        <v>700</v>
      </c>
      <c r="G261" s="225" t="s">
        <v>814</v>
      </c>
      <c r="H261" s="674" t="s">
        <v>152</v>
      </c>
      <c r="I261" s="542" t="s">
        <v>122</v>
      </c>
      <c r="J261" s="566"/>
      <c r="K261" s="559">
        <v>10</v>
      </c>
      <c r="L261" s="542" t="s">
        <v>649</v>
      </c>
      <c r="M261" s="547">
        <v>43059</v>
      </c>
      <c r="N261" s="547">
        <v>43086</v>
      </c>
      <c r="O261" s="544" t="s">
        <v>955</v>
      </c>
      <c r="P261" s="553"/>
      <c r="Q261" s="7"/>
      <c r="R261" s="546" t="s">
        <v>1310</v>
      </c>
      <c r="S261" s="319" t="s">
        <v>1176</v>
      </c>
      <c r="T261" s="317" t="s">
        <v>2872</v>
      </c>
    </row>
    <row r="262" spans="1:20" ht="20.100000000000001" customHeight="1">
      <c r="A262" s="1127" t="s">
        <v>2957</v>
      </c>
      <c r="B262" s="1169" t="s">
        <v>350</v>
      </c>
      <c r="C262" s="1169" t="s">
        <v>368</v>
      </c>
      <c r="D262" s="525">
        <f>D57+550</f>
        <v>725</v>
      </c>
      <c r="E262" s="525">
        <f>E57+700</f>
        <v>1050</v>
      </c>
      <c r="F262" s="525">
        <f>F57+700</f>
        <v>1050</v>
      </c>
      <c r="G262" s="225" t="s">
        <v>814</v>
      </c>
      <c r="H262" s="674" t="s">
        <v>152</v>
      </c>
      <c r="I262" s="542" t="s">
        <v>122</v>
      </c>
      <c r="J262" s="566"/>
      <c r="K262" s="559">
        <v>10</v>
      </c>
      <c r="L262" s="542" t="s">
        <v>649</v>
      </c>
      <c r="M262" s="547">
        <v>43059</v>
      </c>
      <c r="N262" s="547">
        <v>43086</v>
      </c>
      <c r="O262" s="544" t="s">
        <v>955</v>
      </c>
      <c r="P262" s="553"/>
      <c r="Q262" s="7"/>
      <c r="R262" s="546" t="s">
        <v>1310</v>
      </c>
      <c r="S262" s="319" t="s">
        <v>1176</v>
      </c>
      <c r="T262" s="317" t="s">
        <v>2872</v>
      </c>
    </row>
    <row r="263" spans="1:20" ht="20.100000000000001" customHeight="1">
      <c r="A263" s="1127" t="s">
        <v>2957</v>
      </c>
      <c r="B263" s="1169" t="s">
        <v>350</v>
      </c>
      <c r="C263" s="1169" t="s">
        <v>368</v>
      </c>
      <c r="D263" s="525">
        <f>D121</f>
        <v>320</v>
      </c>
      <c r="E263" s="525">
        <f>E121</f>
        <v>630</v>
      </c>
      <c r="F263" s="525">
        <f>F121</f>
        <v>630</v>
      </c>
      <c r="G263" s="692" t="s">
        <v>62</v>
      </c>
      <c r="H263" s="56" t="s">
        <v>729</v>
      </c>
      <c r="I263" s="566" t="s">
        <v>80</v>
      </c>
      <c r="J263" s="559"/>
      <c r="K263" s="559" t="s">
        <v>723</v>
      </c>
      <c r="L263" s="542" t="s">
        <v>639</v>
      </c>
      <c r="M263" s="549">
        <v>43039</v>
      </c>
      <c r="N263" s="549">
        <v>43086</v>
      </c>
      <c r="O263" s="544" t="s">
        <v>955</v>
      </c>
      <c r="P263" s="562"/>
      <c r="Q263" s="7"/>
      <c r="R263" s="546" t="s">
        <v>437</v>
      </c>
      <c r="S263" s="315" t="s">
        <v>2848</v>
      </c>
      <c r="T263" s="338"/>
    </row>
    <row r="264" spans="1:20" ht="20.100000000000001" customHeight="1">
      <c r="A264" s="1170" t="s">
        <v>2957</v>
      </c>
      <c r="B264" s="1170" t="s">
        <v>3047</v>
      </c>
      <c r="C264" s="1170" t="s">
        <v>371</v>
      </c>
      <c r="D264" s="942">
        <v>255</v>
      </c>
      <c r="E264" s="942">
        <v>510</v>
      </c>
      <c r="F264" s="942">
        <v>510</v>
      </c>
      <c r="G264" s="628" t="s">
        <v>51</v>
      </c>
      <c r="H264" s="18" t="s">
        <v>729</v>
      </c>
      <c r="I264" s="557" t="s">
        <v>17</v>
      </c>
      <c r="J264" s="559" t="s">
        <v>370</v>
      </c>
      <c r="K264" s="559" t="s">
        <v>732</v>
      </c>
      <c r="L264" s="542" t="s">
        <v>639</v>
      </c>
      <c r="M264" s="381">
        <v>43084</v>
      </c>
      <c r="N264" s="381">
        <v>43100</v>
      </c>
      <c r="O264" s="544" t="s">
        <v>955</v>
      </c>
      <c r="P264" s="553" t="s">
        <v>914</v>
      </c>
      <c r="Q264" s="7"/>
      <c r="R264" s="546" t="s">
        <v>1908</v>
      </c>
      <c r="S264" s="321"/>
      <c r="T264" s="317">
        <v>12</v>
      </c>
    </row>
    <row r="265" spans="1:20" ht="20.100000000000001" customHeight="1">
      <c r="A265" s="1171" t="s">
        <v>2957</v>
      </c>
      <c r="B265" s="1171" t="s">
        <v>3047</v>
      </c>
      <c r="C265" s="1171" t="s">
        <v>371</v>
      </c>
      <c r="D265" s="526">
        <v>290</v>
      </c>
      <c r="E265" s="526">
        <v>580</v>
      </c>
      <c r="F265" s="526">
        <v>580</v>
      </c>
      <c r="G265" s="70" t="s">
        <v>29</v>
      </c>
      <c r="H265" s="36" t="s">
        <v>729</v>
      </c>
      <c r="I265" s="557" t="s">
        <v>17</v>
      </c>
      <c r="J265" s="557" t="s">
        <v>370</v>
      </c>
      <c r="K265" s="558" t="s">
        <v>732</v>
      </c>
      <c r="L265" s="570" t="s">
        <v>2289</v>
      </c>
      <c r="M265" s="547">
        <v>43052</v>
      </c>
      <c r="N265" s="547">
        <v>43072</v>
      </c>
      <c r="O265" s="544" t="s">
        <v>955</v>
      </c>
      <c r="P265" s="553"/>
      <c r="Q265" s="7"/>
      <c r="R265" s="546" t="s">
        <v>2290</v>
      </c>
      <c r="S265" s="319" t="s">
        <v>1176</v>
      </c>
      <c r="T265" s="338" t="s">
        <v>1988</v>
      </c>
    </row>
    <row r="266" spans="1:20" ht="20.100000000000001" customHeight="1">
      <c r="A266" s="1171" t="s">
        <v>2957</v>
      </c>
      <c r="B266" s="1171" t="s">
        <v>3047</v>
      </c>
      <c r="C266" s="1171" t="s">
        <v>371</v>
      </c>
      <c r="D266" s="525">
        <v>280</v>
      </c>
      <c r="E266" s="525">
        <v>460</v>
      </c>
      <c r="F266" s="525">
        <v>460</v>
      </c>
      <c r="G266" s="628" t="s">
        <v>147</v>
      </c>
      <c r="H266" s="56" t="s">
        <v>742</v>
      </c>
      <c r="I266" s="559" t="s">
        <v>17</v>
      </c>
      <c r="J266" s="557" t="s">
        <v>370</v>
      </c>
      <c r="K266" s="566" t="s">
        <v>732</v>
      </c>
      <c r="L266" s="542" t="s">
        <v>649</v>
      </c>
      <c r="M266" s="547">
        <v>43067</v>
      </c>
      <c r="N266" s="547">
        <v>43079</v>
      </c>
      <c r="O266" s="544" t="s">
        <v>955</v>
      </c>
      <c r="P266" s="562"/>
      <c r="Q266" s="683"/>
      <c r="R266" s="546" t="s">
        <v>1143</v>
      </c>
      <c r="S266" s="316"/>
      <c r="T266" s="317">
        <v>14</v>
      </c>
    </row>
    <row r="267" spans="1:20" ht="20.100000000000001" customHeight="1">
      <c r="A267" s="1171" t="s">
        <v>2957</v>
      </c>
      <c r="B267" s="1171" t="s">
        <v>3047</v>
      </c>
      <c r="C267" s="1171" t="s">
        <v>371</v>
      </c>
      <c r="D267" s="525">
        <v>240</v>
      </c>
      <c r="E267" s="525">
        <v>480</v>
      </c>
      <c r="F267" s="525">
        <v>480</v>
      </c>
      <c r="G267" s="48" t="s">
        <v>148</v>
      </c>
      <c r="H267" s="56" t="s">
        <v>742</v>
      </c>
      <c r="I267" s="559" t="s">
        <v>17</v>
      </c>
      <c r="J267" s="557" t="s">
        <v>370</v>
      </c>
      <c r="K267" s="566" t="s">
        <v>732</v>
      </c>
      <c r="L267" s="542" t="s">
        <v>649</v>
      </c>
      <c r="M267" s="551">
        <v>43080</v>
      </c>
      <c r="N267" s="551">
        <v>43086</v>
      </c>
      <c r="O267" s="544" t="s">
        <v>955</v>
      </c>
      <c r="P267" s="545" t="s">
        <v>589</v>
      </c>
      <c r="Q267" s="683"/>
      <c r="R267" s="546" t="s">
        <v>1143</v>
      </c>
      <c r="S267" s="319"/>
      <c r="T267" s="338" t="s">
        <v>1991</v>
      </c>
    </row>
    <row r="268" spans="1:20" ht="20.100000000000001" customHeight="1">
      <c r="A268" s="1171" t="s">
        <v>2957</v>
      </c>
      <c r="B268" s="1171" t="s">
        <v>3047</v>
      </c>
      <c r="C268" s="1171" t="s">
        <v>371</v>
      </c>
      <c r="D268" s="525"/>
      <c r="E268" s="525"/>
      <c r="F268" s="525"/>
      <c r="G268" s="628" t="s">
        <v>231</v>
      </c>
      <c r="H268" s="56" t="s">
        <v>742</v>
      </c>
      <c r="I268" s="559" t="s">
        <v>17</v>
      </c>
      <c r="J268" s="557" t="s">
        <v>370</v>
      </c>
      <c r="K268" s="566" t="s">
        <v>732</v>
      </c>
      <c r="L268" s="542" t="s">
        <v>649</v>
      </c>
      <c r="M268" s="547">
        <v>43081</v>
      </c>
      <c r="N268" s="547">
        <v>43087</v>
      </c>
      <c r="O268" s="544" t="s">
        <v>955</v>
      </c>
      <c r="P268" s="545"/>
      <c r="Q268" s="683"/>
      <c r="R268" s="17" t="s">
        <v>4527</v>
      </c>
      <c r="S268" s="319"/>
      <c r="T268" s="338" t="s">
        <v>1988</v>
      </c>
    </row>
    <row r="269" spans="1:20" ht="20.100000000000001" customHeight="1">
      <c r="A269" s="1171" t="s">
        <v>2957</v>
      </c>
      <c r="B269" s="1171" t="s">
        <v>3047</v>
      </c>
      <c r="C269" s="1171" t="s">
        <v>371</v>
      </c>
      <c r="D269" s="525">
        <v>270</v>
      </c>
      <c r="E269" s="525">
        <v>540</v>
      </c>
      <c r="F269" s="525">
        <v>540</v>
      </c>
      <c r="G269" s="63" t="s">
        <v>28</v>
      </c>
      <c r="H269" s="56" t="s">
        <v>742</v>
      </c>
      <c r="I269" s="557" t="s">
        <v>17</v>
      </c>
      <c r="J269" s="557" t="s">
        <v>370</v>
      </c>
      <c r="K269" s="566" t="s">
        <v>732</v>
      </c>
      <c r="L269" s="542" t="s">
        <v>649</v>
      </c>
      <c r="M269" s="549">
        <v>43055</v>
      </c>
      <c r="N269" s="549">
        <v>43089</v>
      </c>
      <c r="O269" s="544" t="s">
        <v>955</v>
      </c>
      <c r="P269" s="544" t="s">
        <v>589</v>
      </c>
      <c r="Q269" s="683"/>
      <c r="R269" s="546" t="s">
        <v>1306</v>
      </c>
      <c r="S269" s="316" t="s">
        <v>1176</v>
      </c>
      <c r="T269" s="338"/>
    </row>
    <row r="270" spans="1:20" ht="20.100000000000001" customHeight="1">
      <c r="A270" s="1171" t="s">
        <v>2957</v>
      </c>
      <c r="B270" s="1171" t="s">
        <v>3047</v>
      </c>
      <c r="C270" s="1171" t="s">
        <v>371</v>
      </c>
      <c r="D270" s="885">
        <v>230</v>
      </c>
      <c r="E270" s="885">
        <v>460</v>
      </c>
      <c r="F270" s="885">
        <v>460</v>
      </c>
      <c r="G270" s="4" t="s">
        <v>12</v>
      </c>
      <c r="H270" s="56" t="s">
        <v>742</v>
      </c>
      <c r="I270" s="557" t="s">
        <v>17</v>
      </c>
      <c r="J270" s="557" t="s">
        <v>370</v>
      </c>
      <c r="K270" s="566" t="s">
        <v>732</v>
      </c>
      <c r="L270" s="542" t="s">
        <v>649</v>
      </c>
      <c r="M270" s="551">
        <v>43088</v>
      </c>
      <c r="N270" s="551">
        <v>43088</v>
      </c>
      <c r="O270" s="544" t="s">
        <v>955</v>
      </c>
      <c r="P270" s="545" t="s">
        <v>589</v>
      </c>
      <c r="Q270" s="52"/>
      <c r="R270" s="546" t="s">
        <v>1143</v>
      </c>
      <c r="S270" s="319"/>
      <c r="T270" s="338" t="s">
        <v>1994</v>
      </c>
    </row>
    <row r="271" spans="1:20" ht="20.100000000000001" customHeight="1">
      <c r="A271" s="1171" t="s">
        <v>2957</v>
      </c>
      <c r="B271" s="1171" t="s">
        <v>3047</v>
      </c>
      <c r="C271" s="1171" t="s">
        <v>371</v>
      </c>
      <c r="D271" s="527">
        <v>245</v>
      </c>
      <c r="E271" s="527">
        <v>490</v>
      </c>
      <c r="F271" s="527">
        <v>490</v>
      </c>
      <c r="G271" s="18" t="s">
        <v>3876</v>
      </c>
      <c r="H271" s="48">
        <v>3</v>
      </c>
      <c r="I271" s="557" t="s">
        <v>17</v>
      </c>
      <c r="J271" s="557" t="s">
        <v>370</v>
      </c>
      <c r="K271" s="558">
        <v>7</v>
      </c>
      <c r="L271" s="570" t="s">
        <v>641</v>
      </c>
      <c r="M271" s="547">
        <v>43062</v>
      </c>
      <c r="N271" s="547">
        <v>43086</v>
      </c>
      <c r="O271" s="25" t="s">
        <v>4068</v>
      </c>
      <c r="P271" s="753" t="s">
        <v>4077</v>
      </c>
      <c r="Q271" s="52"/>
      <c r="R271" s="555" t="s">
        <v>200</v>
      </c>
      <c r="S271" s="704" t="s">
        <v>1176</v>
      </c>
      <c r="T271" s="317" t="s">
        <v>1395</v>
      </c>
    </row>
    <row r="272" spans="1:20" ht="20.100000000000001" customHeight="1">
      <c r="A272" s="1171" t="s">
        <v>2957</v>
      </c>
      <c r="B272" s="1171" t="s">
        <v>3047</v>
      </c>
      <c r="C272" s="1171" t="s">
        <v>371</v>
      </c>
      <c r="D272" s="894">
        <v>335</v>
      </c>
      <c r="E272" s="894">
        <v>670</v>
      </c>
      <c r="F272" s="894">
        <v>670</v>
      </c>
      <c r="G272" s="224" t="s">
        <v>2479</v>
      </c>
      <c r="H272" s="48">
        <v>3</v>
      </c>
      <c r="I272" s="558" t="s">
        <v>17</v>
      </c>
      <c r="J272" s="557" t="s">
        <v>370</v>
      </c>
      <c r="K272" s="558">
        <v>7</v>
      </c>
      <c r="L272" s="570" t="s">
        <v>641</v>
      </c>
      <c r="M272" s="549">
        <v>43086</v>
      </c>
      <c r="N272" s="549">
        <v>43093</v>
      </c>
      <c r="O272" s="544" t="s">
        <v>955</v>
      </c>
      <c r="P272" s="553" t="s">
        <v>904</v>
      </c>
      <c r="Q272" s="52"/>
      <c r="R272" s="546" t="s">
        <v>200</v>
      </c>
      <c r="S272" s="321" t="s">
        <v>1176</v>
      </c>
      <c r="T272" s="317" t="s">
        <v>2824</v>
      </c>
    </row>
    <row r="273" spans="1:20" ht="20.100000000000001" customHeight="1">
      <c r="A273" s="1171" t="s">
        <v>2957</v>
      </c>
      <c r="B273" s="1171" t="s">
        <v>3047</v>
      </c>
      <c r="C273" s="1171" t="s">
        <v>371</v>
      </c>
      <c r="D273" s="32">
        <v>260</v>
      </c>
      <c r="E273" s="32">
        <v>520</v>
      </c>
      <c r="F273" s="32">
        <v>520</v>
      </c>
      <c r="G273" s="48" t="s">
        <v>232</v>
      </c>
      <c r="H273" s="48">
        <v>3</v>
      </c>
      <c r="I273" s="558" t="s">
        <v>17</v>
      </c>
      <c r="J273" s="557" t="s">
        <v>370</v>
      </c>
      <c r="K273" s="558">
        <v>7</v>
      </c>
      <c r="L273" s="570" t="s">
        <v>641</v>
      </c>
      <c r="M273" s="551">
        <v>43078</v>
      </c>
      <c r="N273" s="551">
        <v>43086</v>
      </c>
      <c r="O273" s="544" t="s">
        <v>955</v>
      </c>
      <c r="P273" s="553"/>
      <c r="Q273" s="52"/>
      <c r="R273" s="546" t="s">
        <v>200</v>
      </c>
      <c r="S273" s="321"/>
      <c r="T273" s="317" t="s">
        <v>1678</v>
      </c>
    </row>
    <row r="274" spans="1:20" ht="20.100000000000001" customHeight="1">
      <c r="A274" s="1171" t="s">
        <v>2957</v>
      </c>
      <c r="B274" s="1171" t="s">
        <v>3047</v>
      </c>
      <c r="C274" s="1171" t="s">
        <v>371</v>
      </c>
      <c r="D274" s="525">
        <v>350</v>
      </c>
      <c r="E274" s="525">
        <v>700</v>
      </c>
      <c r="F274" s="525">
        <v>700</v>
      </c>
      <c r="G274" s="48" t="s">
        <v>87</v>
      </c>
      <c r="H274" s="48">
        <v>3</v>
      </c>
      <c r="I274" s="557" t="s">
        <v>17</v>
      </c>
      <c r="J274" s="557" t="s">
        <v>370</v>
      </c>
      <c r="K274" s="558">
        <v>7</v>
      </c>
      <c r="L274" s="570" t="s">
        <v>641</v>
      </c>
      <c r="M274" s="551">
        <v>43086</v>
      </c>
      <c r="N274" s="551">
        <v>43091</v>
      </c>
      <c r="O274" s="544" t="s">
        <v>955</v>
      </c>
      <c r="P274" s="553" t="s">
        <v>896</v>
      </c>
      <c r="Q274" s="52"/>
      <c r="R274" s="555" t="s">
        <v>200</v>
      </c>
      <c r="S274" s="315" t="s">
        <v>2849</v>
      </c>
      <c r="T274" s="338" t="s">
        <v>1678</v>
      </c>
    </row>
    <row r="275" spans="1:20" ht="20.100000000000001" customHeight="1">
      <c r="A275" s="1171" t="s">
        <v>2957</v>
      </c>
      <c r="B275" s="1171" t="s">
        <v>3047</v>
      </c>
      <c r="C275" s="1171" t="s">
        <v>371</v>
      </c>
      <c r="D275" s="525">
        <v>360</v>
      </c>
      <c r="E275" s="525">
        <v>720</v>
      </c>
      <c r="F275" s="525">
        <v>720</v>
      </c>
      <c r="G275" s="56" t="s">
        <v>432</v>
      </c>
      <c r="H275" s="48">
        <v>3</v>
      </c>
      <c r="I275" s="557" t="s">
        <v>17</v>
      </c>
      <c r="J275" s="557" t="s">
        <v>370</v>
      </c>
      <c r="K275" s="558">
        <v>7</v>
      </c>
      <c r="L275" s="570" t="s">
        <v>641</v>
      </c>
      <c r="M275" s="549">
        <v>43089</v>
      </c>
      <c r="N275" s="549">
        <v>43091</v>
      </c>
      <c r="O275" s="544" t="s">
        <v>955</v>
      </c>
      <c r="P275" s="553" t="s">
        <v>1688</v>
      </c>
      <c r="Q275" s="52"/>
      <c r="R275" s="546" t="s">
        <v>200</v>
      </c>
      <c r="S275" s="704" t="s">
        <v>1176</v>
      </c>
      <c r="T275" s="317" t="s">
        <v>2039</v>
      </c>
    </row>
    <row r="276" spans="1:20" ht="20.100000000000001" customHeight="1">
      <c r="A276" s="1171" t="s">
        <v>2957</v>
      </c>
      <c r="B276" s="1171" t="s">
        <v>3047</v>
      </c>
      <c r="C276" s="1171" t="s">
        <v>371</v>
      </c>
      <c r="D276" s="885">
        <v>340</v>
      </c>
      <c r="E276" s="885">
        <v>680</v>
      </c>
      <c r="F276" s="885">
        <v>680</v>
      </c>
      <c r="G276" s="56" t="s">
        <v>36</v>
      </c>
      <c r="H276" s="48">
        <v>3</v>
      </c>
      <c r="I276" s="557" t="s">
        <v>17</v>
      </c>
      <c r="J276" s="557" t="s">
        <v>370</v>
      </c>
      <c r="K276" s="576">
        <v>9</v>
      </c>
      <c r="L276" s="542" t="s">
        <v>649</v>
      </c>
      <c r="M276" s="551">
        <v>43089</v>
      </c>
      <c r="N276" s="551">
        <v>43092</v>
      </c>
      <c r="O276" s="544" t="s">
        <v>955</v>
      </c>
      <c r="P276" s="553" t="s">
        <v>1501</v>
      </c>
      <c r="Q276" s="60"/>
      <c r="R276" s="546" t="s">
        <v>312</v>
      </c>
      <c r="S276" s="315" t="s">
        <v>2852</v>
      </c>
      <c r="T276" s="317">
        <v>14</v>
      </c>
    </row>
    <row r="277" spans="1:20" ht="20.100000000000001" customHeight="1">
      <c r="A277" s="1171" t="s">
        <v>2957</v>
      </c>
      <c r="B277" s="1171" t="s">
        <v>3047</v>
      </c>
      <c r="C277" s="1171" t="s">
        <v>371</v>
      </c>
      <c r="D277" s="942">
        <v>255</v>
      </c>
      <c r="E277" s="942">
        <v>510</v>
      </c>
      <c r="F277" s="942">
        <v>510</v>
      </c>
      <c r="G277" s="628" t="s">
        <v>51</v>
      </c>
      <c r="H277" s="47">
        <v>4</v>
      </c>
      <c r="I277" s="557" t="s">
        <v>17</v>
      </c>
      <c r="J277" s="557" t="s">
        <v>370</v>
      </c>
      <c r="K277" s="566">
        <v>8</v>
      </c>
      <c r="L277" s="570" t="s">
        <v>641</v>
      </c>
      <c r="M277" s="381">
        <v>43084</v>
      </c>
      <c r="N277" s="381">
        <v>43100</v>
      </c>
      <c r="O277" s="544" t="s">
        <v>955</v>
      </c>
      <c r="P277" s="553" t="s">
        <v>914</v>
      </c>
      <c r="Q277" s="7"/>
      <c r="R277" s="546" t="s">
        <v>204</v>
      </c>
      <c r="S277" s="319"/>
      <c r="T277" s="317">
        <v>12</v>
      </c>
    </row>
    <row r="278" spans="1:20" ht="20.100000000000001" customHeight="1">
      <c r="A278" s="1171" t="s">
        <v>2957</v>
      </c>
      <c r="B278" s="1171" t="s">
        <v>3047</v>
      </c>
      <c r="C278" s="1171" t="s">
        <v>371</v>
      </c>
      <c r="D278" s="526">
        <v>330</v>
      </c>
      <c r="E278" s="526">
        <v>660</v>
      </c>
      <c r="F278" s="526">
        <v>660</v>
      </c>
      <c r="G278" s="218" t="s">
        <v>10</v>
      </c>
      <c r="H278" s="36">
        <v>4</v>
      </c>
      <c r="I278" s="557" t="s">
        <v>17</v>
      </c>
      <c r="J278" s="557" t="s">
        <v>370</v>
      </c>
      <c r="K278" s="566">
        <v>8</v>
      </c>
      <c r="L278" s="570" t="s">
        <v>641</v>
      </c>
      <c r="M278" s="547">
        <v>43090</v>
      </c>
      <c r="N278" s="547">
        <v>43090</v>
      </c>
      <c r="O278" s="544" t="s">
        <v>955</v>
      </c>
      <c r="P278" s="553" t="s">
        <v>589</v>
      </c>
      <c r="Q278" s="7"/>
      <c r="R278" s="546" t="s">
        <v>204</v>
      </c>
      <c r="S278" s="316" t="s">
        <v>1176</v>
      </c>
      <c r="T278" s="317">
        <v>14</v>
      </c>
    </row>
    <row r="279" spans="1:20" ht="20.100000000000001" customHeight="1">
      <c r="A279" s="1171" t="s">
        <v>2957</v>
      </c>
      <c r="B279" s="1171" t="s">
        <v>3047</v>
      </c>
      <c r="C279" s="1171" t="s">
        <v>371</v>
      </c>
      <c r="D279" s="527">
        <v>245</v>
      </c>
      <c r="E279" s="527">
        <v>490</v>
      </c>
      <c r="F279" s="527">
        <v>490</v>
      </c>
      <c r="G279" s="18" t="s">
        <v>3877</v>
      </c>
      <c r="H279" s="47">
        <v>4</v>
      </c>
      <c r="I279" s="557" t="s">
        <v>17</v>
      </c>
      <c r="J279" s="557" t="s">
        <v>370</v>
      </c>
      <c r="K279" s="19" t="s">
        <v>4065</v>
      </c>
      <c r="L279" s="840" t="s">
        <v>637</v>
      </c>
      <c r="M279" s="547">
        <v>43062</v>
      </c>
      <c r="N279" s="547">
        <v>43086</v>
      </c>
      <c r="O279" s="25" t="s">
        <v>4068</v>
      </c>
      <c r="P279" s="753" t="s">
        <v>4077</v>
      </c>
      <c r="Q279" s="7"/>
      <c r="R279" s="17" t="s">
        <v>3878</v>
      </c>
      <c r="S279" s="704" t="s">
        <v>1176</v>
      </c>
      <c r="T279" s="317" t="s">
        <v>3883</v>
      </c>
    </row>
    <row r="280" spans="1:20" ht="20.100000000000001" customHeight="1">
      <c r="A280" s="1171" t="s">
        <v>2957</v>
      </c>
      <c r="B280" s="1171" t="s">
        <v>3047</v>
      </c>
      <c r="C280" s="1171" t="s">
        <v>371</v>
      </c>
      <c r="D280" s="525">
        <v>270</v>
      </c>
      <c r="E280" s="525">
        <v>540</v>
      </c>
      <c r="F280" s="525">
        <v>540</v>
      </c>
      <c r="G280" s="4" t="s">
        <v>148</v>
      </c>
      <c r="H280" s="36">
        <v>5</v>
      </c>
      <c r="I280" s="557" t="s">
        <v>17</v>
      </c>
      <c r="J280" s="557" t="s">
        <v>370</v>
      </c>
      <c r="K280" s="576">
        <v>10</v>
      </c>
      <c r="L280" s="542" t="s">
        <v>649</v>
      </c>
      <c r="M280" s="551">
        <v>43066</v>
      </c>
      <c r="N280" s="551">
        <v>43086</v>
      </c>
      <c r="O280" s="544" t="s">
        <v>955</v>
      </c>
      <c r="P280" s="545" t="s">
        <v>589</v>
      </c>
      <c r="Q280" s="744"/>
      <c r="R280" s="546" t="s">
        <v>761</v>
      </c>
      <c r="S280" s="319"/>
      <c r="T280" s="338" t="s">
        <v>1991</v>
      </c>
    </row>
    <row r="281" spans="1:20" ht="20.100000000000001" customHeight="1">
      <c r="A281" s="1171" t="s">
        <v>2957</v>
      </c>
      <c r="B281" s="1171" t="s">
        <v>3047</v>
      </c>
      <c r="C281" s="1171" t="s">
        <v>371</v>
      </c>
      <c r="D281" s="885">
        <v>340</v>
      </c>
      <c r="E281" s="885">
        <v>680</v>
      </c>
      <c r="F281" s="885">
        <v>680</v>
      </c>
      <c r="G281" s="56" t="s">
        <v>36</v>
      </c>
      <c r="H281" s="36">
        <v>5</v>
      </c>
      <c r="I281" s="557" t="s">
        <v>17</v>
      </c>
      <c r="J281" s="557" t="s">
        <v>370</v>
      </c>
      <c r="K281" s="576">
        <v>10</v>
      </c>
      <c r="L281" s="542" t="s">
        <v>649</v>
      </c>
      <c r="M281" s="551">
        <v>43091</v>
      </c>
      <c r="N281" s="551">
        <v>43092</v>
      </c>
      <c r="O281" s="544" t="s">
        <v>955</v>
      </c>
      <c r="P281" s="553" t="s">
        <v>1501</v>
      </c>
      <c r="Q281" s="744"/>
      <c r="R281" s="546" t="s">
        <v>309</v>
      </c>
      <c r="S281" s="315" t="s">
        <v>2852</v>
      </c>
      <c r="T281" s="317">
        <v>14</v>
      </c>
    </row>
    <row r="282" spans="1:20" ht="20.100000000000001" customHeight="1">
      <c r="A282" s="1171" t="s">
        <v>2957</v>
      </c>
      <c r="B282" s="1171" t="s">
        <v>3047</v>
      </c>
      <c r="C282" s="1171" t="s">
        <v>371</v>
      </c>
      <c r="D282" s="729">
        <v>275</v>
      </c>
      <c r="E282" s="729">
        <v>550</v>
      </c>
      <c r="F282" s="729">
        <v>550</v>
      </c>
      <c r="G282" s="224" t="s">
        <v>814</v>
      </c>
      <c r="H282" s="36">
        <v>5</v>
      </c>
      <c r="I282" s="557" t="s">
        <v>17</v>
      </c>
      <c r="J282" s="557" t="s">
        <v>370</v>
      </c>
      <c r="K282" s="576">
        <v>10</v>
      </c>
      <c r="L282" s="570" t="s">
        <v>641</v>
      </c>
      <c r="M282" s="547">
        <v>43066</v>
      </c>
      <c r="N282" s="547">
        <v>43086</v>
      </c>
      <c r="O282" s="544" t="s">
        <v>955</v>
      </c>
      <c r="P282" s="553" t="s">
        <v>1545</v>
      </c>
      <c r="Q282" s="683" t="s">
        <v>4173</v>
      </c>
      <c r="R282" s="546" t="s">
        <v>261</v>
      </c>
      <c r="S282" s="319" t="s">
        <v>1176</v>
      </c>
      <c r="T282" s="338" t="s">
        <v>1678</v>
      </c>
    </row>
    <row r="283" spans="1:20" ht="20.100000000000001" customHeight="1">
      <c r="A283" s="1171" t="s">
        <v>2957</v>
      </c>
      <c r="B283" s="1171" t="s">
        <v>3047</v>
      </c>
      <c r="C283" s="1171" t="s">
        <v>371</v>
      </c>
      <c r="D283" s="527">
        <v>245</v>
      </c>
      <c r="E283" s="527">
        <v>490</v>
      </c>
      <c r="F283" s="527">
        <v>490</v>
      </c>
      <c r="G283" s="18" t="s">
        <v>3876</v>
      </c>
      <c r="H283" s="36">
        <v>5</v>
      </c>
      <c r="I283" s="557" t="s">
        <v>17</v>
      </c>
      <c r="J283" s="557" t="s">
        <v>370</v>
      </c>
      <c r="K283" s="576">
        <v>10</v>
      </c>
      <c r="L283" s="570" t="s">
        <v>641</v>
      </c>
      <c r="M283" s="547">
        <v>43062</v>
      </c>
      <c r="N283" s="547">
        <v>43086</v>
      </c>
      <c r="O283" s="25" t="s">
        <v>4068</v>
      </c>
      <c r="P283" s="753" t="s">
        <v>4077</v>
      </c>
      <c r="Q283" s="683"/>
      <c r="R283" s="561" t="s">
        <v>261</v>
      </c>
      <c r="S283" s="704" t="s">
        <v>1176</v>
      </c>
      <c r="T283" s="317" t="s">
        <v>1395</v>
      </c>
    </row>
    <row r="284" spans="1:20" ht="20.100000000000001" customHeight="1">
      <c r="A284" s="1171" t="s">
        <v>2957</v>
      </c>
      <c r="B284" s="1171" t="s">
        <v>3047</v>
      </c>
      <c r="C284" s="1171" t="s">
        <v>371</v>
      </c>
      <c r="D284" s="894">
        <v>315</v>
      </c>
      <c r="E284" s="894">
        <v>630</v>
      </c>
      <c r="F284" s="894">
        <v>630</v>
      </c>
      <c r="G284" s="224" t="s">
        <v>434</v>
      </c>
      <c r="H284" s="36">
        <v>5</v>
      </c>
      <c r="I284" s="557" t="s">
        <v>17</v>
      </c>
      <c r="J284" s="557" t="s">
        <v>370</v>
      </c>
      <c r="K284" s="576">
        <v>10</v>
      </c>
      <c r="L284" s="570" t="s">
        <v>641</v>
      </c>
      <c r="M284" s="549">
        <v>43086</v>
      </c>
      <c r="N284" s="549">
        <v>43093</v>
      </c>
      <c r="O284" s="544" t="s">
        <v>955</v>
      </c>
      <c r="P284" s="553" t="s">
        <v>904</v>
      </c>
      <c r="Q284" s="683"/>
      <c r="R284" s="561" t="s">
        <v>818</v>
      </c>
      <c r="S284" s="321" t="s">
        <v>1176</v>
      </c>
      <c r="T284" s="317" t="s">
        <v>2824</v>
      </c>
    </row>
    <row r="285" spans="1:20" ht="20.100000000000001" customHeight="1">
      <c r="A285" s="1171" t="s">
        <v>2957</v>
      </c>
      <c r="B285" s="1171" t="s">
        <v>3047</v>
      </c>
      <c r="C285" s="1171" t="s">
        <v>371</v>
      </c>
      <c r="D285" s="525">
        <v>350</v>
      </c>
      <c r="E285" s="525">
        <v>700</v>
      </c>
      <c r="F285" s="525">
        <v>700</v>
      </c>
      <c r="G285" s="4" t="s">
        <v>87</v>
      </c>
      <c r="H285" s="36">
        <v>5</v>
      </c>
      <c r="I285" s="557" t="s">
        <v>17</v>
      </c>
      <c r="J285" s="557" t="s">
        <v>370</v>
      </c>
      <c r="K285" s="576">
        <v>10</v>
      </c>
      <c r="L285" s="570" t="s">
        <v>641</v>
      </c>
      <c r="M285" s="551">
        <v>43086</v>
      </c>
      <c r="N285" s="551">
        <v>43091</v>
      </c>
      <c r="O285" s="544" t="s">
        <v>955</v>
      </c>
      <c r="P285" s="553" t="s">
        <v>896</v>
      </c>
      <c r="Q285" s="683"/>
      <c r="R285" s="561" t="s">
        <v>261</v>
      </c>
      <c r="S285" s="315" t="s">
        <v>2849</v>
      </c>
      <c r="T285" s="338" t="s">
        <v>1678</v>
      </c>
    </row>
    <row r="286" spans="1:20" ht="20.100000000000001" customHeight="1">
      <c r="A286" s="1171" t="s">
        <v>2957</v>
      </c>
      <c r="B286" s="1171" t="s">
        <v>3047</v>
      </c>
      <c r="C286" s="1171" t="s">
        <v>371</v>
      </c>
      <c r="D286" s="525">
        <v>360</v>
      </c>
      <c r="E286" s="525">
        <v>720</v>
      </c>
      <c r="F286" s="525">
        <v>720</v>
      </c>
      <c r="G286" s="56" t="s">
        <v>432</v>
      </c>
      <c r="H286" s="36">
        <v>5</v>
      </c>
      <c r="I286" s="557" t="s">
        <v>17</v>
      </c>
      <c r="J286" s="557" t="s">
        <v>370</v>
      </c>
      <c r="K286" s="576">
        <v>10</v>
      </c>
      <c r="L286" s="570" t="s">
        <v>641</v>
      </c>
      <c r="M286" s="549">
        <v>43091</v>
      </c>
      <c r="N286" s="549">
        <v>43091</v>
      </c>
      <c r="O286" s="544" t="s">
        <v>955</v>
      </c>
      <c r="P286" s="553" t="s">
        <v>1688</v>
      </c>
      <c r="Q286" s="683"/>
      <c r="R286" s="561" t="s">
        <v>261</v>
      </c>
      <c r="S286" s="704" t="s">
        <v>1176</v>
      </c>
      <c r="T286" s="317" t="s">
        <v>2039</v>
      </c>
    </row>
    <row r="287" spans="1:20" ht="20.100000000000001" customHeight="1">
      <c r="A287" s="1171" t="s">
        <v>2957</v>
      </c>
      <c r="B287" s="1171" t="s">
        <v>3047</v>
      </c>
      <c r="C287" s="1171" t="s">
        <v>371</v>
      </c>
      <c r="D287" s="525">
        <v>260</v>
      </c>
      <c r="E287" s="525">
        <v>520</v>
      </c>
      <c r="F287" s="525">
        <v>520</v>
      </c>
      <c r="G287" s="56" t="s">
        <v>2441</v>
      </c>
      <c r="H287" s="48">
        <v>6</v>
      </c>
      <c r="I287" s="576" t="s">
        <v>17</v>
      </c>
      <c r="J287" s="557" t="s">
        <v>370</v>
      </c>
      <c r="K287" s="576">
        <v>8</v>
      </c>
      <c r="L287" s="542" t="s">
        <v>649</v>
      </c>
      <c r="M287" s="549">
        <v>43064</v>
      </c>
      <c r="N287" s="549">
        <v>43086</v>
      </c>
      <c r="O287" s="544" t="s">
        <v>955</v>
      </c>
      <c r="P287" s="553"/>
      <c r="Q287" s="744"/>
      <c r="R287" s="546" t="s">
        <v>313</v>
      </c>
      <c r="S287" s="704"/>
      <c r="T287" s="317"/>
    </row>
    <row r="288" spans="1:20" ht="20.100000000000001" customHeight="1">
      <c r="A288" s="1171" t="s">
        <v>2957</v>
      </c>
      <c r="B288" s="1171" t="s">
        <v>3047</v>
      </c>
      <c r="C288" s="1171" t="s">
        <v>371</v>
      </c>
      <c r="D288" s="32">
        <v>275</v>
      </c>
      <c r="E288" s="32">
        <v>500</v>
      </c>
      <c r="F288" s="32">
        <v>500</v>
      </c>
      <c r="G288" s="63" t="s">
        <v>30</v>
      </c>
      <c r="H288" s="48">
        <v>6</v>
      </c>
      <c r="I288" s="576" t="s">
        <v>17</v>
      </c>
      <c r="J288" s="557" t="s">
        <v>370</v>
      </c>
      <c r="K288" s="576">
        <v>8</v>
      </c>
      <c r="L288" s="542" t="s">
        <v>649</v>
      </c>
      <c r="M288" s="568">
        <v>43040</v>
      </c>
      <c r="N288" s="568">
        <v>43083</v>
      </c>
      <c r="O288" s="544" t="s">
        <v>955</v>
      </c>
      <c r="P288" s="545" t="s">
        <v>896</v>
      </c>
      <c r="Q288" s="7"/>
      <c r="R288" s="546" t="s">
        <v>314</v>
      </c>
      <c r="S288" s="319"/>
      <c r="T288" s="317">
        <v>14</v>
      </c>
    </row>
    <row r="289" spans="1:20" ht="20.100000000000001" customHeight="1">
      <c r="A289" s="1171" t="s">
        <v>2957</v>
      </c>
      <c r="B289" s="1171" t="s">
        <v>3047</v>
      </c>
      <c r="C289" s="1171" t="s">
        <v>371</v>
      </c>
      <c r="D289" s="885">
        <v>340</v>
      </c>
      <c r="E289" s="885">
        <v>680</v>
      </c>
      <c r="F289" s="885">
        <v>680</v>
      </c>
      <c r="G289" s="56" t="s">
        <v>36</v>
      </c>
      <c r="H289" s="48">
        <v>6</v>
      </c>
      <c r="I289" s="557" t="s">
        <v>17</v>
      </c>
      <c r="J289" s="557" t="s">
        <v>370</v>
      </c>
      <c r="K289" s="576">
        <v>8</v>
      </c>
      <c r="L289" s="542" t="s">
        <v>649</v>
      </c>
      <c r="M289" s="551">
        <v>43092</v>
      </c>
      <c r="N289" s="551">
        <v>43092</v>
      </c>
      <c r="O289" s="544" t="s">
        <v>955</v>
      </c>
      <c r="P289" s="553" t="s">
        <v>1501</v>
      </c>
      <c r="Q289" s="7"/>
      <c r="R289" s="546" t="s">
        <v>313</v>
      </c>
      <c r="S289" s="315" t="s">
        <v>2852</v>
      </c>
      <c r="T289" s="317">
        <v>14</v>
      </c>
    </row>
    <row r="290" spans="1:20" ht="20.100000000000001" customHeight="1">
      <c r="A290" s="1171" t="s">
        <v>2957</v>
      </c>
      <c r="B290" s="1171" t="s">
        <v>3047</v>
      </c>
      <c r="C290" s="1171" t="s">
        <v>371</v>
      </c>
      <c r="D290" s="527">
        <v>245</v>
      </c>
      <c r="E290" s="527">
        <v>490</v>
      </c>
      <c r="F290" s="527">
        <v>490</v>
      </c>
      <c r="G290" s="18" t="s">
        <v>3876</v>
      </c>
      <c r="H290" s="36">
        <v>7</v>
      </c>
      <c r="I290" s="558" t="s">
        <v>17</v>
      </c>
      <c r="J290" s="557" t="s">
        <v>370</v>
      </c>
      <c r="K290" s="566">
        <v>6</v>
      </c>
      <c r="L290" s="570" t="s">
        <v>641</v>
      </c>
      <c r="M290" s="547">
        <v>43062</v>
      </c>
      <c r="N290" s="547">
        <v>43086</v>
      </c>
      <c r="O290" s="25" t="s">
        <v>4068</v>
      </c>
      <c r="P290" s="753" t="s">
        <v>4077</v>
      </c>
      <c r="Q290" s="7"/>
      <c r="R290" s="556" t="s">
        <v>245</v>
      </c>
      <c r="S290" s="704" t="s">
        <v>1176</v>
      </c>
      <c r="T290" s="317" t="s">
        <v>1395</v>
      </c>
    </row>
    <row r="291" spans="1:20" ht="20.100000000000001" customHeight="1">
      <c r="A291" s="1171" t="s">
        <v>2957</v>
      </c>
      <c r="B291" s="1171" t="s">
        <v>3047</v>
      </c>
      <c r="C291" s="1171" t="s">
        <v>371</v>
      </c>
      <c r="D291" s="894">
        <v>335</v>
      </c>
      <c r="E291" s="894">
        <v>670</v>
      </c>
      <c r="F291" s="894">
        <v>670</v>
      </c>
      <c r="G291" s="224" t="s">
        <v>434</v>
      </c>
      <c r="H291" s="36">
        <v>7</v>
      </c>
      <c r="I291" s="558" t="s">
        <v>17</v>
      </c>
      <c r="J291" s="557" t="s">
        <v>370</v>
      </c>
      <c r="K291" s="566">
        <v>6</v>
      </c>
      <c r="L291" s="570" t="s">
        <v>641</v>
      </c>
      <c r="M291" s="549">
        <v>43086</v>
      </c>
      <c r="N291" s="549">
        <v>43093</v>
      </c>
      <c r="O291" s="544" t="s">
        <v>955</v>
      </c>
      <c r="P291" s="553" t="s">
        <v>904</v>
      </c>
      <c r="Q291" s="60"/>
      <c r="R291" s="556" t="s">
        <v>245</v>
      </c>
      <c r="S291" s="321" t="s">
        <v>1176</v>
      </c>
      <c r="T291" s="317" t="s">
        <v>2824</v>
      </c>
    </row>
    <row r="292" spans="1:20" ht="20.100000000000001" customHeight="1">
      <c r="A292" s="1171" t="s">
        <v>2957</v>
      </c>
      <c r="B292" s="1171" t="s">
        <v>3047</v>
      </c>
      <c r="C292" s="1171" t="s">
        <v>371</v>
      </c>
      <c r="D292" s="525">
        <v>350</v>
      </c>
      <c r="E292" s="525">
        <v>700</v>
      </c>
      <c r="F292" s="525">
        <v>700</v>
      </c>
      <c r="G292" s="36" t="s">
        <v>87</v>
      </c>
      <c r="H292" s="36">
        <v>7</v>
      </c>
      <c r="I292" s="542" t="s">
        <v>17</v>
      </c>
      <c r="J292" s="557" t="s">
        <v>370</v>
      </c>
      <c r="K292" s="566">
        <v>6</v>
      </c>
      <c r="L292" s="570" t="s">
        <v>641</v>
      </c>
      <c r="M292" s="551">
        <v>43086</v>
      </c>
      <c r="N292" s="551">
        <v>43091</v>
      </c>
      <c r="O292" s="544" t="s">
        <v>955</v>
      </c>
      <c r="P292" s="553" t="s">
        <v>896</v>
      </c>
      <c r="Q292" s="60"/>
      <c r="R292" s="556" t="s">
        <v>245</v>
      </c>
      <c r="S292" s="315" t="s">
        <v>2849</v>
      </c>
      <c r="T292" s="338" t="s">
        <v>1678</v>
      </c>
    </row>
    <row r="293" spans="1:20" ht="20.100000000000001" customHeight="1">
      <c r="A293" s="1171" t="s">
        <v>2957</v>
      </c>
      <c r="B293" s="1171" t="s">
        <v>3047</v>
      </c>
      <c r="C293" s="1171" t="s">
        <v>371</v>
      </c>
      <c r="D293" s="525">
        <v>360</v>
      </c>
      <c r="E293" s="525">
        <v>720</v>
      </c>
      <c r="F293" s="525">
        <v>720</v>
      </c>
      <c r="G293" s="56" t="s">
        <v>432</v>
      </c>
      <c r="H293" s="36">
        <v>7</v>
      </c>
      <c r="I293" s="542" t="s">
        <v>17</v>
      </c>
      <c r="J293" s="557" t="s">
        <v>370</v>
      </c>
      <c r="K293" s="566">
        <v>6</v>
      </c>
      <c r="L293" s="570" t="s">
        <v>641</v>
      </c>
      <c r="M293" s="549">
        <v>43086</v>
      </c>
      <c r="N293" s="549">
        <v>43091</v>
      </c>
      <c r="O293" s="544" t="s">
        <v>955</v>
      </c>
      <c r="P293" s="553" t="s">
        <v>1688</v>
      </c>
      <c r="Q293" s="60"/>
      <c r="R293" s="556" t="s">
        <v>245</v>
      </c>
      <c r="S293" s="704" t="s">
        <v>1176</v>
      </c>
      <c r="T293" s="317" t="s">
        <v>2039</v>
      </c>
    </row>
    <row r="294" spans="1:20" ht="20.100000000000001" customHeight="1">
      <c r="A294" s="1171" t="s">
        <v>2957</v>
      </c>
      <c r="B294" s="1171" t="s">
        <v>3047</v>
      </c>
      <c r="C294" s="1171" t="s">
        <v>371</v>
      </c>
      <c r="D294" s="525"/>
      <c r="E294" s="525"/>
      <c r="F294" s="525"/>
      <c r="G294" s="628" t="s">
        <v>76</v>
      </c>
      <c r="H294" s="36">
        <v>7</v>
      </c>
      <c r="I294" s="542" t="s">
        <v>17</v>
      </c>
      <c r="J294" s="542" t="s">
        <v>370</v>
      </c>
      <c r="K294" s="566">
        <v>7</v>
      </c>
      <c r="L294" s="570" t="s">
        <v>641</v>
      </c>
      <c r="M294" s="6">
        <v>43045</v>
      </c>
      <c r="N294" s="6">
        <v>43093</v>
      </c>
      <c r="O294" s="544" t="s">
        <v>955</v>
      </c>
      <c r="P294" s="562" t="s">
        <v>589</v>
      </c>
      <c r="Q294" s="683" t="s">
        <v>4524</v>
      </c>
      <c r="R294" s="546" t="s">
        <v>2100</v>
      </c>
      <c r="S294" s="322" t="s">
        <v>1176</v>
      </c>
      <c r="T294" s="338"/>
    </row>
    <row r="295" spans="1:20" ht="20.100000000000001" customHeight="1">
      <c r="A295" s="1171" t="s">
        <v>2957</v>
      </c>
      <c r="B295" s="1171" t="s">
        <v>3047</v>
      </c>
      <c r="C295" s="1171" t="s">
        <v>371</v>
      </c>
      <c r="D295" s="729">
        <v>345</v>
      </c>
      <c r="E295" s="729">
        <v>690</v>
      </c>
      <c r="F295" s="729">
        <v>690</v>
      </c>
      <c r="G295" s="224" t="s">
        <v>814</v>
      </c>
      <c r="H295" s="36">
        <v>7</v>
      </c>
      <c r="I295" s="542" t="s">
        <v>17</v>
      </c>
      <c r="J295" s="542" t="s">
        <v>370</v>
      </c>
      <c r="K295" s="566">
        <v>7</v>
      </c>
      <c r="L295" s="570" t="s">
        <v>641</v>
      </c>
      <c r="M295" s="547">
        <v>43086</v>
      </c>
      <c r="N295" s="547">
        <v>43086</v>
      </c>
      <c r="O295" s="544" t="s">
        <v>955</v>
      </c>
      <c r="P295" s="553" t="s">
        <v>1545</v>
      </c>
      <c r="Q295" s="683" t="s">
        <v>4524</v>
      </c>
      <c r="R295" s="546" t="s">
        <v>195</v>
      </c>
      <c r="S295" s="319" t="s">
        <v>1176</v>
      </c>
      <c r="T295" s="338" t="s">
        <v>1678</v>
      </c>
    </row>
    <row r="296" spans="1:20" ht="20.100000000000001" customHeight="1">
      <c r="A296" s="1171" t="s">
        <v>2957</v>
      </c>
      <c r="B296" s="1171" t="s">
        <v>3047</v>
      </c>
      <c r="C296" s="1171" t="s">
        <v>371</v>
      </c>
      <c r="D296" s="729">
        <v>290</v>
      </c>
      <c r="E296" s="729">
        <v>580</v>
      </c>
      <c r="F296" s="729">
        <v>580</v>
      </c>
      <c r="G296" s="47" t="s">
        <v>873</v>
      </c>
      <c r="H296" s="36">
        <v>7</v>
      </c>
      <c r="I296" s="542" t="s">
        <v>17</v>
      </c>
      <c r="J296" s="542" t="s">
        <v>370</v>
      </c>
      <c r="K296" s="566">
        <v>7</v>
      </c>
      <c r="L296" s="570" t="s">
        <v>641</v>
      </c>
      <c r="M296" s="551">
        <v>43079</v>
      </c>
      <c r="N296" s="551">
        <v>43086</v>
      </c>
      <c r="O296" s="544" t="s">
        <v>955</v>
      </c>
      <c r="P296" s="553"/>
      <c r="Q296" s="683" t="s">
        <v>4524</v>
      </c>
      <c r="R296" s="546" t="s">
        <v>1680</v>
      </c>
      <c r="S296" s="319"/>
      <c r="T296" s="338" t="s">
        <v>1988</v>
      </c>
    </row>
    <row r="297" spans="1:20" ht="20.100000000000001" customHeight="1">
      <c r="A297" s="1171" t="s">
        <v>2957</v>
      </c>
      <c r="B297" s="1171" t="s">
        <v>3047</v>
      </c>
      <c r="C297" s="1171" t="s">
        <v>371</v>
      </c>
      <c r="D297" s="526">
        <v>360</v>
      </c>
      <c r="E297" s="526">
        <v>720</v>
      </c>
      <c r="F297" s="526">
        <v>720</v>
      </c>
      <c r="G297" s="218" t="s">
        <v>10</v>
      </c>
      <c r="H297" s="36">
        <v>7</v>
      </c>
      <c r="I297" s="557" t="s">
        <v>17</v>
      </c>
      <c r="J297" s="557" t="s">
        <v>370</v>
      </c>
      <c r="K297" s="558">
        <v>7</v>
      </c>
      <c r="L297" s="570" t="s">
        <v>641</v>
      </c>
      <c r="M297" s="547">
        <v>43086</v>
      </c>
      <c r="N297" s="547">
        <v>43090</v>
      </c>
      <c r="O297" s="544" t="s">
        <v>955</v>
      </c>
      <c r="P297" s="553" t="s">
        <v>589</v>
      </c>
      <c r="Q297" s="683" t="s">
        <v>4524</v>
      </c>
      <c r="R297" s="546" t="s">
        <v>195</v>
      </c>
      <c r="S297" s="316" t="s">
        <v>1176</v>
      </c>
      <c r="T297" s="317">
        <v>14</v>
      </c>
    </row>
    <row r="298" spans="1:20" ht="20.100000000000001" customHeight="1">
      <c r="A298" s="1171" t="s">
        <v>2957</v>
      </c>
      <c r="B298" s="1171" t="s">
        <v>3047</v>
      </c>
      <c r="C298" s="1171" t="s">
        <v>371</v>
      </c>
      <c r="D298" s="525">
        <v>350</v>
      </c>
      <c r="E298" s="525">
        <v>700</v>
      </c>
      <c r="F298" s="525">
        <v>700</v>
      </c>
      <c r="G298" s="56" t="s">
        <v>36</v>
      </c>
      <c r="H298" s="36">
        <v>7</v>
      </c>
      <c r="I298" s="557" t="s">
        <v>17</v>
      </c>
      <c r="J298" s="557" t="s">
        <v>370</v>
      </c>
      <c r="K298" s="576" t="s">
        <v>732</v>
      </c>
      <c r="L298" s="542" t="s">
        <v>649</v>
      </c>
      <c r="M298" s="551">
        <v>43086</v>
      </c>
      <c r="N298" s="551">
        <v>43092</v>
      </c>
      <c r="O298" s="544" t="s">
        <v>955</v>
      </c>
      <c r="P298" s="553" t="s">
        <v>1501</v>
      </c>
      <c r="Q298" s="60"/>
      <c r="R298" s="546" t="s">
        <v>315</v>
      </c>
      <c r="S298" s="315" t="s">
        <v>2852</v>
      </c>
      <c r="T298" s="317">
        <v>14</v>
      </c>
    </row>
    <row r="299" spans="1:20" ht="20.100000000000001" customHeight="1">
      <c r="A299" s="1171" t="s">
        <v>2957</v>
      </c>
      <c r="B299" s="1171" t="s">
        <v>3047</v>
      </c>
      <c r="C299" s="1171" t="s">
        <v>371</v>
      </c>
      <c r="D299" s="526"/>
      <c r="E299" s="526"/>
      <c r="F299" s="526"/>
      <c r="G299" s="70" t="s">
        <v>2397</v>
      </c>
      <c r="H299" s="56" t="s">
        <v>706</v>
      </c>
      <c r="I299" s="557" t="s">
        <v>17</v>
      </c>
      <c r="J299" s="557" t="s">
        <v>370</v>
      </c>
      <c r="K299" s="566" t="s">
        <v>2401</v>
      </c>
      <c r="L299" s="570" t="s">
        <v>2399</v>
      </c>
      <c r="M299" s="570"/>
      <c r="N299" s="547">
        <v>43039</v>
      </c>
      <c r="O299" s="544" t="s">
        <v>955</v>
      </c>
      <c r="P299" s="553"/>
      <c r="Q299" s="60"/>
      <c r="R299" s="546"/>
      <c r="S299" s="315"/>
      <c r="T299" s="317"/>
    </row>
    <row r="300" spans="1:20" ht="20.100000000000001" customHeight="1">
      <c r="A300" s="1127" t="s">
        <v>2957</v>
      </c>
      <c r="B300" s="1169" t="s">
        <v>369</v>
      </c>
      <c r="C300" s="1169" t="s">
        <v>371</v>
      </c>
      <c r="D300" s="526">
        <v>240</v>
      </c>
      <c r="E300" s="526">
        <v>480</v>
      </c>
      <c r="F300" s="526">
        <v>480</v>
      </c>
      <c r="G300" s="70" t="s">
        <v>29</v>
      </c>
      <c r="H300" s="56" t="s">
        <v>742</v>
      </c>
      <c r="I300" s="559" t="s">
        <v>80</v>
      </c>
      <c r="J300" s="557" t="s">
        <v>370</v>
      </c>
      <c r="K300" s="557">
        <v>10</v>
      </c>
      <c r="L300" s="557" t="s">
        <v>637</v>
      </c>
      <c r="M300" s="547">
        <v>43038</v>
      </c>
      <c r="N300" s="547">
        <v>43072</v>
      </c>
      <c r="O300" s="544" t="s">
        <v>955</v>
      </c>
      <c r="P300" s="544"/>
      <c r="Q300" s="7"/>
      <c r="R300" s="546" t="s">
        <v>199</v>
      </c>
      <c r="S300" s="319" t="s">
        <v>1176</v>
      </c>
      <c r="T300" s="338" t="s">
        <v>1988</v>
      </c>
    </row>
    <row r="301" spans="1:20" ht="20.100000000000001" customHeight="1">
      <c r="A301" s="1127" t="s">
        <v>2957</v>
      </c>
      <c r="B301" s="1169" t="s">
        <v>369</v>
      </c>
      <c r="C301" s="1169" t="s">
        <v>371</v>
      </c>
      <c r="D301" s="728">
        <v>355</v>
      </c>
      <c r="E301" s="728">
        <v>710</v>
      </c>
      <c r="F301" s="728">
        <v>710</v>
      </c>
      <c r="G301" s="69" t="s">
        <v>37</v>
      </c>
      <c r="H301" s="48" t="s">
        <v>1875</v>
      </c>
      <c r="I301" s="558" t="s">
        <v>16</v>
      </c>
      <c r="J301" s="557" t="s">
        <v>370</v>
      </c>
      <c r="K301" s="557" t="s">
        <v>151</v>
      </c>
      <c r="L301" s="557" t="s">
        <v>637</v>
      </c>
      <c r="M301" s="543">
        <v>43040</v>
      </c>
      <c r="N301" s="543">
        <v>43084</v>
      </c>
      <c r="O301" s="544" t="s">
        <v>955</v>
      </c>
      <c r="P301" s="553"/>
      <c r="Q301" s="7"/>
      <c r="R301" s="546" t="s">
        <v>1876</v>
      </c>
      <c r="S301" s="319" t="s">
        <v>1176</v>
      </c>
      <c r="T301" s="338"/>
    </row>
    <row r="302" spans="1:20" ht="20.100000000000001" customHeight="1">
      <c r="A302" s="1127" t="s">
        <v>2957</v>
      </c>
      <c r="B302" s="1169" t="s">
        <v>369</v>
      </c>
      <c r="C302" s="1169" t="s">
        <v>371</v>
      </c>
      <c r="D302" s="728">
        <v>613</v>
      </c>
      <c r="E302" s="728">
        <v>813</v>
      </c>
      <c r="F302" s="728">
        <v>813</v>
      </c>
      <c r="G302" s="69" t="s">
        <v>19</v>
      </c>
      <c r="H302" s="48">
        <v>2</v>
      </c>
      <c r="I302" s="557" t="s">
        <v>16</v>
      </c>
      <c r="J302" s="571" t="s">
        <v>370</v>
      </c>
      <c r="K302" s="566" t="s">
        <v>746</v>
      </c>
      <c r="L302" s="559" t="s">
        <v>639</v>
      </c>
      <c r="M302" s="559"/>
      <c r="N302" s="549">
        <v>42825</v>
      </c>
      <c r="O302" s="544" t="s">
        <v>955</v>
      </c>
      <c r="P302" s="553"/>
      <c r="Q302" s="52"/>
      <c r="R302" s="546" t="s">
        <v>187</v>
      </c>
      <c r="S302" s="325"/>
      <c r="T302" s="338"/>
    </row>
    <row r="303" spans="1:20" ht="20.100000000000001" customHeight="1">
      <c r="A303" s="1127" t="s">
        <v>2957</v>
      </c>
      <c r="B303" s="1169" t="s">
        <v>369</v>
      </c>
      <c r="C303" s="1169" t="s">
        <v>371</v>
      </c>
      <c r="D303" s="32">
        <v>330</v>
      </c>
      <c r="E303" s="32">
        <v>600</v>
      </c>
      <c r="F303" s="32">
        <v>600</v>
      </c>
      <c r="G303" s="48" t="s">
        <v>13</v>
      </c>
      <c r="H303" s="56" t="s">
        <v>742</v>
      </c>
      <c r="I303" s="558" t="s">
        <v>119</v>
      </c>
      <c r="J303" s="557" t="s">
        <v>370</v>
      </c>
      <c r="K303" s="558" t="s">
        <v>726</v>
      </c>
      <c r="L303" s="542" t="s">
        <v>636</v>
      </c>
      <c r="M303" s="6">
        <v>43070</v>
      </c>
      <c r="N303" s="6">
        <v>43100</v>
      </c>
      <c r="O303" s="544" t="s">
        <v>955</v>
      </c>
      <c r="P303" s="553"/>
      <c r="Q303" s="52"/>
      <c r="R303" s="546" t="s">
        <v>1340</v>
      </c>
      <c r="S303" s="319" t="s">
        <v>1176</v>
      </c>
      <c r="T303" s="338" t="s">
        <v>2875</v>
      </c>
    </row>
    <row r="304" spans="1:20" ht="20.100000000000001" customHeight="1">
      <c r="A304" s="1127" t="s">
        <v>2957</v>
      </c>
      <c r="B304" s="1169" t="s">
        <v>369</v>
      </c>
      <c r="C304" s="1169" t="s">
        <v>371</v>
      </c>
      <c r="D304" s="526">
        <v>240</v>
      </c>
      <c r="E304" s="526">
        <v>480</v>
      </c>
      <c r="F304" s="526">
        <v>480</v>
      </c>
      <c r="G304" s="70" t="s">
        <v>29</v>
      </c>
      <c r="H304" s="48" t="s">
        <v>2044</v>
      </c>
      <c r="I304" s="559" t="s">
        <v>80</v>
      </c>
      <c r="J304" s="557" t="s">
        <v>370</v>
      </c>
      <c r="K304" s="557">
        <v>10</v>
      </c>
      <c r="L304" s="557" t="s">
        <v>637</v>
      </c>
      <c r="M304" s="547">
        <v>43038</v>
      </c>
      <c r="N304" s="547">
        <v>43072</v>
      </c>
      <c r="O304" s="544" t="s">
        <v>955</v>
      </c>
      <c r="P304" s="544"/>
      <c r="Q304" s="677"/>
      <c r="R304" s="546" t="s">
        <v>2288</v>
      </c>
      <c r="S304" s="319" t="s">
        <v>1176</v>
      </c>
      <c r="T304" s="338" t="s">
        <v>1988</v>
      </c>
    </row>
    <row r="305" spans="1:20" ht="20.100000000000001" customHeight="1">
      <c r="A305" s="1127" t="s">
        <v>2957</v>
      </c>
      <c r="B305" s="1169" t="s">
        <v>369</v>
      </c>
      <c r="C305" s="1169" t="s">
        <v>371</v>
      </c>
      <c r="D305" s="525">
        <v>290</v>
      </c>
      <c r="E305" s="525">
        <v>530</v>
      </c>
      <c r="F305" s="525">
        <v>530</v>
      </c>
      <c r="G305" s="69" t="s">
        <v>33</v>
      </c>
      <c r="H305" s="56" t="s">
        <v>659</v>
      </c>
      <c r="I305" s="542" t="s">
        <v>27</v>
      </c>
      <c r="J305" s="557" t="s">
        <v>370</v>
      </c>
      <c r="K305" s="576">
        <v>12</v>
      </c>
      <c r="L305" s="557" t="s">
        <v>637</v>
      </c>
      <c r="M305" s="549">
        <v>43040</v>
      </c>
      <c r="N305" s="549">
        <v>43079</v>
      </c>
      <c r="O305" s="544" t="s">
        <v>955</v>
      </c>
      <c r="P305" s="553"/>
      <c r="Q305" s="53"/>
      <c r="R305" s="561" t="s">
        <v>243</v>
      </c>
      <c r="S305" s="315" t="s">
        <v>2850</v>
      </c>
      <c r="T305" s="338"/>
    </row>
    <row r="306" spans="1:20" ht="20.100000000000001" customHeight="1">
      <c r="A306" s="1127" t="s">
        <v>2957</v>
      </c>
      <c r="B306" s="1169" t="s">
        <v>369</v>
      </c>
      <c r="C306" s="1169" t="s">
        <v>371</v>
      </c>
      <c r="D306" s="525">
        <v>315</v>
      </c>
      <c r="E306" s="525">
        <v>630</v>
      </c>
      <c r="F306" s="525">
        <v>630</v>
      </c>
      <c r="G306" s="69" t="s">
        <v>62</v>
      </c>
      <c r="H306" s="56" t="s">
        <v>725</v>
      </c>
      <c r="I306" s="566" t="s">
        <v>119</v>
      </c>
      <c r="J306" s="559" t="s">
        <v>370</v>
      </c>
      <c r="K306" s="559">
        <v>11</v>
      </c>
      <c r="L306" s="559" t="s">
        <v>639</v>
      </c>
      <c r="M306" s="549">
        <v>43039</v>
      </c>
      <c r="N306" s="549">
        <v>43086</v>
      </c>
      <c r="O306" s="544" t="s">
        <v>955</v>
      </c>
      <c r="P306" s="562"/>
      <c r="Q306" s="7"/>
      <c r="R306" s="546" t="s">
        <v>916</v>
      </c>
      <c r="S306" s="315" t="s">
        <v>2854</v>
      </c>
      <c r="T306" s="338"/>
    </row>
    <row r="307" spans="1:20" ht="20.100000000000001" customHeight="1">
      <c r="A307" s="1127" t="s">
        <v>2957</v>
      </c>
      <c r="B307" s="1169" t="s">
        <v>369</v>
      </c>
      <c r="C307" s="1169" t="s">
        <v>371</v>
      </c>
      <c r="D307" s="525">
        <v>245</v>
      </c>
      <c r="E307" s="525">
        <v>490</v>
      </c>
      <c r="F307" s="525">
        <v>490</v>
      </c>
      <c r="G307" s="48" t="s">
        <v>568</v>
      </c>
      <c r="H307" s="36" t="s">
        <v>2108</v>
      </c>
      <c r="I307" s="557" t="s">
        <v>16</v>
      </c>
      <c r="J307" s="557" t="s">
        <v>370</v>
      </c>
      <c r="K307" s="569" t="s">
        <v>2109</v>
      </c>
      <c r="L307" s="559" t="s">
        <v>643</v>
      </c>
      <c r="M307" s="551">
        <v>43022</v>
      </c>
      <c r="N307" s="551">
        <v>43083</v>
      </c>
      <c r="O307" s="544" t="s">
        <v>955</v>
      </c>
      <c r="P307" s="553"/>
      <c r="Q307" s="60"/>
      <c r="R307" s="555" t="s">
        <v>1783</v>
      </c>
      <c r="S307" s="321"/>
      <c r="T307" s="338"/>
    </row>
    <row r="308" spans="1:20" ht="20.100000000000001" customHeight="1">
      <c r="A308" s="1127" t="s">
        <v>2957</v>
      </c>
      <c r="B308" s="1169" t="s">
        <v>369</v>
      </c>
      <c r="C308" s="1169" t="s">
        <v>371</v>
      </c>
      <c r="D308" s="32">
        <v>260</v>
      </c>
      <c r="E308" s="32">
        <v>520</v>
      </c>
      <c r="F308" s="32">
        <v>520</v>
      </c>
      <c r="G308" s="48" t="s">
        <v>232</v>
      </c>
      <c r="H308" s="36">
        <v>5</v>
      </c>
      <c r="I308" s="557" t="s">
        <v>17</v>
      </c>
      <c r="J308" s="557" t="s">
        <v>373</v>
      </c>
      <c r="K308" s="569">
        <v>8</v>
      </c>
      <c r="L308" s="559" t="s">
        <v>639</v>
      </c>
      <c r="M308" s="551">
        <v>43078</v>
      </c>
      <c r="N308" s="551">
        <v>43086</v>
      </c>
      <c r="O308" s="544" t="s">
        <v>955</v>
      </c>
      <c r="P308" s="544"/>
      <c r="Q308" s="683"/>
      <c r="R308" s="546" t="s">
        <v>1352</v>
      </c>
      <c r="S308" s="319"/>
      <c r="T308" s="317" t="s">
        <v>1678</v>
      </c>
    </row>
    <row r="309" spans="1:20" ht="20.100000000000001" customHeight="1">
      <c r="A309" s="1127" t="s">
        <v>2957</v>
      </c>
      <c r="B309" s="1169" t="s">
        <v>369</v>
      </c>
      <c r="C309" s="1169" t="s">
        <v>371</v>
      </c>
      <c r="D309" s="525">
        <v>350</v>
      </c>
      <c r="E309" s="525">
        <v>700</v>
      </c>
      <c r="F309" s="525">
        <v>700</v>
      </c>
      <c r="G309" s="48" t="s">
        <v>87</v>
      </c>
      <c r="H309" s="36">
        <v>5</v>
      </c>
      <c r="I309" s="557" t="s">
        <v>17</v>
      </c>
      <c r="J309" s="557" t="s">
        <v>373</v>
      </c>
      <c r="K309" s="569">
        <v>8</v>
      </c>
      <c r="L309" s="559" t="s">
        <v>639</v>
      </c>
      <c r="M309" s="551">
        <v>43086</v>
      </c>
      <c r="N309" s="551">
        <v>43091</v>
      </c>
      <c r="O309" s="544" t="s">
        <v>955</v>
      </c>
      <c r="P309" s="553"/>
      <c r="Q309" s="683"/>
      <c r="R309" s="556" t="s">
        <v>1352</v>
      </c>
      <c r="S309" s="315" t="s">
        <v>2849</v>
      </c>
      <c r="T309" s="338" t="s">
        <v>1678</v>
      </c>
    </row>
    <row r="310" spans="1:20" ht="20.100000000000001" customHeight="1">
      <c r="A310" s="1127" t="s">
        <v>2957</v>
      </c>
      <c r="B310" s="1169" t="s">
        <v>369</v>
      </c>
      <c r="C310" s="1169" t="s">
        <v>371</v>
      </c>
      <c r="D310" s="526">
        <v>240</v>
      </c>
      <c r="E310" s="526">
        <v>480</v>
      </c>
      <c r="F310" s="526">
        <v>480</v>
      </c>
      <c r="G310" s="48" t="s">
        <v>278</v>
      </c>
      <c r="H310" s="36">
        <v>5</v>
      </c>
      <c r="I310" s="557" t="s">
        <v>17</v>
      </c>
      <c r="J310" s="557" t="s">
        <v>373</v>
      </c>
      <c r="K310" s="569">
        <v>8</v>
      </c>
      <c r="L310" s="559" t="s">
        <v>639</v>
      </c>
      <c r="M310" s="391">
        <v>43080</v>
      </c>
      <c r="N310" s="391">
        <v>43093</v>
      </c>
      <c r="O310" s="544" t="s">
        <v>955</v>
      </c>
      <c r="P310" s="553"/>
      <c r="Q310" s="683"/>
      <c r="R310" s="555" t="s">
        <v>1352</v>
      </c>
      <c r="S310" s="321"/>
      <c r="T310" s="338" t="s">
        <v>1897</v>
      </c>
    </row>
    <row r="311" spans="1:20" ht="20.100000000000001" customHeight="1">
      <c r="A311" s="1127" t="s">
        <v>2957</v>
      </c>
      <c r="B311" s="1169" t="s">
        <v>369</v>
      </c>
      <c r="C311" s="1169" t="s">
        <v>371</v>
      </c>
      <c r="D311" s="525">
        <v>250</v>
      </c>
      <c r="E311" s="525">
        <v>500</v>
      </c>
      <c r="F311" s="525">
        <v>500</v>
      </c>
      <c r="G311" s="628" t="s">
        <v>1659</v>
      </c>
      <c r="H311" s="48">
        <v>6</v>
      </c>
      <c r="I311" s="557" t="s">
        <v>17</v>
      </c>
      <c r="J311" s="557" t="s">
        <v>373</v>
      </c>
      <c r="K311" s="569" t="s">
        <v>726</v>
      </c>
      <c r="L311" s="542" t="s">
        <v>636</v>
      </c>
      <c r="M311" s="547">
        <v>43064</v>
      </c>
      <c r="N311" s="547">
        <v>43090</v>
      </c>
      <c r="O311" s="544" t="s">
        <v>955</v>
      </c>
      <c r="P311" s="553"/>
      <c r="Q311" s="744"/>
      <c r="R311" s="546" t="s">
        <v>761</v>
      </c>
      <c r="S311" s="325" t="s">
        <v>1176</v>
      </c>
      <c r="T311" s="338" t="s">
        <v>1678</v>
      </c>
    </row>
    <row r="312" spans="1:20" ht="20.100000000000001" customHeight="1">
      <c r="A312" s="1170" t="s">
        <v>2957</v>
      </c>
      <c r="B312" s="1170" t="s">
        <v>369</v>
      </c>
      <c r="C312" s="1170" t="s">
        <v>371</v>
      </c>
      <c r="D312" s="525">
        <v>300</v>
      </c>
      <c r="E312" s="525">
        <v>500</v>
      </c>
      <c r="F312" s="525">
        <v>500</v>
      </c>
      <c r="G312" s="628" t="s">
        <v>22</v>
      </c>
      <c r="H312" s="36" t="s">
        <v>740</v>
      </c>
      <c r="I312" s="558" t="s">
        <v>80</v>
      </c>
      <c r="J312" s="554" t="s">
        <v>1538</v>
      </c>
      <c r="K312" s="564" t="s">
        <v>743</v>
      </c>
      <c r="L312" s="559" t="s">
        <v>643</v>
      </c>
      <c r="M312" s="547">
        <v>43009</v>
      </c>
      <c r="N312" s="547">
        <v>43069</v>
      </c>
      <c r="O312" s="544" t="s">
        <v>955</v>
      </c>
      <c r="P312" s="553"/>
      <c r="Q312" s="683"/>
      <c r="R312" s="561" t="s">
        <v>2019</v>
      </c>
      <c r="S312" s="316" t="s">
        <v>1176</v>
      </c>
      <c r="T312" s="317">
        <v>14</v>
      </c>
    </row>
    <row r="313" spans="1:20" ht="20.100000000000001" customHeight="1">
      <c r="A313" s="1171" t="s">
        <v>2957</v>
      </c>
      <c r="B313" s="1171" t="s">
        <v>369</v>
      </c>
      <c r="C313" s="1171" t="s">
        <v>371</v>
      </c>
      <c r="D313" s="320">
        <v>250</v>
      </c>
      <c r="E313" s="320">
        <v>450</v>
      </c>
      <c r="F313" s="320">
        <v>450</v>
      </c>
      <c r="G313" s="4" t="s">
        <v>12</v>
      </c>
      <c r="H313" s="56" t="s">
        <v>1102</v>
      </c>
      <c r="I313" s="558" t="s">
        <v>119</v>
      </c>
      <c r="J313" s="554" t="s">
        <v>1538</v>
      </c>
      <c r="K313" s="566" t="s">
        <v>771</v>
      </c>
      <c r="L313" s="542" t="s">
        <v>649</v>
      </c>
      <c r="M313" s="551">
        <v>43086</v>
      </c>
      <c r="N313" s="551">
        <v>43088</v>
      </c>
      <c r="O313" s="544" t="s">
        <v>955</v>
      </c>
      <c r="P313" s="545"/>
      <c r="Q313" s="683"/>
      <c r="R313" s="17" t="s">
        <v>1143</v>
      </c>
      <c r="S313" s="319"/>
      <c r="T313" s="338" t="s">
        <v>1994</v>
      </c>
    </row>
    <row r="314" spans="1:20" ht="20.100000000000001" customHeight="1">
      <c r="A314" s="1171" t="s">
        <v>2957</v>
      </c>
      <c r="B314" s="1171" t="s">
        <v>369</v>
      </c>
      <c r="C314" s="1171" t="s">
        <v>371</v>
      </c>
      <c r="D314" s="525">
        <f>D424+100</f>
        <v>225</v>
      </c>
      <c r="E314" s="525">
        <f>E424+150</f>
        <v>400</v>
      </c>
      <c r="F314" s="525">
        <f>F424+150</f>
        <v>400</v>
      </c>
      <c r="G314" s="609" t="s">
        <v>51</v>
      </c>
      <c r="H314" s="56" t="s">
        <v>2967</v>
      </c>
      <c r="I314" s="557" t="s">
        <v>119</v>
      </c>
      <c r="J314" s="554" t="s">
        <v>1538</v>
      </c>
      <c r="K314" s="564" t="s">
        <v>1349</v>
      </c>
      <c r="L314" s="542" t="s">
        <v>648</v>
      </c>
      <c r="M314" s="381">
        <v>43070</v>
      </c>
      <c r="N314" s="381">
        <v>43088</v>
      </c>
      <c r="O314" s="544" t="s">
        <v>955</v>
      </c>
      <c r="P314" s="553"/>
      <c r="Q314" s="60"/>
      <c r="R314" s="546" t="s">
        <v>1826</v>
      </c>
      <c r="S314" s="322"/>
      <c r="T314" s="317">
        <v>12</v>
      </c>
    </row>
    <row r="315" spans="1:20" ht="20.100000000000001" customHeight="1">
      <c r="A315" s="1172" t="s">
        <v>2957</v>
      </c>
      <c r="B315" s="1172" t="s">
        <v>369</v>
      </c>
      <c r="C315" s="1172" t="s">
        <v>371</v>
      </c>
      <c r="D315" s="320">
        <v>225</v>
      </c>
      <c r="E315" s="320">
        <v>400</v>
      </c>
      <c r="F315" s="320">
        <v>400</v>
      </c>
      <c r="G315" s="4" t="s">
        <v>12</v>
      </c>
      <c r="H315" s="56" t="s">
        <v>1233</v>
      </c>
      <c r="I315" s="558" t="s">
        <v>119</v>
      </c>
      <c r="J315" s="554" t="s">
        <v>1538</v>
      </c>
      <c r="K315" s="566" t="s">
        <v>771</v>
      </c>
      <c r="L315" s="542" t="s">
        <v>649</v>
      </c>
      <c r="M315" s="551">
        <v>43088</v>
      </c>
      <c r="N315" s="551">
        <v>43088</v>
      </c>
      <c r="O315" s="544" t="s">
        <v>955</v>
      </c>
      <c r="P315" s="545"/>
      <c r="Q315" s="683"/>
      <c r="R315" s="546" t="s">
        <v>169</v>
      </c>
      <c r="S315" s="319"/>
      <c r="T315" s="338" t="s">
        <v>1994</v>
      </c>
    </row>
    <row r="316" spans="1:20" ht="20.100000000000001" customHeight="1">
      <c r="A316" s="1170" t="s">
        <v>2957</v>
      </c>
      <c r="B316" s="1170" t="s">
        <v>369</v>
      </c>
      <c r="C316" s="1170" t="s">
        <v>371</v>
      </c>
      <c r="D316" s="525">
        <v>300</v>
      </c>
      <c r="E316" s="525">
        <v>500</v>
      </c>
      <c r="F316" s="525">
        <v>500</v>
      </c>
      <c r="G316" s="628" t="s">
        <v>22</v>
      </c>
      <c r="H316" s="36" t="s">
        <v>740</v>
      </c>
      <c r="I316" s="566" t="s">
        <v>80</v>
      </c>
      <c r="J316" s="569" t="s">
        <v>372</v>
      </c>
      <c r="K316" s="564" t="s">
        <v>743</v>
      </c>
      <c r="L316" s="559" t="s">
        <v>643</v>
      </c>
      <c r="M316" s="547">
        <v>43009</v>
      </c>
      <c r="N316" s="547">
        <v>43069</v>
      </c>
      <c r="O316" s="544" t="s">
        <v>955</v>
      </c>
      <c r="P316" s="553"/>
      <c r="Q316" s="683"/>
      <c r="R316" s="561" t="s">
        <v>2019</v>
      </c>
      <c r="S316" s="316" t="s">
        <v>1176</v>
      </c>
      <c r="T316" s="317">
        <v>14</v>
      </c>
    </row>
    <row r="317" spans="1:20" ht="20.100000000000001" customHeight="1">
      <c r="A317" s="1171" t="s">
        <v>2957</v>
      </c>
      <c r="B317" s="1171" t="s">
        <v>369</v>
      </c>
      <c r="C317" s="1171" t="s">
        <v>371</v>
      </c>
      <c r="D317" s="526">
        <v>405</v>
      </c>
      <c r="E317" s="526">
        <v>820</v>
      </c>
      <c r="F317" s="526">
        <v>820</v>
      </c>
      <c r="G317" s="69" t="s">
        <v>37</v>
      </c>
      <c r="H317" s="48" t="s">
        <v>1875</v>
      </c>
      <c r="I317" s="558" t="s">
        <v>16</v>
      </c>
      <c r="J317" s="557" t="s">
        <v>372</v>
      </c>
      <c r="K317" s="557" t="s">
        <v>151</v>
      </c>
      <c r="L317" s="557" t="s">
        <v>637</v>
      </c>
      <c r="M317" s="543">
        <v>43040</v>
      </c>
      <c r="N317" s="543">
        <v>43084</v>
      </c>
      <c r="O317" s="544" t="s">
        <v>955</v>
      </c>
      <c r="P317" s="553"/>
      <c r="Q317" s="7"/>
      <c r="R317" s="546" t="s">
        <v>1876</v>
      </c>
      <c r="S317" s="319" t="s">
        <v>1176</v>
      </c>
      <c r="T317" s="338"/>
    </row>
    <row r="318" spans="1:20" ht="20.100000000000001" customHeight="1">
      <c r="A318" s="1171" t="s">
        <v>2957</v>
      </c>
      <c r="B318" s="1171" t="s">
        <v>369</v>
      </c>
      <c r="C318" s="1171" t="s">
        <v>371</v>
      </c>
      <c r="D318" s="525"/>
      <c r="E318" s="525"/>
      <c r="F318" s="525"/>
      <c r="G318" s="609" t="s">
        <v>51</v>
      </c>
      <c r="H318" s="36" t="s">
        <v>2370</v>
      </c>
      <c r="I318" s="557" t="s">
        <v>16</v>
      </c>
      <c r="J318" s="557" t="s">
        <v>372</v>
      </c>
      <c r="K318" s="558" t="s">
        <v>723</v>
      </c>
      <c r="L318" s="542" t="s">
        <v>637</v>
      </c>
      <c r="M318" s="381">
        <v>43045</v>
      </c>
      <c r="N318" s="381">
        <v>43088</v>
      </c>
      <c r="O318" s="544" t="s">
        <v>955</v>
      </c>
      <c r="P318" s="545"/>
      <c r="Q318" s="52"/>
      <c r="R318" s="575" t="s">
        <v>2371</v>
      </c>
      <c r="S318" s="319"/>
      <c r="T318" s="317">
        <v>12</v>
      </c>
    </row>
    <row r="319" spans="1:20" ht="20.100000000000001" customHeight="1">
      <c r="A319" s="1171" t="s">
        <v>2957</v>
      </c>
      <c r="B319" s="1171" t="s">
        <v>369</v>
      </c>
      <c r="C319" s="1171" t="s">
        <v>371</v>
      </c>
      <c r="D319" s="320">
        <v>250</v>
      </c>
      <c r="E319" s="320">
        <v>450</v>
      </c>
      <c r="F319" s="320">
        <v>450</v>
      </c>
      <c r="G319" s="4" t="s">
        <v>12</v>
      </c>
      <c r="H319" s="56" t="s">
        <v>1102</v>
      </c>
      <c r="I319" s="558" t="s">
        <v>119</v>
      </c>
      <c r="J319" s="557" t="s">
        <v>372</v>
      </c>
      <c r="K319" s="566" t="s">
        <v>771</v>
      </c>
      <c r="L319" s="542" t="s">
        <v>649</v>
      </c>
      <c r="M319" s="551">
        <v>43086</v>
      </c>
      <c r="N319" s="551">
        <v>43088</v>
      </c>
      <c r="O319" s="544" t="s">
        <v>955</v>
      </c>
      <c r="P319" s="545"/>
      <c r="Q319" s="683"/>
      <c r="R319" s="17" t="s">
        <v>1143</v>
      </c>
      <c r="S319" s="319"/>
      <c r="T319" s="338" t="s">
        <v>1994</v>
      </c>
    </row>
    <row r="320" spans="1:20" ht="20.100000000000001" customHeight="1">
      <c r="A320" s="1171" t="s">
        <v>2957</v>
      </c>
      <c r="B320" s="1171" t="s">
        <v>369</v>
      </c>
      <c r="C320" s="1171" t="s">
        <v>371</v>
      </c>
      <c r="D320" s="525">
        <v>250</v>
      </c>
      <c r="E320" s="525">
        <v>500</v>
      </c>
      <c r="F320" s="525">
        <v>500</v>
      </c>
      <c r="G320" s="4" t="s">
        <v>36</v>
      </c>
      <c r="H320" s="56" t="s">
        <v>2368</v>
      </c>
      <c r="I320" s="576" t="s">
        <v>119</v>
      </c>
      <c r="J320" s="557" t="s">
        <v>372</v>
      </c>
      <c r="K320" s="576">
        <v>12</v>
      </c>
      <c r="L320" s="542" t="s">
        <v>649</v>
      </c>
      <c r="M320" s="551">
        <v>42966</v>
      </c>
      <c r="N320" s="551">
        <v>43092</v>
      </c>
      <c r="O320" s="544" t="s">
        <v>955</v>
      </c>
      <c r="P320" s="553"/>
      <c r="Q320" s="683"/>
      <c r="R320" s="546" t="s">
        <v>2369</v>
      </c>
      <c r="S320" s="315" t="s">
        <v>2852</v>
      </c>
      <c r="T320" s="317">
        <v>14</v>
      </c>
    </row>
    <row r="321" spans="1:20" ht="20.100000000000001" customHeight="1">
      <c r="A321" s="1172" t="s">
        <v>2957</v>
      </c>
      <c r="B321" s="1172" t="s">
        <v>369</v>
      </c>
      <c r="C321" s="1172" t="s">
        <v>371</v>
      </c>
      <c r="D321" s="320">
        <v>225</v>
      </c>
      <c r="E321" s="320">
        <v>400</v>
      </c>
      <c r="F321" s="320">
        <v>400</v>
      </c>
      <c r="G321" s="4" t="s">
        <v>12</v>
      </c>
      <c r="H321" s="56" t="s">
        <v>1233</v>
      </c>
      <c r="I321" s="558" t="s">
        <v>119</v>
      </c>
      <c r="J321" s="557" t="s">
        <v>372</v>
      </c>
      <c r="K321" s="566" t="s">
        <v>771</v>
      </c>
      <c r="L321" s="542" t="s">
        <v>649</v>
      </c>
      <c r="M321" s="551">
        <v>43088</v>
      </c>
      <c r="N321" s="551">
        <v>43088</v>
      </c>
      <c r="O321" s="544" t="s">
        <v>955</v>
      </c>
      <c r="P321" s="545"/>
      <c r="Q321" s="683"/>
      <c r="R321" s="546" t="s">
        <v>169</v>
      </c>
      <c r="S321" s="319"/>
      <c r="T321" s="338" t="s">
        <v>1994</v>
      </c>
    </row>
    <row r="322" spans="1:20" ht="20.100000000000001" customHeight="1">
      <c r="A322" s="895" t="s">
        <v>2957</v>
      </c>
      <c r="B322" s="900" t="s">
        <v>369</v>
      </c>
      <c r="C322" s="900" t="s">
        <v>371</v>
      </c>
      <c r="D322" s="526">
        <v>360</v>
      </c>
      <c r="E322" s="526">
        <v>720</v>
      </c>
      <c r="F322" s="526">
        <v>720</v>
      </c>
      <c r="G322" s="218" t="s">
        <v>10</v>
      </c>
      <c r="H322" s="36">
        <v>7</v>
      </c>
      <c r="I322" s="557" t="s">
        <v>17</v>
      </c>
      <c r="J322" s="576" t="s">
        <v>1679</v>
      </c>
      <c r="K322" s="558">
        <v>7</v>
      </c>
      <c r="L322" s="570" t="s">
        <v>641</v>
      </c>
      <c r="M322" s="547">
        <v>43086</v>
      </c>
      <c r="N322" s="547">
        <v>43090</v>
      </c>
      <c r="O322" s="544" t="s">
        <v>955</v>
      </c>
      <c r="P322" s="553"/>
      <c r="Q322" s="683" t="s">
        <v>4524</v>
      </c>
      <c r="R322" s="546" t="s">
        <v>195</v>
      </c>
      <c r="S322" s="316" t="s">
        <v>1176</v>
      </c>
      <c r="T322" s="317">
        <v>14</v>
      </c>
    </row>
    <row r="323" spans="1:20" ht="20.100000000000001" customHeight="1">
      <c r="A323" s="1127" t="s">
        <v>2957</v>
      </c>
      <c r="B323" s="1169" t="s">
        <v>369</v>
      </c>
      <c r="C323" s="1169" t="s">
        <v>371</v>
      </c>
      <c r="D323" s="525">
        <v>230</v>
      </c>
      <c r="E323" s="525">
        <v>460</v>
      </c>
      <c r="F323" s="525">
        <v>460</v>
      </c>
      <c r="G323" s="56" t="s">
        <v>33</v>
      </c>
      <c r="H323" s="48" t="s">
        <v>886</v>
      </c>
      <c r="I323" s="542" t="s">
        <v>27</v>
      </c>
      <c r="J323" s="557" t="s">
        <v>374</v>
      </c>
      <c r="K323" s="569">
        <v>12</v>
      </c>
      <c r="L323" s="557" t="s">
        <v>637</v>
      </c>
      <c r="M323" s="549">
        <v>43040</v>
      </c>
      <c r="N323" s="549">
        <v>43079</v>
      </c>
      <c r="O323" s="544" t="s">
        <v>955</v>
      </c>
      <c r="P323" s="553"/>
      <c r="Q323" s="53"/>
      <c r="R323" s="561" t="s">
        <v>1074</v>
      </c>
      <c r="S323" s="315" t="s">
        <v>2850</v>
      </c>
      <c r="T323" s="338"/>
    </row>
    <row r="324" spans="1:20" ht="20.100000000000001" customHeight="1">
      <c r="A324" s="1127" t="s">
        <v>2957</v>
      </c>
      <c r="B324" s="1169" t="s">
        <v>369</v>
      </c>
      <c r="C324" s="1169" t="s">
        <v>371</v>
      </c>
      <c r="D324" s="525">
        <v>240</v>
      </c>
      <c r="E324" s="525">
        <v>480</v>
      </c>
      <c r="F324" s="525">
        <v>480</v>
      </c>
      <c r="G324" s="4" t="s">
        <v>37</v>
      </c>
      <c r="H324" s="36" t="s">
        <v>742</v>
      </c>
      <c r="I324" s="576" t="s">
        <v>119</v>
      </c>
      <c r="J324" s="557" t="s">
        <v>374</v>
      </c>
      <c r="K324" s="576" t="s">
        <v>736</v>
      </c>
      <c r="L324" s="559" t="s">
        <v>636</v>
      </c>
      <c r="M324" s="543">
        <v>43040</v>
      </c>
      <c r="N324" s="543">
        <v>43084</v>
      </c>
      <c r="O324" s="544" t="s">
        <v>955</v>
      </c>
      <c r="P324" s="553"/>
      <c r="Q324" s="52"/>
      <c r="R324" s="546" t="s">
        <v>1346</v>
      </c>
      <c r="S324" s="319" t="s">
        <v>1176</v>
      </c>
      <c r="T324" s="338"/>
    </row>
    <row r="325" spans="1:20" ht="20.100000000000001" customHeight="1">
      <c r="A325" s="1127" t="s">
        <v>2957</v>
      </c>
      <c r="B325" s="1169" t="s">
        <v>369</v>
      </c>
      <c r="C325" s="1169" t="s">
        <v>371</v>
      </c>
      <c r="D325" s="525">
        <v>350</v>
      </c>
      <c r="E325" s="525">
        <v>550</v>
      </c>
      <c r="F325" s="525">
        <v>550</v>
      </c>
      <c r="G325" s="4" t="s">
        <v>13</v>
      </c>
      <c r="H325" s="56" t="s">
        <v>742</v>
      </c>
      <c r="I325" s="558" t="s">
        <v>119</v>
      </c>
      <c r="J325" s="557" t="s">
        <v>374</v>
      </c>
      <c r="K325" s="558" t="s">
        <v>726</v>
      </c>
      <c r="L325" s="542" t="s">
        <v>636</v>
      </c>
      <c r="M325" s="6">
        <v>43070</v>
      </c>
      <c r="N325" s="6">
        <v>43100</v>
      </c>
      <c r="O325" s="544" t="s">
        <v>955</v>
      </c>
      <c r="P325" s="553"/>
      <c r="Q325" s="52"/>
      <c r="R325" s="546" t="s">
        <v>1340</v>
      </c>
      <c r="S325" s="319" t="s">
        <v>1176</v>
      </c>
      <c r="T325" s="338" t="s">
        <v>2875</v>
      </c>
    </row>
    <row r="326" spans="1:20" ht="20.100000000000001" customHeight="1">
      <c r="A326" s="1127" t="s">
        <v>2957</v>
      </c>
      <c r="B326" s="1169" t="s">
        <v>369</v>
      </c>
      <c r="C326" s="1169" t="s">
        <v>371</v>
      </c>
      <c r="D326" s="525">
        <f>D424+110</f>
        <v>235</v>
      </c>
      <c r="E326" s="525">
        <f>E424+140</f>
        <v>390</v>
      </c>
      <c r="F326" s="525">
        <f>F424+140</f>
        <v>390</v>
      </c>
      <c r="G326" s="609" t="s">
        <v>51</v>
      </c>
      <c r="H326" s="56" t="s">
        <v>2967</v>
      </c>
      <c r="I326" s="557" t="s">
        <v>119</v>
      </c>
      <c r="J326" s="557" t="s">
        <v>374</v>
      </c>
      <c r="K326" s="564" t="s">
        <v>1349</v>
      </c>
      <c r="L326" s="542" t="s">
        <v>648</v>
      </c>
      <c r="M326" s="381">
        <v>43070</v>
      </c>
      <c r="N326" s="381">
        <v>43088</v>
      </c>
      <c r="O326" s="544" t="s">
        <v>955</v>
      </c>
      <c r="P326" s="553"/>
      <c r="Q326" s="60"/>
      <c r="R326" s="546" t="s">
        <v>1826</v>
      </c>
      <c r="S326" s="319"/>
      <c r="T326" s="317">
        <v>12</v>
      </c>
    </row>
    <row r="327" spans="1:20" ht="20.100000000000001" customHeight="1">
      <c r="A327" s="1127" t="s">
        <v>2957</v>
      </c>
      <c r="B327" s="1169" t="s">
        <v>369</v>
      </c>
      <c r="C327" s="1169" t="s">
        <v>371</v>
      </c>
      <c r="D327" s="273">
        <v>600</v>
      </c>
      <c r="E327" s="273">
        <v>1200</v>
      </c>
      <c r="F327" s="273">
        <v>1200</v>
      </c>
      <c r="G327" s="70" t="s">
        <v>29</v>
      </c>
      <c r="H327" s="48" t="s">
        <v>152</v>
      </c>
      <c r="I327" s="559" t="s">
        <v>119</v>
      </c>
      <c r="J327" s="557" t="s">
        <v>374</v>
      </c>
      <c r="K327" s="557">
        <v>14</v>
      </c>
      <c r="L327" s="557" t="s">
        <v>637</v>
      </c>
      <c r="M327" s="547">
        <v>43038</v>
      </c>
      <c r="N327" s="547">
        <v>43072</v>
      </c>
      <c r="O327" s="544" t="s">
        <v>955</v>
      </c>
      <c r="P327" s="544"/>
      <c r="Q327" s="53"/>
      <c r="R327" s="546" t="s">
        <v>741</v>
      </c>
      <c r="S327" s="319" t="s">
        <v>1176</v>
      </c>
      <c r="T327" s="338" t="s">
        <v>1988</v>
      </c>
    </row>
    <row r="328" spans="1:20" ht="20.100000000000001" customHeight="1">
      <c r="A328" s="1127" t="s">
        <v>2957</v>
      </c>
      <c r="B328" s="1169" t="s">
        <v>369</v>
      </c>
      <c r="C328" s="1169" t="s">
        <v>371</v>
      </c>
      <c r="D328" s="525">
        <v>390</v>
      </c>
      <c r="E328" s="525">
        <v>780</v>
      </c>
      <c r="F328" s="525">
        <v>780</v>
      </c>
      <c r="G328" s="70" t="s">
        <v>87</v>
      </c>
      <c r="H328" s="36" t="s">
        <v>756</v>
      </c>
      <c r="I328" s="569" t="s">
        <v>119</v>
      </c>
      <c r="J328" s="542" t="s">
        <v>374</v>
      </c>
      <c r="K328" s="542">
        <v>10</v>
      </c>
      <c r="L328" s="557" t="s">
        <v>637</v>
      </c>
      <c r="M328" s="551">
        <v>43063</v>
      </c>
      <c r="N328" s="551">
        <v>43086</v>
      </c>
      <c r="O328" s="544" t="s">
        <v>955</v>
      </c>
      <c r="P328" s="545"/>
      <c r="Q328" s="52"/>
      <c r="R328" s="556" t="s">
        <v>1365</v>
      </c>
      <c r="S328" s="315" t="s">
        <v>2849</v>
      </c>
      <c r="T328" s="338" t="s">
        <v>1991</v>
      </c>
    </row>
    <row r="329" spans="1:20" ht="20.100000000000001" customHeight="1">
      <c r="A329" s="1127" t="s">
        <v>2957</v>
      </c>
      <c r="B329" s="1169" t="s">
        <v>369</v>
      </c>
      <c r="C329" s="1169" t="s">
        <v>371</v>
      </c>
      <c r="D329" s="525">
        <v>250</v>
      </c>
      <c r="E329" s="525">
        <v>500</v>
      </c>
      <c r="F329" s="525">
        <v>500</v>
      </c>
      <c r="G329" s="4" t="s">
        <v>36</v>
      </c>
      <c r="H329" s="56" t="s">
        <v>2368</v>
      </c>
      <c r="I329" s="576" t="s">
        <v>119</v>
      </c>
      <c r="J329" s="557" t="s">
        <v>374</v>
      </c>
      <c r="K329" s="576">
        <v>12</v>
      </c>
      <c r="L329" s="542" t="s">
        <v>649</v>
      </c>
      <c r="M329" s="551">
        <v>42966</v>
      </c>
      <c r="N329" s="551">
        <v>43092</v>
      </c>
      <c r="O329" s="544" t="s">
        <v>955</v>
      </c>
      <c r="P329" s="553" t="s">
        <v>1502</v>
      </c>
      <c r="Q329" s="683"/>
      <c r="R329" s="546" t="s">
        <v>2369</v>
      </c>
      <c r="S329" s="315" t="s">
        <v>2852</v>
      </c>
      <c r="T329" s="317">
        <v>14</v>
      </c>
    </row>
    <row r="330" spans="1:20" ht="20.100000000000001" customHeight="1">
      <c r="A330" s="1127" t="s">
        <v>2957</v>
      </c>
      <c r="B330" s="1169" t="s">
        <v>369</v>
      </c>
      <c r="C330" s="1169" t="s">
        <v>371</v>
      </c>
      <c r="D330" s="526">
        <f>D410+210</f>
        <v>430</v>
      </c>
      <c r="E330" s="526">
        <f>E410+275</f>
        <v>715</v>
      </c>
      <c r="F330" s="526">
        <f>F410+275</f>
        <v>715</v>
      </c>
      <c r="G330" s="222" t="s">
        <v>10</v>
      </c>
      <c r="H330" s="36">
        <v>7</v>
      </c>
      <c r="I330" s="557" t="s">
        <v>119</v>
      </c>
      <c r="J330" s="557" t="s">
        <v>374</v>
      </c>
      <c r="K330" s="557">
        <v>10</v>
      </c>
      <c r="L330" s="557" t="s">
        <v>637</v>
      </c>
      <c r="M330" s="547">
        <v>43086</v>
      </c>
      <c r="N330" s="547">
        <v>43090</v>
      </c>
      <c r="O330" s="544" t="s">
        <v>955</v>
      </c>
      <c r="P330" s="553"/>
      <c r="Q330" s="683" t="s">
        <v>4524</v>
      </c>
      <c r="R330" s="546" t="s">
        <v>195</v>
      </c>
      <c r="S330" s="316" t="s">
        <v>1176</v>
      </c>
      <c r="T330" s="317">
        <v>14</v>
      </c>
    </row>
    <row r="331" spans="1:20" ht="20.100000000000001" customHeight="1">
      <c r="A331" s="1170" t="s">
        <v>2957</v>
      </c>
      <c r="B331" s="1170" t="s">
        <v>369</v>
      </c>
      <c r="C331" s="1170" t="s">
        <v>371</v>
      </c>
      <c r="D331" s="32">
        <f>D1071+250</f>
        <v>500</v>
      </c>
      <c r="E331" s="32">
        <f>E1071+460</f>
        <v>960</v>
      </c>
      <c r="F331" s="32">
        <f>F1071+460</f>
        <v>960</v>
      </c>
      <c r="G331" s="609" t="s">
        <v>51</v>
      </c>
      <c r="H331" s="36" t="s">
        <v>2370</v>
      </c>
      <c r="I331" s="557" t="s">
        <v>16</v>
      </c>
      <c r="J331" s="557" t="s">
        <v>375</v>
      </c>
      <c r="K331" s="558" t="s">
        <v>723</v>
      </c>
      <c r="L331" s="542" t="s">
        <v>637</v>
      </c>
      <c r="M331" s="381">
        <v>43040</v>
      </c>
      <c r="N331" s="381">
        <v>43088</v>
      </c>
      <c r="O331" s="544" t="s">
        <v>955</v>
      </c>
      <c r="P331" s="545"/>
      <c r="Q331" s="52"/>
      <c r="R331" s="575" t="s">
        <v>2371</v>
      </c>
      <c r="S331" s="319"/>
      <c r="T331" s="317">
        <v>12</v>
      </c>
    </row>
    <row r="332" spans="1:20" ht="20.100000000000001" customHeight="1">
      <c r="A332" s="1171" t="s">
        <v>2957</v>
      </c>
      <c r="B332" s="1171" t="s">
        <v>369</v>
      </c>
      <c r="C332" s="1171" t="s">
        <v>371</v>
      </c>
      <c r="D332" s="32">
        <v>325</v>
      </c>
      <c r="E332" s="32">
        <v>575</v>
      </c>
      <c r="F332" s="32">
        <v>575</v>
      </c>
      <c r="G332" s="48" t="s">
        <v>13</v>
      </c>
      <c r="H332" s="56" t="s">
        <v>742</v>
      </c>
      <c r="I332" s="558" t="s">
        <v>119</v>
      </c>
      <c r="J332" s="558" t="s">
        <v>375</v>
      </c>
      <c r="K332" s="558" t="s">
        <v>726</v>
      </c>
      <c r="L332" s="542" t="s">
        <v>636</v>
      </c>
      <c r="M332" s="6">
        <v>43070</v>
      </c>
      <c r="N332" s="6">
        <v>43100</v>
      </c>
      <c r="O332" s="544" t="s">
        <v>955</v>
      </c>
      <c r="P332" s="553"/>
      <c r="Q332" s="52"/>
      <c r="R332" s="546" t="s">
        <v>1340</v>
      </c>
      <c r="S332" s="319" t="s">
        <v>1176</v>
      </c>
      <c r="T332" s="338" t="s">
        <v>2875</v>
      </c>
    </row>
    <row r="333" spans="1:20" ht="20.100000000000001" customHeight="1">
      <c r="A333" s="1171" t="s">
        <v>2957</v>
      </c>
      <c r="B333" s="1171" t="s">
        <v>369</v>
      </c>
      <c r="C333" s="1171" t="s">
        <v>371</v>
      </c>
      <c r="D333" s="320">
        <v>250</v>
      </c>
      <c r="E333" s="320">
        <v>450</v>
      </c>
      <c r="F333" s="320">
        <v>450</v>
      </c>
      <c r="G333" s="4" t="s">
        <v>12</v>
      </c>
      <c r="H333" s="56" t="s">
        <v>1102</v>
      </c>
      <c r="I333" s="558" t="s">
        <v>119</v>
      </c>
      <c r="J333" s="557" t="s">
        <v>375</v>
      </c>
      <c r="K333" s="566" t="s">
        <v>771</v>
      </c>
      <c r="L333" s="542" t="s">
        <v>649</v>
      </c>
      <c r="M333" s="551">
        <v>43086</v>
      </c>
      <c r="N333" s="551">
        <v>43088</v>
      </c>
      <c r="O333" s="544" t="s">
        <v>955</v>
      </c>
      <c r="P333" s="545"/>
      <c r="Q333" s="683"/>
      <c r="R333" s="17" t="s">
        <v>1143</v>
      </c>
      <c r="S333" s="319"/>
      <c r="T333" s="338" t="s">
        <v>1994</v>
      </c>
    </row>
    <row r="334" spans="1:20" ht="20.100000000000001" customHeight="1">
      <c r="A334" s="1171" t="s">
        <v>2957</v>
      </c>
      <c r="B334" s="1171" t="s">
        <v>369</v>
      </c>
      <c r="C334" s="1171" t="s">
        <v>371</v>
      </c>
      <c r="D334" s="885">
        <f>D380+160</f>
        <v>355</v>
      </c>
      <c r="E334" s="885">
        <f>E380+200</f>
        <v>590</v>
      </c>
      <c r="F334" s="885">
        <f>F380+200</f>
        <v>590</v>
      </c>
      <c r="G334" s="225" t="s">
        <v>434</v>
      </c>
      <c r="H334" s="48" t="s">
        <v>659</v>
      </c>
      <c r="I334" s="558" t="s">
        <v>119</v>
      </c>
      <c r="J334" s="558" t="s">
        <v>375</v>
      </c>
      <c r="K334" s="576" t="s">
        <v>726</v>
      </c>
      <c r="L334" s="570" t="s">
        <v>641</v>
      </c>
      <c r="M334" s="549">
        <v>43086</v>
      </c>
      <c r="N334" s="549">
        <v>43093</v>
      </c>
      <c r="O334" s="544" t="s">
        <v>955</v>
      </c>
      <c r="P334" s="553"/>
      <c r="Q334" s="52"/>
      <c r="R334" s="546" t="s">
        <v>200</v>
      </c>
      <c r="S334" s="321" t="s">
        <v>1176</v>
      </c>
      <c r="T334" s="317" t="s">
        <v>2824</v>
      </c>
    </row>
    <row r="335" spans="1:20" ht="20.100000000000001" customHeight="1">
      <c r="A335" s="1171" t="s">
        <v>2957</v>
      </c>
      <c r="B335" s="1171" t="s">
        <v>369</v>
      </c>
      <c r="C335" s="1171" t="s">
        <v>371</v>
      </c>
      <c r="D335" s="525">
        <v>390</v>
      </c>
      <c r="E335" s="525">
        <v>780</v>
      </c>
      <c r="F335" s="525">
        <v>780</v>
      </c>
      <c r="G335" s="63" t="s">
        <v>87</v>
      </c>
      <c r="H335" s="36" t="s">
        <v>756</v>
      </c>
      <c r="I335" s="576" t="s">
        <v>119</v>
      </c>
      <c r="J335" s="558" t="s">
        <v>375</v>
      </c>
      <c r="K335" s="557">
        <v>10</v>
      </c>
      <c r="L335" s="557" t="s">
        <v>637</v>
      </c>
      <c r="M335" s="551">
        <v>43063</v>
      </c>
      <c r="N335" s="551">
        <v>43086</v>
      </c>
      <c r="O335" s="544" t="s">
        <v>955</v>
      </c>
      <c r="P335" s="553"/>
      <c r="Q335" s="7"/>
      <c r="R335" s="556" t="s">
        <v>1365</v>
      </c>
      <c r="S335" s="315" t="s">
        <v>2849</v>
      </c>
      <c r="T335" s="338" t="s">
        <v>1991</v>
      </c>
    </row>
    <row r="336" spans="1:20" ht="20.100000000000001" customHeight="1">
      <c r="A336" s="1171" t="s">
        <v>2957</v>
      </c>
      <c r="B336" s="1171" t="s">
        <v>369</v>
      </c>
      <c r="C336" s="1171" t="s">
        <v>371</v>
      </c>
      <c r="D336" s="885">
        <f>D397+160</f>
        <v>335</v>
      </c>
      <c r="E336" s="885">
        <f>E397+200</f>
        <v>550</v>
      </c>
      <c r="F336" s="885">
        <f>F397+200</f>
        <v>550</v>
      </c>
      <c r="G336" s="225" t="s">
        <v>434</v>
      </c>
      <c r="H336" s="47" t="s">
        <v>681</v>
      </c>
      <c r="I336" s="558" t="s">
        <v>119</v>
      </c>
      <c r="J336" s="558" t="s">
        <v>375</v>
      </c>
      <c r="K336" s="567" t="s">
        <v>771</v>
      </c>
      <c r="L336" s="570" t="s">
        <v>641</v>
      </c>
      <c r="M336" s="549">
        <v>43086</v>
      </c>
      <c r="N336" s="549">
        <v>43093</v>
      </c>
      <c r="O336" s="544" t="s">
        <v>955</v>
      </c>
      <c r="P336" s="553"/>
      <c r="Q336" s="683"/>
      <c r="R336" s="546" t="s">
        <v>818</v>
      </c>
      <c r="S336" s="321" t="s">
        <v>1176</v>
      </c>
      <c r="T336" s="317" t="s">
        <v>2824</v>
      </c>
    </row>
    <row r="337" spans="1:20" ht="20.100000000000001" customHeight="1">
      <c r="A337" s="1171" t="s">
        <v>2957</v>
      </c>
      <c r="B337" s="1171" t="s">
        <v>369</v>
      </c>
      <c r="C337" s="1171" t="s">
        <v>371</v>
      </c>
      <c r="D337" s="525">
        <f>D407+150</f>
        <v>355</v>
      </c>
      <c r="E337" s="525">
        <f>E407+200</f>
        <v>610</v>
      </c>
      <c r="F337" s="525">
        <f>F407+200</f>
        <v>610</v>
      </c>
      <c r="G337" s="225" t="s">
        <v>814</v>
      </c>
      <c r="H337" s="36">
        <v>7</v>
      </c>
      <c r="I337" s="542" t="s">
        <v>119</v>
      </c>
      <c r="J337" s="558" t="s">
        <v>375</v>
      </c>
      <c r="K337" s="558" t="s">
        <v>706</v>
      </c>
      <c r="L337" s="570" t="s">
        <v>641</v>
      </c>
      <c r="M337" s="547">
        <v>43086</v>
      </c>
      <c r="N337" s="547">
        <v>43086</v>
      </c>
      <c r="O337" s="544" t="s">
        <v>955</v>
      </c>
      <c r="P337" s="553"/>
      <c r="Q337" s="683" t="s">
        <v>4524</v>
      </c>
      <c r="R337" s="546" t="s">
        <v>195</v>
      </c>
      <c r="S337" s="319" t="s">
        <v>1176</v>
      </c>
      <c r="T337" s="338" t="s">
        <v>1678</v>
      </c>
    </row>
    <row r="338" spans="1:20" ht="20.100000000000001" customHeight="1">
      <c r="A338" s="1171" t="s">
        <v>2957</v>
      </c>
      <c r="B338" s="1171" t="s">
        <v>369</v>
      </c>
      <c r="C338" s="1171" t="s">
        <v>371</v>
      </c>
      <c r="D338" s="885">
        <f>D403+160</f>
        <v>355</v>
      </c>
      <c r="E338" s="885">
        <f>E403+200</f>
        <v>590</v>
      </c>
      <c r="F338" s="885">
        <f>F403+200</f>
        <v>590</v>
      </c>
      <c r="G338" s="225" t="s">
        <v>434</v>
      </c>
      <c r="H338" s="36" t="s">
        <v>706</v>
      </c>
      <c r="I338" s="558" t="s">
        <v>119</v>
      </c>
      <c r="J338" s="558" t="s">
        <v>375</v>
      </c>
      <c r="K338" s="558" t="s">
        <v>726</v>
      </c>
      <c r="L338" s="570" t="s">
        <v>641</v>
      </c>
      <c r="M338" s="549">
        <v>43086</v>
      </c>
      <c r="N338" s="549">
        <v>43093</v>
      </c>
      <c r="O338" s="544" t="s">
        <v>955</v>
      </c>
      <c r="P338" s="553"/>
      <c r="Q338" s="60"/>
      <c r="R338" s="546" t="s">
        <v>245</v>
      </c>
      <c r="S338" s="321" t="s">
        <v>1176</v>
      </c>
      <c r="T338" s="317" t="s">
        <v>2824</v>
      </c>
    </row>
    <row r="339" spans="1:20" ht="20.100000000000001" customHeight="1">
      <c r="A339" s="1172" t="s">
        <v>2957</v>
      </c>
      <c r="B339" s="1172" t="s">
        <v>369</v>
      </c>
      <c r="C339" s="1172" t="s">
        <v>371</v>
      </c>
      <c r="D339" s="320">
        <v>225</v>
      </c>
      <c r="E339" s="320">
        <v>400</v>
      </c>
      <c r="F339" s="320">
        <v>400</v>
      </c>
      <c r="G339" s="4" t="s">
        <v>12</v>
      </c>
      <c r="H339" s="56" t="s">
        <v>1233</v>
      </c>
      <c r="I339" s="558" t="s">
        <v>119</v>
      </c>
      <c r="J339" s="557" t="s">
        <v>375</v>
      </c>
      <c r="K339" s="566" t="s">
        <v>771</v>
      </c>
      <c r="L339" s="542" t="s">
        <v>649</v>
      </c>
      <c r="M339" s="551">
        <v>43088</v>
      </c>
      <c r="N339" s="551">
        <v>43088</v>
      </c>
      <c r="O339" s="544" t="s">
        <v>955</v>
      </c>
      <c r="P339" s="545"/>
      <c r="Q339" s="683"/>
      <c r="R339" s="546" t="s">
        <v>169</v>
      </c>
      <c r="S339" s="319"/>
      <c r="T339" s="338" t="s">
        <v>1994</v>
      </c>
    </row>
    <row r="340" spans="1:20" ht="20.100000000000001" customHeight="1">
      <c r="A340" s="1170" t="s">
        <v>2957</v>
      </c>
      <c r="B340" s="1170" t="s">
        <v>3047</v>
      </c>
      <c r="C340" s="1170" t="s">
        <v>565</v>
      </c>
      <c r="D340" s="525"/>
      <c r="E340" s="525"/>
      <c r="F340" s="525"/>
      <c r="G340" s="56" t="s">
        <v>29</v>
      </c>
      <c r="H340" s="36" t="s">
        <v>729</v>
      </c>
      <c r="I340" s="559" t="s">
        <v>119</v>
      </c>
      <c r="J340" s="576"/>
      <c r="K340" s="576" t="s">
        <v>2291</v>
      </c>
      <c r="L340" s="542" t="s">
        <v>2289</v>
      </c>
      <c r="M340" s="547">
        <v>43038</v>
      </c>
      <c r="N340" s="547">
        <v>43072</v>
      </c>
      <c r="O340" s="544" t="s">
        <v>955</v>
      </c>
      <c r="P340" s="553"/>
      <c r="Q340" s="7"/>
      <c r="R340" s="546" t="s">
        <v>2290</v>
      </c>
      <c r="S340" s="319" t="s">
        <v>1176</v>
      </c>
      <c r="T340" s="338" t="s">
        <v>1988</v>
      </c>
    </row>
    <row r="341" spans="1:20" ht="20.100000000000001" customHeight="1">
      <c r="A341" s="1171" t="s">
        <v>2957</v>
      </c>
      <c r="B341" s="1171" t="s">
        <v>3047</v>
      </c>
      <c r="C341" s="1171" t="s">
        <v>565</v>
      </c>
      <c r="D341" s="525">
        <v>230</v>
      </c>
      <c r="E341" s="525">
        <v>460</v>
      </c>
      <c r="F341" s="525">
        <v>460</v>
      </c>
      <c r="G341" s="56" t="s">
        <v>33</v>
      </c>
      <c r="H341" s="48" t="s">
        <v>886</v>
      </c>
      <c r="I341" s="542" t="s">
        <v>27</v>
      </c>
      <c r="J341" s="569"/>
      <c r="K341" s="569" t="s">
        <v>723</v>
      </c>
      <c r="L341" s="557" t="s">
        <v>637</v>
      </c>
      <c r="M341" s="549">
        <v>43040</v>
      </c>
      <c r="N341" s="549">
        <v>43079</v>
      </c>
      <c r="O341" s="544" t="s">
        <v>955</v>
      </c>
      <c r="P341" s="553"/>
      <c r="Q341" s="53"/>
      <c r="R341" s="561" t="s">
        <v>1074</v>
      </c>
      <c r="S341" s="315" t="s">
        <v>2850</v>
      </c>
      <c r="T341" s="338"/>
    </row>
    <row r="342" spans="1:20" ht="20.100000000000001" customHeight="1">
      <c r="A342" s="1171" t="s">
        <v>2957</v>
      </c>
      <c r="B342" s="1171" t="s">
        <v>3047</v>
      </c>
      <c r="C342" s="1171" t="s">
        <v>565</v>
      </c>
      <c r="D342" s="525">
        <v>230</v>
      </c>
      <c r="E342" s="525">
        <v>350</v>
      </c>
      <c r="F342" s="525">
        <v>350</v>
      </c>
      <c r="G342" s="628" t="s">
        <v>22</v>
      </c>
      <c r="H342" s="36" t="s">
        <v>740</v>
      </c>
      <c r="I342" s="558" t="s">
        <v>80</v>
      </c>
      <c r="J342" s="564"/>
      <c r="K342" s="564" t="s">
        <v>743</v>
      </c>
      <c r="L342" s="559" t="s">
        <v>643</v>
      </c>
      <c r="M342" s="547">
        <v>43009</v>
      </c>
      <c r="N342" s="547">
        <v>43069</v>
      </c>
      <c r="O342" s="544" t="s">
        <v>955</v>
      </c>
      <c r="P342" s="553"/>
      <c r="Q342" s="683"/>
      <c r="R342" s="561" t="s">
        <v>2019</v>
      </c>
      <c r="S342" s="316" t="s">
        <v>1176</v>
      </c>
      <c r="T342" s="317">
        <v>14</v>
      </c>
    </row>
    <row r="343" spans="1:20" ht="20.100000000000001" customHeight="1">
      <c r="A343" s="1171" t="s">
        <v>2957</v>
      </c>
      <c r="B343" s="1171" t="s">
        <v>3047</v>
      </c>
      <c r="C343" s="1171" t="s">
        <v>565</v>
      </c>
      <c r="D343" s="728">
        <v>320</v>
      </c>
      <c r="E343" s="728">
        <v>640</v>
      </c>
      <c r="F343" s="728">
        <v>640</v>
      </c>
      <c r="G343" s="56" t="s">
        <v>29</v>
      </c>
      <c r="H343" s="56" t="s">
        <v>2102</v>
      </c>
      <c r="I343" s="559" t="s">
        <v>119</v>
      </c>
      <c r="J343" s="559"/>
      <c r="K343" s="557">
        <v>14</v>
      </c>
      <c r="L343" s="557" t="s">
        <v>637</v>
      </c>
      <c r="M343" s="547">
        <v>43038</v>
      </c>
      <c r="N343" s="547">
        <v>43072</v>
      </c>
      <c r="O343" s="544" t="s">
        <v>955</v>
      </c>
      <c r="P343" s="544"/>
      <c r="Q343" s="677"/>
      <c r="R343" s="546" t="s">
        <v>2103</v>
      </c>
      <c r="S343" s="319" t="s">
        <v>1176</v>
      </c>
      <c r="T343" s="338" t="s">
        <v>1988</v>
      </c>
    </row>
    <row r="344" spans="1:20" ht="20.100000000000001" customHeight="1">
      <c r="A344" s="1171" t="s">
        <v>2957</v>
      </c>
      <c r="B344" s="1171" t="s">
        <v>3047</v>
      </c>
      <c r="C344" s="1171" t="s">
        <v>565</v>
      </c>
      <c r="D344" s="525">
        <v>663</v>
      </c>
      <c r="E344" s="525">
        <v>813</v>
      </c>
      <c r="F344" s="525">
        <v>813</v>
      </c>
      <c r="G344" s="56" t="s">
        <v>19</v>
      </c>
      <c r="H344" s="48">
        <v>2</v>
      </c>
      <c r="I344" s="557" t="s">
        <v>16</v>
      </c>
      <c r="J344" s="571"/>
      <c r="K344" s="566" t="s">
        <v>746</v>
      </c>
      <c r="L344" s="559" t="s">
        <v>639</v>
      </c>
      <c r="M344" s="559"/>
      <c r="N344" s="549">
        <v>42825</v>
      </c>
      <c r="O344" s="544" t="s">
        <v>955</v>
      </c>
      <c r="P344" s="553"/>
      <c r="Q344" s="52"/>
      <c r="R344" s="546" t="s">
        <v>187</v>
      </c>
      <c r="S344" s="322"/>
      <c r="T344" s="338"/>
    </row>
    <row r="345" spans="1:20" ht="20.100000000000001" customHeight="1">
      <c r="A345" s="1171" t="s">
        <v>2957</v>
      </c>
      <c r="B345" s="1171" t="s">
        <v>3047</v>
      </c>
      <c r="C345" s="1171" t="s">
        <v>565</v>
      </c>
      <c r="D345" s="525">
        <v>285</v>
      </c>
      <c r="E345" s="525">
        <v>570</v>
      </c>
      <c r="F345" s="525">
        <v>570</v>
      </c>
      <c r="G345" s="628" t="s">
        <v>231</v>
      </c>
      <c r="H345" s="56" t="s">
        <v>742</v>
      </c>
      <c r="I345" s="558" t="s">
        <v>119</v>
      </c>
      <c r="J345" s="557"/>
      <c r="K345" s="558" t="s">
        <v>732</v>
      </c>
      <c r="L345" s="542" t="s">
        <v>636</v>
      </c>
      <c r="M345" s="547">
        <v>43040</v>
      </c>
      <c r="N345" s="547">
        <v>43087</v>
      </c>
      <c r="O345" s="544" t="s">
        <v>955</v>
      </c>
      <c r="P345" s="553"/>
      <c r="Q345" s="683"/>
      <c r="R345" s="546" t="s">
        <v>1664</v>
      </c>
      <c r="S345" s="325"/>
      <c r="T345" s="338" t="s">
        <v>1988</v>
      </c>
    </row>
    <row r="346" spans="1:20" ht="20.100000000000001" customHeight="1">
      <c r="A346" s="1171" t="s">
        <v>2957</v>
      </c>
      <c r="B346" s="1171" t="s">
        <v>3047</v>
      </c>
      <c r="C346" s="1171" t="s">
        <v>565</v>
      </c>
      <c r="D346" s="525">
        <v>235</v>
      </c>
      <c r="E346" s="525">
        <v>470</v>
      </c>
      <c r="F346" s="525">
        <v>470</v>
      </c>
      <c r="G346" s="4" t="s">
        <v>37</v>
      </c>
      <c r="H346" s="36" t="s">
        <v>742</v>
      </c>
      <c r="I346" s="576" t="s">
        <v>119</v>
      </c>
      <c r="J346" s="576"/>
      <c r="K346" s="576" t="s">
        <v>736</v>
      </c>
      <c r="L346" s="559" t="s">
        <v>636</v>
      </c>
      <c r="M346" s="543">
        <v>43040</v>
      </c>
      <c r="N346" s="543">
        <v>43084</v>
      </c>
      <c r="O346" s="544" t="s">
        <v>955</v>
      </c>
      <c r="P346" s="553"/>
      <c r="Q346" s="52"/>
      <c r="R346" s="546" t="s">
        <v>1346</v>
      </c>
      <c r="S346" s="319" t="s">
        <v>1176</v>
      </c>
      <c r="T346" s="338"/>
    </row>
    <row r="347" spans="1:20" ht="20.100000000000001" customHeight="1">
      <c r="A347" s="1171" t="s">
        <v>2957</v>
      </c>
      <c r="B347" s="1171" t="s">
        <v>3047</v>
      </c>
      <c r="C347" s="1171" t="s">
        <v>565</v>
      </c>
      <c r="D347" s="525">
        <v>300</v>
      </c>
      <c r="E347" s="525">
        <v>500</v>
      </c>
      <c r="F347" s="525">
        <v>500</v>
      </c>
      <c r="G347" s="48" t="s">
        <v>13</v>
      </c>
      <c r="H347" s="56" t="s">
        <v>742</v>
      </c>
      <c r="I347" s="558" t="s">
        <v>119</v>
      </c>
      <c r="J347" s="564"/>
      <c r="K347" s="558" t="s">
        <v>726</v>
      </c>
      <c r="L347" s="542" t="s">
        <v>636</v>
      </c>
      <c r="M347" s="6">
        <v>43070</v>
      </c>
      <c r="N347" s="6">
        <v>43100</v>
      </c>
      <c r="O347" s="544" t="s">
        <v>955</v>
      </c>
      <c r="P347" s="553"/>
      <c r="Q347" s="52"/>
      <c r="R347" s="546" t="s">
        <v>1340</v>
      </c>
      <c r="S347" s="319" t="s">
        <v>1176</v>
      </c>
      <c r="T347" s="338" t="s">
        <v>1996</v>
      </c>
    </row>
    <row r="348" spans="1:20" ht="20.100000000000001" customHeight="1">
      <c r="A348" s="1171" t="s">
        <v>2957</v>
      </c>
      <c r="B348" s="1171" t="s">
        <v>3047</v>
      </c>
      <c r="C348" s="1171" t="s">
        <v>565</v>
      </c>
      <c r="D348" s="525">
        <v>240</v>
      </c>
      <c r="E348" s="525">
        <v>480</v>
      </c>
      <c r="F348" s="525">
        <v>480</v>
      </c>
      <c r="G348" s="63" t="s">
        <v>28</v>
      </c>
      <c r="H348" s="56" t="s">
        <v>742</v>
      </c>
      <c r="I348" s="576" t="s">
        <v>119</v>
      </c>
      <c r="J348" s="558"/>
      <c r="K348" s="566" t="s">
        <v>732</v>
      </c>
      <c r="L348" s="542" t="s">
        <v>649</v>
      </c>
      <c r="M348" s="549">
        <v>43041</v>
      </c>
      <c r="N348" s="549">
        <v>43089</v>
      </c>
      <c r="O348" s="544" t="s">
        <v>955</v>
      </c>
      <c r="P348" s="553"/>
      <c r="Q348" s="683"/>
      <c r="R348" s="546" t="s">
        <v>1306</v>
      </c>
      <c r="S348" s="316" t="s">
        <v>1176</v>
      </c>
      <c r="T348" s="338"/>
    </row>
    <row r="349" spans="1:20" ht="20.100000000000001" customHeight="1">
      <c r="A349" s="1171" t="s">
        <v>2957</v>
      </c>
      <c r="B349" s="1171" t="s">
        <v>3047</v>
      </c>
      <c r="C349" s="1171" t="s">
        <v>565</v>
      </c>
      <c r="D349" s="885">
        <v>275</v>
      </c>
      <c r="E349" s="885">
        <v>475</v>
      </c>
      <c r="F349" s="885">
        <v>475</v>
      </c>
      <c r="G349" s="63" t="s">
        <v>12</v>
      </c>
      <c r="H349" s="56" t="s">
        <v>1102</v>
      </c>
      <c r="I349" s="558" t="s">
        <v>119</v>
      </c>
      <c r="J349" s="558"/>
      <c r="K349" s="566" t="s">
        <v>771</v>
      </c>
      <c r="L349" s="542" t="s">
        <v>649</v>
      </c>
      <c r="M349" s="551">
        <v>43086</v>
      </c>
      <c r="N349" s="551">
        <v>43088</v>
      </c>
      <c r="O349" s="544" t="s">
        <v>955</v>
      </c>
      <c r="P349" s="545"/>
      <c r="Q349" s="683"/>
      <c r="R349" s="17" t="s">
        <v>1143</v>
      </c>
      <c r="S349" s="319"/>
      <c r="T349" s="338" t="s">
        <v>1994</v>
      </c>
    </row>
    <row r="350" spans="1:20" ht="20.100000000000001" customHeight="1">
      <c r="A350" s="1171" t="s">
        <v>2957</v>
      </c>
      <c r="B350" s="1171" t="s">
        <v>3047</v>
      </c>
      <c r="C350" s="1171" t="s">
        <v>565</v>
      </c>
      <c r="D350" s="525">
        <f>D424+100</f>
        <v>225</v>
      </c>
      <c r="E350" s="525">
        <f>E424+135</f>
        <v>385</v>
      </c>
      <c r="F350" s="525">
        <f>F424+135</f>
        <v>385</v>
      </c>
      <c r="G350" s="609" t="s">
        <v>51</v>
      </c>
      <c r="H350" s="56" t="s">
        <v>2967</v>
      </c>
      <c r="I350" s="557" t="s">
        <v>119</v>
      </c>
      <c r="J350" s="557"/>
      <c r="K350" s="564" t="s">
        <v>1349</v>
      </c>
      <c r="L350" s="542" t="s">
        <v>648</v>
      </c>
      <c r="M350" s="381">
        <v>43070</v>
      </c>
      <c r="N350" s="381">
        <v>43088</v>
      </c>
      <c r="O350" s="544" t="s">
        <v>955</v>
      </c>
      <c r="P350" s="553"/>
      <c r="Q350" s="60"/>
      <c r="R350" s="546" t="s">
        <v>1826</v>
      </c>
      <c r="S350" s="316"/>
      <c r="T350" s="317">
        <v>12</v>
      </c>
    </row>
    <row r="351" spans="1:20" ht="20.100000000000001" customHeight="1">
      <c r="A351" s="1171" t="s">
        <v>2957</v>
      </c>
      <c r="B351" s="1171" t="s">
        <v>3047</v>
      </c>
      <c r="C351" s="1171" t="s">
        <v>565</v>
      </c>
      <c r="D351" s="885">
        <f>D380+150</f>
        <v>345</v>
      </c>
      <c r="E351" s="885">
        <f>E380+170</f>
        <v>560</v>
      </c>
      <c r="F351" s="885">
        <f>F380+170</f>
        <v>560</v>
      </c>
      <c r="G351" s="225" t="s">
        <v>434</v>
      </c>
      <c r="H351" s="48">
        <v>3</v>
      </c>
      <c r="I351" s="558" t="s">
        <v>119</v>
      </c>
      <c r="J351" s="558"/>
      <c r="K351" s="564" t="s">
        <v>726</v>
      </c>
      <c r="L351" s="570" t="s">
        <v>641</v>
      </c>
      <c r="M351" s="549">
        <v>43086</v>
      </c>
      <c r="N351" s="549">
        <v>43093</v>
      </c>
      <c r="O351" s="544" t="s">
        <v>955</v>
      </c>
      <c r="P351" s="553"/>
      <c r="Q351" s="52"/>
      <c r="R351" s="546" t="s">
        <v>200</v>
      </c>
      <c r="S351" s="315" t="s">
        <v>2855</v>
      </c>
      <c r="T351" s="317" t="s">
        <v>2824</v>
      </c>
    </row>
    <row r="352" spans="1:20" ht="20.100000000000001" customHeight="1">
      <c r="A352" s="1171" t="s">
        <v>2957</v>
      </c>
      <c r="B352" s="1171" t="s">
        <v>3047</v>
      </c>
      <c r="C352" s="1171" t="s">
        <v>565</v>
      </c>
      <c r="D352" s="525">
        <f>D383+100</f>
        <v>320</v>
      </c>
      <c r="E352" s="525">
        <f>E383+200</f>
        <v>640</v>
      </c>
      <c r="F352" s="525">
        <f>F383+200</f>
        <v>640</v>
      </c>
      <c r="G352" s="692" t="s">
        <v>432</v>
      </c>
      <c r="H352" s="48">
        <v>3</v>
      </c>
      <c r="I352" s="576" t="s">
        <v>119</v>
      </c>
      <c r="J352" s="576"/>
      <c r="K352" s="564">
        <v>12</v>
      </c>
      <c r="L352" s="570" t="s">
        <v>641</v>
      </c>
      <c r="M352" s="549">
        <v>43089</v>
      </c>
      <c r="N352" s="549">
        <v>43089</v>
      </c>
      <c r="O352" s="544" t="s">
        <v>955</v>
      </c>
      <c r="P352" s="553"/>
      <c r="Q352" s="52"/>
      <c r="R352" s="546" t="s">
        <v>200</v>
      </c>
      <c r="S352" s="704" t="s">
        <v>1176</v>
      </c>
      <c r="T352" s="317" t="s">
        <v>2039</v>
      </c>
    </row>
    <row r="353" spans="1:20" ht="20.100000000000001" customHeight="1">
      <c r="A353" s="1171" t="s">
        <v>2957</v>
      </c>
      <c r="B353" s="1171" t="s">
        <v>3047</v>
      </c>
      <c r="C353" s="1171" t="s">
        <v>565</v>
      </c>
      <c r="D353" s="936">
        <v>320</v>
      </c>
      <c r="E353" s="936">
        <v>640</v>
      </c>
      <c r="F353" s="936">
        <v>640</v>
      </c>
      <c r="G353" s="56" t="s">
        <v>87</v>
      </c>
      <c r="H353" s="36" t="s">
        <v>756</v>
      </c>
      <c r="I353" s="569" t="s">
        <v>119</v>
      </c>
      <c r="J353" s="569"/>
      <c r="K353" s="542">
        <v>10</v>
      </c>
      <c r="L353" s="557" t="s">
        <v>637</v>
      </c>
      <c r="M353" s="551">
        <v>43086</v>
      </c>
      <c r="N353" s="551">
        <v>43091</v>
      </c>
      <c r="O353" s="544" t="s">
        <v>955</v>
      </c>
      <c r="P353" s="545"/>
      <c r="Q353" s="52"/>
      <c r="R353" s="556" t="s">
        <v>1365</v>
      </c>
      <c r="S353" s="315" t="s">
        <v>2849</v>
      </c>
      <c r="T353" s="338" t="s">
        <v>1678</v>
      </c>
    </row>
    <row r="354" spans="1:20" ht="20.100000000000001" customHeight="1">
      <c r="A354" s="1171" t="s">
        <v>2957</v>
      </c>
      <c r="B354" s="1171" t="s">
        <v>3047</v>
      </c>
      <c r="C354" s="1171" t="s">
        <v>565</v>
      </c>
      <c r="D354" s="525">
        <v>250</v>
      </c>
      <c r="E354" s="525">
        <v>500</v>
      </c>
      <c r="F354" s="525">
        <v>500</v>
      </c>
      <c r="G354" s="4" t="s">
        <v>36</v>
      </c>
      <c r="H354" s="56" t="s">
        <v>2368</v>
      </c>
      <c r="I354" s="576" t="s">
        <v>119</v>
      </c>
      <c r="J354" s="576"/>
      <c r="K354" s="576">
        <v>12</v>
      </c>
      <c r="L354" s="542" t="s">
        <v>649</v>
      </c>
      <c r="M354" s="551">
        <v>42966</v>
      </c>
      <c r="N354" s="551">
        <v>43092</v>
      </c>
      <c r="O354" s="544" t="s">
        <v>955</v>
      </c>
      <c r="P354" s="553" t="s">
        <v>1502</v>
      </c>
      <c r="Q354" s="683"/>
      <c r="R354" s="546" t="s">
        <v>2369</v>
      </c>
      <c r="S354" s="315" t="s">
        <v>2852</v>
      </c>
      <c r="T354" s="317">
        <v>14</v>
      </c>
    </row>
    <row r="355" spans="1:20" ht="20.100000000000001" customHeight="1">
      <c r="A355" s="1171" t="s">
        <v>2957</v>
      </c>
      <c r="B355" s="1171" t="s">
        <v>3047</v>
      </c>
      <c r="C355" s="1171" t="s">
        <v>565</v>
      </c>
      <c r="D355" s="526">
        <f>D389+100</f>
        <v>320</v>
      </c>
      <c r="E355" s="526">
        <f>E389+200</f>
        <v>640</v>
      </c>
      <c r="F355" s="526">
        <f>F389+200</f>
        <v>640</v>
      </c>
      <c r="G355" s="609" t="s">
        <v>10</v>
      </c>
      <c r="H355" s="47">
        <v>4</v>
      </c>
      <c r="I355" s="576" t="s">
        <v>119</v>
      </c>
      <c r="J355" s="557"/>
      <c r="K355" s="557">
        <v>10</v>
      </c>
      <c r="L355" s="557" t="s">
        <v>641</v>
      </c>
      <c r="M355" s="547">
        <v>43090</v>
      </c>
      <c r="N355" s="547">
        <v>43090</v>
      </c>
      <c r="O355" s="544" t="s">
        <v>955</v>
      </c>
      <c r="P355" s="553"/>
      <c r="Q355" s="7"/>
      <c r="R355" s="546" t="s">
        <v>204</v>
      </c>
      <c r="S355" s="316" t="s">
        <v>1176</v>
      </c>
      <c r="T355" s="317">
        <v>14</v>
      </c>
    </row>
    <row r="356" spans="1:20" ht="20.100000000000001" customHeight="1">
      <c r="A356" s="1171" t="s">
        <v>2957</v>
      </c>
      <c r="B356" s="1171" t="s">
        <v>3047</v>
      </c>
      <c r="C356" s="1171" t="s">
        <v>565</v>
      </c>
      <c r="D356" s="525">
        <v>315</v>
      </c>
      <c r="E356" s="525">
        <v>630</v>
      </c>
      <c r="F356" s="525">
        <v>630</v>
      </c>
      <c r="G356" s="69" t="s">
        <v>62</v>
      </c>
      <c r="H356" s="56" t="s">
        <v>725</v>
      </c>
      <c r="I356" s="566" t="s">
        <v>119</v>
      </c>
      <c r="J356" s="559"/>
      <c r="K356" s="559">
        <v>11</v>
      </c>
      <c r="L356" s="559" t="s">
        <v>639</v>
      </c>
      <c r="M356" s="549">
        <v>43039</v>
      </c>
      <c r="N356" s="549">
        <v>43086</v>
      </c>
      <c r="O356" s="544" t="s">
        <v>955</v>
      </c>
      <c r="P356" s="562"/>
      <c r="Q356" s="7"/>
      <c r="R356" s="546" t="s">
        <v>916</v>
      </c>
      <c r="S356" s="315" t="s">
        <v>2854</v>
      </c>
      <c r="T356" s="338"/>
    </row>
    <row r="357" spans="1:20" ht="20.100000000000001" customHeight="1">
      <c r="A357" s="1171" t="s">
        <v>2957</v>
      </c>
      <c r="B357" s="1171" t="s">
        <v>3047</v>
      </c>
      <c r="C357" s="1171" t="s">
        <v>565</v>
      </c>
      <c r="D357" s="936">
        <f>D397+150</f>
        <v>325</v>
      </c>
      <c r="E357" s="936">
        <f>E397+170</f>
        <v>520</v>
      </c>
      <c r="F357" s="936">
        <f>F397+170</f>
        <v>520</v>
      </c>
      <c r="G357" s="225" t="s">
        <v>434</v>
      </c>
      <c r="H357" s="36">
        <v>5</v>
      </c>
      <c r="I357" s="558" t="s">
        <v>119</v>
      </c>
      <c r="J357" s="557"/>
      <c r="K357" s="576" t="s">
        <v>771</v>
      </c>
      <c r="L357" s="570" t="s">
        <v>641</v>
      </c>
      <c r="M357" s="549">
        <v>43086</v>
      </c>
      <c r="N357" s="549">
        <v>43093</v>
      </c>
      <c r="O357" s="544" t="s">
        <v>955</v>
      </c>
      <c r="P357" s="553"/>
      <c r="Q357" s="683"/>
      <c r="R357" s="561" t="s">
        <v>818</v>
      </c>
      <c r="S357" s="315" t="s">
        <v>2855</v>
      </c>
      <c r="T357" s="317" t="s">
        <v>2824</v>
      </c>
    </row>
    <row r="358" spans="1:20" ht="20.100000000000001" customHeight="1">
      <c r="A358" s="1171" t="s">
        <v>2957</v>
      </c>
      <c r="B358" s="1171" t="s">
        <v>3047</v>
      </c>
      <c r="C358" s="1171" t="s">
        <v>565</v>
      </c>
      <c r="D358" s="526">
        <v>200</v>
      </c>
      <c r="E358" s="526">
        <v>400</v>
      </c>
      <c r="F358" s="526">
        <v>400</v>
      </c>
      <c r="G358" s="48" t="s">
        <v>232</v>
      </c>
      <c r="H358" s="36">
        <v>5</v>
      </c>
      <c r="I358" s="558" t="s">
        <v>119</v>
      </c>
      <c r="J358" s="564"/>
      <c r="K358" s="566" t="s">
        <v>736</v>
      </c>
      <c r="L358" s="559" t="s">
        <v>639</v>
      </c>
      <c r="M358" s="551">
        <v>43047</v>
      </c>
      <c r="N358" s="551">
        <v>43086</v>
      </c>
      <c r="O358" s="544" t="s">
        <v>955</v>
      </c>
      <c r="P358" s="544"/>
      <c r="Q358" s="683"/>
      <c r="R358" s="546" t="s">
        <v>1352</v>
      </c>
      <c r="S358" s="319"/>
      <c r="T358" s="317" t="s">
        <v>1678</v>
      </c>
    </row>
    <row r="359" spans="1:20" ht="20.100000000000001" customHeight="1">
      <c r="A359" s="1171" t="s">
        <v>2957</v>
      </c>
      <c r="B359" s="1171" t="s">
        <v>3047</v>
      </c>
      <c r="C359" s="1171" t="s">
        <v>565</v>
      </c>
      <c r="D359" s="525">
        <v>325</v>
      </c>
      <c r="E359" s="525">
        <v>580</v>
      </c>
      <c r="F359" s="525">
        <v>580</v>
      </c>
      <c r="G359" s="63" t="s">
        <v>6</v>
      </c>
      <c r="H359" s="55" t="s">
        <v>721</v>
      </c>
      <c r="I359" s="558" t="s">
        <v>16</v>
      </c>
      <c r="J359" s="557"/>
      <c r="K359" s="558" t="s">
        <v>723</v>
      </c>
      <c r="L359" s="559" t="s">
        <v>639</v>
      </c>
      <c r="M359" s="549">
        <v>43070</v>
      </c>
      <c r="N359" s="549">
        <v>43074</v>
      </c>
      <c r="O359" s="544" t="s">
        <v>955</v>
      </c>
      <c r="P359" s="553"/>
      <c r="Q359" s="745"/>
      <c r="R359" s="546" t="s">
        <v>1694</v>
      </c>
      <c r="S359" s="316" t="s">
        <v>2856</v>
      </c>
      <c r="T359" s="338" t="s">
        <v>2874</v>
      </c>
    </row>
    <row r="360" spans="1:20" ht="20.100000000000001" customHeight="1">
      <c r="A360" s="1171" t="s">
        <v>2957</v>
      </c>
      <c r="B360" s="1171" t="s">
        <v>3047</v>
      </c>
      <c r="C360" s="1171" t="s">
        <v>565</v>
      </c>
      <c r="D360" s="32">
        <v>350</v>
      </c>
      <c r="E360" s="32">
        <v>750</v>
      </c>
      <c r="F360" s="32">
        <v>750</v>
      </c>
      <c r="G360" s="48" t="s">
        <v>30</v>
      </c>
      <c r="H360" s="56" t="s">
        <v>721</v>
      </c>
      <c r="I360" s="558" t="s">
        <v>119</v>
      </c>
      <c r="J360" s="557"/>
      <c r="K360" s="557">
        <v>13</v>
      </c>
      <c r="L360" s="542" t="s">
        <v>649</v>
      </c>
      <c r="M360" s="568">
        <v>43040</v>
      </c>
      <c r="N360" s="568">
        <v>43083</v>
      </c>
      <c r="O360" s="544" t="s">
        <v>955</v>
      </c>
      <c r="P360" s="544"/>
      <c r="Q360" s="7"/>
      <c r="R360" s="546" t="s">
        <v>314</v>
      </c>
      <c r="S360" s="319"/>
      <c r="T360" s="317">
        <v>14</v>
      </c>
    </row>
    <row r="361" spans="1:20" ht="20.100000000000001" customHeight="1">
      <c r="A361" s="1171" t="s">
        <v>2957</v>
      </c>
      <c r="B361" s="1171" t="s">
        <v>3047</v>
      </c>
      <c r="C361" s="1171" t="s">
        <v>565</v>
      </c>
      <c r="D361" s="885">
        <f>D403+150</f>
        <v>345</v>
      </c>
      <c r="E361" s="885">
        <f>E403+170</f>
        <v>560</v>
      </c>
      <c r="F361" s="885">
        <f>F403+170</f>
        <v>560</v>
      </c>
      <c r="G361" s="225" t="s">
        <v>434</v>
      </c>
      <c r="H361" s="36">
        <v>7</v>
      </c>
      <c r="I361" s="558" t="s">
        <v>119</v>
      </c>
      <c r="J361" s="558"/>
      <c r="K361" s="558" t="s">
        <v>726</v>
      </c>
      <c r="L361" s="570" t="s">
        <v>641</v>
      </c>
      <c r="M361" s="549">
        <v>43086</v>
      </c>
      <c r="N361" s="549">
        <v>43093</v>
      </c>
      <c r="O361" s="544" t="s">
        <v>955</v>
      </c>
      <c r="P361" s="553"/>
      <c r="Q361" s="60"/>
      <c r="R361" s="555" t="s">
        <v>245</v>
      </c>
      <c r="S361" s="315" t="s">
        <v>2855</v>
      </c>
      <c r="T361" s="317" t="s">
        <v>2824</v>
      </c>
    </row>
    <row r="362" spans="1:20" ht="20.100000000000001" customHeight="1">
      <c r="A362" s="1171" t="s">
        <v>2957</v>
      </c>
      <c r="B362" s="1171" t="s">
        <v>3047</v>
      </c>
      <c r="C362" s="1171" t="s">
        <v>565</v>
      </c>
      <c r="D362" s="525">
        <f>D405+100</f>
        <v>320</v>
      </c>
      <c r="E362" s="525">
        <f>E405+200</f>
        <v>640</v>
      </c>
      <c r="F362" s="525">
        <f>F405+200</f>
        <v>640</v>
      </c>
      <c r="G362" s="692" t="s">
        <v>432</v>
      </c>
      <c r="H362" s="36">
        <v>7</v>
      </c>
      <c r="I362" s="576" t="s">
        <v>119</v>
      </c>
      <c r="J362" s="576"/>
      <c r="K362" s="564">
        <v>12</v>
      </c>
      <c r="L362" s="570" t="s">
        <v>641</v>
      </c>
      <c r="M362" s="549">
        <v>43086</v>
      </c>
      <c r="N362" s="549">
        <v>43089</v>
      </c>
      <c r="O362" s="544" t="s">
        <v>955</v>
      </c>
      <c r="P362" s="553"/>
      <c r="Q362" s="60"/>
      <c r="R362" s="546" t="s">
        <v>245</v>
      </c>
      <c r="S362" s="704" t="s">
        <v>1176</v>
      </c>
      <c r="T362" s="317" t="s">
        <v>2039</v>
      </c>
    </row>
    <row r="363" spans="1:20" ht="20.100000000000001" customHeight="1">
      <c r="A363" s="1171" t="s">
        <v>2957</v>
      </c>
      <c r="B363" s="1171" t="s">
        <v>3047</v>
      </c>
      <c r="C363" s="1171" t="s">
        <v>565</v>
      </c>
      <c r="D363" s="525">
        <f>D407+100</f>
        <v>305</v>
      </c>
      <c r="E363" s="525">
        <f>E407+150</f>
        <v>560</v>
      </c>
      <c r="F363" s="525">
        <f>F407+150</f>
        <v>560</v>
      </c>
      <c r="G363" s="225" t="s">
        <v>814</v>
      </c>
      <c r="H363" s="36">
        <v>7</v>
      </c>
      <c r="I363" s="542" t="s">
        <v>119</v>
      </c>
      <c r="J363" s="542"/>
      <c r="K363" s="558" t="s">
        <v>706</v>
      </c>
      <c r="L363" s="570" t="s">
        <v>641</v>
      </c>
      <c r="M363" s="547">
        <v>43086</v>
      </c>
      <c r="N363" s="547">
        <v>43086</v>
      </c>
      <c r="O363" s="544" t="s">
        <v>955</v>
      </c>
      <c r="P363" s="553"/>
      <c r="Q363" s="683" t="s">
        <v>4524</v>
      </c>
      <c r="R363" s="546" t="s">
        <v>195</v>
      </c>
      <c r="S363" s="319" t="s">
        <v>1176</v>
      </c>
      <c r="T363" s="338" t="s">
        <v>1678</v>
      </c>
    </row>
    <row r="364" spans="1:20" ht="20.100000000000001" customHeight="1">
      <c r="A364" s="1171" t="s">
        <v>2957</v>
      </c>
      <c r="B364" s="1171" t="s">
        <v>3047</v>
      </c>
      <c r="C364" s="1171" t="s">
        <v>565</v>
      </c>
      <c r="D364" s="526">
        <f>D410+100</f>
        <v>320</v>
      </c>
      <c r="E364" s="526">
        <f>E410+200</f>
        <v>640</v>
      </c>
      <c r="F364" s="526">
        <f>F410+200</f>
        <v>640</v>
      </c>
      <c r="G364" s="609" t="s">
        <v>10</v>
      </c>
      <c r="H364" s="36">
        <v>7</v>
      </c>
      <c r="I364" s="576" t="s">
        <v>119</v>
      </c>
      <c r="J364" s="576"/>
      <c r="K364" s="557">
        <v>8</v>
      </c>
      <c r="L364" s="557" t="s">
        <v>641</v>
      </c>
      <c r="M364" s="547">
        <v>43086</v>
      </c>
      <c r="N364" s="547">
        <v>43090</v>
      </c>
      <c r="O364" s="544" t="s">
        <v>955</v>
      </c>
      <c r="P364" s="553"/>
      <c r="Q364" s="683" t="s">
        <v>4524</v>
      </c>
      <c r="R364" s="546" t="s">
        <v>195</v>
      </c>
      <c r="S364" s="316" t="s">
        <v>1176</v>
      </c>
      <c r="T364" s="317">
        <v>14</v>
      </c>
    </row>
    <row r="365" spans="1:20" ht="20.100000000000001" customHeight="1">
      <c r="A365" s="1171" t="s">
        <v>2957</v>
      </c>
      <c r="B365" s="1171" t="s">
        <v>3047</v>
      </c>
      <c r="C365" s="1171" t="s">
        <v>565</v>
      </c>
      <c r="D365" s="525">
        <v>345</v>
      </c>
      <c r="E365" s="525">
        <v>490</v>
      </c>
      <c r="F365" s="525">
        <v>490</v>
      </c>
      <c r="G365" s="48" t="s">
        <v>568</v>
      </c>
      <c r="H365" s="36" t="s">
        <v>2108</v>
      </c>
      <c r="I365" s="557" t="s">
        <v>16</v>
      </c>
      <c r="J365" s="559"/>
      <c r="K365" s="569" t="s">
        <v>2110</v>
      </c>
      <c r="L365" s="559" t="s">
        <v>643</v>
      </c>
      <c r="M365" s="551">
        <v>43022</v>
      </c>
      <c r="N365" s="551">
        <v>43083</v>
      </c>
      <c r="O365" s="544" t="s">
        <v>955</v>
      </c>
      <c r="P365" s="544"/>
      <c r="Q365" s="60"/>
      <c r="R365" s="555" t="s">
        <v>1783</v>
      </c>
      <c r="S365" s="319"/>
      <c r="T365" s="338"/>
    </row>
    <row r="366" spans="1:20" ht="20.100000000000001" customHeight="1">
      <c r="A366" s="1171" t="s">
        <v>2957</v>
      </c>
      <c r="B366" s="1171" t="s">
        <v>3047</v>
      </c>
      <c r="C366" s="1171" t="s">
        <v>565</v>
      </c>
      <c r="D366" s="525">
        <v>240</v>
      </c>
      <c r="E366" s="525">
        <v>480</v>
      </c>
      <c r="F366" s="525">
        <v>480</v>
      </c>
      <c r="G366" s="63" t="s">
        <v>28</v>
      </c>
      <c r="H366" s="36">
        <v>7</v>
      </c>
      <c r="I366" s="576" t="s">
        <v>119</v>
      </c>
      <c r="J366" s="576"/>
      <c r="K366" s="567" t="s">
        <v>732</v>
      </c>
      <c r="L366" s="542" t="s">
        <v>649</v>
      </c>
      <c r="M366" s="549">
        <v>43041</v>
      </c>
      <c r="N366" s="549">
        <v>43089</v>
      </c>
      <c r="O366" s="544" t="s">
        <v>955</v>
      </c>
      <c r="P366" s="553"/>
      <c r="Q366" s="683"/>
      <c r="R366" s="546" t="s">
        <v>188</v>
      </c>
      <c r="S366" s="316" t="s">
        <v>1176</v>
      </c>
      <c r="T366" s="338"/>
    </row>
    <row r="367" spans="1:20" ht="20.100000000000001" customHeight="1">
      <c r="A367" s="1171" t="s">
        <v>2957</v>
      </c>
      <c r="B367" s="1171" t="s">
        <v>3047</v>
      </c>
      <c r="C367" s="1171" t="s">
        <v>565</v>
      </c>
      <c r="D367" s="525">
        <v>235</v>
      </c>
      <c r="E367" s="525">
        <v>470</v>
      </c>
      <c r="F367" s="525">
        <v>470</v>
      </c>
      <c r="G367" s="4" t="s">
        <v>37</v>
      </c>
      <c r="H367" s="36">
        <v>7</v>
      </c>
      <c r="I367" s="576" t="s">
        <v>119</v>
      </c>
      <c r="J367" s="576"/>
      <c r="K367" s="576" t="s">
        <v>732</v>
      </c>
      <c r="L367" s="542" t="s">
        <v>649</v>
      </c>
      <c r="M367" s="543">
        <v>43040</v>
      </c>
      <c r="N367" s="543">
        <v>43084</v>
      </c>
      <c r="O367" s="544" t="s">
        <v>955</v>
      </c>
      <c r="P367" s="553"/>
      <c r="Q367" s="60"/>
      <c r="R367" s="546" t="s">
        <v>1297</v>
      </c>
      <c r="S367" s="319" t="s">
        <v>1176</v>
      </c>
      <c r="T367" s="338"/>
    </row>
    <row r="368" spans="1:20" ht="20.100000000000001" customHeight="1">
      <c r="A368" s="1172" t="s">
        <v>2957</v>
      </c>
      <c r="B368" s="1172" t="s">
        <v>3047</v>
      </c>
      <c r="C368" s="1172" t="s">
        <v>565</v>
      </c>
      <c r="D368" s="320">
        <v>225</v>
      </c>
      <c r="E368" s="320">
        <v>400</v>
      </c>
      <c r="F368" s="320">
        <v>400</v>
      </c>
      <c r="G368" s="63" t="s">
        <v>12</v>
      </c>
      <c r="H368" s="56" t="s">
        <v>1233</v>
      </c>
      <c r="I368" s="558" t="s">
        <v>119</v>
      </c>
      <c r="J368" s="558"/>
      <c r="K368" s="566" t="s">
        <v>771</v>
      </c>
      <c r="L368" s="542" t="s">
        <v>649</v>
      </c>
      <c r="M368" s="551">
        <v>43088</v>
      </c>
      <c r="N368" s="551">
        <v>43088</v>
      </c>
      <c r="O368" s="544" t="s">
        <v>955</v>
      </c>
      <c r="P368" s="545"/>
      <c r="Q368" s="683"/>
      <c r="R368" s="546" t="s">
        <v>169</v>
      </c>
      <c r="S368" s="319"/>
      <c r="T368" s="338" t="s">
        <v>1994</v>
      </c>
    </row>
    <row r="369" spans="1:20" ht="20.100000000000001" customHeight="1">
      <c r="A369" s="1170" t="s">
        <v>2957</v>
      </c>
      <c r="B369" s="1170" t="s">
        <v>3047</v>
      </c>
      <c r="C369" s="1170" t="s">
        <v>276</v>
      </c>
      <c r="D369" s="525">
        <v>125</v>
      </c>
      <c r="E369" s="525">
        <v>250</v>
      </c>
      <c r="F369" s="525">
        <v>250</v>
      </c>
      <c r="G369" s="218" t="s">
        <v>51</v>
      </c>
      <c r="H369" s="18" t="s">
        <v>729</v>
      </c>
      <c r="I369" s="557" t="s">
        <v>17</v>
      </c>
      <c r="J369" s="576"/>
      <c r="K369" s="576" t="s">
        <v>736</v>
      </c>
      <c r="L369" s="542" t="s">
        <v>639</v>
      </c>
      <c r="M369" s="381">
        <v>43070</v>
      </c>
      <c r="N369" s="381">
        <v>43088</v>
      </c>
      <c r="O369" s="544" t="s">
        <v>955</v>
      </c>
      <c r="P369" s="553"/>
      <c r="Q369" s="7"/>
      <c r="R369" s="546" t="s">
        <v>1908</v>
      </c>
      <c r="S369" s="319"/>
      <c r="T369" s="317">
        <v>12</v>
      </c>
    </row>
    <row r="370" spans="1:20" ht="20.100000000000001" customHeight="1">
      <c r="A370" s="1171" t="s">
        <v>2957</v>
      </c>
      <c r="B370" s="1171" t="s">
        <v>3047</v>
      </c>
      <c r="C370" s="1171" t="s">
        <v>276</v>
      </c>
      <c r="D370" s="525">
        <v>140</v>
      </c>
      <c r="E370" s="525">
        <v>280</v>
      </c>
      <c r="F370" s="525">
        <v>280</v>
      </c>
      <c r="G370" s="56" t="s">
        <v>29</v>
      </c>
      <c r="H370" s="36" t="s">
        <v>729</v>
      </c>
      <c r="I370" s="557" t="s">
        <v>17</v>
      </c>
      <c r="J370" s="576"/>
      <c r="K370" s="576" t="s">
        <v>2303</v>
      </c>
      <c r="L370" s="542" t="s">
        <v>2289</v>
      </c>
      <c r="M370" s="547">
        <v>43038</v>
      </c>
      <c r="N370" s="547">
        <v>43072</v>
      </c>
      <c r="O370" s="544" t="s">
        <v>955</v>
      </c>
      <c r="P370" s="553"/>
      <c r="Q370" s="7"/>
      <c r="R370" s="546" t="s">
        <v>2290</v>
      </c>
      <c r="S370" s="319" t="s">
        <v>1176</v>
      </c>
      <c r="T370" s="338" t="s">
        <v>1988</v>
      </c>
    </row>
    <row r="371" spans="1:20" ht="20.100000000000001" customHeight="1">
      <c r="A371" s="1171" t="s">
        <v>2957</v>
      </c>
      <c r="B371" s="1171" t="s">
        <v>3047</v>
      </c>
      <c r="C371" s="1171" t="s">
        <v>276</v>
      </c>
      <c r="D371" s="525">
        <v>180</v>
      </c>
      <c r="E371" s="525">
        <v>320</v>
      </c>
      <c r="F371" s="525">
        <v>320</v>
      </c>
      <c r="G371" s="628" t="s">
        <v>147</v>
      </c>
      <c r="H371" s="56" t="s">
        <v>742</v>
      </c>
      <c r="I371" s="559" t="s">
        <v>17</v>
      </c>
      <c r="J371" s="559"/>
      <c r="K371" s="566" t="s">
        <v>736</v>
      </c>
      <c r="L371" s="542" t="s">
        <v>649</v>
      </c>
      <c r="M371" s="547">
        <v>43045</v>
      </c>
      <c r="N371" s="547">
        <v>43079</v>
      </c>
      <c r="O371" s="544" t="s">
        <v>955</v>
      </c>
      <c r="P371" s="553"/>
      <c r="Q371" s="683"/>
      <c r="R371" s="546" t="s">
        <v>1143</v>
      </c>
      <c r="S371" s="316"/>
      <c r="T371" s="317">
        <v>14</v>
      </c>
    </row>
    <row r="372" spans="1:20" ht="20.100000000000001" customHeight="1">
      <c r="A372" s="1171" t="s">
        <v>2957</v>
      </c>
      <c r="B372" s="1171" t="s">
        <v>3047</v>
      </c>
      <c r="C372" s="1171" t="s">
        <v>276</v>
      </c>
      <c r="D372" s="525">
        <v>120</v>
      </c>
      <c r="E372" s="525">
        <v>240</v>
      </c>
      <c r="F372" s="525">
        <v>240</v>
      </c>
      <c r="G372" s="56" t="s">
        <v>148</v>
      </c>
      <c r="H372" s="56" t="s">
        <v>742</v>
      </c>
      <c r="I372" s="559" t="s">
        <v>17</v>
      </c>
      <c r="J372" s="559"/>
      <c r="K372" s="566" t="s">
        <v>736</v>
      </c>
      <c r="L372" s="542" t="s">
        <v>649</v>
      </c>
      <c r="M372" s="551">
        <v>43080</v>
      </c>
      <c r="N372" s="551">
        <v>43086</v>
      </c>
      <c r="O372" s="544" t="s">
        <v>955</v>
      </c>
      <c r="P372" s="553"/>
      <c r="Q372" s="683"/>
      <c r="R372" s="546" t="s">
        <v>1143</v>
      </c>
      <c r="S372" s="319"/>
      <c r="T372" s="338" t="s">
        <v>1991</v>
      </c>
    </row>
    <row r="373" spans="1:20" ht="20.100000000000001" customHeight="1">
      <c r="A373" s="1171" t="s">
        <v>2957</v>
      </c>
      <c r="B373" s="1171" t="s">
        <v>3047</v>
      </c>
      <c r="C373" s="1171" t="s">
        <v>276</v>
      </c>
      <c r="D373" s="525">
        <v>140</v>
      </c>
      <c r="E373" s="525">
        <v>280</v>
      </c>
      <c r="F373" s="525">
        <v>280</v>
      </c>
      <c r="G373" s="56" t="s">
        <v>28</v>
      </c>
      <c r="H373" s="56" t="s">
        <v>742</v>
      </c>
      <c r="I373" s="557" t="s">
        <v>17</v>
      </c>
      <c r="J373" s="558"/>
      <c r="K373" s="566" t="s">
        <v>736</v>
      </c>
      <c r="L373" s="542" t="s">
        <v>649</v>
      </c>
      <c r="M373" s="549">
        <v>43055</v>
      </c>
      <c r="N373" s="549">
        <v>43089</v>
      </c>
      <c r="O373" s="544" t="s">
        <v>955</v>
      </c>
      <c r="P373" s="553"/>
      <c r="Q373" s="683"/>
      <c r="R373" s="546" t="s">
        <v>1306</v>
      </c>
      <c r="S373" s="316" t="s">
        <v>1176</v>
      </c>
      <c r="T373" s="338"/>
    </row>
    <row r="374" spans="1:20" ht="20.100000000000001" customHeight="1">
      <c r="A374" s="1171" t="s">
        <v>2957</v>
      </c>
      <c r="B374" s="1171" t="s">
        <v>3047</v>
      </c>
      <c r="C374" s="1171" t="s">
        <v>276</v>
      </c>
      <c r="D374" s="320">
        <v>100</v>
      </c>
      <c r="E374" s="320">
        <v>200</v>
      </c>
      <c r="F374" s="320">
        <v>200</v>
      </c>
      <c r="G374" s="48" t="s">
        <v>12</v>
      </c>
      <c r="H374" s="56" t="s">
        <v>742</v>
      </c>
      <c r="I374" s="557" t="s">
        <v>17</v>
      </c>
      <c r="J374" s="558"/>
      <c r="K374" s="566" t="s">
        <v>736</v>
      </c>
      <c r="L374" s="542" t="s">
        <v>649</v>
      </c>
      <c r="M374" s="551">
        <v>43088</v>
      </c>
      <c r="N374" s="551">
        <v>43088</v>
      </c>
      <c r="O374" s="544" t="s">
        <v>955</v>
      </c>
      <c r="P374" s="545"/>
      <c r="Q374" s="52"/>
      <c r="R374" s="546" t="s">
        <v>1143</v>
      </c>
      <c r="S374" s="319"/>
      <c r="T374" s="338" t="s">
        <v>1994</v>
      </c>
    </row>
    <row r="375" spans="1:20" ht="20.100000000000001" customHeight="1">
      <c r="A375" s="1171" t="s">
        <v>2957</v>
      </c>
      <c r="B375" s="1171" t="s">
        <v>3047</v>
      </c>
      <c r="C375" s="1171" t="s">
        <v>276</v>
      </c>
      <c r="D375" s="525">
        <v>125</v>
      </c>
      <c r="E375" s="525">
        <v>250</v>
      </c>
      <c r="F375" s="525">
        <v>250</v>
      </c>
      <c r="G375" s="218" t="s">
        <v>51</v>
      </c>
      <c r="H375" s="48" t="s">
        <v>742</v>
      </c>
      <c r="I375" s="558" t="s">
        <v>17</v>
      </c>
      <c r="J375" s="564"/>
      <c r="K375" s="564">
        <v>7</v>
      </c>
      <c r="L375" s="542" t="s">
        <v>636</v>
      </c>
      <c r="M375" s="381">
        <v>43070</v>
      </c>
      <c r="N375" s="381">
        <v>43088</v>
      </c>
      <c r="O375" s="544" t="s">
        <v>955</v>
      </c>
      <c r="P375" s="553"/>
      <c r="Q375" s="52"/>
      <c r="R375" s="546" t="s">
        <v>261</v>
      </c>
      <c r="S375" s="319"/>
      <c r="T375" s="317">
        <v>12</v>
      </c>
    </row>
    <row r="376" spans="1:20" ht="20.100000000000001" customHeight="1">
      <c r="A376" s="1171" t="s">
        <v>2957</v>
      </c>
      <c r="B376" s="1171" t="s">
        <v>3047</v>
      </c>
      <c r="C376" s="1171" t="s">
        <v>276</v>
      </c>
      <c r="D376" s="525">
        <v>125</v>
      </c>
      <c r="E376" s="525">
        <v>250</v>
      </c>
      <c r="F376" s="525">
        <v>250</v>
      </c>
      <c r="G376" s="224" t="s">
        <v>814</v>
      </c>
      <c r="H376" s="48" t="s">
        <v>742</v>
      </c>
      <c r="I376" s="558" t="s">
        <v>17</v>
      </c>
      <c r="J376" s="564"/>
      <c r="K376" s="564">
        <v>7</v>
      </c>
      <c r="L376" s="542" t="s">
        <v>636</v>
      </c>
      <c r="M376" s="547">
        <v>43075</v>
      </c>
      <c r="N376" s="547">
        <v>43086</v>
      </c>
      <c r="O376" s="544" t="s">
        <v>955</v>
      </c>
      <c r="P376" s="545"/>
      <c r="Q376" s="52"/>
      <c r="R376" s="546" t="s">
        <v>1342</v>
      </c>
      <c r="S376" s="319" t="s">
        <v>1176</v>
      </c>
      <c r="T376" s="338" t="s">
        <v>1678</v>
      </c>
    </row>
    <row r="377" spans="1:20" ht="20.100000000000001" customHeight="1">
      <c r="A377" s="1171" t="s">
        <v>2957</v>
      </c>
      <c r="B377" s="1171" t="s">
        <v>3047</v>
      </c>
      <c r="C377" s="1171" t="s">
        <v>276</v>
      </c>
      <c r="D377" s="525">
        <v>165</v>
      </c>
      <c r="E377" s="525">
        <v>310</v>
      </c>
      <c r="F377" s="525">
        <v>310</v>
      </c>
      <c r="G377" s="628" t="s">
        <v>231</v>
      </c>
      <c r="H377" s="48" t="s">
        <v>742</v>
      </c>
      <c r="I377" s="558" t="s">
        <v>17</v>
      </c>
      <c r="J377" s="564"/>
      <c r="K377" s="564">
        <v>7</v>
      </c>
      <c r="L377" s="542" t="s">
        <v>636</v>
      </c>
      <c r="M377" s="547">
        <v>43074</v>
      </c>
      <c r="N377" s="547">
        <v>43087</v>
      </c>
      <c r="O377" s="544" t="s">
        <v>955</v>
      </c>
      <c r="P377" s="553"/>
      <c r="Q377" s="683"/>
      <c r="R377" s="546" t="s">
        <v>1664</v>
      </c>
      <c r="S377" s="319"/>
      <c r="T377" s="338" t="s">
        <v>1988</v>
      </c>
    </row>
    <row r="378" spans="1:20" ht="20.100000000000001" customHeight="1">
      <c r="A378" s="1171" t="s">
        <v>2957</v>
      </c>
      <c r="B378" s="1171" t="s">
        <v>3047</v>
      </c>
      <c r="C378" s="1171" t="s">
        <v>276</v>
      </c>
      <c r="D378" s="525">
        <v>125</v>
      </c>
      <c r="E378" s="525">
        <v>250</v>
      </c>
      <c r="F378" s="525">
        <v>250</v>
      </c>
      <c r="G378" s="4" t="s">
        <v>37</v>
      </c>
      <c r="H378" s="48" t="s">
        <v>742</v>
      </c>
      <c r="I378" s="558" t="s">
        <v>17</v>
      </c>
      <c r="J378" s="564"/>
      <c r="K378" s="564">
        <v>7</v>
      </c>
      <c r="L378" s="542" t="s">
        <v>636</v>
      </c>
      <c r="M378" s="543">
        <v>43060</v>
      </c>
      <c r="N378" s="543">
        <v>43084</v>
      </c>
      <c r="O378" s="544" t="s">
        <v>955</v>
      </c>
      <c r="P378" s="553"/>
      <c r="Q378" s="52"/>
      <c r="R378" s="546" t="s">
        <v>1346</v>
      </c>
      <c r="S378" s="319" t="s">
        <v>1176</v>
      </c>
      <c r="T378" s="338"/>
    </row>
    <row r="379" spans="1:20" ht="20.100000000000001" customHeight="1">
      <c r="A379" s="1171" t="s">
        <v>2957</v>
      </c>
      <c r="B379" s="1171" t="s">
        <v>3047</v>
      </c>
      <c r="C379" s="1171" t="s">
        <v>276</v>
      </c>
      <c r="D379" s="525">
        <v>135</v>
      </c>
      <c r="E379" s="525">
        <v>270</v>
      </c>
      <c r="F379" s="525">
        <v>270</v>
      </c>
      <c r="G379" s="48" t="s">
        <v>13</v>
      </c>
      <c r="H379" s="48" t="s">
        <v>742</v>
      </c>
      <c r="I379" s="558" t="s">
        <v>17</v>
      </c>
      <c r="J379" s="564"/>
      <c r="K379" s="564">
        <v>7</v>
      </c>
      <c r="L379" s="542" t="s">
        <v>636</v>
      </c>
      <c r="M379" s="6">
        <v>43081</v>
      </c>
      <c r="N379" s="6">
        <v>43083</v>
      </c>
      <c r="O379" s="544" t="s">
        <v>955</v>
      </c>
      <c r="P379" s="553"/>
      <c r="Q379" s="52"/>
      <c r="R379" s="546" t="s">
        <v>1340</v>
      </c>
      <c r="S379" s="319" t="s">
        <v>1176</v>
      </c>
      <c r="T379" s="338" t="s">
        <v>1996</v>
      </c>
    </row>
    <row r="380" spans="1:20" ht="20.100000000000001" customHeight="1">
      <c r="A380" s="1171" t="s">
        <v>2957</v>
      </c>
      <c r="B380" s="1171" t="s">
        <v>3047</v>
      </c>
      <c r="C380" s="1171" t="s">
        <v>276</v>
      </c>
      <c r="D380" s="894">
        <v>195</v>
      </c>
      <c r="E380" s="894">
        <v>390</v>
      </c>
      <c r="F380" s="894">
        <v>390</v>
      </c>
      <c r="G380" s="224" t="s">
        <v>434</v>
      </c>
      <c r="H380" s="48">
        <v>3</v>
      </c>
      <c r="I380" s="558" t="s">
        <v>17</v>
      </c>
      <c r="J380" s="558"/>
      <c r="K380" s="564">
        <v>6</v>
      </c>
      <c r="L380" s="570" t="s">
        <v>641</v>
      </c>
      <c r="M380" s="549">
        <v>43086</v>
      </c>
      <c r="N380" s="549">
        <v>43093</v>
      </c>
      <c r="O380" s="544" t="s">
        <v>955</v>
      </c>
      <c r="P380" s="553"/>
      <c r="Q380" s="52"/>
      <c r="R380" s="546" t="s">
        <v>200</v>
      </c>
      <c r="S380" s="321" t="s">
        <v>1176</v>
      </c>
      <c r="T380" s="317" t="s">
        <v>2824</v>
      </c>
    </row>
    <row r="381" spans="1:20" ht="20.100000000000001" customHeight="1">
      <c r="A381" s="1171" t="s">
        <v>2957</v>
      </c>
      <c r="B381" s="1171" t="s">
        <v>3047</v>
      </c>
      <c r="C381" s="1171" t="s">
        <v>276</v>
      </c>
      <c r="D381" s="526">
        <v>130</v>
      </c>
      <c r="E381" s="526">
        <v>260</v>
      </c>
      <c r="F381" s="526">
        <v>260</v>
      </c>
      <c r="G381" s="48" t="s">
        <v>232</v>
      </c>
      <c r="H381" s="48">
        <v>3</v>
      </c>
      <c r="I381" s="558" t="s">
        <v>17</v>
      </c>
      <c r="J381" s="558"/>
      <c r="K381" s="564">
        <v>6</v>
      </c>
      <c r="L381" s="570" t="s">
        <v>641</v>
      </c>
      <c r="M381" s="551">
        <v>43078</v>
      </c>
      <c r="N381" s="551">
        <v>43086</v>
      </c>
      <c r="O381" s="544" t="s">
        <v>955</v>
      </c>
      <c r="P381" s="553"/>
      <c r="Q381" s="52"/>
      <c r="R381" s="546" t="s">
        <v>200</v>
      </c>
      <c r="S381" s="321"/>
      <c r="T381" s="317" t="s">
        <v>1678</v>
      </c>
    </row>
    <row r="382" spans="1:20" ht="20.100000000000001" customHeight="1">
      <c r="A382" s="1171" t="s">
        <v>2957</v>
      </c>
      <c r="B382" s="1171" t="s">
        <v>3047</v>
      </c>
      <c r="C382" s="1171" t="s">
        <v>276</v>
      </c>
      <c r="D382" s="525">
        <v>205</v>
      </c>
      <c r="E382" s="525">
        <v>410</v>
      </c>
      <c r="F382" s="525">
        <v>410</v>
      </c>
      <c r="G382" s="66" t="s">
        <v>87</v>
      </c>
      <c r="H382" s="48">
        <v>3</v>
      </c>
      <c r="I382" s="558" t="s">
        <v>17</v>
      </c>
      <c r="J382" s="564"/>
      <c r="K382" s="564">
        <v>6</v>
      </c>
      <c r="L382" s="570" t="s">
        <v>641</v>
      </c>
      <c r="M382" s="551">
        <v>43086</v>
      </c>
      <c r="N382" s="551">
        <v>43091</v>
      </c>
      <c r="O382" s="544" t="s">
        <v>955</v>
      </c>
      <c r="P382" s="553"/>
      <c r="Q382" s="52"/>
      <c r="R382" s="555" t="s">
        <v>200</v>
      </c>
      <c r="S382" s="315" t="s">
        <v>2849</v>
      </c>
      <c r="T382" s="338" t="s">
        <v>1678</v>
      </c>
    </row>
    <row r="383" spans="1:20" ht="20.100000000000001" customHeight="1">
      <c r="A383" s="1171" t="s">
        <v>2957</v>
      </c>
      <c r="B383" s="1171" t="s">
        <v>3047</v>
      </c>
      <c r="C383" s="1171" t="s">
        <v>276</v>
      </c>
      <c r="D383" s="525">
        <v>220</v>
      </c>
      <c r="E383" s="525">
        <v>440</v>
      </c>
      <c r="F383" s="525">
        <v>440</v>
      </c>
      <c r="G383" s="56" t="s">
        <v>432</v>
      </c>
      <c r="H383" s="48">
        <v>3</v>
      </c>
      <c r="I383" s="557" t="s">
        <v>17</v>
      </c>
      <c r="J383" s="558"/>
      <c r="K383" s="564">
        <v>6</v>
      </c>
      <c r="L383" s="570" t="s">
        <v>641</v>
      </c>
      <c r="M383" s="549">
        <v>43089</v>
      </c>
      <c r="N383" s="549">
        <v>43089</v>
      </c>
      <c r="O383" s="544" t="s">
        <v>955</v>
      </c>
      <c r="P383" s="553"/>
      <c r="Q383" s="52"/>
      <c r="R383" s="546" t="s">
        <v>200</v>
      </c>
      <c r="S383" s="704" t="s">
        <v>1176</v>
      </c>
      <c r="T383" s="317" t="s">
        <v>2039</v>
      </c>
    </row>
    <row r="384" spans="1:20" ht="20.100000000000001" customHeight="1">
      <c r="A384" s="1171" t="s">
        <v>2957</v>
      </c>
      <c r="B384" s="1171" t="s">
        <v>3047</v>
      </c>
      <c r="C384" s="1171" t="s">
        <v>276</v>
      </c>
      <c r="D384" s="526">
        <v>130</v>
      </c>
      <c r="E384" s="526">
        <v>260</v>
      </c>
      <c r="F384" s="526">
        <v>260</v>
      </c>
      <c r="G384" s="48" t="s">
        <v>232</v>
      </c>
      <c r="H384" s="48">
        <v>3</v>
      </c>
      <c r="I384" s="558" t="s">
        <v>17</v>
      </c>
      <c r="J384" s="564"/>
      <c r="K384" s="566" t="s">
        <v>721</v>
      </c>
      <c r="L384" s="559" t="s">
        <v>639</v>
      </c>
      <c r="M384" s="551">
        <v>43078</v>
      </c>
      <c r="N384" s="551">
        <v>43086</v>
      </c>
      <c r="O384" s="544" t="s">
        <v>955</v>
      </c>
      <c r="P384" s="553"/>
      <c r="Q384" s="52"/>
      <c r="R384" s="546" t="s">
        <v>165</v>
      </c>
      <c r="S384" s="319"/>
      <c r="T384" s="317" t="s">
        <v>1678</v>
      </c>
    </row>
    <row r="385" spans="1:20" ht="20.100000000000001" customHeight="1">
      <c r="A385" s="1171" t="s">
        <v>2957</v>
      </c>
      <c r="B385" s="1171" t="s">
        <v>3047</v>
      </c>
      <c r="C385" s="1171" t="s">
        <v>276</v>
      </c>
      <c r="D385" s="525">
        <v>205</v>
      </c>
      <c r="E385" s="525">
        <v>410</v>
      </c>
      <c r="F385" s="525">
        <v>410</v>
      </c>
      <c r="G385" s="66" t="s">
        <v>87</v>
      </c>
      <c r="H385" s="48">
        <v>3</v>
      </c>
      <c r="I385" s="558" t="s">
        <v>17</v>
      </c>
      <c r="J385" s="564"/>
      <c r="K385" s="566" t="s">
        <v>721</v>
      </c>
      <c r="L385" s="559" t="s">
        <v>639</v>
      </c>
      <c r="M385" s="551">
        <v>43086</v>
      </c>
      <c r="N385" s="551">
        <v>43091</v>
      </c>
      <c r="O385" s="544" t="s">
        <v>955</v>
      </c>
      <c r="P385" s="553"/>
      <c r="Q385" s="52"/>
      <c r="R385" s="555" t="s">
        <v>165</v>
      </c>
      <c r="S385" s="315" t="s">
        <v>2849</v>
      </c>
      <c r="T385" s="338" t="s">
        <v>1678</v>
      </c>
    </row>
    <row r="386" spans="1:20" ht="20.100000000000001" customHeight="1">
      <c r="A386" s="1171" t="s">
        <v>2957</v>
      </c>
      <c r="B386" s="1171" t="s">
        <v>3047</v>
      </c>
      <c r="C386" s="1171" t="s">
        <v>276</v>
      </c>
      <c r="D386" s="526">
        <v>140</v>
      </c>
      <c r="E386" s="526">
        <v>280</v>
      </c>
      <c r="F386" s="526">
        <v>280</v>
      </c>
      <c r="G386" s="69" t="s">
        <v>278</v>
      </c>
      <c r="H386" s="48">
        <v>3</v>
      </c>
      <c r="I386" s="558" t="s">
        <v>17</v>
      </c>
      <c r="J386" s="564"/>
      <c r="K386" s="566" t="s">
        <v>721</v>
      </c>
      <c r="L386" s="559" t="s">
        <v>639</v>
      </c>
      <c r="M386" s="391">
        <v>43052</v>
      </c>
      <c r="N386" s="391">
        <v>43093</v>
      </c>
      <c r="O386" s="544" t="s">
        <v>955</v>
      </c>
      <c r="P386" s="553"/>
      <c r="Q386" s="52"/>
      <c r="R386" s="555" t="s">
        <v>165</v>
      </c>
      <c r="S386" s="321"/>
      <c r="T386" s="338" t="s">
        <v>1678</v>
      </c>
    </row>
    <row r="387" spans="1:20" ht="20.100000000000001" customHeight="1">
      <c r="A387" s="1171" t="s">
        <v>2957</v>
      </c>
      <c r="B387" s="1171" t="s">
        <v>3047</v>
      </c>
      <c r="C387" s="1171" t="s">
        <v>276</v>
      </c>
      <c r="D387" s="885">
        <v>200</v>
      </c>
      <c r="E387" s="885">
        <v>400</v>
      </c>
      <c r="F387" s="885">
        <v>400</v>
      </c>
      <c r="G387" s="56" t="s">
        <v>36</v>
      </c>
      <c r="H387" s="48">
        <v>3</v>
      </c>
      <c r="I387" s="557" t="s">
        <v>17</v>
      </c>
      <c r="J387" s="567"/>
      <c r="K387" s="567">
        <v>10</v>
      </c>
      <c r="L387" s="542" t="s">
        <v>649</v>
      </c>
      <c r="M387" s="551">
        <v>43089</v>
      </c>
      <c r="N387" s="551">
        <v>43092</v>
      </c>
      <c r="O387" s="544" t="s">
        <v>955</v>
      </c>
      <c r="P387" s="553" t="s">
        <v>1502</v>
      </c>
      <c r="Q387" s="60"/>
      <c r="R387" s="546" t="s">
        <v>312</v>
      </c>
      <c r="S387" s="315" t="s">
        <v>2852</v>
      </c>
      <c r="T387" s="317">
        <v>14</v>
      </c>
    </row>
    <row r="388" spans="1:20" ht="20.100000000000001" customHeight="1">
      <c r="A388" s="1171" t="s">
        <v>2957</v>
      </c>
      <c r="B388" s="1171" t="s">
        <v>3047</v>
      </c>
      <c r="C388" s="1171" t="s">
        <v>276</v>
      </c>
      <c r="D388" s="525">
        <v>125</v>
      </c>
      <c r="E388" s="525">
        <v>250</v>
      </c>
      <c r="F388" s="525">
        <v>250</v>
      </c>
      <c r="G388" s="628" t="s">
        <v>51</v>
      </c>
      <c r="H388" s="743">
        <v>4</v>
      </c>
      <c r="I388" s="557" t="s">
        <v>17</v>
      </c>
      <c r="J388" s="557"/>
      <c r="K388" s="557">
        <v>9</v>
      </c>
      <c r="L388" s="570" t="s">
        <v>641</v>
      </c>
      <c r="M388" s="381">
        <v>43070</v>
      </c>
      <c r="N388" s="381">
        <v>43088</v>
      </c>
      <c r="O388" s="544" t="s">
        <v>955</v>
      </c>
      <c r="P388" s="553"/>
      <c r="Q388" s="7"/>
      <c r="R388" s="546" t="s">
        <v>204</v>
      </c>
      <c r="S388" s="319"/>
      <c r="T388" s="317">
        <v>12</v>
      </c>
    </row>
    <row r="389" spans="1:20" ht="20.100000000000001" customHeight="1">
      <c r="A389" s="1171" t="s">
        <v>2957</v>
      </c>
      <c r="B389" s="1171" t="s">
        <v>3047</v>
      </c>
      <c r="C389" s="1171" t="s">
        <v>276</v>
      </c>
      <c r="D389" s="32">
        <v>220</v>
      </c>
      <c r="E389" s="32">
        <v>440</v>
      </c>
      <c r="F389" s="32">
        <v>440</v>
      </c>
      <c r="G389" s="218" t="s">
        <v>10</v>
      </c>
      <c r="H389" s="47">
        <v>4</v>
      </c>
      <c r="I389" s="557" t="s">
        <v>17</v>
      </c>
      <c r="J389" s="557"/>
      <c r="K389" s="557">
        <v>9</v>
      </c>
      <c r="L389" s="570" t="s">
        <v>641</v>
      </c>
      <c r="M389" s="547">
        <v>43090</v>
      </c>
      <c r="N389" s="547">
        <v>43090</v>
      </c>
      <c r="O389" s="544" t="s">
        <v>955</v>
      </c>
      <c r="P389" s="553"/>
      <c r="Q389" s="7"/>
      <c r="R389" s="546" t="s">
        <v>204</v>
      </c>
      <c r="S389" s="316" t="s">
        <v>1176</v>
      </c>
      <c r="T389" s="317">
        <v>14</v>
      </c>
    </row>
    <row r="390" spans="1:20" ht="20.100000000000001" customHeight="1">
      <c r="A390" s="1171" t="s">
        <v>2957</v>
      </c>
      <c r="B390" s="1171" t="s">
        <v>3047</v>
      </c>
      <c r="C390" s="1171" t="s">
        <v>276</v>
      </c>
      <c r="D390" s="525">
        <v>170</v>
      </c>
      <c r="E390" s="525">
        <v>230</v>
      </c>
      <c r="F390" s="525">
        <v>230</v>
      </c>
      <c r="G390" s="69" t="s">
        <v>62</v>
      </c>
      <c r="H390" s="56" t="s">
        <v>725</v>
      </c>
      <c r="I390" s="542" t="s">
        <v>17</v>
      </c>
      <c r="J390" s="559"/>
      <c r="K390" s="566" t="s">
        <v>732</v>
      </c>
      <c r="L390" s="559" t="s">
        <v>639</v>
      </c>
      <c r="M390" s="549">
        <v>43048</v>
      </c>
      <c r="N390" s="549">
        <v>43086</v>
      </c>
      <c r="O390" s="544" t="s">
        <v>955</v>
      </c>
      <c r="P390" s="553"/>
      <c r="Q390" s="7"/>
      <c r="R390" s="546" t="s">
        <v>916</v>
      </c>
      <c r="S390" s="315" t="s">
        <v>2848</v>
      </c>
      <c r="T390" s="338"/>
    </row>
    <row r="391" spans="1:20" ht="20.100000000000001" customHeight="1">
      <c r="A391" s="1171" t="s">
        <v>2957</v>
      </c>
      <c r="B391" s="1171" t="s">
        <v>3047</v>
      </c>
      <c r="C391" s="1171" t="s">
        <v>276</v>
      </c>
      <c r="D391" s="526">
        <v>130</v>
      </c>
      <c r="E391" s="526">
        <v>260</v>
      </c>
      <c r="F391" s="526">
        <v>260</v>
      </c>
      <c r="G391" s="48" t="s">
        <v>232</v>
      </c>
      <c r="H391" s="36">
        <v>5</v>
      </c>
      <c r="I391" s="558" t="s">
        <v>17</v>
      </c>
      <c r="J391" s="564"/>
      <c r="K391" s="566">
        <v>8</v>
      </c>
      <c r="L391" s="559" t="s">
        <v>639</v>
      </c>
      <c r="M391" s="551">
        <v>43078</v>
      </c>
      <c r="N391" s="551">
        <v>43086</v>
      </c>
      <c r="O391" s="544" t="s">
        <v>955</v>
      </c>
      <c r="P391" s="544"/>
      <c r="Q391" s="683"/>
      <c r="R391" s="546" t="s">
        <v>1352</v>
      </c>
      <c r="S391" s="319"/>
      <c r="T391" s="317" t="s">
        <v>1678</v>
      </c>
    </row>
    <row r="392" spans="1:20" ht="20.100000000000001" customHeight="1">
      <c r="A392" s="1171" t="s">
        <v>2957</v>
      </c>
      <c r="B392" s="1171" t="s">
        <v>3047</v>
      </c>
      <c r="C392" s="1171" t="s">
        <v>276</v>
      </c>
      <c r="D392" s="525">
        <v>205</v>
      </c>
      <c r="E392" s="525">
        <v>410</v>
      </c>
      <c r="F392" s="525">
        <v>410</v>
      </c>
      <c r="G392" s="66" t="s">
        <v>87</v>
      </c>
      <c r="H392" s="36">
        <v>5</v>
      </c>
      <c r="I392" s="558" t="s">
        <v>17</v>
      </c>
      <c r="J392" s="564"/>
      <c r="K392" s="566">
        <v>8</v>
      </c>
      <c r="L392" s="559" t="s">
        <v>639</v>
      </c>
      <c r="M392" s="551">
        <v>43086</v>
      </c>
      <c r="N392" s="551">
        <v>43091</v>
      </c>
      <c r="O392" s="544" t="s">
        <v>955</v>
      </c>
      <c r="P392" s="553"/>
      <c r="Q392" s="683"/>
      <c r="R392" s="556" t="s">
        <v>1352</v>
      </c>
      <c r="S392" s="315" t="s">
        <v>2849</v>
      </c>
      <c r="T392" s="338" t="s">
        <v>1678</v>
      </c>
    </row>
    <row r="393" spans="1:20" ht="20.100000000000001" customHeight="1">
      <c r="A393" s="1171" t="s">
        <v>2957</v>
      </c>
      <c r="B393" s="1171" t="s">
        <v>3047</v>
      </c>
      <c r="C393" s="1171" t="s">
        <v>276</v>
      </c>
      <c r="D393" s="526">
        <v>140</v>
      </c>
      <c r="E393" s="526">
        <v>280</v>
      </c>
      <c r="F393" s="526">
        <v>280</v>
      </c>
      <c r="G393" s="48" t="s">
        <v>278</v>
      </c>
      <c r="H393" s="36">
        <v>5</v>
      </c>
      <c r="I393" s="558" t="s">
        <v>17</v>
      </c>
      <c r="J393" s="564"/>
      <c r="K393" s="566">
        <v>8</v>
      </c>
      <c r="L393" s="559" t="s">
        <v>639</v>
      </c>
      <c r="M393" s="391">
        <v>43059</v>
      </c>
      <c r="N393" s="391">
        <v>43093</v>
      </c>
      <c r="O393" s="544" t="s">
        <v>955</v>
      </c>
      <c r="P393" s="553"/>
      <c r="Q393" s="683"/>
      <c r="R393" s="555" t="s">
        <v>1352</v>
      </c>
      <c r="S393" s="321"/>
      <c r="T393" s="338" t="s">
        <v>1678</v>
      </c>
    </row>
    <row r="394" spans="1:20" ht="20.100000000000001" customHeight="1">
      <c r="A394" s="1171" t="s">
        <v>2957</v>
      </c>
      <c r="B394" s="1171" t="s">
        <v>3047</v>
      </c>
      <c r="C394" s="1171" t="s">
        <v>276</v>
      </c>
      <c r="D394" s="525">
        <v>150</v>
      </c>
      <c r="E394" s="525">
        <v>300</v>
      </c>
      <c r="F394" s="525">
        <v>300</v>
      </c>
      <c r="G394" s="69" t="s">
        <v>148</v>
      </c>
      <c r="H394" s="36">
        <v>5</v>
      </c>
      <c r="I394" s="557" t="s">
        <v>17</v>
      </c>
      <c r="J394" s="567"/>
      <c r="K394" s="567">
        <v>11</v>
      </c>
      <c r="L394" s="542" t="s">
        <v>649</v>
      </c>
      <c r="M394" s="551">
        <v>43066</v>
      </c>
      <c r="N394" s="551">
        <v>43086</v>
      </c>
      <c r="O394" s="544" t="s">
        <v>955</v>
      </c>
      <c r="P394" s="553"/>
      <c r="Q394" s="744"/>
      <c r="R394" s="546" t="s">
        <v>761</v>
      </c>
      <c r="S394" s="319"/>
      <c r="T394" s="338" t="s">
        <v>1991</v>
      </c>
    </row>
    <row r="395" spans="1:20" ht="20.100000000000001" customHeight="1">
      <c r="A395" s="1171" t="s">
        <v>2957</v>
      </c>
      <c r="B395" s="1171" t="s">
        <v>3047</v>
      </c>
      <c r="C395" s="1171" t="s">
        <v>276</v>
      </c>
      <c r="D395" s="885">
        <v>200</v>
      </c>
      <c r="E395" s="885">
        <v>400</v>
      </c>
      <c r="F395" s="885">
        <v>400</v>
      </c>
      <c r="G395" s="56" t="s">
        <v>36</v>
      </c>
      <c r="H395" s="36">
        <v>5</v>
      </c>
      <c r="I395" s="557" t="s">
        <v>17</v>
      </c>
      <c r="J395" s="567"/>
      <c r="K395" s="567">
        <v>11</v>
      </c>
      <c r="L395" s="542" t="s">
        <v>649</v>
      </c>
      <c r="M395" s="551">
        <v>43091</v>
      </c>
      <c r="N395" s="551">
        <v>43092</v>
      </c>
      <c r="O395" s="544" t="s">
        <v>955</v>
      </c>
      <c r="P395" s="553" t="s">
        <v>1502</v>
      </c>
      <c r="Q395" s="744"/>
      <c r="R395" s="546" t="s">
        <v>309</v>
      </c>
      <c r="S395" s="315" t="s">
        <v>2852</v>
      </c>
      <c r="T395" s="317">
        <v>14</v>
      </c>
    </row>
    <row r="396" spans="1:20" ht="20.100000000000001" customHeight="1">
      <c r="A396" s="1171" t="s">
        <v>2957</v>
      </c>
      <c r="B396" s="1171" t="s">
        <v>3047</v>
      </c>
      <c r="C396" s="1171" t="s">
        <v>276</v>
      </c>
      <c r="D396" s="525">
        <v>175</v>
      </c>
      <c r="E396" s="525">
        <v>350</v>
      </c>
      <c r="F396" s="525">
        <v>350</v>
      </c>
      <c r="G396" s="224" t="s">
        <v>814</v>
      </c>
      <c r="H396" s="36">
        <v>5</v>
      </c>
      <c r="I396" s="557" t="s">
        <v>17</v>
      </c>
      <c r="J396" s="557"/>
      <c r="K396" s="576">
        <v>9</v>
      </c>
      <c r="L396" s="570" t="s">
        <v>641</v>
      </c>
      <c r="M396" s="547">
        <v>43038</v>
      </c>
      <c r="N396" s="547">
        <v>43086</v>
      </c>
      <c r="O396" s="544" t="s">
        <v>955</v>
      </c>
      <c r="P396" s="553"/>
      <c r="Q396" s="683" t="s">
        <v>4173</v>
      </c>
      <c r="R396" s="546" t="s">
        <v>261</v>
      </c>
      <c r="S396" s="319" t="s">
        <v>1176</v>
      </c>
      <c r="T396" s="338" t="s">
        <v>1678</v>
      </c>
    </row>
    <row r="397" spans="1:20" ht="20.100000000000001" customHeight="1">
      <c r="A397" s="1171" t="s">
        <v>2957</v>
      </c>
      <c r="B397" s="1171" t="s">
        <v>3047</v>
      </c>
      <c r="C397" s="1171" t="s">
        <v>276</v>
      </c>
      <c r="D397" s="894">
        <v>175</v>
      </c>
      <c r="E397" s="894">
        <v>350</v>
      </c>
      <c r="F397" s="894">
        <v>350</v>
      </c>
      <c r="G397" s="224" t="s">
        <v>434</v>
      </c>
      <c r="H397" s="36">
        <v>5</v>
      </c>
      <c r="I397" s="557" t="s">
        <v>17</v>
      </c>
      <c r="J397" s="557"/>
      <c r="K397" s="576">
        <v>9</v>
      </c>
      <c r="L397" s="570" t="s">
        <v>641</v>
      </c>
      <c r="M397" s="549">
        <v>43086</v>
      </c>
      <c r="N397" s="549">
        <v>43093</v>
      </c>
      <c r="O397" s="544" t="s">
        <v>955</v>
      </c>
      <c r="P397" s="553"/>
      <c r="Q397" s="683"/>
      <c r="R397" s="561" t="s">
        <v>818</v>
      </c>
      <c r="S397" s="321" t="s">
        <v>1176</v>
      </c>
      <c r="T397" s="317" t="s">
        <v>2824</v>
      </c>
    </row>
    <row r="398" spans="1:20" ht="20.100000000000001" customHeight="1">
      <c r="A398" s="1171" t="s">
        <v>2957</v>
      </c>
      <c r="B398" s="1171" t="s">
        <v>3047</v>
      </c>
      <c r="C398" s="1171" t="s">
        <v>276</v>
      </c>
      <c r="D398" s="525">
        <v>205</v>
      </c>
      <c r="E398" s="525">
        <v>410</v>
      </c>
      <c r="F398" s="525">
        <v>410</v>
      </c>
      <c r="G398" s="48" t="s">
        <v>87</v>
      </c>
      <c r="H398" s="36">
        <v>5</v>
      </c>
      <c r="I398" s="557" t="s">
        <v>17</v>
      </c>
      <c r="J398" s="557"/>
      <c r="K398" s="576">
        <v>9</v>
      </c>
      <c r="L398" s="570" t="s">
        <v>641</v>
      </c>
      <c r="M398" s="551">
        <v>43086</v>
      </c>
      <c r="N398" s="551">
        <v>43091</v>
      </c>
      <c r="O398" s="544" t="s">
        <v>955</v>
      </c>
      <c r="P398" s="553"/>
      <c r="Q398" s="683"/>
      <c r="R398" s="561" t="s">
        <v>261</v>
      </c>
      <c r="S398" s="315" t="s">
        <v>2849</v>
      </c>
      <c r="T398" s="338" t="s">
        <v>1678</v>
      </c>
    </row>
    <row r="399" spans="1:20" ht="20.100000000000001" customHeight="1">
      <c r="A399" s="1171" t="s">
        <v>2957</v>
      </c>
      <c r="B399" s="1171" t="s">
        <v>3047</v>
      </c>
      <c r="C399" s="1171" t="s">
        <v>276</v>
      </c>
      <c r="D399" s="525">
        <v>130</v>
      </c>
      <c r="E399" s="525">
        <v>260</v>
      </c>
      <c r="F399" s="525">
        <v>260</v>
      </c>
      <c r="G399" s="628" t="s">
        <v>1659</v>
      </c>
      <c r="H399" s="36" t="s">
        <v>721</v>
      </c>
      <c r="I399" s="557" t="s">
        <v>17</v>
      </c>
      <c r="J399" s="557"/>
      <c r="K399" s="569" t="s">
        <v>726</v>
      </c>
      <c r="L399" s="542" t="s">
        <v>636</v>
      </c>
      <c r="M399" s="547">
        <v>43064</v>
      </c>
      <c r="N399" s="547">
        <v>43090</v>
      </c>
      <c r="O399" s="544" t="s">
        <v>955</v>
      </c>
      <c r="P399" s="553"/>
      <c r="Q399" s="744"/>
      <c r="R399" s="546" t="s">
        <v>761</v>
      </c>
      <c r="S399" s="325" t="s">
        <v>1176</v>
      </c>
      <c r="T399" s="338" t="s">
        <v>1678</v>
      </c>
    </row>
    <row r="400" spans="1:20" ht="20.100000000000001" customHeight="1">
      <c r="A400" s="1171" t="s">
        <v>2957</v>
      </c>
      <c r="B400" s="1171" t="s">
        <v>3047</v>
      </c>
      <c r="C400" s="1171" t="s">
        <v>276</v>
      </c>
      <c r="D400" s="525">
        <v>130</v>
      </c>
      <c r="E400" s="525">
        <v>260</v>
      </c>
      <c r="F400" s="525">
        <v>260</v>
      </c>
      <c r="G400" s="56" t="s">
        <v>2441</v>
      </c>
      <c r="H400" s="48">
        <v>6</v>
      </c>
      <c r="I400" s="576" t="s">
        <v>17</v>
      </c>
      <c r="J400" s="558"/>
      <c r="K400" s="567">
        <v>10</v>
      </c>
      <c r="L400" s="542" t="s">
        <v>649</v>
      </c>
      <c r="M400" s="549">
        <v>43064</v>
      </c>
      <c r="N400" s="549">
        <v>43086</v>
      </c>
      <c r="O400" s="544" t="s">
        <v>955</v>
      </c>
      <c r="P400" s="553"/>
      <c r="Q400" s="744"/>
      <c r="R400" s="546" t="s">
        <v>313</v>
      </c>
      <c r="S400" s="325"/>
      <c r="T400" s="338"/>
    </row>
    <row r="401" spans="1:20" ht="20.100000000000001" customHeight="1">
      <c r="A401" s="1171" t="s">
        <v>2957</v>
      </c>
      <c r="B401" s="1171" t="s">
        <v>3047</v>
      </c>
      <c r="C401" s="1171" t="s">
        <v>276</v>
      </c>
      <c r="D401" s="32">
        <v>275</v>
      </c>
      <c r="E401" s="32">
        <v>500</v>
      </c>
      <c r="F401" s="32">
        <v>500</v>
      </c>
      <c r="G401" s="63" t="s">
        <v>30</v>
      </c>
      <c r="H401" s="48">
        <v>6</v>
      </c>
      <c r="I401" s="576" t="s">
        <v>17</v>
      </c>
      <c r="J401" s="558"/>
      <c r="K401" s="567">
        <v>10</v>
      </c>
      <c r="L401" s="542" t="s">
        <v>649</v>
      </c>
      <c r="M401" s="568">
        <v>43040</v>
      </c>
      <c r="N401" s="568">
        <v>43083</v>
      </c>
      <c r="O401" s="544" t="s">
        <v>955</v>
      </c>
      <c r="P401" s="544"/>
      <c r="Q401" s="7"/>
      <c r="R401" s="546" t="s">
        <v>314</v>
      </c>
      <c r="S401" s="319"/>
      <c r="T401" s="317">
        <v>14</v>
      </c>
    </row>
    <row r="402" spans="1:20" ht="20.100000000000001" customHeight="1">
      <c r="A402" s="1171" t="s">
        <v>2957</v>
      </c>
      <c r="B402" s="1171" t="s">
        <v>3047</v>
      </c>
      <c r="C402" s="1171" t="s">
        <v>276</v>
      </c>
      <c r="D402" s="885">
        <v>200</v>
      </c>
      <c r="E402" s="885">
        <v>400</v>
      </c>
      <c r="F402" s="885">
        <v>400</v>
      </c>
      <c r="G402" s="56" t="s">
        <v>36</v>
      </c>
      <c r="H402" s="48">
        <v>6</v>
      </c>
      <c r="I402" s="557" t="s">
        <v>17</v>
      </c>
      <c r="J402" s="567"/>
      <c r="K402" s="567">
        <v>10</v>
      </c>
      <c r="L402" s="542" t="s">
        <v>649</v>
      </c>
      <c r="M402" s="551">
        <v>43092</v>
      </c>
      <c r="N402" s="551">
        <v>43092</v>
      </c>
      <c r="O402" s="544" t="s">
        <v>955</v>
      </c>
      <c r="P402" s="553" t="s">
        <v>1502</v>
      </c>
      <c r="Q402" s="7"/>
      <c r="R402" s="546" t="s">
        <v>313</v>
      </c>
      <c r="S402" s="315" t="s">
        <v>2852</v>
      </c>
      <c r="T402" s="317">
        <v>14</v>
      </c>
    </row>
    <row r="403" spans="1:20" ht="20.100000000000001" customHeight="1">
      <c r="A403" s="1171" t="s">
        <v>2957</v>
      </c>
      <c r="B403" s="1171" t="s">
        <v>3047</v>
      </c>
      <c r="C403" s="1171" t="s">
        <v>276</v>
      </c>
      <c r="D403" s="894">
        <v>195</v>
      </c>
      <c r="E403" s="894">
        <v>390</v>
      </c>
      <c r="F403" s="894">
        <v>390</v>
      </c>
      <c r="G403" s="224" t="s">
        <v>434</v>
      </c>
      <c r="H403" s="36">
        <v>7</v>
      </c>
      <c r="I403" s="558" t="s">
        <v>17</v>
      </c>
      <c r="J403" s="558"/>
      <c r="K403" s="558">
        <v>6</v>
      </c>
      <c r="L403" s="570" t="s">
        <v>641</v>
      </c>
      <c r="M403" s="549">
        <v>43086</v>
      </c>
      <c r="N403" s="549">
        <v>43093</v>
      </c>
      <c r="O403" s="544" t="s">
        <v>955</v>
      </c>
      <c r="P403" s="553"/>
      <c r="Q403" s="60"/>
      <c r="R403" s="555" t="s">
        <v>245</v>
      </c>
      <c r="S403" s="321" t="s">
        <v>1176</v>
      </c>
      <c r="T403" s="317" t="s">
        <v>2824</v>
      </c>
    </row>
    <row r="404" spans="1:20" ht="20.100000000000001" customHeight="1">
      <c r="A404" s="1171" t="s">
        <v>2957</v>
      </c>
      <c r="B404" s="1171" t="s">
        <v>3047</v>
      </c>
      <c r="C404" s="1171" t="s">
        <v>276</v>
      </c>
      <c r="D404" s="525">
        <v>205</v>
      </c>
      <c r="E404" s="525">
        <v>410</v>
      </c>
      <c r="F404" s="525">
        <v>410</v>
      </c>
      <c r="G404" s="69" t="s">
        <v>87</v>
      </c>
      <c r="H404" s="36">
        <v>7</v>
      </c>
      <c r="I404" s="557" t="s">
        <v>17</v>
      </c>
      <c r="J404" s="558"/>
      <c r="K404" s="558">
        <v>6</v>
      </c>
      <c r="L404" s="570" t="s">
        <v>641</v>
      </c>
      <c r="M404" s="551">
        <v>43086</v>
      </c>
      <c r="N404" s="551">
        <v>43091</v>
      </c>
      <c r="O404" s="544" t="s">
        <v>955</v>
      </c>
      <c r="P404" s="553"/>
      <c r="Q404" s="60"/>
      <c r="R404" s="555" t="s">
        <v>245</v>
      </c>
      <c r="S404" s="315" t="s">
        <v>2849</v>
      </c>
      <c r="T404" s="338" t="s">
        <v>1678</v>
      </c>
    </row>
    <row r="405" spans="1:20" ht="20.100000000000001" customHeight="1">
      <c r="A405" s="1171" t="s">
        <v>2957</v>
      </c>
      <c r="B405" s="1171" t="s">
        <v>3047</v>
      </c>
      <c r="C405" s="1171" t="s">
        <v>276</v>
      </c>
      <c r="D405" s="525">
        <v>220</v>
      </c>
      <c r="E405" s="525">
        <v>440</v>
      </c>
      <c r="F405" s="525">
        <v>440</v>
      </c>
      <c r="G405" s="56" t="s">
        <v>432</v>
      </c>
      <c r="H405" s="36">
        <v>7</v>
      </c>
      <c r="I405" s="557" t="s">
        <v>17</v>
      </c>
      <c r="J405" s="558"/>
      <c r="K405" s="558">
        <v>6</v>
      </c>
      <c r="L405" s="570" t="s">
        <v>641</v>
      </c>
      <c r="M405" s="549">
        <v>43086</v>
      </c>
      <c r="N405" s="549">
        <v>43089</v>
      </c>
      <c r="O405" s="544" t="s">
        <v>955</v>
      </c>
      <c r="P405" s="553"/>
      <c r="Q405" s="60"/>
      <c r="R405" s="555" t="s">
        <v>245</v>
      </c>
      <c r="S405" s="704" t="s">
        <v>1176</v>
      </c>
      <c r="T405" s="317" t="s">
        <v>2039</v>
      </c>
    </row>
    <row r="406" spans="1:20" ht="20.100000000000001" customHeight="1">
      <c r="A406" s="1171" t="s">
        <v>2957</v>
      </c>
      <c r="B406" s="1171" t="s">
        <v>3047</v>
      </c>
      <c r="C406" s="1171" t="s">
        <v>276</v>
      </c>
      <c r="D406" s="525"/>
      <c r="E406" s="525"/>
      <c r="F406" s="525"/>
      <c r="G406" s="628" t="s">
        <v>76</v>
      </c>
      <c r="H406" s="36">
        <v>7</v>
      </c>
      <c r="I406" s="558" t="s">
        <v>17</v>
      </c>
      <c r="J406" s="564"/>
      <c r="K406" s="558">
        <v>6</v>
      </c>
      <c r="L406" s="570" t="s">
        <v>641</v>
      </c>
      <c r="M406" s="6">
        <v>43045</v>
      </c>
      <c r="N406" s="6">
        <v>43093</v>
      </c>
      <c r="O406" s="544" t="s">
        <v>955</v>
      </c>
      <c r="P406" s="553"/>
      <c r="Q406" s="683" t="s">
        <v>4524</v>
      </c>
      <c r="R406" s="546" t="s">
        <v>2100</v>
      </c>
      <c r="S406" s="322" t="s">
        <v>1176</v>
      </c>
      <c r="T406" s="317"/>
    </row>
    <row r="407" spans="1:20" ht="20.100000000000001" customHeight="1">
      <c r="A407" s="1171" t="s">
        <v>2957</v>
      </c>
      <c r="B407" s="1171" t="s">
        <v>3047</v>
      </c>
      <c r="C407" s="1171" t="s">
        <v>276</v>
      </c>
      <c r="D407" s="525">
        <v>205</v>
      </c>
      <c r="E407" s="525">
        <v>410</v>
      </c>
      <c r="F407" s="525">
        <v>410</v>
      </c>
      <c r="G407" s="224" t="s">
        <v>814</v>
      </c>
      <c r="H407" s="36">
        <v>7</v>
      </c>
      <c r="I407" s="557" t="s">
        <v>17</v>
      </c>
      <c r="J407" s="557"/>
      <c r="K407" s="558">
        <v>6</v>
      </c>
      <c r="L407" s="570" t="s">
        <v>641</v>
      </c>
      <c r="M407" s="547">
        <v>43086</v>
      </c>
      <c r="N407" s="547">
        <v>43086</v>
      </c>
      <c r="O407" s="544" t="s">
        <v>955</v>
      </c>
      <c r="P407" s="553"/>
      <c r="Q407" s="683" t="s">
        <v>4524</v>
      </c>
      <c r="R407" s="546" t="s">
        <v>195</v>
      </c>
      <c r="S407" s="319" t="s">
        <v>1176</v>
      </c>
      <c r="T407" s="338" t="s">
        <v>1678</v>
      </c>
    </row>
    <row r="408" spans="1:20" ht="20.100000000000001" customHeight="1">
      <c r="A408" s="1171" t="s">
        <v>2957</v>
      </c>
      <c r="B408" s="1171" t="s">
        <v>3047</v>
      </c>
      <c r="C408" s="1171" t="s">
        <v>276</v>
      </c>
      <c r="D408" s="525">
        <v>180</v>
      </c>
      <c r="E408" s="525">
        <v>360</v>
      </c>
      <c r="F408" s="525">
        <v>360</v>
      </c>
      <c r="G408" s="47" t="s">
        <v>873</v>
      </c>
      <c r="H408" s="36">
        <v>7</v>
      </c>
      <c r="I408" s="557" t="s">
        <v>17</v>
      </c>
      <c r="J408" s="557"/>
      <c r="K408" s="558">
        <v>6</v>
      </c>
      <c r="L408" s="570" t="s">
        <v>641</v>
      </c>
      <c r="M408" s="551">
        <v>43065</v>
      </c>
      <c r="N408" s="551">
        <v>43086</v>
      </c>
      <c r="O408" s="544" t="s">
        <v>955</v>
      </c>
      <c r="P408" s="553"/>
      <c r="Q408" s="683" t="s">
        <v>4524</v>
      </c>
      <c r="R408" s="546" t="s">
        <v>1680</v>
      </c>
      <c r="S408" s="319"/>
      <c r="T408" s="338" t="s">
        <v>1988</v>
      </c>
    </row>
    <row r="409" spans="1:20" ht="20.100000000000001" customHeight="1">
      <c r="A409" s="1171" t="s">
        <v>2957</v>
      </c>
      <c r="B409" s="1171" t="s">
        <v>3047</v>
      </c>
      <c r="C409" s="1171" t="s">
        <v>276</v>
      </c>
      <c r="D409" s="525">
        <v>65</v>
      </c>
      <c r="E409" s="525"/>
      <c r="F409" s="525"/>
      <c r="G409" s="47" t="s">
        <v>3893</v>
      </c>
      <c r="H409" s="36">
        <v>7</v>
      </c>
      <c r="I409" s="557" t="s">
        <v>17</v>
      </c>
      <c r="J409" s="557"/>
      <c r="K409" s="558">
        <v>6</v>
      </c>
      <c r="L409" s="570" t="s">
        <v>641</v>
      </c>
      <c r="M409" s="551">
        <v>43083</v>
      </c>
      <c r="N409" s="551">
        <v>43090</v>
      </c>
      <c r="O409" s="544"/>
      <c r="P409" s="553"/>
      <c r="Q409" s="683" t="s">
        <v>4524</v>
      </c>
      <c r="R409" s="546" t="s">
        <v>195</v>
      </c>
      <c r="S409" s="704" t="s">
        <v>1176</v>
      </c>
      <c r="T409" s="317" t="s">
        <v>1395</v>
      </c>
    </row>
    <row r="410" spans="1:20" ht="20.100000000000001" customHeight="1">
      <c r="A410" s="1171" t="s">
        <v>2957</v>
      </c>
      <c r="B410" s="1171" t="s">
        <v>3047</v>
      </c>
      <c r="C410" s="1171" t="s">
        <v>276</v>
      </c>
      <c r="D410" s="32">
        <v>220</v>
      </c>
      <c r="E410" s="32">
        <v>440</v>
      </c>
      <c r="F410" s="32">
        <v>440</v>
      </c>
      <c r="G410" s="218" t="s">
        <v>10</v>
      </c>
      <c r="H410" s="36">
        <v>7</v>
      </c>
      <c r="I410" s="557" t="s">
        <v>17</v>
      </c>
      <c r="J410" s="557"/>
      <c r="K410" s="558">
        <v>6</v>
      </c>
      <c r="L410" s="570" t="s">
        <v>641</v>
      </c>
      <c r="M410" s="547">
        <v>43086</v>
      </c>
      <c r="N410" s="547">
        <v>43090</v>
      </c>
      <c r="O410" s="544" t="s">
        <v>955</v>
      </c>
      <c r="P410" s="553"/>
      <c r="Q410" s="683" t="s">
        <v>4524</v>
      </c>
      <c r="R410" s="546" t="s">
        <v>195</v>
      </c>
      <c r="S410" s="316" t="s">
        <v>1176</v>
      </c>
      <c r="T410" s="317">
        <v>14</v>
      </c>
    </row>
    <row r="411" spans="1:20" ht="20.100000000000001" customHeight="1">
      <c r="A411" s="1171" t="s">
        <v>2957</v>
      </c>
      <c r="B411" s="1171" t="s">
        <v>3047</v>
      </c>
      <c r="C411" s="1171" t="s">
        <v>276</v>
      </c>
      <c r="D411" s="525">
        <v>180</v>
      </c>
      <c r="E411" s="525">
        <v>320</v>
      </c>
      <c r="F411" s="525">
        <v>320</v>
      </c>
      <c r="G411" s="218" t="s">
        <v>147</v>
      </c>
      <c r="H411" s="36">
        <v>7</v>
      </c>
      <c r="I411" s="558" t="s">
        <v>17</v>
      </c>
      <c r="J411" s="564"/>
      <c r="K411" s="576" t="s">
        <v>736</v>
      </c>
      <c r="L411" s="542" t="s">
        <v>649</v>
      </c>
      <c r="M411" s="547">
        <v>43045</v>
      </c>
      <c r="N411" s="547">
        <v>43079</v>
      </c>
      <c r="O411" s="544" t="s">
        <v>955</v>
      </c>
      <c r="P411" s="553"/>
      <c r="Q411" s="60"/>
      <c r="R411" s="546" t="s">
        <v>169</v>
      </c>
      <c r="S411" s="316"/>
      <c r="T411" s="317">
        <v>14</v>
      </c>
    </row>
    <row r="412" spans="1:20" ht="20.100000000000001" customHeight="1">
      <c r="A412" s="1171" t="s">
        <v>2957</v>
      </c>
      <c r="B412" s="1171" t="s">
        <v>3047</v>
      </c>
      <c r="C412" s="1171" t="s">
        <v>276</v>
      </c>
      <c r="D412" s="525">
        <v>150</v>
      </c>
      <c r="E412" s="525">
        <v>300</v>
      </c>
      <c r="F412" s="525">
        <v>300</v>
      </c>
      <c r="G412" s="63" t="s">
        <v>148</v>
      </c>
      <c r="H412" s="36">
        <v>7</v>
      </c>
      <c r="I412" s="558" t="s">
        <v>17</v>
      </c>
      <c r="J412" s="564"/>
      <c r="K412" s="576" t="s">
        <v>736</v>
      </c>
      <c r="L412" s="542" t="s">
        <v>649</v>
      </c>
      <c r="M412" s="551">
        <v>43066</v>
      </c>
      <c r="N412" s="551">
        <v>43086</v>
      </c>
      <c r="O412" s="544" t="s">
        <v>955</v>
      </c>
      <c r="P412" s="553"/>
      <c r="Q412" s="60"/>
      <c r="R412" s="561" t="s">
        <v>1543</v>
      </c>
      <c r="S412" s="316"/>
      <c r="T412" s="338" t="s">
        <v>1991</v>
      </c>
    </row>
    <row r="413" spans="1:20" ht="20.100000000000001" customHeight="1">
      <c r="A413" s="1171" t="s">
        <v>2957</v>
      </c>
      <c r="B413" s="1171" t="s">
        <v>3047</v>
      </c>
      <c r="C413" s="1171" t="s">
        <v>276</v>
      </c>
      <c r="D413" s="525">
        <v>140</v>
      </c>
      <c r="E413" s="525">
        <v>280</v>
      </c>
      <c r="F413" s="525">
        <v>280</v>
      </c>
      <c r="G413" s="48" t="s">
        <v>28</v>
      </c>
      <c r="H413" s="36">
        <v>7</v>
      </c>
      <c r="I413" s="557" t="s">
        <v>17</v>
      </c>
      <c r="J413" s="567"/>
      <c r="K413" s="576" t="s">
        <v>736</v>
      </c>
      <c r="L413" s="542" t="s">
        <v>649</v>
      </c>
      <c r="M413" s="549">
        <v>43055</v>
      </c>
      <c r="N413" s="549">
        <v>43089</v>
      </c>
      <c r="O413" s="544" t="s">
        <v>955</v>
      </c>
      <c r="P413" s="553"/>
      <c r="Q413" s="683"/>
      <c r="R413" s="546" t="s">
        <v>188</v>
      </c>
      <c r="S413" s="316" t="s">
        <v>1176</v>
      </c>
      <c r="T413" s="338"/>
    </row>
    <row r="414" spans="1:20" s="1080" customFormat="1" ht="20.100000000000001" customHeight="1">
      <c r="A414" s="1171" t="s">
        <v>2957</v>
      </c>
      <c r="B414" s="1171" t="s">
        <v>3047</v>
      </c>
      <c r="C414" s="1171" t="s">
        <v>276</v>
      </c>
      <c r="D414" s="1069">
        <v>120</v>
      </c>
      <c r="E414" s="1069">
        <v>240</v>
      </c>
      <c r="F414" s="1069">
        <v>240</v>
      </c>
      <c r="G414" s="1070" t="s">
        <v>12</v>
      </c>
      <c r="H414" s="1071" t="s">
        <v>706</v>
      </c>
      <c r="I414" s="1072" t="s">
        <v>17</v>
      </c>
      <c r="J414" s="1073"/>
      <c r="K414" s="1073" t="s">
        <v>736</v>
      </c>
      <c r="L414" s="1072" t="s">
        <v>649</v>
      </c>
      <c r="M414" s="1074">
        <v>43086</v>
      </c>
      <c r="N414" s="1074">
        <v>43088</v>
      </c>
      <c r="O414" s="1075" t="s">
        <v>955</v>
      </c>
      <c r="P414" s="1075"/>
      <c r="Q414" s="1076"/>
      <c r="R414" s="1077" t="s">
        <v>169</v>
      </c>
      <c r="S414" s="1078"/>
      <c r="T414" s="1079" t="s">
        <v>1994</v>
      </c>
    </row>
    <row r="415" spans="1:20" ht="20.100000000000001" customHeight="1">
      <c r="A415" s="1171" t="s">
        <v>2957</v>
      </c>
      <c r="B415" s="1171" t="s">
        <v>3047</v>
      </c>
      <c r="C415" s="1171" t="s">
        <v>276</v>
      </c>
      <c r="D415" s="525">
        <v>125</v>
      </c>
      <c r="E415" s="525">
        <v>250</v>
      </c>
      <c r="F415" s="525">
        <v>250</v>
      </c>
      <c r="G415" s="56" t="s">
        <v>37</v>
      </c>
      <c r="H415" s="36">
        <v>7</v>
      </c>
      <c r="I415" s="557" t="s">
        <v>17</v>
      </c>
      <c r="J415" s="576"/>
      <c r="K415" s="576" t="s">
        <v>736</v>
      </c>
      <c r="L415" s="542" t="s">
        <v>649</v>
      </c>
      <c r="M415" s="543">
        <v>43060</v>
      </c>
      <c r="N415" s="543">
        <v>43084</v>
      </c>
      <c r="O415" s="544" t="s">
        <v>955</v>
      </c>
      <c r="P415" s="553"/>
      <c r="Q415" s="60"/>
      <c r="R415" s="546" t="s">
        <v>1297</v>
      </c>
      <c r="S415" s="319" t="s">
        <v>1176</v>
      </c>
      <c r="T415" s="338"/>
    </row>
    <row r="416" spans="1:20" ht="20.100000000000001" customHeight="1">
      <c r="A416" s="1171" t="s">
        <v>2957</v>
      </c>
      <c r="B416" s="1171" t="s">
        <v>3047</v>
      </c>
      <c r="C416" s="1171" t="s">
        <v>276</v>
      </c>
      <c r="D416" s="525">
        <v>200</v>
      </c>
      <c r="E416" s="525">
        <v>400</v>
      </c>
      <c r="F416" s="525">
        <v>400</v>
      </c>
      <c r="G416" s="56" t="s">
        <v>36</v>
      </c>
      <c r="H416" s="36">
        <v>7</v>
      </c>
      <c r="I416" s="557" t="s">
        <v>17</v>
      </c>
      <c r="J416" s="576"/>
      <c r="K416" s="576" t="s">
        <v>771</v>
      </c>
      <c r="L416" s="542" t="s">
        <v>649</v>
      </c>
      <c r="M416" s="551">
        <v>43086</v>
      </c>
      <c r="N416" s="551">
        <v>43092</v>
      </c>
      <c r="O416" s="544" t="s">
        <v>955</v>
      </c>
      <c r="P416" s="553" t="s">
        <v>1502</v>
      </c>
      <c r="Q416" s="60"/>
      <c r="R416" s="546" t="s">
        <v>315</v>
      </c>
      <c r="S416" s="315" t="s">
        <v>2852</v>
      </c>
      <c r="T416" s="317">
        <v>14</v>
      </c>
    </row>
    <row r="417" spans="1:20" ht="20.100000000000001" customHeight="1">
      <c r="A417" s="1171" t="s">
        <v>2957</v>
      </c>
      <c r="B417" s="1171" t="s">
        <v>3047</v>
      </c>
      <c r="C417" s="1171" t="s">
        <v>276</v>
      </c>
      <c r="D417" s="525"/>
      <c r="E417" s="525"/>
      <c r="F417" s="525"/>
      <c r="G417" s="69" t="s">
        <v>2397</v>
      </c>
      <c r="H417" s="56" t="s">
        <v>2402</v>
      </c>
      <c r="I417" s="542" t="s">
        <v>17</v>
      </c>
      <c r="J417" s="559"/>
      <c r="K417" s="566" t="s">
        <v>2403</v>
      </c>
      <c r="L417" s="559" t="s">
        <v>2399</v>
      </c>
      <c r="M417" s="559"/>
      <c r="N417" s="547">
        <v>43039</v>
      </c>
      <c r="O417" s="544" t="s">
        <v>955</v>
      </c>
      <c r="P417" s="553"/>
      <c r="Q417" s="60"/>
      <c r="R417" s="546"/>
      <c r="S417" s="315"/>
      <c r="T417" s="317"/>
    </row>
    <row r="418" spans="1:20" ht="20.100000000000001" customHeight="1">
      <c r="A418" s="1127" t="s">
        <v>2957</v>
      </c>
      <c r="B418" s="1169" t="s">
        <v>369</v>
      </c>
      <c r="C418" s="1169" t="s">
        <v>276</v>
      </c>
      <c r="D418" s="526">
        <v>330</v>
      </c>
      <c r="E418" s="526">
        <v>550</v>
      </c>
      <c r="F418" s="526">
        <v>550</v>
      </c>
      <c r="G418" s="628" t="s">
        <v>22</v>
      </c>
      <c r="H418" s="36" t="s">
        <v>740</v>
      </c>
      <c r="I418" s="558" t="s">
        <v>80</v>
      </c>
      <c r="J418" s="564"/>
      <c r="K418" s="564" t="s">
        <v>723</v>
      </c>
      <c r="L418" s="559" t="s">
        <v>643</v>
      </c>
      <c r="M418" s="547">
        <v>43009</v>
      </c>
      <c r="N418" s="547">
        <v>43069</v>
      </c>
      <c r="O418" s="544" t="s">
        <v>955</v>
      </c>
      <c r="P418" s="553"/>
      <c r="Q418" s="683"/>
      <c r="R418" s="561" t="s">
        <v>2019</v>
      </c>
      <c r="S418" s="316" t="s">
        <v>1176</v>
      </c>
      <c r="T418" s="317">
        <v>14</v>
      </c>
    </row>
    <row r="419" spans="1:20" ht="20.100000000000001" customHeight="1">
      <c r="A419" s="1127" t="s">
        <v>2957</v>
      </c>
      <c r="B419" s="1169" t="s">
        <v>369</v>
      </c>
      <c r="C419" s="1169" t="s">
        <v>276</v>
      </c>
      <c r="D419" s="525">
        <v>160</v>
      </c>
      <c r="E419" s="525">
        <v>320</v>
      </c>
      <c r="F419" s="525">
        <v>320</v>
      </c>
      <c r="G419" s="56" t="s">
        <v>33</v>
      </c>
      <c r="H419" s="48" t="s">
        <v>886</v>
      </c>
      <c r="I419" s="569" t="s">
        <v>80</v>
      </c>
      <c r="J419" s="569"/>
      <c r="K419" s="569">
        <v>13</v>
      </c>
      <c r="L419" s="557" t="s">
        <v>637</v>
      </c>
      <c r="M419" s="549">
        <v>43040</v>
      </c>
      <c r="N419" s="549">
        <v>43079</v>
      </c>
      <c r="O419" s="544" t="s">
        <v>955</v>
      </c>
      <c r="P419" s="553"/>
      <c r="Q419" s="53"/>
      <c r="R419" s="561" t="s">
        <v>1074</v>
      </c>
      <c r="S419" s="315" t="s">
        <v>2850</v>
      </c>
      <c r="T419" s="338"/>
    </row>
    <row r="420" spans="1:20" ht="20.100000000000001" customHeight="1">
      <c r="A420" s="1127" t="s">
        <v>2957</v>
      </c>
      <c r="B420" s="1169" t="s">
        <v>369</v>
      </c>
      <c r="C420" s="1169" t="s">
        <v>276</v>
      </c>
      <c r="D420" s="728">
        <v>220</v>
      </c>
      <c r="E420" s="728">
        <v>440</v>
      </c>
      <c r="F420" s="728">
        <v>440</v>
      </c>
      <c r="G420" s="70" t="s">
        <v>29</v>
      </c>
      <c r="H420" s="56" t="s">
        <v>2102</v>
      </c>
      <c r="I420" s="559" t="s">
        <v>80</v>
      </c>
      <c r="J420" s="559"/>
      <c r="K420" s="557">
        <v>13</v>
      </c>
      <c r="L420" s="557" t="s">
        <v>637</v>
      </c>
      <c r="M420" s="547">
        <v>43038</v>
      </c>
      <c r="N420" s="547">
        <v>43072</v>
      </c>
      <c r="O420" s="544" t="s">
        <v>955</v>
      </c>
      <c r="P420" s="544"/>
      <c r="Q420" s="677"/>
      <c r="R420" s="546" t="s">
        <v>2103</v>
      </c>
      <c r="S420" s="319" t="s">
        <v>1176</v>
      </c>
      <c r="T420" s="338" t="s">
        <v>1988</v>
      </c>
    </row>
    <row r="421" spans="1:20" ht="20.100000000000001" customHeight="1">
      <c r="A421" s="1127" t="s">
        <v>2957</v>
      </c>
      <c r="B421" s="1169" t="s">
        <v>369</v>
      </c>
      <c r="C421" s="1169" t="s">
        <v>276</v>
      </c>
      <c r="D421" s="525">
        <v>563</v>
      </c>
      <c r="E421" s="525">
        <v>813</v>
      </c>
      <c r="F421" s="525">
        <v>813</v>
      </c>
      <c r="G421" s="56" t="s">
        <v>19</v>
      </c>
      <c r="H421" s="48">
        <v>2</v>
      </c>
      <c r="I421" s="557" t="s">
        <v>16</v>
      </c>
      <c r="J421" s="571"/>
      <c r="K421" s="566" t="s">
        <v>746</v>
      </c>
      <c r="L421" s="559" t="s">
        <v>639</v>
      </c>
      <c r="M421" s="559"/>
      <c r="N421" s="549">
        <v>42825</v>
      </c>
      <c r="O421" s="544" t="s">
        <v>955</v>
      </c>
      <c r="P421" s="553"/>
      <c r="Q421" s="52"/>
      <c r="R421" s="546" t="s">
        <v>187</v>
      </c>
      <c r="S421" s="322"/>
      <c r="T421" s="338"/>
    </row>
    <row r="422" spans="1:20" ht="20.100000000000001" customHeight="1">
      <c r="A422" s="1127" t="s">
        <v>2957</v>
      </c>
      <c r="B422" s="1169" t="s">
        <v>369</v>
      </c>
      <c r="C422" s="1169" t="s">
        <v>276</v>
      </c>
      <c r="D422" s="728">
        <v>280</v>
      </c>
      <c r="E422" s="728">
        <v>480</v>
      </c>
      <c r="F422" s="728">
        <v>480</v>
      </c>
      <c r="G422" s="66" t="s">
        <v>6</v>
      </c>
      <c r="H422" s="55" t="s">
        <v>721</v>
      </c>
      <c r="I422" s="558" t="s">
        <v>16</v>
      </c>
      <c r="J422" s="557"/>
      <c r="K422" s="558" t="s">
        <v>723</v>
      </c>
      <c r="L422" s="559" t="s">
        <v>639</v>
      </c>
      <c r="M422" s="549">
        <v>43070</v>
      </c>
      <c r="N422" s="549">
        <v>43074</v>
      </c>
      <c r="O422" s="544" t="s">
        <v>955</v>
      </c>
      <c r="P422" s="553"/>
      <c r="Q422" s="745"/>
      <c r="R422" s="546" t="s">
        <v>1694</v>
      </c>
      <c r="S422" s="316" t="s">
        <v>2857</v>
      </c>
      <c r="T422" s="338" t="s">
        <v>2874</v>
      </c>
    </row>
    <row r="423" spans="1:20" ht="20.100000000000001" customHeight="1">
      <c r="A423" s="1127" t="s">
        <v>2957</v>
      </c>
      <c r="B423" s="1169" t="s">
        <v>369</v>
      </c>
      <c r="C423" s="1169" t="s">
        <v>276</v>
      </c>
      <c r="D423" s="525">
        <v>320</v>
      </c>
      <c r="E423" s="525">
        <v>390</v>
      </c>
      <c r="F423" s="525">
        <v>390</v>
      </c>
      <c r="G423" s="48" t="s">
        <v>568</v>
      </c>
      <c r="H423" s="36" t="s">
        <v>2108</v>
      </c>
      <c r="I423" s="557" t="s">
        <v>16</v>
      </c>
      <c r="J423" s="564"/>
      <c r="K423" s="569" t="s">
        <v>2109</v>
      </c>
      <c r="L423" s="559" t="s">
        <v>643</v>
      </c>
      <c r="M423" s="551">
        <v>43022</v>
      </c>
      <c r="N423" s="551">
        <v>43083</v>
      </c>
      <c r="O423" s="544" t="s">
        <v>955</v>
      </c>
      <c r="P423" s="553"/>
      <c r="Q423" s="60"/>
      <c r="R423" s="555" t="s">
        <v>1783</v>
      </c>
      <c r="S423" s="321"/>
      <c r="T423" s="338"/>
    </row>
    <row r="424" spans="1:20" ht="20.100000000000001" customHeight="1">
      <c r="A424" s="732" t="s">
        <v>1070</v>
      </c>
      <c r="B424" s="573" t="s">
        <v>369</v>
      </c>
      <c r="C424" s="573" t="s">
        <v>276</v>
      </c>
      <c r="D424" s="525">
        <v>125</v>
      </c>
      <c r="E424" s="525">
        <v>250</v>
      </c>
      <c r="F424" s="525">
        <v>250</v>
      </c>
      <c r="G424" s="628" t="s">
        <v>51</v>
      </c>
      <c r="H424" s="48" t="s">
        <v>2967</v>
      </c>
      <c r="I424" s="558" t="s">
        <v>17</v>
      </c>
      <c r="J424" s="564"/>
      <c r="K424" s="564" t="s">
        <v>1348</v>
      </c>
      <c r="L424" s="542" t="s">
        <v>648</v>
      </c>
      <c r="M424" s="381">
        <v>43070</v>
      </c>
      <c r="N424" s="381">
        <v>43088</v>
      </c>
      <c r="O424" s="544" t="s">
        <v>955</v>
      </c>
      <c r="P424" s="553"/>
      <c r="Q424" s="7" t="s">
        <v>2980</v>
      </c>
      <c r="R424" s="546" t="s">
        <v>1826</v>
      </c>
      <c r="S424" s="316"/>
      <c r="T424" s="317">
        <v>12</v>
      </c>
    </row>
    <row r="425" spans="1:20" ht="20.100000000000001" customHeight="1">
      <c r="A425" s="1127" t="s">
        <v>2957</v>
      </c>
      <c r="B425" s="1169" t="s">
        <v>369</v>
      </c>
      <c r="C425" s="1169" t="s">
        <v>109</v>
      </c>
      <c r="D425" s="62">
        <v>500</v>
      </c>
      <c r="E425" s="528">
        <v>900</v>
      </c>
      <c r="F425" s="528">
        <v>900</v>
      </c>
      <c r="G425" s="4" t="s">
        <v>13</v>
      </c>
      <c r="H425" s="48" t="s">
        <v>760</v>
      </c>
      <c r="I425" s="558" t="s">
        <v>16</v>
      </c>
      <c r="J425" s="564"/>
      <c r="K425" s="564">
        <v>16</v>
      </c>
      <c r="L425" s="557" t="s">
        <v>637</v>
      </c>
      <c r="M425" s="6">
        <v>43040</v>
      </c>
      <c r="N425" s="6">
        <v>43100</v>
      </c>
      <c r="O425" s="544" t="s">
        <v>955</v>
      </c>
      <c r="P425" s="553"/>
      <c r="Q425" s="677"/>
      <c r="R425" s="546" t="s">
        <v>1958</v>
      </c>
      <c r="S425" s="319" t="s">
        <v>1176</v>
      </c>
      <c r="T425" s="338" t="s">
        <v>2875</v>
      </c>
    </row>
    <row r="426" spans="1:20" ht="20.100000000000001" customHeight="1">
      <c r="A426" s="1127" t="s">
        <v>2957</v>
      </c>
      <c r="B426" s="1169" t="s">
        <v>369</v>
      </c>
      <c r="C426" s="1169" t="s">
        <v>109</v>
      </c>
      <c r="D426" s="273">
        <v>735</v>
      </c>
      <c r="E426" s="273">
        <v>1470</v>
      </c>
      <c r="F426" s="273">
        <v>1470</v>
      </c>
      <c r="G426" s="55" t="s">
        <v>37</v>
      </c>
      <c r="H426" s="48" t="s">
        <v>1875</v>
      </c>
      <c r="I426" s="558" t="s">
        <v>16</v>
      </c>
      <c r="J426" s="557"/>
      <c r="K426" s="558" t="s">
        <v>743</v>
      </c>
      <c r="L426" s="557" t="s">
        <v>637</v>
      </c>
      <c r="M426" s="543">
        <v>43040</v>
      </c>
      <c r="N426" s="543">
        <v>43084</v>
      </c>
      <c r="O426" s="544" t="s">
        <v>955</v>
      </c>
      <c r="P426" s="553"/>
      <c r="Q426" s="7"/>
      <c r="R426" s="546" t="s">
        <v>1876</v>
      </c>
      <c r="S426" s="319" t="s">
        <v>1176</v>
      </c>
      <c r="T426" s="338"/>
    </row>
    <row r="427" spans="1:20" ht="20.100000000000001" customHeight="1">
      <c r="A427" s="1127" t="s">
        <v>2957</v>
      </c>
      <c r="B427" s="1169" t="s">
        <v>369</v>
      </c>
      <c r="C427" s="1169" t="s">
        <v>109</v>
      </c>
      <c r="D427" s="13">
        <v>650</v>
      </c>
      <c r="E427" s="13">
        <v>1300</v>
      </c>
      <c r="F427" s="13">
        <v>1300</v>
      </c>
      <c r="G427" s="628" t="s">
        <v>14</v>
      </c>
      <c r="H427" s="56" t="s">
        <v>742</v>
      </c>
      <c r="I427" s="557" t="s">
        <v>16</v>
      </c>
      <c r="J427" s="558"/>
      <c r="K427" s="558" t="s">
        <v>747</v>
      </c>
      <c r="L427" s="559" t="s">
        <v>639</v>
      </c>
      <c r="M427" s="547">
        <v>43044</v>
      </c>
      <c r="N427" s="547">
        <v>43092</v>
      </c>
      <c r="O427" s="544" t="s">
        <v>955</v>
      </c>
      <c r="P427" s="545"/>
      <c r="Q427" s="7"/>
      <c r="R427" s="17" t="s">
        <v>449</v>
      </c>
      <c r="S427" s="319"/>
      <c r="T427" s="338"/>
    </row>
    <row r="428" spans="1:20" ht="20.100000000000001" customHeight="1">
      <c r="A428" s="1127" t="s">
        <v>2957</v>
      </c>
      <c r="B428" s="1169" t="s">
        <v>369</v>
      </c>
      <c r="C428" s="1169" t="s">
        <v>109</v>
      </c>
      <c r="D428" s="32">
        <v>670</v>
      </c>
      <c r="E428" s="32">
        <v>1040</v>
      </c>
      <c r="F428" s="32">
        <v>1040</v>
      </c>
      <c r="G428" s="56" t="s">
        <v>33</v>
      </c>
      <c r="H428" s="55" t="s">
        <v>2301</v>
      </c>
      <c r="I428" s="566" t="s">
        <v>16</v>
      </c>
      <c r="J428" s="554"/>
      <c r="K428" s="569" t="s">
        <v>747</v>
      </c>
      <c r="L428" s="557" t="s">
        <v>637</v>
      </c>
      <c r="M428" s="549">
        <v>43040</v>
      </c>
      <c r="N428" s="549">
        <v>43079</v>
      </c>
      <c r="O428" s="544" t="s">
        <v>955</v>
      </c>
      <c r="P428" s="553"/>
      <c r="Q428" s="7"/>
      <c r="R428" s="546" t="s">
        <v>2302</v>
      </c>
      <c r="S428" s="315" t="s">
        <v>2850</v>
      </c>
      <c r="T428" s="338"/>
    </row>
    <row r="429" spans="1:20" ht="20.100000000000001" customHeight="1">
      <c r="A429" s="1127" t="s">
        <v>2957</v>
      </c>
      <c r="B429" s="1169" t="s">
        <v>369</v>
      </c>
      <c r="C429" s="1169" t="s">
        <v>109</v>
      </c>
      <c r="D429" s="32">
        <f>D1071+470</f>
        <v>720</v>
      </c>
      <c r="E429" s="32">
        <f>E1071+850</f>
        <v>1350</v>
      </c>
      <c r="F429" s="32">
        <f>F1071+850</f>
        <v>1350</v>
      </c>
      <c r="G429" s="225" t="s">
        <v>51</v>
      </c>
      <c r="H429" s="36" t="s">
        <v>2370</v>
      </c>
      <c r="I429" s="557" t="s">
        <v>16</v>
      </c>
      <c r="J429" s="558"/>
      <c r="K429" s="558">
        <v>18</v>
      </c>
      <c r="L429" s="542" t="s">
        <v>637</v>
      </c>
      <c r="M429" s="381">
        <v>43040</v>
      </c>
      <c r="N429" s="381">
        <v>43088</v>
      </c>
      <c r="O429" s="544" t="s">
        <v>955</v>
      </c>
      <c r="P429" s="545"/>
      <c r="Q429" s="52"/>
      <c r="R429" s="575" t="s">
        <v>2371</v>
      </c>
      <c r="S429" s="319"/>
      <c r="T429" s="317">
        <v>12</v>
      </c>
    </row>
    <row r="430" spans="1:20" ht="20.100000000000001" customHeight="1">
      <c r="A430" s="1127" t="s">
        <v>2957</v>
      </c>
      <c r="B430" s="1169" t="s">
        <v>369</v>
      </c>
      <c r="C430" s="1169" t="s">
        <v>109</v>
      </c>
      <c r="D430" s="32">
        <v>440</v>
      </c>
      <c r="E430" s="32">
        <v>880</v>
      </c>
      <c r="F430" s="32">
        <v>880</v>
      </c>
      <c r="G430" s="63" t="s">
        <v>30</v>
      </c>
      <c r="H430" s="56" t="s">
        <v>742</v>
      </c>
      <c r="I430" s="558" t="s">
        <v>16</v>
      </c>
      <c r="J430" s="558"/>
      <c r="K430" s="558">
        <v>11</v>
      </c>
      <c r="L430" s="559" t="s">
        <v>637</v>
      </c>
      <c r="M430" s="568">
        <v>43040</v>
      </c>
      <c r="N430" s="568">
        <v>43100</v>
      </c>
      <c r="O430" s="544" t="s">
        <v>955</v>
      </c>
      <c r="P430" s="544"/>
      <c r="Q430" s="677"/>
      <c r="R430" s="546" t="s">
        <v>1977</v>
      </c>
      <c r="S430" s="319"/>
      <c r="T430" s="317">
        <v>14</v>
      </c>
    </row>
    <row r="431" spans="1:20" ht="20.100000000000001" customHeight="1">
      <c r="A431" s="1127" t="s">
        <v>2957</v>
      </c>
      <c r="B431" s="1169" t="s">
        <v>369</v>
      </c>
      <c r="C431" s="1169" t="s">
        <v>109</v>
      </c>
      <c r="D431" s="529">
        <v>490</v>
      </c>
      <c r="E431" s="529">
        <v>980</v>
      </c>
      <c r="F431" s="2">
        <v>680</v>
      </c>
      <c r="G431" s="48" t="s">
        <v>28</v>
      </c>
      <c r="H431" s="54" t="s">
        <v>681</v>
      </c>
      <c r="I431" s="559" t="s">
        <v>16</v>
      </c>
      <c r="J431" s="557"/>
      <c r="K431" s="557" t="s">
        <v>151</v>
      </c>
      <c r="L431" s="557" t="s">
        <v>649</v>
      </c>
      <c r="M431" s="549">
        <v>43062</v>
      </c>
      <c r="N431" s="549">
        <v>43089</v>
      </c>
      <c r="O431" s="544" t="s">
        <v>955</v>
      </c>
      <c r="P431" s="553"/>
      <c r="Q431" s="7"/>
      <c r="R431" s="546" t="s">
        <v>179</v>
      </c>
      <c r="S431" s="316" t="s">
        <v>1176</v>
      </c>
      <c r="T431" s="338"/>
    </row>
    <row r="432" spans="1:20" ht="20.100000000000001" customHeight="1">
      <c r="A432" s="1127" t="s">
        <v>2957</v>
      </c>
      <c r="B432" s="1169" t="s">
        <v>369</v>
      </c>
      <c r="C432" s="1169" t="s">
        <v>109</v>
      </c>
      <c r="D432" s="525">
        <v>355</v>
      </c>
      <c r="E432" s="525">
        <v>710</v>
      </c>
      <c r="F432" s="525">
        <v>710</v>
      </c>
      <c r="G432" s="48" t="s">
        <v>62</v>
      </c>
      <c r="H432" s="56" t="s">
        <v>681</v>
      </c>
      <c r="I432" s="566" t="s">
        <v>1</v>
      </c>
      <c r="J432" s="559"/>
      <c r="K432" s="559" t="s">
        <v>151</v>
      </c>
      <c r="L432" s="542" t="s">
        <v>649</v>
      </c>
      <c r="M432" s="549">
        <v>43039</v>
      </c>
      <c r="N432" s="549">
        <v>43086</v>
      </c>
      <c r="O432" s="544" t="s">
        <v>955</v>
      </c>
      <c r="P432" s="562"/>
      <c r="Q432" s="683"/>
      <c r="R432" s="546" t="s">
        <v>1845</v>
      </c>
      <c r="S432" s="315" t="s">
        <v>2848</v>
      </c>
      <c r="T432" s="338"/>
    </row>
    <row r="433" spans="1:20" ht="20.100000000000001" customHeight="1">
      <c r="A433" s="1127" t="s">
        <v>2957</v>
      </c>
      <c r="B433" s="1169" t="s">
        <v>369</v>
      </c>
      <c r="C433" s="1169" t="s">
        <v>109</v>
      </c>
      <c r="D433" s="32">
        <v>610</v>
      </c>
      <c r="E433" s="32">
        <v>1220</v>
      </c>
      <c r="F433" s="32">
        <v>1220</v>
      </c>
      <c r="G433" s="218" t="s">
        <v>10</v>
      </c>
      <c r="H433" s="36" t="s">
        <v>633</v>
      </c>
      <c r="I433" s="557" t="s">
        <v>16</v>
      </c>
      <c r="J433" s="577"/>
      <c r="K433" s="567" t="s">
        <v>151</v>
      </c>
      <c r="L433" s="542" t="s">
        <v>648</v>
      </c>
      <c r="M433" s="547">
        <v>43040</v>
      </c>
      <c r="N433" s="547">
        <v>43084</v>
      </c>
      <c r="O433" s="544" t="s">
        <v>955</v>
      </c>
      <c r="P433" s="544"/>
      <c r="Q433" s="7"/>
      <c r="R433" s="546" t="s">
        <v>1015</v>
      </c>
      <c r="S433" s="316" t="s">
        <v>1176</v>
      </c>
      <c r="T433" s="317">
        <v>14</v>
      </c>
    </row>
    <row r="434" spans="1:20" ht="20.100000000000001" customHeight="1">
      <c r="A434" s="1169" t="s">
        <v>2957</v>
      </c>
      <c r="B434" s="1169" t="s">
        <v>3</v>
      </c>
      <c r="C434" s="1127" t="s">
        <v>2002</v>
      </c>
      <c r="D434" s="935">
        <v>-160</v>
      </c>
      <c r="E434" s="935">
        <v>-320</v>
      </c>
      <c r="F434" s="935">
        <v>-320</v>
      </c>
      <c r="G434" s="218" t="s">
        <v>147</v>
      </c>
      <c r="H434" s="47">
        <v>1</v>
      </c>
      <c r="I434" s="566" t="s">
        <v>17</v>
      </c>
      <c r="J434" s="569" t="s">
        <v>74</v>
      </c>
      <c r="K434" s="554">
        <v>5</v>
      </c>
      <c r="L434" s="570" t="s">
        <v>641</v>
      </c>
      <c r="M434" s="547">
        <v>43087</v>
      </c>
      <c r="N434" s="547">
        <v>43093</v>
      </c>
      <c r="O434" s="544" t="s">
        <v>955</v>
      </c>
      <c r="P434" s="544"/>
      <c r="Q434" s="683"/>
      <c r="R434" s="556" t="s">
        <v>1333</v>
      </c>
      <c r="S434" s="316"/>
      <c r="T434" s="338" t="s">
        <v>1678</v>
      </c>
    </row>
    <row r="435" spans="1:20" ht="20.100000000000001" customHeight="1">
      <c r="A435" s="1169" t="s">
        <v>2957</v>
      </c>
      <c r="B435" s="1169" t="s">
        <v>3</v>
      </c>
      <c r="C435" s="1169" t="s">
        <v>2002</v>
      </c>
      <c r="D435" s="529">
        <v>-85</v>
      </c>
      <c r="E435" s="529">
        <v>-170</v>
      </c>
      <c r="F435" s="529">
        <v>-170</v>
      </c>
      <c r="G435" s="66" t="s">
        <v>6</v>
      </c>
      <c r="H435" s="47">
        <v>1</v>
      </c>
      <c r="I435" s="566" t="s">
        <v>17</v>
      </c>
      <c r="J435" s="569" t="s">
        <v>74</v>
      </c>
      <c r="K435" s="554">
        <v>5</v>
      </c>
      <c r="L435" s="570" t="s">
        <v>641</v>
      </c>
      <c r="M435" s="549">
        <v>43080</v>
      </c>
      <c r="N435" s="549">
        <v>43080</v>
      </c>
      <c r="O435" s="544" t="s">
        <v>955</v>
      </c>
      <c r="P435" s="563"/>
      <c r="Q435" s="683"/>
      <c r="R435" s="546" t="s">
        <v>1858</v>
      </c>
      <c r="S435" s="316" t="s">
        <v>2858</v>
      </c>
      <c r="T435" s="338" t="s">
        <v>2872</v>
      </c>
    </row>
    <row r="436" spans="1:20" ht="20.100000000000001" customHeight="1">
      <c r="A436" s="1169" t="s">
        <v>2957</v>
      </c>
      <c r="B436" s="1169" t="s">
        <v>3</v>
      </c>
      <c r="C436" s="1169" t="s">
        <v>2002</v>
      </c>
      <c r="D436" s="728">
        <v>-140</v>
      </c>
      <c r="E436" s="728">
        <v>-280</v>
      </c>
      <c r="F436" s="728">
        <v>-280</v>
      </c>
      <c r="G436" s="699" t="s">
        <v>491</v>
      </c>
      <c r="H436" s="47">
        <v>1</v>
      </c>
      <c r="I436" s="566" t="s">
        <v>17</v>
      </c>
      <c r="J436" s="569" t="s">
        <v>74</v>
      </c>
      <c r="K436" s="554">
        <v>5</v>
      </c>
      <c r="L436" s="570" t="s">
        <v>641</v>
      </c>
      <c r="M436" s="547">
        <v>43080</v>
      </c>
      <c r="N436" s="547">
        <v>43086</v>
      </c>
      <c r="O436" s="544" t="s">
        <v>955</v>
      </c>
      <c r="P436" s="755" t="s">
        <v>4087</v>
      </c>
      <c r="Q436" s="683"/>
      <c r="R436" s="556" t="s">
        <v>275</v>
      </c>
      <c r="S436" s="704" t="s">
        <v>1176</v>
      </c>
      <c r="T436" s="338" t="s">
        <v>1678</v>
      </c>
    </row>
    <row r="437" spans="1:20" ht="20.100000000000001" customHeight="1">
      <c r="A437" s="1169" t="s">
        <v>2957</v>
      </c>
      <c r="B437" s="1169" t="s">
        <v>3</v>
      </c>
      <c r="C437" s="1169" t="s">
        <v>2002</v>
      </c>
      <c r="D437" s="525">
        <v>-105</v>
      </c>
      <c r="E437" s="525">
        <v>-210</v>
      </c>
      <c r="F437" s="525">
        <v>-210</v>
      </c>
      <c r="G437" s="699" t="s">
        <v>814</v>
      </c>
      <c r="H437" s="47">
        <v>1</v>
      </c>
      <c r="I437" s="566" t="s">
        <v>17</v>
      </c>
      <c r="J437" s="569" t="s">
        <v>74</v>
      </c>
      <c r="K437" s="554">
        <v>5</v>
      </c>
      <c r="L437" s="570" t="s">
        <v>641</v>
      </c>
      <c r="M437" s="547">
        <v>43080</v>
      </c>
      <c r="N437" s="547">
        <v>43086</v>
      </c>
      <c r="O437" s="544" t="s">
        <v>955</v>
      </c>
      <c r="P437" s="572" t="s">
        <v>793</v>
      </c>
      <c r="Q437" s="683"/>
      <c r="R437" s="556" t="s">
        <v>1687</v>
      </c>
      <c r="S437" s="319" t="s">
        <v>1176</v>
      </c>
      <c r="T437" s="317" t="s">
        <v>2872</v>
      </c>
    </row>
    <row r="438" spans="1:20" ht="20.100000000000001" customHeight="1">
      <c r="A438" s="1169" t="s">
        <v>2957</v>
      </c>
      <c r="B438" s="1169" t="s">
        <v>3</v>
      </c>
      <c r="C438" s="1169" t="s">
        <v>2002</v>
      </c>
      <c r="D438" s="525">
        <v>-80</v>
      </c>
      <c r="E438" s="525">
        <v>-160</v>
      </c>
      <c r="F438" s="525">
        <v>-160</v>
      </c>
      <c r="G438" s="36" t="s">
        <v>232</v>
      </c>
      <c r="H438" s="47">
        <v>1</v>
      </c>
      <c r="I438" s="566" t="s">
        <v>17</v>
      </c>
      <c r="J438" s="569" t="s">
        <v>74</v>
      </c>
      <c r="K438" s="554">
        <v>5</v>
      </c>
      <c r="L438" s="570" t="s">
        <v>641</v>
      </c>
      <c r="M438" s="551">
        <v>43080</v>
      </c>
      <c r="N438" s="551">
        <v>43086</v>
      </c>
      <c r="O438" s="544" t="s">
        <v>955</v>
      </c>
      <c r="P438" s="553" t="s">
        <v>628</v>
      </c>
      <c r="Q438" s="683"/>
      <c r="R438" s="561" t="s">
        <v>1333</v>
      </c>
      <c r="S438" s="325"/>
      <c r="T438" s="317" t="s">
        <v>1678</v>
      </c>
    </row>
    <row r="439" spans="1:20" ht="20.100000000000001" customHeight="1">
      <c r="A439" s="1169" t="s">
        <v>2957</v>
      </c>
      <c r="B439" s="1169" t="s">
        <v>3</v>
      </c>
      <c r="C439" s="1169" t="s">
        <v>2002</v>
      </c>
      <c r="D439" s="1062">
        <v>-60</v>
      </c>
      <c r="E439" s="1062">
        <v>-80</v>
      </c>
      <c r="F439" s="1062">
        <v>-80</v>
      </c>
      <c r="G439" s="36" t="s">
        <v>87</v>
      </c>
      <c r="H439" s="47">
        <v>1</v>
      </c>
      <c r="I439" s="542" t="s">
        <v>17</v>
      </c>
      <c r="J439" s="569" t="s">
        <v>74</v>
      </c>
      <c r="K439" s="554">
        <v>5</v>
      </c>
      <c r="L439" s="570" t="s">
        <v>641</v>
      </c>
      <c r="M439" s="551">
        <v>43085</v>
      </c>
      <c r="N439" s="551">
        <v>43090</v>
      </c>
      <c r="O439" s="544" t="s">
        <v>955</v>
      </c>
      <c r="P439" s="553" t="s">
        <v>2097</v>
      </c>
      <c r="Q439" s="683"/>
      <c r="R439" s="561" t="s">
        <v>1333</v>
      </c>
      <c r="S439" s="315" t="s">
        <v>2849</v>
      </c>
      <c r="T439" s="338" t="s">
        <v>1678</v>
      </c>
    </row>
    <row r="440" spans="1:20" ht="20.100000000000001" customHeight="1">
      <c r="A440" s="1169" t="s">
        <v>2957</v>
      </c>
      <c r="B440" s="1169" t="s">
        <v>3</v>
      </c>
      <c r="C440" s="1169" t="s">
        <v>2002</v>
      </c>
      <c r="D440" s="728">
        <v>-40</v>
      </c>
      <c r="E440" s="728">
        <v>-80</v>
      </c>
      <c r="F440" s="728">
        <v>-80</v>
      </c>
      <c r="G440" s="47" t="s">
        <v>1535</v>
      </c>
      <c r="H440" s="47">
        <v>1</v>
      </c>
      <c r="I440" s="566" t="s">
        <v>17</v>
      </c>
      <c r="J440" s="569" t="s">
        <v>74</v>
      </c>
      <c r="K440" s="554">
        <v>5</v>
      </c>
      <c r="L440" s="570" t="s">
        <v>641</v>
      </c>
      <c r="M440" s="549">
        <v>43080</v>
      </c>
      <c r="N440" s="549">
        <v>43086</v>
      </c>
      <c r="O440" s="544" t="s">
        <v>955</v>
      </c>
      <c r="P440" s="578" t="s">
        <v>1409</v>
      </c>
      <c r="Q440" s="683"/>
      <c r="R440" s="561" t="s">
        <v>1333</v>
      </c>
      <c r="S440" s="325"/>
      <c r="T440" s="338"/>
    </row>
    <row r="441" spans="1:20" ht="20.100000000000001" customHeight="1">
      <c r="A441" s="1169" t="s">
        <v>2957</v>
      </c>
      <c r="B441" s="1169" t="s">
        <v>3</v>
      </c>
      <c r="C441" s="1169" t="s">
        <v>2002</v>
      </c>
      <c r="D441" s="320">
        <v>-175</v>
      </c>
      <c r="E441" s="320">
        <v>-350</v>
      </c>
      <c r="F441" s="320">
        <v>-350</v>
      </c>
      <c r="G441" s="224" t="s">
        <v>51</v>
      </c>
      <c r="H441" s="56" t="s">
        <v>4069</v>
      </c>
      <c r="I441" s="542" t="s">
        <v>17</v>
      </c>
      <c r="J441" s="569" t="s">
        <v>74</v>
      </c>
      <c r="K441" s="34" t="s">
        <v>4070</v>
      </c>
      <c r="L441" s="51" t="s">
        <v>3039</v>
      </c>
      <c r="M441" s="381">
        <v>43084</v>
      </c>
      <c r="N441" s="381">
        <v>43088</v>
      </c>
      <c r="O441" s="544" t="s">
        <v>955</v>
      </c>
      <c r="P441" s="550" t="s">
        <v>1675</v>
      </c>
      <c r="Q441" s="683"/>
      <c r="R441" s="546" t="s">
        <v>960</v>
      </c>
      <c r="S441" s="319"/>
      <c r="T441" s="317">
        <v>12</v>
      </c>
    </row>
    <row r="442" spans="1:20" ht="20.100000000000001" customHeight="1">
      <c r="A442" s="1169" t="s">
        <v>2957</v>
      </c>
      <c r="B442" s="1169" t="s">
        <v>3</v>
      </c>
      <c r="C442" s="1169" t="s">
        <v>2002</v>
      </c>
      <c r="D442" s="525">
        <v>-105</v>
      </c>
      <c r="E442" s="525">
        <v>-210</v>
      </c>
      <c r="F442" s="525">
        <v>-210</v>
      </c>
      <c r="G442" s="224" t="s">
        <v>814</v>
      </c>
      <c r="H442" s="48">
        <v>3</v>
      </c>
      <c r="I442" s="566" t="s">
        <v>17</v>
      </c>
      <c r="J442" s="542" t="s">
        <v>74</v>
      </c>
      <c r="K442" s="566">
        <v>4</v>
      </c>
      <c r="L442" s="542" t="s">
        <v>649</v>
      </c>
      <c r="M442" s="547">
        <v>43080</v>
      </c>
      <c r="N442" s="547">
        <v>43086</v>
      </c>
      <c r="O442" s="544" t="s">
        <v>955</v>
      </c>
      <c r="P442" s="572" t="s">
        <v>793</v>
      </c>
      <c r="Q442" s="52"/>
      <c r="R442" s="546" t="s">
        <v>193</v>
      </c>
      <c r="S442" s="319" t="s">
        <v>1176</v>
      </c>
      <c r="T442" s="317" t="s">
        <v>2872</v>
      </c>
    </row>
    <row r="443" spans="1:20" ht="20.100000000000001" customHeight="1">
      <c r="A443" s="1169" t="s">
        <v>2957</v>
      </c>
      <c r="B443" s="1169" t="s">
        <v>3</v>
      </c>
      <c r="C443" s="1169" t="s">
        <v>2002</v>
      </c>
      <c r="D443" s="32">
        <v>-95</v>
      </c>
      <c r="E443" s="32">
        <v>-190</v>
      </c>
      <c r="F443" s="32">
        <v>-190</v>
      </c>
      <c r="G443" s="224" t="s">
        <v>434</v>
      </c>
      <c r="H443" s="48">
        <v>3</v>
      </c>
      <c r="I443" s="558" t="s">
        <v>17</v>
      </c>
      <c r="J443" s="542" t="s">
        <v>74</v>
      </c>
      <c r="K443" s="564">
        <v>4</v>
      </c>
      <c r="L443" s="542" t="s">
        <v>649</v>
      </c>
      <c r="M443" s="549">
        <v>43080</v>
      </c>
      <c r="N443" s="549">
        <v>43093</v>
      </c>
      <c r="O443" s="544" t="s">
        <v>955</v>
      </c>
      <c r="P443" s="578" t="s">
        <v>1418</v>
      </c>
      <c r="Q443" s="52"/>
      <c r="R443" s="546" t="s">
        <v>193</v>
      </c>
      <c r="S443" s="321" t="s">
        <v>1176</v>
      </c>
      <c r="T443" s="317" t="s">
        <v>2824</v>
      </c>
    </row>
    <row r="444" spans="1:20" ht="20.100000000000001" customHeight="1">
      <c r="A444" s="1169" t="s">
        <v>2957</v>
      </c>
      <c r="B444" s="1169" t="s">
        <v>3</v>
      </c>
      <c r="C444" s="1169" t="s">
        <v>2002</v>
      </c>
      <c r="D444" s="1062">
        <v>-60</v>
      </c>
      <c r="E444" s="1062">
        <v>-80</v>
      </c>
      <c r="F444" s="1062">
        <v>-80</v>
      </c>
      <c r="G444" s="66" t="s">
        <v>87</v>
      </c>
      <c r="H444" s="48">
        <v>3</v>
      </c>
      <c r="I444" s="557" t="s">
        <v>17</v>
      </c>
      <c r="J444" s="542" t="s">
        <v>74</v>
      </c>
      <c r="K444" s="564">
        <v>4</v>
      </c>
      <c r="L444" s="542" t="s">
        <v>649</v>
      </c>
      <c r="M444" s="551">
        <v>43085</v>
      </c>
      <c r="N444" s="551">
        <v>43090</v>
      </c>
      <c r="O444" s="544" t="s">
        <v>955</v>
      </c>
      <c r="P444" s="553" t="s">
        <v>817</v>
      </c>
      <c r="Q444" s="52"/>
      <c r="R444" s="555" t="s">
        <v>193</v>
      </c>
      <c r="S444" s="315" t="s">
        <v>2849</v>
      </c>
      <c r="T444" s="338" t="s">
        <v>1678</v>
      </c>
    </row>
    <row r="445" spans="1:20" ht="20.100000000000001" customHeight="1">
      <c r="A445" s="1169" t="s">
        <v>2957</v>
      </c>
      <c r="B445" s="1169" t="s">
        <v>3</v>
      </c>
      <c r="C445" s="1169" t="s">
        <v>2002</v>
      </c>
      <c r="D445" s="728">
        <v>-90</v>
      </c>
      <c r="E445" s="728">
        <v>-180</v>
      </c>
      <c r="F445" s="728">
        <v>-180</v>
      </c>
      <c r="G445" s="69" t="s">
        <v>142</v>
      </c>
      <c r="H445" s="48">
        <v>3</v>
      </c>
      <c r="I445" s="559" t="s">
        <v>17</v>
      </c>
      <c r="J445" s="542" t="s">
        <v>74</v>
      </c>
      <c r="K445" s="559">
        <v>4</v>
      </c>
      <c r="L445" s="542" t="s">
        <v>649</v>
      </c>
      <c r="M445" s="549">
        <v>43082</v>
      </c>
      <c r="N445" s="9">
        <v>43084</v>
      </c>
      <c r="O445" s="544" t="s">
        <v>955</v>
      </c>
      <c r="P445" s="560"/>
      <c r="Q445" s="52"/>
      <c r="R445" s="546" t="s">
        <v>193</v>
      </c>
      <c r="S445" s="319"/>
      <c r="T445" s="338"/>
    </row>
    <row r="446" spans="1:20" ht="20.100000000000001" customHeight="1">
      <c r="A446" s="1169" t="s">
        <v>2957</v>
      </c>
      <c r="B446" s="1169" t="s">
        <v>3</v>
      </c>
      <c r="C446" s="1169" t="s">
        <v>2002</v>
      </c>
      <c r="D446" s="935">
        <v>-180</v>
      </c>
      <c r="E446" s="935">
        <v>-360</v>
      </c>
      <c r="F446" s="935">
        <v>-360</v>
      </c>
      <c r="G446" s="699" t="s">
        <v>147</v>
      </c>
      <c r="H446" s="56" t="s">
        <v>659</v>
      </c>
      <c r="I446" s="542" t="s">
        <v>17</v>
      </c>
      <c r="J446" s="569" t="s">
        <v>74</v>
      </c>
      <c r="K446" s="566" t="s">
        <v>721</v>
      </c>
      <c r="L446" s="559" t="s">
        <v>639</v>
      </c>
      <c r="M446" s="547">
        <v>43087</v>
      </c>
      <c r="N446" s="547">
        <v>43093</v>
      </c>
      <c r="O446" s="544" t="s">
        <v>955</v>
      </c>
      <c r="P446" s="553"/>
      <c r="Q446" s="60"/>
      <c r="R446" s="546" t="s">
        <v>1516</v>
      </c>
      <c r="S446" s="319"/>
      <c r="T446" s="338" t="s">
        <v>1678</v>
      </c>
    </row>
    <row r="447" spans="1:20" ht="20.100000000000001" customHeight="1">
      <c r="A447" s="1169" t="s">
        <v>2957</v>
      </c>
      <c r="B447" s="1169" t="s">
        <v>3</v>
      </c>
      <c r="C447" s="1169" t="s">
        <v>2002</v>
      </c>
      <c r="D447" s="525">
        <v>135</v>
      </c>
      <c r="E447" s="525">
        <v>295</v>
      </c>
      <c r="F447" s="525">
        <v>295</v>
      </c>
      <c r="G447" s="36" t="s">
        <v>62</v>
      </c>
      <c r="H447" s="56" t="s">
        <v>659</v>
      </c>
      <c r="I447" s="542" t="s">
        <v>17</v>
      </c>
      <c r="J447" s="569" t="s">
        <v>74</v>
      </c>
      <c r="K447" s="566" t="s">
        <v>721</v>
      </c>
      <c r="L447" s="559" t="s">
        <v>639</v>
      </c>
      <c r="M447" s="549">
        <v>43080</v>
      </c>
      <c r="N447" s="549">
        <v>43086</v>
      </c>
      <c r="O447" s="544" t="s">
        <v>955</v>
      </c>
      <c r="P447" s="61" t="s">
        <v>4081</v>
      </c>
      <c r="Q447" s="60"/>
      <c r="R447" s="561" t="s">
        <v>917</v>
      </c>
      <c r="S447" s="315" t="s">
        <v>2848</v>
      </c>
      <c r="T447" s="338" t="s">
        <v>1988</v>
      </c>
    </row>
    <row r="448" spans="1:20" ht="20.100000000000001" customHeight="1">
      <c r="A448" s="1169" t="s">
        <v>2957</v>
      </c>
      <c r="B448" s="1169" t="s">
        <v>3</v>
      </c>
      <c r="C448" s="1169" t="s">
        <v>2002</v>
      </c>
      <c r="D448" s="525">
        <v>-10</v>
      </c>
      <c r="E448" s="525">
        <v>-20</v>
      </c>
      <c r="F448" s="525">
        <v>-20</v>
      </c>
      <c r="G448" s="36" t="s">
        <v>432</v>
      </c>
      <c r="H448" s="56" t="s">
        <v>659</v>
      </c>
      <c r="I448" s="542" t="s">
        <v>17</v>
      </c>
      <c r="J448" s="569" t="s">
        <v>74</v>
      </c>
      <c r="K448" s="566" t="s">
        <v>721</v>
      </c>
      <c r="L448" s="559" t="s">
        <v>639</v>
      </c>
      <c r="M448" s="549">
        <v>43089</v>
      </c>
      <c r="N448" s="549">
        <v>43093</v>
      </c>
      <c r="O448" s="544" t="s">
        <v>955</v>
      </c>
      <c r="P448" s="545" t="s">
        <v>915</v>
      </c>
      <c r="Q448" s="60"/>
      <c r="R448" s="561" t="s">
        <v>1516</v>
      </c>
      <c r="S448" s="704" t="s">
        <v>1176</v>
      </c>
      <c r="T448" s="338"/>
    </row>
    <row r="449" spans="1:20" ht="20.100000000000001" customHeight="1">
      <c r="A449" s="1169" t="s">
        <v>2957</v>
      </c>
      <c r="B449" s="1169" t="s">
        <v>3</v>
      </c>
      <c r="C449" s="1169" t="s">
        <v>2002</v>
      </c>
      <c r="D449" s="525">
        <v>-25</v>
      </c>
      <c r="E449" s="525">
        <v>-50</v>
      </c>
      <c r="F449" s="525">
        <v>-50</v>
      </c>
      <c r="G449" s="36" t="s">
        <v>12</v>
      </c>
      <c r="H449" s="56" t="s">
        <v>659</v>
      </c>
      <c r="I449" s="542" t="s">
        <v>17</v>
      </c>
      <c r="J449" s="569" t="s">
        <v>74</v>
      </c>
      <c r="K449" s="566" t="s">
        <v>721</v>
      </c>
      <c r="L449" s="559" t="s">
        <v>639</v>
      </c>
      <c r="M449" s="551">
        <v>43075</v>
      </c>
      <c r="N449" s="551">
        <v>43075</v>
      </c>
      <c r="O449" s="544" t="s">
        <v>955</v>
      </c>
      <c r="P449" s="550" t="s">
        <v>876</v>
      </c>
      <c r="Q449" s="60"/>
      <c r="R449" s="561" t="s">
        <v>2794</v>
      </c>
      <c r="S449" s="704"/>
      <c r="T449" s="338" t="s">
        <v>1994</v>
      </c>
    </row>
    <row r="450" spans="1:20" ht="20.100000000000001" customHeight="1">
      <c r="A450" s="1169" t="s">
        <v>2957</v>
      </c>
      <c r="B450" s="1169" t="s">
        <v>3</v>
      </c>
      <c r="C450" s="1169" t="s">
        <v>2002</v>
      </c>
      <c r="D450" s="320">
        <v>80</v>
      </c>
      <c r="E450" s="320">
        <v>160</v>
      </c>
      <c r="F450" s="320">
        <v>160</v>
      </c>
      <c r="G450" s="36" t="s">
        <v>36</v>
      </c>
      <c r="H450" s="48">
        <v>3</v>
      </c>
      <c r="I450" s="566" t="s">
        <v>17</v>
      </c>
      <c r="J450" s="567" t="s">
        <v>74</v>
      </c>
      <c r="K450" s="566" t="s">
        <v>681</v>
      </c>
      <c r="L450" s="559" t="s">
        <v>649</v>
      </c>
      <c r="M450" s="551">
        <v>43089</v>
      </c>
      <c r="N450" s="551">
        <v>43089</v>
      </c>
      <c r="O450" s="544" t="s">
        <v>955</v>
      </c>
      <c r="P450" s="550" t="s">
        <v>1503</v>
      </c>
      <c r="Q450" s="683"/>
      <c r="R450" s="561" t="s">
        <v>1134</v>
      </c>
      <c r="S450" s="315" t="s">
        <v>2852</v>
      </c>
      <c r="T450" s="317">
        <v>14</v>
      </c>
    </row>
    <row r="451" spans="1:20" ht="20.100000000000001" customHeight="1">
      <c r="A451" s="1169" t="s">
        <v>2957</v>
      </c>
      <c r="B451" s="1169" t="s">
        <v>3</v>
      </c>
      <c r="C451" s="1169" t="s">
        <v>2002</v>
      </c>
      <c r="D451" s="525">
        <v>-115</v>
      </c>
      <c r="E451" s="525">
        <v>-230</v>
      </c>
      <c r="F451" s="525">
        <v>-230</v>
      </c>
      <c r="G451" s="18" t="s">
        <v>3876</v>
      </c>
      <c r="H451" s="56" t="s">
        <v>725</v>
      </c>
      <c r="I451" s="557" t="s">
        <v>17</v>
      </c>
      <c r="J451" s="567" t="s">
        <v>74</v>
      </c>
      <c r="K451" s="569" t="s">
        <v>681</v>
      </c>
      <c r="L451" s="559" t="s">
        <v>641</v>
      </c>
      <c r="M451" s="547">
        <v>43083</v>
      </c>
      <c r="N451" s="547">
        <v>43086</v>
      </c>
      <c r="O451" s="25" t="s">
        <v>4068</v>
      </c>
      <c r="P451" s="14" t="s">
        <v>3835</v>
      </c>
      <c r="Q451" s="683"/>
      <c r="R451" s="546" t="s">
        <v>1254</v>
      </c>
      <c r="S451" s="704" t="s">
        <v>1176</v>
      </c>
      <c r="T451" s="317" t="s">
        <v>3883</v>
      </c>
    </row>
    <row r="452" spans="1:20" ht="20.100000000000001" customHeight="1">
      <c r="A452" s="1169" t="s">
        <v>2957</v>
      </c>
      <c r="B452" s="1169" t="s">
        <v>3</v>
      </c>
      <c r="C452" s="1169" t="s">
        <v>2002</v>
      </c>
      <c r="D452" s="525">
        <v>-80</v>
      </c>
      <c r="E452" s="525">
        <v>-160</v>
      </c>
      <c r="F452" s="525">
        <v>-160</v>
      </c>
      <c r="G452" s="696" t="s">
        <v>558</v>
      </c>
      <c r="H452" s="56" t="s">
        <v>725</v>
      </c>
      <c r="I452" s="557" t="s">
        <v>17</v>
      </c>
      <c r="J452" s="567" t="s">
        <v>74</v>
      </c>
      <c r="K452" s="569" t="s">
        <v>681</v>
      </c>
      <c r="L452" s="559" t="s">
        <v>641</v>
      </c>
      <c r="M452" s="549">
        <v>43083</v>
      </c>
      <c r="N452" s="549">
        <v>43086</v>
      </c>
      <c r="O452" s="544" t="s">
        <v>955</v>
      </c>
      <c r="P452" s="14" t="s">
        <v>4165</v>
      </c>
      <c r="Q452" s="7"/>
      <c r="R452" s="546" t="s">
        <v>1254</v>
      </c>
      <c r="S452" s="325"/>
      <c r="T452" s="338"/>
    </row>
    <row r="453" spans="1:20" ht="20.100000000000001" customHeight="1">
      <c r="A453" s="1169" t="s">
        <v>2957</v>
      </c>
      <c r="B453" s="1169" t="s">
        <v>3</v>
      </c>
      <c r="C453" s="1169" t="s">
        <v>2002</v>
      </c>
      <c r="D453" s="728">
        <v>-110</v>
      </c>
      <c r="E453" s="728">
        <v>-220</v>
      </c>
      <c r="F453" s="728">
        <v>-220</v>
      </c>
      <c r="G453" s="70" t="s">
        <v>29</v>
      </c>
      <c r="H453" s="56" t="s">
        <v>725</v>
      </c>
      <c r="I453" s="557" t="s">
        <v>17</v>
      </c>
      <c r="J453" s="567" t="s">
        <v>74</v>
      </c>
      <c r="K453" s="569" t="s">
        <v>681</v>
      </c>
      <c r="L453" s="559" t="s">
        <v>641</v>
      </c>
      <c r="M453" s="547">
        <v>43083</v>
      </c>
      <c r="N453" s="547">
        <v>43086</v>
      </c>
      <c r="O453" s="544" t="s">
        <v>955</v>
      </c>
      <c r="P453" s="755" t="s">
        <v>3835</v>
      </c>
      <c r="Q453" s="7"/>
      <c r="R453" s="561" t="s">
        <v>1254</v>
      </c>
      <c r="S453" s="319" t="s">
        <v>1176</v>
      </c>
      <c r="T453" s="338" t="s">
        <v>1988</v>
      </c>
    </row>
    <row r="454" spans="1:20" ht="20.100000000000001" customHeight="1">
      <c r="A454" s="1169" t="s">
        <v>2957</v>
      </c>
      <c r="B454" s="1169" t="s">
        <v>3</v>
      </c>
      <c r="C454" s="1169" t="s">
        <v>2002</v>
      </c>
      <c r="D454" s="728">
        <v>-140</v>
      </c>
      <c r="E454" s="728">
        <v>-280</v>
      </c>
      <c r="F454" s="728">
        <v>-280</v>
      </c>
      <c r="G454" s="699" t="s">
        <v>491</v>
      </c>
      <c r="H454" s="56" t="s">
        <v>725</v>
      </c>
      <c r="I454" s="559" t="s">
        <v>17</v>
      </c>
      <c r="J454" s="542" t="s">
        <v>74</v>
      </c>
      <c r="K454" s="569" t="s">
        <v>725</v>
      </c>
      <c r="L454" s="542" t="s">
        <v>639</v>
      </c>
      <c r="M454" s="547">
        <v>43080</v>
      </c>
      <c r="N454" s="547">
        <v>43086</v>
      </c>
      <c r="O454" s="544" t="s">
        <v>955</v>
      </c>
      <c r="P454" s="755" t="s">
        <v>4087</v>
      </c>
      <c r="Q454" s="7"/>
      <c r="R454" s="546" t="s">
        <v>2266</v>
      </c>
      <c r="S454" s="704" t="s">
        <v>1176</v>
      </c>
      <c r="T454" s="338" t="s">
        <v>1678</v>
      </c>
    </row>
    <row r="455" spans="1:20" ht="20.100000000000001" customHeight="1">
      <c r="A455" s="1169" t="s">
        <v>2957</v>
      </c>
      <c r="B455" s="1169" t="s">
        <v>3</v>
      </c>
      <c r="C455" s="1169" t="s">
        <v>2002</v>
      </c>
      <c r="D455" s="1062">
        <v>-60</v>
      </c>
      <c r="E455" s="1062">
        <v>-80</v>
      </c>
      <c r="F455" s="1062">
        <v>-80</v>
      </c>
      <c r="G455" s="66" t="s">
        <v>87</v>
      </c>
      <c r="H455" s="56" t="s">
        <v>725</v>
      </c>
      <c r="I455" s="559" t="s">
        <v>17</v>
      </c>
      <c r="J455" s="542" t="s">
        <v>74</v>
      </c>
      <c r="K455" s="569" t="s">
        <v>725</v>
      </c>
      <c r="L455" s="542" t="s">
        <v>639</v>
      </c>
      <c r="M455" s="551">
        <v>43085</v>
      </c>
      <c r="N455" s="551">
        <v>43090</v>
      </c>
      <c r="O455" s="544" t="s">
        <v>955</v>
      </c>
      <c r="P455" s="553" t="s">
        <v>817</v>
      </c>
      <c r="Q455" s="7"/>
      <c r="R455" s="546" t="s">
        <v>2266</v>
      </c>
      <c r="S455" s="315" t="s">
        <v>2849</v>
      </c>
      <c r="T455" s="338" t="s">
        <v>1678</v>
      </c>
    </row>
    <row r="456" spans="1:20" ht="20.100000000000001" customHeight="1">
      <c r="A456" s="1169" t="s">
        <v>2957</v>
      </c>
      <c r="B456" s="1169" t="s">
        <v>3</v>
      </c>
      <c r="C456" s="1169" t="s">
        <v>2002</v>
      </c>
      <c r="D456" s="728">
        <v>-90</v>
      </c>
      <c r="E456" s="728">
        <v>-180</v>
      </c>
      <c r="F456" s="728">
        <v>-180</v>
      </c>
      <c r="G456" s="70" t="s">
        <v>142</v>
      </c>
      <c r="H456" s="56" t="s">
        <v>2264</v>
      </c>
      <c r="I456" s="559" t="s">
        <v>17</v>
      </c>
      <c r="J456" s="542" t="s">
        <v>74</v>
      </c>
      <c r="K456" s="569" t="s">
        <v>2264</v>
      </c>
      <c r="L456" s="542" t="s">
        <v>639</v>
      </c>
      <c r="M456" s="549">
        <v>43082</v>
      </c>
      <c r="N456" s="9">
        <v>43084</v>
      </c>
      <c r="O456" s="544" t="s">
        <v>955</v>
      </c>
      <c r="P456" s="550"/>
      <c r="Q456" s="7"/>
      <c r="R456" s="546" t="s">
        <v>2266</v>
      </c>
      <c r="S456" s="319"/>
      <c r="T456" s="338"/>
    </row>
    <row r="457" spans="1:20" ht="20.100000000000001" customHeight="1">
      <c r="A457" s="1169" t="s">
        <v>2957</v>
      </c>
      <c r="B457" s="1169" t="s">
        <v>3</v>
      </c>
      <c r="C457" s="1169" t="s">
        <v>2002</v>
      </c>
      <c r="D457" s="525">
        <v>-100</v>
      </c>
      <c r="E457" s="525">
        <v>-200</v>
      </c>
      <c r="F457" s="525">
        <v>-200</v>
      </c>
      <c r="G457" s="36" t="s">
        <v>232</v>
      </c>
      <c r="H457" s="56" t="s">
        <v>2264</v>
      </c>
      <c r="I457" s="559" t="s">
        <v>17</v>
      </c>
      <c r="J457" s="542" t="s">
        <v>74</v>
      </c>
      <c r="K457" s="569" t="s">
        <v>2264</v>
      </c>
      <c r="L457" s="542" t="s">
        <v>639</v>
      </c>
      <c r="M457" s="551">
        <v>43080</v>
      </c>
      <c r="N457" s="551">
        <v>43086</v>
      </c>
      <c r="O457" s="544" t="s">
        <v>955</v>
      </c>
      <c r="P457" s="553" t="s">
        <v>628</v>
      </c>
      <c r="Q457" s="7"/>
      <c r="R457" s="546" t="s">
        <v>2266</v>
      </c>
      <c r="S457" s="325"/>
      <c r="T457" s="317" t="s">
        <v>1678</v>
      </c>
    </row>
    <row r="458" spans="1:20" ht="20.100000000000001" customHeight="1">
      <c r="A458" s="1169" t="s">
        <v>2957</v>
      </c>
      <c r="B458" s="1169" t="s">
        <v>3</v>
      </c>
      <c r="C458" s="1169" t="s">
        <v>2002</v>
      </c>
      <c r="D458" s="525">
        <v>-115</v>
      </c>
      <c r="E458" s="525">
        <v>-230</v>
      </c>
      <c r="F458" s="525">
        <v>-230</v>
      </c>
      <c r="G458" s="18" t="s">
        <v>3876</v>
      </c>
      <c r="H458" s="48">
        <v>6</v>
      </c>
      <c r="I458" s="557" t="s">
        <v>17</v>
      </c>
      <c r="J458" s="567" t="s">
        <v>74</v>
      </c>
      <c r="K458" s="569">
        <v>4</v>
      </c>
      <c r="L458" s="542" t="s">
        <v>649</v>
      </c>
      <c r="M458" s="547">
        <v>43083</v>
      </c>
      <c r="N458" s="547">
        <v>43086</v>
      </c>
      <c r="O458" s="25" t="s">
        <v>4068</v>
      </c>
      <c r="P458" s="14" t="s">
        <v>3835</v>
      </c>
      <c r="Q458" s="683"/>
      <c r="R458" s="546" t="s">
        <v>471</v>
      </c>
      <c r="S458" s="704" t="s">
        <v>1176</v>
      </c>
      <c r="T458" s="317" t="s">
        <v>3883</v>
      </c>
    </row>
    <row r="459" spans="1:20" ht="20.100000000000001" customHeight="1">
      <c r="A459" s="1169" t="s">
        <v>2957</v>
      </c>
      <c r="B459" s="1169" t="s">
        <v>3</v>
      </c>
      <c r="C459" s="1169" t="s">
        <v>2002</v>
      </c>
      <c r="D459" s="320">
        <v>80</v>
      </c>
      <c r="E459" s="320">
        <v>160</v>
      </c>
      <c r="F459" s="320">
        <v>160</v>
      </c>
      <c r="G459" s="36" t="s">
        <v>36</v>
      </c>
      <c r="H459" s="48">
        <v>6</v>
      </c>
      <c r="I459" s="557" t="s">
        <v>17</v>
      </c>
      <c r="J459" s="567" t="s">
        <v>74</v>
      </c>
      <c r="K459" s="569">
        <v>4</v>
      </c>
      <c r="L459" s="542" t="s">
        <v>649</v>
      </c>
      <c r="M459" s="551">
        <v>43085</v>
      </c>
      <c r="N459" s="551">
        <v>43089</v>
      </c>
      <c r="O459" s="544" t="s">
        <v>955</v>
      </c>
      <c r="P459" s="550" t="s">
        <v>1503</v>
      </c>
      <c r="Q459" s="683"/>
      <c r="R459" s="546" t="s">
        <v>471</v>
      </c>
      <c r="S459" s="315" t="s">
        <v>2852</v>
      </c>
      <c r="T459" s="317">
        <v>14</v>
      </c>
    </row>
    <row r="460" spans="1:20" ht="20.100000000000001" customHeight="1">
      <c r="A460" s="1169" t="s">
        <v>2957</v>
      </c>
      <c r="B460" s="1169" t="s">
        <v>3</v>
      </c>
      <c r="C460" s="1169" t="s">
        <v>2002</v>
      </c>
      <c r="D460" s="728">
        <v>-60</v>
      </c>
      <c r="E460" s="728">
        <v>-120</v>
      </c>
      <c r="F460" s="728">
        <v>-120</v>
      </c>
      <c r="G460" s="36" t="s">
        <v>29</v>
      </c>
      <c r="H460" s="48">
        <v>6</v>
      </c>
      <c r="I460" s="557" t="s">
        <v>17</v>
      </c>
      <c r="J460" s="567" t="s">
        <v>74</v>
      </c>
      <c r="K460" s="569">
        <v>4</v>
      </c>
      <c r="L460" s="542" t="s">
        <v>649</v>
      </c>
      <c r="M460" s="547">
        <v>43083</v>
      </c>
      <c r="N460" s="547">
        <v>43086</v>
      </c>
      <c r="O460" s="544" t="s">
        <v>955</v>
      </c>
      <c r="P460" s="755" t="s">
        <v>3835</v>
      </c>
      <c r="Q460" s="683"/>
      <c r="R460" s="546" t="s">
        <v>471</v>
      </c>
      <c r="S460" s="319" t="s">
        <v>1176</v>
      </c>
      <c r="T460" s="338" t="s">
        <v>1988</v>
      </c>
    </row>
    <row r="461" spans="1:20" ht="20.100000000000001" customHeight="1">
      <c r="A461" s="1169" t="s">
        <v>2957</v>
      </c>
      <c r="B461" s="1169" t="s">
        <v>3</v>
      </c>
      <c r="C461" s="1169" t="s">
        <v>2002</v>
      </c>
      <c r="D461" s="11">
        <v>140</v>
      </c>
      <c r="E461" s="11">
        <v>280</v>
      </c>
      <c r="F461" s="11">
        <v>280</v>
      </c>
      <c r="G461" s="48" t="s">
        <v>28</v>
      </c>
      <c r="H461" s="48">
        <v>6</v>
      </c>
      <c r="I461" s="557" t="s">
        <v>17</v>
      </c>
      <c r="J461" s="567" t="s">
        <v>74</v>
      </c>
      <c r="K461" s="569">
        <v>4</v>
      </c>
      <c r="L461" s="542" t="s">
        <v>649</v>
      </c>
      <c r="M461" s="549">
        <v>43076</v>
      </c>
      <c r="N461" s="549">
        <v>43089</v>
      </c>
      <c r="O461" s="544" t="s">
        <v>955</v>
      </c>
      <c r="P461" s="550" t="s">
        <v>1524</v>
      </c>
      <c r="Q461" s="683"/>
      <c r="R461" s="546" t="s">
        <v>471</v>
      </c>
      <c r="S461" s="316" t="s">
        <v>1176</v>
      </c>
      <c r="T461" s="338"/>
    </row>
    <row r="462" spans="1:20" ht="20.100000000000001" customHeight="1">
      <c r="A462" s="1169" t="s">
        <v>2957</v>
      </c>
      <c r="B462" s="1169" t="s">
        <v>3</v>
      </c>
      <c r="C462" s="1169" t="s">
        <v>2002</v>
      </c>
      <c r="D462" s="525">
        <v>-80</v>
      </c>
      <c r="E462" s="525">
        <v>-160</v>
      </c>
      <c r="F462" s="525">
        <v>-160</v>
      </c>
      <c r="G462" s="696" t="s">
        <v>558</v>
      </c>
      <c r="H462" s="48">
        <v>6</v>
      </c>
      <c r="I462" s="557" t="s">
        <v>17</v>
      </c>
      <c r="J462" s="567" t="s">
        <v>74</v>
      </c>
      <c r="K462" s="569">
        <v>4</v>
      </c>
      <c r="L462" s="542" t="s">
        <v>649</v>
      </c>
      <c r="M462" s="549">
        <v>43083</v>
      </c>
      <c r="N462" s="549">
        <v>43086</v>
      </c>
      <c r="O462" s="544" t="s">
        <v>955</v>
      </c>
      <c r="P462" s="14" t="s">
        <v>4165</v>
      </c>
      <c r="Q462" s="683"/>
      <c r="R462" s="546" t="s">
        <v>471</v>
      </c>
      <c r="S462" s="319"/>
      <c r="T462" s="338"/>
    </row>
    <row r="463" spans="1:20" ht="20.100000000000001" customHeight="1">
      <c r="A463" s="1169" t="s">
        <v>2957</v>
      </c>
      <c r="B463" s="1169" t="s">
        <v>3</v>
      </c>
      <c r="C463" s="1169" t="s">
        <v>2002</v>
      </c>
      <c r="D463" s="320">
        <v>80</v>
      </c>
      <c r="E463" s="320">
        <v>160</v>
      </c>
      <c r="F463" s="320">
        <v>160</v>
      </c>
      <c r="G463" s="36" t="s">
        <v>36</v>
      </c>
      <c r="H463" s="36" t="s">
        <v>706</v>
      </c>
      <c r="I463" s="554" t="s">
        <v>17</v>
      </c>
      <c r="J463" s="569" t="s">
        <v>74</v>
      </c>
      <c r="K463" s="566" t="s">
        <v>659</v>
      </c>
      <c r="L463" s="570" t="s">
        <v>649</v>
      </c>
      <c r="M463" s="551">
        <v>43086</v>
      </c>
      <c r="N463" s="551">
        <v>43089</v>
      </c>
      <c r="O463" s="544" t="s">
        <v>955</v>
      </c>
      <c r="P463" s="550" t="s">
        <v>1503</v>
      </c>
      <c r="Q463" s="7"/>
      <c r="R463" s="561" t="s">
        <v>1390</v>
      </c>
      <c r="S463" s="315" t="s">
        <v>2852</v>
      </c>
      <c r="T463" s="317">
        <v>14</v>
      </c>
    </row>
    <row r="464" spans="1:20" ht="20.100000000000001" customHeight="1">
      <c r="A464" s="1169" t="s">
        <v>2957</v>
      </c>
      <c r="B464" s="1169" t="s">
        <v>3</v>
      </c>
      <c r="C464" s="1169" t="s">
        <v>2002</v>
      </c>
      <c r="D464" s="2">
        <v>70</v>
      </c>
      <c r="E464" s="2">
        <v>140</v>
      </c>
      <c r="F464" s="2">
        <v>140</v>
      </c>
      <c r="G464" s="628" t="s">
        <v>22</v>
      </c>
      <c r="H464" s="36" t="s">
        <v>729</v>
      </c>
      <c r="I464" s="559" t="s">
        <v>25</v>
      </c>
      <c r="J464" s="557" t="s">
        <v>74</v>
      </c>
      <c r="K464" s="554">
        <v>8</v>
      </c>
      <c r="L464" s="559" t="s">
        <v>643</v>
      </c>
      <c r="M464" s="547">
        <v>43009</v>
      </c>
      <c r="N464" s="547">
        <v>43069</v>
      </c>
      <c r="O464" s="544" t="s">
        <v>955</v>
      </c>
      <c r="P464" s="553" t="s">
        <v>1410</v>
      </c>
      <c r="Q464" s="7"/>
      <c r="R464" s="579" t="s">
        <v>1750</v>
      </c>
      <c r="S464" s="316" t="s">
        <v>1176</v>
      </c>
      <c r="T464" s="317">
        <v>14</v>
      </c>
    </row>
    <row r="465" spans="1:20" ht="20.100000000000001" customHeight="1">
      <c r="A465" s="1169" t="s">
        <v>2957</v>
      </c>
      <c r="B465" s="1169" t="s">
        <v>3</v>
      </c>
      <c r="C465" s="1169" t="s">
        <v>2002</v>
      </c>
      <c r="D465" s="32">
        <v>85</v>
      </c>
      <c r="E465" s="32">
        <v>170</v>
      </c>
      <c r="F465" s="32">
        <v>170</v>
      </c>
      <c r="G465" s="4" t="s">
        <v>37</v>
      </c>
      <c r="H465" s="47">
        <v>1</v>
      </c>
      <c r="I465" s="558" t="s">
        <v>80</v>
      </c>
      <c r="J465" s="557" t="s">
        <v>74</v>
      </c>
      <c r="K465" s="557">
        <v>12</v>
      </c>
      <c r="L465" s="557" t="s">
        <v>637</v>
      </c>
      <c r="M465" s="543">
        <v>43040</v>
      </c>
      <c r="N465" s="543">
        <v>43084</v>
      </c>
      <c r="O465" s="544" t="s">
        <v>955</v>
      </c>
      <c r="P465" s="553" t="s">
        <v>800</v>
      </c>
      <c r="Q465" s="7"/>
      <c r="R465" s="546" t="s">
        <v>192</v>
      </c>
      <c r="S465" s="319" t="s">
        <v>1176</v>
      </c>
      <c r="T465" s="338"/>
    </row>
    <row r="466" spans="1:20" ht="20.100000000000001" customHeight="1">
      <c r="A466" s="1169" t="s">
        <v>2957</v>
      </c>
      <c r="B466" s="1169" t="s">
        <v>3</v>
      </c>
      <c r="C466" s="1169" t="s">
        <v>2002</v>
      </c>
      <c r="D466" s="728">
        <v>20</v>
      </c>
      <c r="E466" s="728">
        <v>40</v>
      </c>
      <c r="F466" s="728">
        <v>40</v>
      </c>
      <c r="G466" s="56" t="s">
        <v>29</v>
      </c>
      <c r="H466" s="56" t="s">
        <v>2102</v>
      </c>
      <c r="I466" s="557" t="s">
        <v>80</v>
      </c>
      <c r="J466" s="557" t="s">
        <v>74</v>
      </c>
      <c r="K466" s="564">
        <v>12</v>
      </c>
      <c r="L466" s="557" t="s">
        <v>637</v>
      </c>
      <c r="M466" s="547">
        <v>43038</v>
      </c>
      <c r="N466" s="547">
        <v>43086</v>
      </c>
      <c r="O466" s="544" t="s">
        <v>955</v>
      </c>
      <c r="P466" s="755" t="s">
        <v>3835</v>
      </c>
      <c r="Q466" s="677"/>
      <c r="R466" s="546" t="s">
        <v>2103</v>
      </c>
      <c r="S466" s="319" t="s">
        <v>1176</v>
      </c>
      <c r="T466" s="338" t="s">
        <v>1988</v>
      </c>
    </row>
    <row r="467" spans="1:20" ht="20.100000000000001" customHeight="1">
      <c r="A467" s="1169" t="s">
        <v>2957</v>
      </c>
      <c r="B467" s="1169" t="s">
        <v>3</v>
      </c>
      <c r="C467" s="1169" t="s">
        <v>2002</v>
      </c>
      <c r="D467" s="525">
        <v>240</v>
      </c>
      <c r="E467" s="525">
        <v>480</v>
      </c>
      <c r="F467" s="525">
        <v>480</v>
      </c>
      <c r="G467" s="36" t="s">
        <v>33</v>
      </c>
      <c r="H467" s="56" t="s">
        <v>659</v>
      </c>
      <c r="I467" s="542" t="s">
        <v>27</v>
      </c>
      <c r="J467" s="542" t="s">
        <v>74</v>
      </c>
      <c r="K467" s="569" t="s">
        <v>2485</v>
      </c>
      <c r="L467" s="50" t="s">
        <v>637</v>
      </c>
      <c r="M467" s="549">
        <v>43067</v>
      </c>
      <c r="N467" s="549">
        <v>43079</v>
      </c>
      <c r="O467" s="544" t="s">
        <v>955</v>
      </c>
      <c r="P467" s="553"/>
      <c r="Q467" s="7"/>
      <c r="R467" s="561" t="s">
        <v>243</v>
      </c>
      <c r="S467" s="315" t="s">
        <v>2850</v>
      </c>
      <c r="T467" s="317"/>
    </row>
    <row r="468" spans="1:20" ht="20.100000000000001" customHeight="1">
      <c r="A468" s="1169" t="s">
        <v>2957</v>
      </c>
      <c r="B468" s="1169" t="s">
        <v>3</v>
      </c>
      <c r="C468" s="1169" t="s">
        <v>2002</v>
      </c>
      <c r="D468" s="62">
        <v>400</v>
      </c>
      <c r="E468" s="528">
        <v>700</v>
      </c>
      <c r="F468" s="528">
        <v>700</v>
      </c>
      <c r="G468" s="48" t="s">
        <v>13</v>
      </c>
      <c r="H468" s="48" t="s">
        <v>760</v>
      </c>
      <c r="I468" s="558" t="s">
        <v>16</v>
      </c>
      <c r="J468" s="558" t="s">
        <v>74</v>
      </c>
      <c r="K468" s="558">
        <v>18</v>
      </c>
      <c r="L468" s="557" t="s">
        <v>637</v>
      </c>
      <c r="M468" s="6">
        <v>43040</v>
      </c>
      <c r="N468" s="6">
        <v>43100</v>
      </c>
      <c r="O468" s="544" t="s">
        <v>955</v>
      </c>
      <c r="P468" s="553"/>
      <c r="Q468" s="677"/>
      <c r="R468" s="546" t="s">
        <v>1958</v>
      </c>
      <c r="S468" s="319" t="s">
        <v>1176</v>
      </c>
      <c r="T468" s="338" t="s">
        <v>2875</v>
      </c>
    </row>
    <row r="469" spans="1:20" ht="20.100000000000001" customHeight="1">
      <c r="A469" s="1170" t="s">
        <v>2957</v>
      </c>
      <c r="B469" s="1170" t="s">
        <v>3</v>
      </c>
      <c r="C469" s="1170" t="s">
        <v>2002</v>
      </c>
      <c r="D469" s="935">
        <v>-160</v>
      </c>
      <c r="E469" s="935">
        <v>-320</v>
      </c>
      <c r="F469" s="935">
        <v>-320</v>
      </c>
      <c r="G469" s="218" t="s">
        <v>147</v>
      </c>
      <c r="H469" s="47">
        <v>1</v>
      </c>
      <c r="I469" s="566" t="s">
        <v>17</v>
      </c>
      <c r="J469" s="558" t="s">
        <v>277</v>
      </c>
      <c r="K469" s="554">
        <v>4</v>
      </c>
      <c r="L469" s="570" t="s">
        <v>641</v>
      </c>
      <c r="M469" s="547">
        <v>43087</v>
      </c>
      <c r="N469" s="547">
        <v>43093</v>
      </c>
      <c r="O469" s="544" t="s">
        <v>955</v>
      </c>
      <c r="P469" s="553"/>
      <c r="Q469" s="683"/>
      <c r="R469" s="556" t="s">
        <v>1333</v>
      </c>
      <c r="S469" s="316"/>
      <c r="T469" s="338" t="s">
        <v>1678</v>
      </c>
    </row>
    <row r="470" spans="1:20" ht="20.100000000000001" customHeight="1">
      <c r="A470" s="1171" t="s">
        <v>2957</v>
      </c>
      <c r="B470" s="1171" t="s">
        <v>3</v>
      </c>
      <c r="C470" s="1171" t="s">
        <v>2002</v>
      </c>
      <c r="D470" s="529">
        <v>-85</v>
      </c>
      <c r="E470" s="529">
        <v>-170</v>
      </c>
      <c r="F470" s="529">
        <v>-170</v>
      </c>
      <c r="G470" s="66" t="s">
        <v>6</v>
      </c>
      <c r="H470" s="47">
        <v>1</v>
      </c>
      <c r="I470" s="566" t="s">
        <v>17</v>
      </c>
      <c r="J470" s="558" t="s">
        <v>277</v>
      </c>
      <c r="K470" s="554">
        <v>4</v>
      </c>
      <c r="L470" s="570" t="s">
        <v>641</v>
      </c>
      <c r="M470" s="549">
        <v>43080</v>
      </c>
      <c r="N470" s="549">
        <v>43080</v>
      </c>
      <c r="O470" s="544" t="s">
        <v>955</v>
      </c>
      <c r="P470" s="563"/>
      <c r="Q470" s="683"/>
      <c r="R470" s="546" t="s">
        <v>1858</v>
      </c>
      <c r="S470" s="316" t="s">
        <v>2858</v>
      </c>
      <c r="T470" s="338" t="s">
        <v>2872</v>
      </c>
    </row>
    <row r="471" spans="1:20" ht="20.100000000000001" customHeight="1">
      <c r="A471" s="1171" t="s">
        <v>2957</v>
      </c>
      <c r="B471" s="1171" t="s">
        <v>3</v>
      </c>
      <c r="C471" s="1171" t="s">
        <v>2002</v>
      </c>
      <c r="D471" s="728">
        <v>-140</v>
      </c>
      <c r="E471" s="728">
        <v>-280</v>
      </c>
      <c r="F471" s="728">
        <v>-280</v>
      </c>
      <c r="G471" s="699" t="s">
        <v>491</v>
      </c>
      <c r="H471" s="47">
        <v>1</v>
      </c>
      <c r="I471" s="566" t="s">
        <v>17</v>
      </c>
      <c r="J471" s="558" t="s">
        <v>277</v>
      </c>
      <c r="K471" s="554">
        <v>4</v>
      </c>
      <c r="L471" s="570" t="s">
        <v>641</v>
      </c>
      <c r="M471" s="547">
        <v>43080</v>
      </c>
      <c r="N471" s="547">
        <v>43086</v>
      </c>
      <c r="O471" s="544" t="s">
        <v>955</v>
      </c>
      <c r="P471" s="755" t="s">
        <v>4087</v>
      </c>
      <c r="Q471" s="683"/>
      <c r="R471" s="556" t="s">
        <v>275</v>
      </c>
      <c r="S471" s="704" t="s">
        <v>1176</v>
      </c>
      <c r="T471" s="338" t="s">
        <v>1678</v>
      </c>
    </row>
    <row r="472" spans="1:20" ht="20.100000000000001" customHeight="1">
      <c r="A472" s="1171" t="s">
        <v>2957</v>
      </c>
      <c r="B472" s="1171" t="s">
        <v>3</v>
      </c>
      <c r="C472" s="1171" t="s">
        <v>2002</v>
      </c>
      <c r="D472" s="525">
        <v>-105</v>
      </c>
      <c r="E472" s="525">
        <v>-210</v>
      </c>
      <c r="F472" s="525">
        <v>-210</v>
      </c>
      <c r="G472" s="699" t="s">
        <v>814</v>
      </c>
      <c r="H472" s="47">
        <v>1</v>
      </c>
      <c r="I472" s="566" t="s">
        <v>17</v>
      </c>
      <c r="J472" s="558" t="s">
        <v>277</v>
      </c>
      <c r="K472" s="554">
        <v>4</v>
      </c>
      <c r="L472" s="570" t="s">
        <v>641</v>
      </c>
      <c r="M472" s="547">
        <v>43080</v>
      </c>
      <c r="N472" s="547">
        <v>43086</v>
      </c>
      <c r="O472" s="544" t="s">
        <v>955</v>
      </c>
      <c r="P472" s="572" t="s">
        <v>793</v>
      </c>
      <c r="Q472" s="683"/>
      <c r="R472" s="556" t="s">
        <v>1687</v>
      </c>
      <c r="S472" s="319" t="s">
        <v>1176</v>
      </c>
      <c r="T472" s="317" t="s">
        <v>2872</v>
      </c>
    </row>
    <row r="473" spans="1:20" ht="20.100000000000001" customHeight="1">
      <c r="A473" s="1171" t="s">
        <v>2957</v>
      </c>
      <c r="B473" s="1171" t="s">
        <v>3</v>
      </c>
      <c r="C473" s="1171" t="s">
        <v>2002</v>
      </c>
      <c r="D473" s="525">
        <v>-80</v>
      </c>
      <c r="E473" s="525">
        <v>-160</v>
      </c>
      <c r="F473" s="525">
        <v>-160</v>
      </c>
      <c r="G473" s="69" t="s">
        <v>232</v>
      </c>
      <c r="H473" s="47">
        <v>1</v>
      </c>
      <c r="I473" s="566" t="s">
        <v>17</v>
      </c>
      <c r="J473" s="558" t="s">
        <v>277</v>
      </c>
      <c r="K473" s="554">
        <v>4</v>
      </c>
      <c r="L473" s="570" t="s">
        <v>641</v>
      </c>
      <c r="M473" s="551">
        <v>43080</v>
      </c>
      <c r="N473" s="551">
        <v>43086</v>
      </c>
      <c r="O473" s="544" t="s">
        <v>955</v>
      </c>
      <c r="P473" s="553" t="s">
        <v>628</v>
      </c>
      <c r="Q473" s="683"/>
      <c r="R473" s="561" t="s">
        <v>1333</v>
      </c>
      <c r="S473" s="325"/>
      <c r="T473" s="317" t="s">
        <v>1678</v>
      </c>
    </row>
    <row r="474" spans="1:20" ht="20.100000000000001" customHeight="1">
      <c r="A474" s="1171" t="s">
        <v>2957</v>
      </c>
      <c r="B474" s="1171" t="s">
        <v>3</v>
      </c>
      <c r="C474" s="1171" t="s">
        <v>2002</v>
      </c>
      <c r="D474" s="1062">
        <v>-60</v>
      </c>
      <c r="E474" s="1062">
        <v>-80</v>
      </c>
      <c r="F474" s="1062">
        <v>-80</v>
      </c>
      <c r="G474" s="69" t="s">
        <v>87</v>
      </c>
      <c r="H474" s="47">
        <v>1</v>
      </c>
      <c r="I474" s="566" t="s">
        <v>17</v>
      </c>
      <c r="J474" s="558" t="s">
        <v>277</v>
      </c>
      <c r="K474" s="554">
        <v>4</v>
      </c>
      <c r="L474" s="570" t="s">
        <v>641</v>
      </c>
      <c r="M474" s="551">
        <v>43085</v>
      </c>
      <c r="N474" s="551">
        <v>43090</v>
      </c>
      <c r="O474" s="544" t="s">
        <v>955</v>
      </c>
      <c r="P474" s="553" t="s">
        <v>817</v>
      </c>
      <c r="Q474" s="683"/>
      <c r="R474" s="561" t="s">
        <v>1333</v>
      </c>
      <c r="S474" s="315" t="s">
        <v>2849</v>
      </c>
      <c r="T474" s="338" t="s">
        <v>1678</v>
      </c>
    </row>
    <row r="475" spans="1:20" ht="20.100000000000001" customHeight="1">
      <c r="A475" s="1171" t="s">
        <v>2957</v>
      </c>
      <c r="B475" s="1171" t="s">
        <v>3</v>
      </c>
      <c r="C475" s="1171" t="s">
        <v>2002</v>
      </c>
      <c r="D475" s="728">
        <v>-40</v>
      </c>
      <c r="E475" s="728">
        <v>-80</v>
      </c>
      <c r="F475" s="728">
        <v>-80</v>
      </c>
      <c r="G475" s="47" t="s">
        <v>1535</v>
      </c>
      <c r="H475" s="47">
        <v>1</v>
      </c>
      <c r="I475" s="566" t="s">
        <v>17</v>
      </c>
      <c r="J475" s="558" t="s">
        <v>277</v>
      </c>
      <c r="K475" s="554">
        <v>4</v>
      </c>
      <c r="L475" s="570" t="s">
        <v>641</v>
      </c>
      <c r="M475" s="549">
        <v>43080</v>
      </c>
      <c r="N475" s="549">
        <v>43086</v>
      </c>
      <c r="O475" s="544" t="s">
        <v>955</v>
      </c>
      <c r="P475" s="578" t="s">
        <v>1409</v>
      </c>
      <c r="Q475" s="683"/>
      <c r="R475" s="561" t="s">
        <v>1333</v>
      </c>
      <c r="S475" s="325"/>
      <c r="T475" s="338"/>
    </row>
    <row r="476" spans="1:20" ht="20.100000000000001" customHeight="1">
      <c r="A476" s="1171" t="s">
        <v>2957</v>
      </c>
      <c r="B476" s="1171" t="s">
        <v>3</v>
      </c>
      <c r="C476" s="1171" t="s">
        <v>2002</v>
      </c>
      <c r="D476" s="320">
        <v>-175</v>
      </c>
      <c r="E476" s="320">
        <v>-350</v>
      </c>
      <c r="F476" s="320">
        <v>-350</v>
      </c>
      <c r="G476" s="224" t="s">
        <v>51</v>
      </c>
      <c r="H476" s="56" t="s">
        <v>4069</v>
      </c>
      <c r="I476" s="542" t="s">
        <v>17</v>
      </c>
      <c r="J476" s="569" t="s">
        <v>277</v>
      </c>
      <c r="K476" s="34" t="s">
        <v>4071</v>
      </c>
      <c r="L476" s="51" t="s">
        <v>3039</v>
      </c>
      <c r="M476" s="381">
        <v>43084</v>
      </c>
      <c r="N476" s="381">
        <v>43088</v>
      </c>
      <c r="O476" s="544" t="s">
        <v>955</v>
      </c>
      <c r="P476" s="550" t="s">
        <v>1675</v>
      </c>
      <c r="Q476" s="683"/>
      <c r="R476" s="546" t="s">
        <v>960</v>
      </c>
      <c r="S476" s="319"/>
      <c r="T476" s="317">
        <v>12</v>
      </c>
    </row>
    <row r="477" spans="1:20" ht="20.100000000000001" customHeight="1">
      <c r="A477" s="1171" t="s">
        <v>2957</v>
      </c>
      <c r="B477" s="1171" t="s">
        <v>3</v>
      </c>
      <c r="C477" s="1171" t="s">
        <v>2002</v>
      </c>
      <c r="D477" s="525">
        <v>-105</v>
      </c>
      <c r="E477" s="525">
        <v>-210</v>
      </c>
      <c r="F477" s="525">
        <v>-210</v>
      </c>
      <c r="G477" s="224" t="s">
        <v>814</v>
      </c>
      <c r="H477" s="48">
        <v>3</v>
      </c>
      <c r="I477" s="566" t="s">
        <v>17</v>
      </c>
      <c r="J477" s="542" t="s">
        <v>277</v>
      </c>
      <c r="K477" s="566" t="s">
        <v>681</v>
      </c>
      <c r="L477" s="542" t="s">
        <v>649</v>
      </c>
      <c r="M477" s="547">
        <v>43080</v>
      </c>
      <c r="N477" s="547">
        <v>43086</v>
      </c>
      <c r="O477" s="544" t="s">
        <v>955</v>
      </c>
      <c r="P477" s="572" t="s">
        <v>793</v>
      </c>
      <c r="Q477" s="52" t="s">
        <v>4505</v>
      </c>
      <c r="R477" s="546" t="s">
        <v>193</v>
      </c>
      <c r="S477" s="319" t="s">
        <v>1176</v>
      </c>
      <c r="T477" s="317" t="s">
        <v>2872</v>
      </c>
    </row>
    <row r="478" spans="1:20" ht="20.100000000000001" customHeight="1">
      <c r="A478" s="1171" t="s">
        <v>2957</v>
      </c>
      <c r="B478" s="1171" t="s">
        <v>3</v>
      </c>
      <c r="C478" s="1171" t="s">
        <v>2002</v>
      </c>
      <c r="D478" s="32">
        <v>-95</v>
      </c>
      <c r="E478" s="32">
        <v>-190</v>
      </c>
      <c r="F478" s="32">
        <v>-190</v>
      </c>
      <c r="G478" s="224" t="s">
        <v>434</v>
      </c>
      <c r="H478" s="48">
        <v>3</v>
      </c>
      <c r="I478" s="566" t="s">
        <v>17</v>
      </c>
      <c r="J478" s="542" t="s">
        <v>277</v>
      </c>
      <c r="K478" s="566" t="s">
        <v>681</v>
      </c>
      <c r="L478" s="542" t="s">
        <v>649</v>
      </c>
      <c r="M478" s="549">
        <v>43080</v>
      </c>
      <c r="N478" s="549">
        <v>43093</v>
      </c>
      <c r="O478" s="544" t="s">
        <v>955</v>
      </c>
      <c r="P478" s="578" t="s">
        <v>1418</v>
      </c>
      <c r="Q478" s="52" t="s">
        <v>4505</v>
      </c>
      <c r="R478" s="546" t="s">
        <v>193</v>
      </c>
      <c r="S478" s="321" t="s">
        <v>1176</v>
      </c>
      <c r="T478" s="317" t="s">
        <v>2824</v>
      </c>
    </row>
    <row r="479" spans="1:20" ht="20.100000000000001" customHeight="1">
      <c r="A479" s="1171" t="s">
        <v>2957</v>
      </c>
      <c r="B479" s="1171" t="s">
        <v>3</v>
      </c>
      <c r="C479" s="1171" t="s">
        <v>2002</v>
      </c>
      <c r="D479" s="1062">
        <v>-60</v>
      </c>
      <c r="E479" s="1062">
        <v>-80</v>
      </c>
      <c r="F479" s="1062">
        <v>-80</v>
      </c>
      <c r="G479" s="66" t="s">
        <v>87</v>
      </c>
      <c r="H479" s="48">
        <v>3</v>
      </c>
      <c r="I479" s="566" t="s">
        <v>17</v>
      </c>
      <c r="J479" s="542" t="s">
        <v>277</v>
      </c>
      <c r="K479" s="566" t="s">
        <v>681</v>
      </c>
      <c r="L479" s="542" t="s">
        <v>649</v>
      </c>
      <c r="M479" s="551">
        <v>43085</v>
      </c>
      <c r="N479" s="551">
        <v>43090</v>
      </c>
      <c r="O479" s="544" t="s">
        <v>955</v>
      </c>
      <c r="P479" s="553" t="s">
        <v>817</v>
      </c>
      <c r="Q479" s="52" t="s">
        <v>4505</v>
      </c>
      <c r="R479" s="555" t="s">
        <v>193</v>
      </c>
      <c r="S479" s="315" t="s">
        <v>2849</v>
      </c>
      <c r="T479" s="338" t="s">
        <v>1678</v>
      </c>
    </row>
    <row r="480" spans="1:20" ht="20.100000000000001" customHeight="1">
      <c r="A480" s="1171" t="s">
        <v>2957</v>
      </c>
      <c r="B480" s="1171" t="s">
        <v>3</v>
      </c>
      <c r="C480" s="1171" t="s">
        <v>2002</v>
      </c>
      <c r="D480" s="728">
        <v>-90</v>
      </c>
      <c r="E480" s="728">
        <v>-180</v>
      </c>
      <c r="F480" s="728">
        <v>-180</v>
      </c>
      <c r="G480" s="69" t="s">
        <v>142</v>
      </c>
      <c r="H480" s="48">
        <v>3</v>
      </c>
      <c r="I480" s="566" t="s">
        <v>17</v>
      </c>
      <c r="J480" s="542" t="s">
        <v>277</v>
      </c>
      <c r="K480" s="566" t="s">
        <v>681</v>
      </c>
      <c r="L480" s="542" t="s">
        <v>649</v>
      </c>
      <c r="M480" s="549">
        <v>43082</v>
      </c>
      <c r="N480" s="9">
        <v>43084</v>
      </c>
      <c r="O480" s="544" t="s">
        <v>955</v>
      </c>
      <c r="P480" s="560"/>
      <c r="Q480" s="52" t="s">
        <v>4505</v>
      </c>
      <c r="R480" s="546" t="s">
        <v>193</v>
      </c>
      <c r="S480" s="319"/>
      <c r="T480" s="338"/>
    </row>
    <row r="481" spans="1:20" ht="20.100000000000001" customHeight="1">
      <c r="A481" s="1171" t="s">
        <v>2957</v>
      </c>
      <c r="B481" s="1171" t="s">
        <v>3</v>
      </c>
      <c r="C481" s="1171" t="s">
        <v>2002</v>
      </c>
      <c r="D481" s="935">
        <v>-180</v>
      </c>
      <c r="E481" s="935">
        <v>-360</v>
      </c>
      <c r="F481" s="935">
        <v>-360</v>
      </c>
      <c r="G481" s="224" t="s">
        <v>2435</v>
      </c>
      <c r="H481" s="56" t="s">
        <v>659</v>
      </c>
      <c r="I481" s="542" t="s">
        <v>17</v>
      </c>
      <c r="J481" s="569" t="s">
        <v>277</v>
      </c>
      <c r="K481" s="566" t="s">
        <v>681</v>
      </c>
      <c r="L481" s="559" t="s">
        <v>639</v>
      </c>
      <c r="M481" s="547">
        <v>43087</v>
      </c>
      <c r="N481" s="547">
        <v>43093</v>
      </c>
      <c r="O481" s="544" t="s">
        <v>955</v>
      </c>
      <c r="P481" s="553"/>
      <c r="Q481" s="60"/>
      <c r="R481" s="546" t="s">
        <v>1516</v>
      </c>
      <c r="S481" s="319"/>
      <c r="T481" s="338" t="s">
        <v>1678</v>
      </c>
    </row>
    <row r="482" spans="1:20" ht="20.100000000000001" customHeight="1">
      <c r="A482" s="1171" t="s">
        <v>2957</v>
      </c>
      <c r="B482" s="1171" t="s">
        <v>3</v>
      </c>
      <c r="C482" s="1171" t="s">
        <v>2002</v>
      </c>
      <c r="D482" s="525">
        <v>135</v>
      </c>
      <c r="E482" s="525">
        <v>295</v>
      </c>
      <c r="F482" s="525">
        <v>295</v>
      </c>
      <c r="G482" s="69" t="s">
        <v>62</v>
      </c>
      <c r="H482" s="56" t="s">
        <v>659</v>
      </c>
      <c r="I482" s="542" t="s">
        <v>17</v>
      </c>
      <c r="J482" s="569" t="s">
        <v>277</v>
      </c>
      <c r="K482" s="566" t="s">
        <v>681</v>
      </c>
      <c r="L482" s="559" t="s">
        <v>639</v>
      </c>
      <c r="M482" s="549">
        <v>43080</v>
      </c>
      <c r="N482" s="549">
        <v>43086</v>
      </c>
      <c r="O482" s="544" t="s">
        <v>955</v>
      </c>
      <c r="P482" s="61" t="s">
        <v>4081</v>
      </c>
      <c r="Q482" s="60"/>
      <c r="R482" s="561" t="s">
        <v>917</v>
      </c>
      <c r="S482" s="315" t="s">
        <v>2848</v>
      </c>
      <c r="T482" s="338" t="s">
        <v>1988</v>
      </c>
    </row>
    <row r="483" spans="1:20" ht="20.100000000000001" customHeight="1">
      <c r="A483" s="1171" t="s">
        <v>2957</v>
      </c>
      <c r="B483" s="1171" t="s">
        <v>3</v>
      </c>
      <c r="C483" s="1171" t="s">
        <v>2002</v>
      </c>
      <c r="D483" s="525">
        <v>-10</v>
      </c>
      <c r="E483" s="525">
        <v>-20</v>
      </c>
      <c r="F483" s="525">
        <v>-20</v>
      </c>
      <c r="G483" s="36" t="s">
        <v>432</v>
      </c>
      <c r="H483" s="56" t="s">
        <v>659</v>
      </c>
      <c r="I483" s="542" t="s">
        <v>17</v>
      </c>
      <c r="J483" s="569" t="s">
        <v>277</v>
      </c>
      <c r="K483" s="566" t="s">
        <v>681</v>
      </c>
      <c r="L483" s="559" t="s">
        <v>639</v>
      </c>
      <c r="M483" s="549">
        <v>43089</v>
      </c>
      <c r="N483" s="549">
        <v>43093</v>
      </c>
      <c r="O483" s="544" t="s">
        <v>955</v>
      </c>
      <c r="P483" s="545" t="s">
        <v>915</v>
      </c>
      <c r="Q483" s="60"/>
      <c r="R483" s="561" t="s">
        <v>1516</v>
      </c>
      <c r="S483" s="704" t="s">
        <v>1176</v>
      </c>
      <c r="T483" s="338"/>
    </row>
    <row r="484" spans="1:20" ht="20.100000000000001" customHeight="1">
      <c r="A484" s="1171" t="s">
        <v>2957</v>
      </c>
      <c r="B484" s="1171" t="s">
        <v>3</v>
      </c>
      <c r="C484" s="1171" t="s">
        <v>2002</v>
      </c>
      <c r="D484" s="525">
        <v>-25</v>
      </c>
      <c r="E484" s="525">
        <v>-50</v>
      </c>
      <c r="F484" s="525">
        <v>-50</v>
      </c>
      <c r="G484" s="70" t="s">
        <v>12</v>
      </c>
      <c r="H484" s="56" t="s">
        <v>659</v>
      </c>
      <c r="I484" s="542" t="s">
        <v>17</v>
      </c>
      <c r="J484" s="569" t="s">
        <v>277</v>
      </c>
      <c r="K484" s="566" t="s">
        <v>681</v>
      </c>
      <c r="L484" s="559" t="s">
        <v>639</v>
      </c>
      <c r="M484" s="551">
        <v>43075</v>
      </c>
      <c r="N484" s="551">
        <v>43075</v>
      </c>
      <c r="O484" s="544" t="s">
        <v>955</v>
      </c>
      <c r="P484" s="550" t="s">
        <v>876</v>
      </c>
      <c r="Q484" s="60"/>
      <c r="R484" s="561" t="s">
        <v>2794</v>
      </c>
      <c r="S484" s="704"/>
      <c r="T484" s="338" t="s">
        <v>1994</v>
      </c>
    </row>
    <row r="485" spans="1:20" ht="20.100000000000001" customHeight="1">
      <c r="A485" s="1171" t="s">
        <v>2957</v>
      </c>
      <c r="B485" s="1171" t="s">
        <v>3</v>
      </c>
      <c r="C485" s="1171" t="s">
        <v>2002</v>
      </c>
      <c r="D485" s="320">
        <v>80</v>
      </c>
      <c r="E485" s="320">
        <v>160</v>
      </c>
      <c r="F485" s="320">
        <v>160</v>
      </c>
      <c r="G485" s="36" t="s">
        <v>36</v>
      </c>
      <c r="H485" s="48">
        <v>3</v>
      </c>
      <c r="I485" s="566" t="s">
        <v>17</v>
      </c>
      <c r="J485" s="569" t="s">
        <v>277</v>
      </c>
      <c r="K485" s="566" t="s">
        <v>721</v>
      </c>
      <c r="L485" s="559" t="s">
        <v>649</v>
      </c>
      <c r="M485" s="551">
        <v>43089</v>
      </c>
      <c r="N485" s="551">
        <v>43089</v>
      </c>
      <c r="O485" s="544" t="s">
        <v>955</v>
      </c>
      <c r="P485" s="550" t="s">
        <v>1503</v>
      </c>
      <c r="Q485" s="683"/>
      <c r="R485" s="561" t="s">
        <v>1134</v>
      </c>
      <c r="S485" s="315" t="s">
        <v>2852</v>
      </c>
      <c r="T485" s="317">
        <v>14</v>
      </c>
    </row>
    <row r="486" spans="1:20" ht="20.100000000000001" customHeight="1">
      <c r="A486" s="1171" t="s">
        <v>2957</v>
      </c>
      <c r="B486" s="1171" t="s">
        <v>3</v>
      </c>
      <c r="C486" s="1171" t="s">
        <v>2002</v>
      </c>
      <c r="D486" s="525">
        <v>-115</v>
      </c>
      <c r="E486" s="525">
        <v>-230</v>
      </c>
      <c r="F486" s="525">
        <v>-230</v>
      </c>
      <c r="G486" s="18" t="s">
        <v>3876</v>
      </c>
      <c r="H486" s="56" t="s">
        <v>725</v>
      </c>
      <c r="I486" s="566" t="s">
        <v>17</v>
      </c>
      <c r="J486" s="569" t="s">
        <v>277</v>
      </c>
      <c r="K486" s="566" t="s">
        <v>659</v>
      </c>
      <c r="L486" s="559" t="s">
        <v>641</v>
      </c>
      <c r="M486" s="547">
        <v>43083</v>
      </c>
      <c r="N486" s="547">
        <v>43086</v>
      </c>
      <c r="O486" s="25" t="s">
        <v>4068</v>
      </c>
      <c r="P486" s="14" t="s">
        <v>3835</v>
      </c>
      <c r="Q486" s="683"/>
      <c r="R486" s="546" t="s">
        <v>1254</v>
      </c>
      <c r="S486" s="704" t="s">
        <v>1176</v>
      </c>
      <c r="T486" s="317" t="s">
        <v>3883</v>
      </c>
    </row>
    <row r="487" spans="1:20" ht="20.100000000000001" customHeight="1">
      <c r="A487" s="1171" t="s">
        <v>2957</v>
      </c>
      <c r="B487" s="1171" t="s">
        <v>3</v>
      </c>
      <c r="C487" s="1171" t="s">
        <v>2002</v>
      </c>
      <c r="D487" s="525">
        <v>-100</v>
      </c>
      <c r="E487" s="525">
        <v>-200</v>
      </c>
      <c r="F487" s="525">
        <v>-200</v>
      </c>
      <c r="G487" s="18" t="s">
        <v>233</v>
      </c>
      <c r="H487" s="56" t="s">
        <v>725</v>
      </c>
      <c r="I487" s="566" t="s">
        <v>17</v>
      </c>
      <c r="J487" s="569" t="s">
        <v>277</v>
      </c>
      <c r="K487" s="566" t="s">
        <v>659</v>
      </c>
      <c r="L487" s="559" t="s">
        <v>641</v>
      </c>
      <c r="M487" s="551">
        <v>43080</v>
      </c>
      <c r="N487" s="551">
        <v>43086</v>
      </c>
      <c r="O487" s="544" t="s">
        <v>955</v>
      </c>
      <c r="P487" s="553" t="s">
        <v>628</v>
      </c>
      <c r="Q487" s="683"/>
      <c r="R487" s="546" t="s">
        <v>1254</v>
      </c>
      <c r="S487" s="704"/>
      <c r="T487" s="317" t="s">
        <v>1678</v>
      </c>
    </row>
    <row r="488" spans="1:20" ht="20.100000000000001" customHeight="1">
      <c r="A488" s="1171" t="s">
        <v>2957</v>
      </c>
      <c r="B488" s="1171" t="s">
        <v>3</v>
      </c>
      <c r="C488" s="1171" t="s">
        <v>2002</v>
      </c>
      <c r="D488" s="525">
        <v>-80</v>
      </c>
      <c r="E488" s="525">
        <v>-160</v>
      </c>
      <c r="F488" s="525">
        <v>-160</v>
      </c>
      <c r="G488" s="696" t="s">
        <v>558</v>
      </c>
      <c r="H488" s="56" t="s">
        <v>725</v>
      </c>
      <c r="I488" s="566" t="s">
        <v>17</v>
      </c>
      <c r="J488" s="569" t="s">
        <v>277</v>
      </c>
      <c r="K488" s="566" t="s">
        <v>659</v>
      </c>
      <c r="L488" s="559" t="s">
        <v>641</v>
      </c>
      <c r="M488" s="549">
        <v>43083</v>
      </c>
      <c r="N488" s="549">
        <v>43086</v>
      </c>
      <c r="O488" s="544" t="s">
        <v>955</v>
      </c>
      <c r="P488" s="14" t="s">
        <v>4165</v>
      </c>
      <c r="Q488" s="7"/>
      <c r="R488" s="546" t="s">
        <v>1254</v>
      </c>
      <c r="S488" s="325"/>
      <c r="T488" s="338"/>
    </row>
    <row r="489" spans="1:20" ht="20.100000000000001" customHeight="1">
      <c r="A489" s="1171" t="s">
        <v>2957</v>
      </c>
      <c r="B489" s="1171" t="s">
        <v>3</v>
      </c>
      <c r="C489" s="1171" t="s">
        <v>2002</v>
      </c>
      <c r="D489" s="728">
        <v>-110</v>
      </c>
      <c r="E489" s="728">
        <v>-220</v>
      </c>
      <c r="F489" s="728">
        <v>-220</v>
      </c>
      <c r="G489" s="70" t="s">
        <v>29</v>
      </c>
      <c r="H489" s="56" t="s">
        <v>725</v>
      </c>
      <c r="I489" s="566" t="s">
        <v>17</v>
      </c>
      <c r="J489" s="569" t="s">
        <v>277</v>
      </c>
      <c r="K489" s="566" t="s">
        <v>659</v>
      </c>
      <c r="L489" s="559" t="s">
        <v>641</v>
      </c>
      <c r="M489" s="547">
        <v>43083</v>
      </c>
      <c r="N489" s="547">
        <v>43086</v>
      </c>
      <c r="O489" s="544" t="s">
        <v>955</v>
      </c>
      <c r="P489" s="755" t="s">
        <v>3835</v>
      </c>
      <c r="Q489" s="7"/>
      <c r="R489" s="546" t="s">
        <v>1254</v>
      </c>
      <c r="S489" s="319" t="s">
        <v>1176</v>
      </c>
      <c r="T489" s="338" t="s">
        <v>1988</v>
      </c>
    </row>
    <row r="490" spans="1:20" ht="20.100000000000001" customHeight="1">
      <c r="A490" s="1171" t="s">
        <v>2957</v>
      </c>
      <c r="B490" s="1171" t="s">
        <v>3</v>
      </c>
      <c r="C490" s="1171" t="s">
        <v>2002</v>
      </c>
      <c r="D490" s="525">
        <v>240</v>
      </c>
      <c r="E490" s="525">
        <v>480</v>
      </c>
      <c r="F490" s="525">
        <v>480</v>
      </c>
      <c r="G490" s="70" t="s">
        <v>33</v>
      </c>
      <c r="H490" s="56" t="s">
        <v>2487</v>
      </c>
      <c r="I490" s="566" t="s">
        <v>17</v>
      </c>
      <c r="J490" s="569" t="s">
        <v>277</v>
      </c>
      <c r="K490" s="19" t="s">
        <v>706</v>
      </c>
      <c r="L490" s="542" t="s">
        <v>636</v>
      </c>
      <c r="M490" s="549">
        <v>43067</v>
      </c>
      <c r="N490" s="549">
        <v>43079</v>
      </c>
      <c r="O490" s="544" t="s">
        <v>955</v>
      </c>
      <c r="P490" s="550"/>
      <c r="Q490" s="7"/>
      <c r="R490" s="546" t="s">
        <v>2486</v>
      </c>
      <c r="S490" s="315" t="s">
        <v>2850</v>
      </c>
      <c r="T490" s="338"/>
    </row>
    <row r="491" spans="1:20" ht="20.100000000000001" customHeight="1">
      <c r="A491" s="1171" t="s">
        <v>2957</v>
      </c>
      <c r="B491" s="1171" t="s">
        <v>3</v>
      </c>
      <c r="C491" s="1171" t="s">
        <v>2002</v>
      </c>
      <c r="D491" s="525">
        <v>-115</v>
      </c>
      <c r="E491" s="525">
        <v>-230</v>
      </c>
      <c r="F491" s="525">
        <v>-230</v>
      </c>
      <c r="G491" s="18" t="s">
        <v>3876</v>
      </c>
      <c r="H491" s="48">
        <v>6</v>
      </c>
      <c r="I491" s="557" t="s">
        <v>17</v>
      </c>
      <c r="J491" s="576" t="s">
        <v>277</v>
      </c>
      <c r="K491" s="569">
        <v>5</v>
      </c>
      <c r="L491" s="542" t="s">
        <v>649</v>
      </c>
      <c r="M491" s="547">
        <v>43083</v>
      </c>
      <c r="N491" s="547">
        <v>43086</v>
      </c>
      <c r="O491" s="25" t="s">
        <v>4068</v>
      </c>
      <c r="P491" s="14" t="s">
        <v>3835</v>
      </c>
      <c r="Q491" s="683"/>
      <c r="R491" s="546" t="s">
        <v>471</v>
      </c>
      <c r="S491" s="704" t="s">
        <v>1176</v>
      </c>
      <c r="T491" s="317" t="s">
        <v>3883</v>
      </c>
    </row>
    <row r="492" spans="1:20" ht="20.100000000000001" customHeight="1">
      <c r="A492" s="1171" t="s">
        <v>2957</v>
      </c>
      <c r="B492" s="1171" t="s">
        <v>3</v>
      </c>
      <c r="C492" s="1171" t="s">
        <v>2002</v>
      </c>
      <c r="D492" s="320">
        <v>80</v>
      </c>
      <c r="E492" s="320">
        <v>160</v>
      </c>
      <c r="F492" s="320">
        <v>160</v>
      </c>
      <c r="G492" s="36" t="s">
        <v>36</v>
      </c>
      <c r="H492" s="48">
        <v>6</v>
      </c>
      <c r="I492" s="557" t="s">
        <v>17</v>
      </c>
      <c r="J492" s="576" t="s">
        <v>277</v>
      </c>
      <c r="K492" s="569">
        <v>5</v>
      </c>
      <c r="L492" s="542" t="s">
        <v>649</v>
      </c>
      <c r="M492" s="551">
        <v>43085</v>
      </c>
      <c r="N492" s="551">
        <v>43089</v>
      </c>
      <c r="O492" s="544" t="s">
        <v>955</v>
      </c>
      <c r="P492" s="550" t="s">
        <v>1503</v>
      </c>
      <c r="Q492" s="683"/>
      <c r="R492" s="546" t="s">
        <v>471</v>
      </c>
      <c r="S492" s="315" t="s">
        <v>2852</v>
      </c>
      <c r="T492" s="317">
        <v>14</v>
      </c>
    </row>
    <row r="493" spans="1:20" ht="20.100000000000001" customHeight="1">
      <c r="A493" s="1171" t="s">
        <v>2957</v>
      </c>
      <c r="B493" s="1171" t="s">
        <v>3</v>
      </c>
      <c r="C493" s="1171" t="s">
        <v>2002</v>
      </c>
      <c r="D493" s="728">
        <v>-60</v>
      </c>
      <c r="E493" s="728">
        <v>-120</v>
      </c>
      <c r="F493" s="728">
        <v>-120</v>
      </c>
      <c r="G493" s="36" t="s">
        <v>29</v>
      </c>
      <c r="H493" s="48">
        <v>6</v>
      </c>
      <c r="I493" s="557" t="s">
        <v>17</v>
      </c>
      <c r="J493" s="576" t="s">
        <v>277</v>
      </c>
      <c r="K493" s="569">
        <v>5</v>
      </c>
      <c r="L493" s="542" t="s">
        <v>649</v>
      </c>
      <c r="M493" s="547">
        <v>43083</v>
      </c>
      <c r="N493" s="547">
        <v>43086</v>
      </c>
      <c r="O493" s="544" t="s">
        <v>955</v>
      </c>
      <c r="P493" s="755" t="s">
        <v>3835</v>
      </c>
      <c r="Q493" s="683"/>
      <c r="R493" s="546" t="s">
        <v>471</v>
      </c>
      <c r="S493" s="319" t="s">
        <v>1176</v>
      </c>
      <c r="T493" s="338" t="s">
        <v>1988</v>
      </c>
    </row>
    <row r="494" spans="1:20" ht="20.100000000000001" customHeight="1">
      <c r="A494" s="1171" t="s">
        <v>2957</v>
      </c>
      <c r="B494" s="1171" t="s">
        <v>3</v>
      </c>
      <c r="C494" s="1171" t="s">
        <v>2002</v>
      </c>
      <c r="D494" s="11">
        <v>140</v>
      </c>
      <c r="E494" s="11">
        <v>280</v>
      </c>
      <c r="F494" s="11">
        <v>280</v>
      </c>
      <c r="G494" s="48" t="s">
        <v>28</v>
      </c>
      <c r="H494" s="48">
        <v>6</v>
      </c>
      <c r="I494" s="557" t="s">
        <v>17</v>
      </c>
      <c r="J494" s="576" t="s">
        <v>277</v>
      </c>
      <c r="K494" s="569">
        <v>5</v>
      </c>
      <c r="L494" s="542" t="s">
        <v>649</v>
      </c>
      <c r="M494" s="549">
        <v>43076</v>
      </c>
      <c r="N494" s="549">
        <v>43089</v>
      </c>
      <c r="O494" s="544" t="s">
        <v>955</v>
      </c>
      <c r="P494" s="550" t="s">
        <v>1524</v>
      </c>
      <c r="Q494" s="683"/>
      <c r="R494" s="546" t="s">
        <v>471</v>
      </c>
      <c r="S494" s="316" t="s">
        <v>1176</v>
      </c>
      <c r="T494" s="338"/>
    </row>
    <row r="495" spans="1:20" ht="20.100000000000001" customHeight="1">
      <c r="A495" s="1171" t="s">
        <v>2957</v>
      </c>
      <c r="B495" s="1171" t="s">
        <v>3</v>
      </c>
      <c r="C495" s="1171" t="s">
        <v>2002</v>
      </c>
      <c r="D495" s="525">
        <v>-80</v>
      </c>
      <c r="E495" s="525">
        <v>-160</v>
      </c>
      <c r="F495" s="525">
        <v>-160</v>
      </c>
      <c r="G495" s="696" t="s">
        <v>558</v>
      </c>
      <c r="H495" s="48">
        <v>6</v>
      </c>
      <c r="I495" s="557" t="s">
        <v>17</v>
      </c>
      <c r="J495" s="576" t="s">
        <v>277</v>
      </c>
      <c r="K495" s="569">
        <v>5</v>
      </c>
      <c r="L495" s="542" t="s">
        <v>649</v>
      </c>
      <c r="M495" s="549">
        <v>43083</v>
      </c>
      <c r="N495" s="549">
        <v>43086</v>
      </c>
      <c r="O495" s="544" t="s">
        <v>955</v>
      </c>
      <c r="P495" s="14" t="s">
        <v>4165</v>
      </c>
      <c r="Q495" s="683"/>
      <c r="R495" s="546" t="s">
        <v>471</v>
      </c>
      <c r="S495" s="319"/>
      <c r="T495" s="338"/>
    </row>
    <row r="496" spans="1:20" ht="20.100000000000001" customHeight="1">
      <c r="A496" s="1171" t="s">
        <v>2957</v>
      </c>
      <c r="B496" s="1171" t="s">
        <v>3</v>
      </c>
      <c r="C496" s="1171" t="s">
        <v>2002</v>
      </c>
      <c r="D496" s="320">
        <v>80</v>
      </c>
      <c r="E496" s="320">
        <v>160</v>
      </c>
      <c r="F496" s="320">
        <v>160</v>
      </c>
      <c r="G496" s="36" t="s">
        <v>36</v>
      </c>
      <c r="H496" s="36" t="s">
        <v>706</v>
      </c>
      <c r="I496" s="554" t="s">
        <v>17</v>
      </c>
      <c r="J496" s="576" t="s">
        <v>277</v>
      </c>
      <c r="K496" s="566" t="s">
        <v>681</v>
      </c>
      <c r="L496" s="570" t="s">
        <v>649</v>
      </c>
      <c r="M496" s="551">
        <v>43086</v>
      </c>
      <c r="N496" s="551">
        <v>43089</v>
      </c>
      <c r="O496" s="544" t="s">
        <v>955</v>
      </c>
      <c r="P496" s="550" t="s">
        <v>1503</v>
      </c>
      <c r="Q496" s="7"/>
      <c r="R496" s="561" t="s">
        <v>1390</v>
      </c>
      <c r="S496" s="315" t="s">
        <v>2852</v>
      </c>
      <c r="T496" s="317">
        <v>14</v>
      </c>
    </row>
    <row r="497" spans="1:20" ht="20.100000000000001" customHeight="1">
      <c r="A497" s="1172" t="s">
        <v>2957</v>
      </c>
      <c r="B497" s="1172" t="s">
        <v>3</v>
      </c>
      <c r="C497" s="1172" t="s">
        <v>2002</v>
      </c>
      <c r="D497" s="320">
        <v>80</v>
      </c>
      <c r="E497" s="320">
        <v>160</v>
      </c>
      <c r="F497" s="320">
        <v>160</v>
      </c>
      <c r="G497" s="36" t="s">
        <v>36</v>
      </c>
      <c r="H497" s="36" t="s">
        <v>706</v>
      </c>
      <c r="I497" s="557" t="s">
        <v>17</v>
      </c>
      <c r="J497" s="576" t="s">
        <v>277</v>
      </c>
      <c r="K497" s="554" t="s">
        <v>736</v>
      </c>
      <c r="L497" s="559" t="s">
        <v>649</v>
      </c>
      <c r="M497" s="551">
        <v>43086</v>
      </c>
      <c r="N497" s="551">
        <v>43089</v>
      </c>
      <c r="O497" s="544" t="s">
        <v>955</v>
      </c>
      <c r="P497" s="550" t="s">
        <v>1503</v>
      </c>
      <c r="Q497" s="744"/>
      <c r="R497" s="561" t="s">
        <v>837</v>
      </c>
      <c r="S497" s="315" t="s">
        <v>2852</v>
      </c>
      <c r="T497" s="317">
        <v>14</v>
      </c>
    </row>
    <row r="498" spans="1:20" ht="20.100000000000001" customHeight="1">
      <c r="A498" s="732" t="s">
        <v>2957</v>
      </c>
      <c r="B498" s="601" t="s">
        <v>3</v>
      </c>
      <c r="C498" s="601" t="s">
        <v>2002</v>
      </c>
      <c r="D498" s="728">
        <v>20</v>
      </c>
      <c r="E498" s="728">
        <v>40</v>
      </c>
      <c r="F498" s="728">
        <v>40</v>
      </c>
      <c r="G498" s="56" t="s">
        <v>29</v>
      </c>
      <c r="H498" s="56" t="s">
        <v>2102</v>
      </c>
      <c r="I498" s="557" t="s">
        <v>80</v>
      </c>
      <c r="J498" s="558" t="s">
        <v>277</v>
      </c>
      <c r="K498" s="564">
        <v>12</v>
      </c>
      <c r="L498" s="557" t="s">
        <v>637</v>
      </c>
      <c r="M498" s="547">
        <v>43038</v>
      </c>
      <c r="N498" s="547">
        <v>43086</v>
      </c>
      <c r="O498" s="544" t="s">
        <v>955</v>
      </c>
      <c r="P498" s="755" t="s">
        <v>3835</v>
      </c>
      <c r="Q498" s="677"/>
      <c r="R498" s="546" t="s">
        <v>2103</v>
      </c>
      <c r="S498" s="319" t="s">
        <v>1176</v>
      </c>
      <c r="T498" s="338" t="s">
        <v>1988</v>
      </c>
    </row>
    <row r="499" spans="1:20" ht="20.100000000000001" customHeight="1">
      <c r="A499" s="1170" t="s">
        <v>2957</v>
      </c>
      <c r="B499" s="1170" t="s">
        <v>3</v>
      </c>
      <c r="C499" s="1170" t="s">
        <v>108</v>
      </c>
      <c r="D499" s="526">
        <f>D1071+500</f>
        <v>750</v>
      </c>
      <c r="E499" s="526">
        <f>E1071+700</f>
        <v>1200</v>
      </c>
      <c r="F499" s="526">
        <f>F1071+700</f>
        <v>1200</v>
      </c>
      <c r="G499" s="225" t="s">
        <v>51</v>
      </c>
      <c r="H499" s="36" t="s">
        <v>2370</v>
      </c>
      <c r="I499" s="557" t="s">
        <v>16</v>
      </c>
      <c r="J499" s="558"/>
      <c r="K499" s="558">
        <v>18</v>
      </c>
      <c r="L499" s="542" t="s">
        <v>637</v>
      </c>
      <c r="M499" s="381">
        <v>43040</v>
      </c>
      <c r="N499" s="381">
        <v>43088</v>
      </c>
      <c r="O499" s="544" t="s">
        <v>955</v>
      </c>
      <c r="P499" s="545"/>
      <c r="Q499" s="52"/>
      <c r="R499" s="575" t="s">
        <v>2371</v>
      </c>
      <c r="S499" s="319"/>
      <c r="T499" s="317">
        <v>12</v>
      </c>
    </row>
    <row r="500" spans="1:20" ht="20.100000000000001" customHeight="1">
      <c r="A500" s="1171" t="s">
        <v>2957</v>
      </c>
      <c r="B500" s="1171" t="s">
        <v>3</v>
      </c>
      <c r="C500" s="1171" t="s">
        <v>108</v>
      </c>
      <c r="D500" s="525">
        <v>340</v>
      </c>
      <c r="E500" s="525">
        <v>680</v>
      </c>
      <c r="F500" s="525">
        <v>680</v>
      </c>
      <c r="G500" s="56" t="s">
        <v>432</v>
      </c>
      <c r="H500" s="56" t="s">
        <v>633</v>
      </c>
      <c r="I500" s="566" t="s">
        <v>27</v>
      </c>
      <c r="J500" s="558"/>
      <c r="K500" s="566" t="s">
        <v>723</v>
      </c>
      <c r="L500" s="559" t="s">
        <v>637</v>
      </c>
      <c r="M500" s="549">
        <v>43073</v>
      </c>
      <c r="N500" s="549">
        <v>43093</v>
      </c>
      <c r="O500" s="544" t="s">
        <v>955</v>
      </c>
      <c r="P500" s="545"/>
      <c r="Q500" s="683"/>
      <c r="R500" s="556" t="s">
        <v>1364</v>
      </c>
      <c r="S500" s="704" t="s">
        <v>1176</v>
      </c>
      <c r="T500" s="338"/>
    </row>
    <row r="501" spans="1:20" ht="20.100000000000001" customHeight="1">
      <c r="A501" s="1171" t="s">
        <v>2957</v>
      </c>
      <c r="B501" s="1171" t="s">
        <v>3</v>
      </c>
      <c r="C501" s="1171" t="s">
        <v>108</v>
      </c>
      <c r="D501" s="526">
        <v>440</v>
      </c>
      <c r="E501" s="526">
        <v>970</v>
      </c>
      <c r="F501" s="526">
        <v>970</v>
      </c>
      <c r="G501" s="628" t="s">
        <v>10</v>
      </c>
      <c r="H501" s="36" t="s">
        <v>633</v>
      </c>
      <c r="I501" s="558" t="s">
        <v>16</v>
      </c>
      <c r="J501" s="564"/>
      <c r="K501" s="564">
        <v>11</v>
      </c>
      <c r="L501" s="557" t="s">
        <v>637</v>
      </c>
      <c r="M501" s="547">
        <v>43040</v>
      </c>
      <c r="N501" s="547">
        <v>43084</v>
      </c>
      <c r="O501" s="544" t="s">
        <v>955</v>
      </c>
      <c r="P501" s="553"/>
      <c r="Q501" s="677"/>
      <c r="R501" s="548" t="s">
        <v>1015</v>
      </c>
      <c r="S501" s="316" t="s">
        <v>1176</v>
      </c>
      <c r="T501" s="317">
        <v>14</v>
      </c>
    </row>
    <row r="502" spans="1:20" ht="20.100000000000001" customHeight="1">
      <c r="A502" s="1171" t="s">
        <v>2957</v>
      </c>
      <c r="B502" s="1171" t="s">
        <v>3</v>
      </c>
      <c r="C502" s="1171" t="s">
        <v>108</v>
      </c>
      <c r="D502" s="273">
        <v>500</v>
      </c>
      <c r="E502" s="273">
        <v>1000</v>
      </c>
      <c r="F502" s="273">
        <v>1000</v>
      </c>
      <c r="G502" s="22" t="s">
        <v>29</v>
      </c>
      <c r="H502" s="36" t="s">
        <v>1362</v>
      </c>
      <c r="I502" s="559" t="s">
        <v>80</v>
      </c>
      <c r="J502" s="559"/>
      <c r="K502" s="564">
        <v>22</v>
      </c>
      <c r="L502" s="557" t="s">
        <v>637</v>
      </c>
      <c r="M502" s="547">
        <v>43038</v>
      </c>
      <c r="N502" s="547">
        <v>43072</v>
      </c>
      <c r="O502" s="544" t="s">
        <v>955</v>
      </c>
      <c r="P502" s="544"/>
      <c r="Q502" s="53"/>
      <c r="R502" s="546" t="s">
        <v>1363</v>
      </c>
      <c r="S502" s="319" t="s">
        <v>1176</v>
      </c>
      <c r="T502" s="338" t="s">
        <v>1988</v>
      </c>
    </row>
    <row r="503" spans="1:20" ht="20.100000000000001" customHeight="1">
      <c r="A503" s="1171" t="s">
        <v>2957</v>
      </c>
      <c r="B503" s="1171" t="s">
        <v>3</v>
      </c>
      <c r="C503" s="1171" t="s">
        <v>108</v>
      </c>
      <c r="D503" s="526">
        <v>265</v>
      </c>
      <c r="E503" s="526">
        <v>530</v>
      </c>
      <c r="F503" s="526">
        <v>530</v>
      </c>
      <c r="G503" s="66" t="s">
        <v>6</v>
      </c>
      <c r="H503" s="22" t="s">
        <v>742</v>
      </c>
      <c r="I503" s="558" t="s">
        <v>945</v>
      </c>
      <c r="J503" s="564"/>
      <c r="K503" s="564">
        <v>16</v>
      </c>
      <c r="L503" s="559" t="s">
        <v>636</v>
      </c>
      <c r="M503" s="549">
        <v>43070</v>
      </c>
      <c r="N503" s="549">
        <v>43074</v>
      </c>
      <c r="O503" s="544" t="s">
        <v>955</v>
      </c>
      <c r="P503" s="572"/>
      <c r="Q503" s="52"/>
      <c r="R503" s="546" t="s">
        <v>816</v>
      </c>
      <c r="S503" s="316" t="s">
        <v>2858</v>
      </c>
      <c r="T503" s="338" t="s">
        <v>2874</v>
      </c>
    </row>
    <row r="504" spans="1:20" ht="20.100000000000001" customHeight="1">
      <c r="A504" s="1171" t="s">
        <v>2957</v>
      </c>
      <c r="B504" s="1171" t="s">
        <v>3</v>
      </c>
      <c r="C504" s="1171" t="s">
        <v>108</v>
      </c>
      <c r="D504" s="526">
        <v>713</v>
      </c>
      <c r="E504" s="525">
        <v>1013</v>
      </c>
      <c r="F504" s="525">
        <v>1013</v>
      </c>
      <c r="G504" s="18" t="s">
        <v>19</v>
      </c>
      <c r="H504" s="48">
        <v>2</v>
      </c>
      <c r="I504" s="557" t="s">
        <v>16</v>
      </c>
      <c r="J504" s="571"/>
      <c r="K504" s="566" t="s">
        <v>746</v>
      </c>
      <c r="L504" s="559" t="s">
        <v>639</v>
      </c>
      <c r="M504" s="559"/>
      <c r="N504" s="549">
        <v>42825</v>
      </c>
      <c r="O504" s="544" t="s">
        <v>955</v>
      </c>
      <c r="P504" s="553"/>
      <c r="Q504" s="52"/>
      <c r="R504" s="546" t="s">
        <v>187</v>
      </c>
      <c r="S504" s="316"/>
      <c r="T504" s="338"/>
    </row>
    <row r="505" spans="1:20" ht="20.100000000000001" customHeight="1">
      <c r="A505" s="1171" t="s">
        <v>2957</v>
      </c>
      <c r="B505" s="1171" t="s">
        <v>3</v>
      </c>
      <c r="C505" s="1171" t="s">
        <v>108</v>
      </c>
      <c r="D505" s="526">
        <v>545</v>
      </c>
      <c r="E505" s="525">
        <v>690</v>
      </c>
      <c r="F505" s="525">
        <v>690</v>
      </c>
      <c r="G505" s="18" t="s">
        <v>568</v>
      </c>
      <c r="H505" s="56" t="s">
        <v>742</v>
      </c>
      <c r="I505" s="558" t="s">
        <v>16</v>
      </c>
      <c r="J505" s="569"/>
      <c r="K505" s="558"/>
      <c r="L505" s="559" t="s">
        <v>639</v>
      </c>
      <c r="M505" s="551">
        <v>43022</v>
      </c>
      <c r="N505" s="551">
        <v>43083</v>
      </c>
      <c r="O505" s="544" t="s">
        <v>955</v>
      </c>
      <c r="P505" s="572"/>
      <c r="Q505" s="52"/>
      <c r="R505" s="546" t="s">
        <v>171</v>
      </c>
      <c r="S505" s="316"/>
      <c r="T505" s="338"/>
    </row>
    <row r="506" spans="1:20" ht="20.100000000000001" customHeight="1">
      <c r="A506" s="1171" t="s">
        <v>2957</v>
      </c>
      <c r="B506" s="1171" t="s">
        <v>3</v>
      </c>
      <c r="C506" s="1171" t="s">
        <v>108</v>
      </c>
      <c r="D506" s="526">
        <v>590</v>
      </c>
      <c r="E506" s="526">
        <v>1180</v>
      </c>
      <c r="F506" s="526">
        <v>1180</v>
      </c>
      <c r="G506" s="18" t="s">
        <v>30</v>
      </c>
      <c r="H506" s="56" t="s">
        <v>742</v>
      </c>
      <c r="I506" s="558" t="s">
        <v>16</v>
      </c>
      <c r="J506" s="558"/>
      <c r="K506" s="558">
        <v>11</v>
      </c>
      <c r="L506" s="559" t="s">
        <v>637</v>
      </c>
      <c r="M506" s="568">
        <v>43040</v>
      </c>
      <c r="N506" s="568">
        <v>43100</v>
      </c>
      <c r="O506" s="544" t="s">
        <v>955</v>
      </c>
      <c r="P506" s="544"/>
      <c r="Q506" s="677"/>
      <c r="R506" s="546" t="s">
        <v>1977</v>
      </c>
      <c r="S506" s="319"/>
      <c r="T506" s="317">
        <v>14</v>
      </c>
    </row>
    <row r="507" spans="1:20" ht="20.100000000000001" customHeight="1">
      <c r="A507" s="1171" t="s">
        <v>2957</v>
      </c>
      <c r="B507" s="1171" t="s">
        <v>3</v>
      </c>
      <c r="C507" s="1171" t="s">
        <v>108</v>
      </c>
      <c r="D507" s="526">
        <v>325</v>
      </c>
      <c r="E507" s="526">
        <v>650</v>
      </c>
      <c r="F507" s="526">
        <v>650</v>
      </c>
      <c r="G507" s="18" t="s">
        <v>3876</v>
      </c>
      <c r="H507" s="48" t="s">
        <v>1444</v>
      </c>
      <c r="I507" s="559" t="s">
        <v>80</v>
      </c>
      <c r="J507" s="559"/>
      <c r="K507" s="37" t="s">
        <v>3892</v>
      </c>
      <c r="L507" s="557" t="s">
        <v>637</v>
      </c>
      <c r="M507" s="547">
        <v>43060</v>
      </c>
      <c r="N507" s="547">
        <v>43086</v>
      </c>
      <c r="O507" s="25" t="s">
        <v>4068</v>
      </c>
      <c r="P507" s="544"/>
      <c r="Q507" s="677"/>
      <c r="R507" s="546" t="s">
        <v>2101</v>
      </c>
      <c r="S507" s="704" t="s">
        <v>1176</v>
      </c>
      <c r="T507" s="317" t="s">
        <v>3883</v>
      </c>
    </row>
    <row r="508" spans="1:20" ht="20.100000000000001" customHeight="1">
      <c r="A508" s="1171" t="s">
        <v>2957</v>
      </c>
      <c r="B508" s="1171" t="s">
        <v>3</v>
      </c>
      <c r="C508" s="1171" t="s">
        <v>108</v>
      </c>
      <c r="D508" s="32"/>
      <c r="E508" s="32"/>
      <c r="F508" s="32"/>
      <c r="G508" s="36" t="s">
        <v>36</v>
      </c>
      <c r="H508" s="22" t="s">
        <v>658</v>
      </c>
      <c r="I508" s="558" t="s">
        <v>80</v>
      </c>
      <c r="J508" s="559"/>
      <c r="K508" s="557" t="s">
        <v>20</v>
      </c>
      <c r="L508" s="557" t="s">
        <v>637</v>
      </c>
      <c r="M508" s="551">
        <v>42932</v>
      </c>
      <c r="N508" s="551">
        <v>43084</v>
      </c>
      <c r="O508" s="544" t="s">
        <v>955</v>
      </c>
      <c r="P508" s="553" t="s">
        <v>1500</v>
      </c>
      <c r="Q508" s="7"/>
      <c r="R508" s="561"/>
      <c r="S508" s="315" t="s">
        <v>2852</v>
      </c>
      <c r="T508" s="317">
        <v>14</v>
      </c>
    </row>
    <row r="509" spans="1:20" ht="20.100000000000001" customHeight="1">
      <c r="A509" s="1171" t="s">
        <v>2957</v>
      </c>
      <c r="B509" s="1171" t="s">
        <v>3</v>
      </c>
      <c r="C509" s="1171" t="s">
        <v>108</v>
      </c>
      <c r="D509" s="11">
        <v>200</v>
      </c>
      <c r="E509" s="11">
        <v>400</v>
      </c>
      <c r="F509" s="11">
        <v>400</v>
      </c>
      <c r="G509" s="56" t="s">
        <v>33</v>
      </c>
      <c r="H509" s="56">
        <v>3</v>
      </c>
      <c r="I509" s="542" t="s">
        <v>27</v>
      </c>
      <c r="J509" s="569"/>
      <c r="K509" s="569">
        <v>9</v>
      </c>
      <c r="L509" s="557" t="s">
        <v>637</v>
      </c>
      <c r="M509" s="549">
        <v>43040</v>
      </c>
      <c r="N509" s="549">
        <v>43079</v>
      </c>
      <c r="O509" s="544" t="s">
        <v>955</v>
      </c>
      <c r="P509" s="553"/>
      <c r="Q509" s="53"/>
      <c r="R509" s="561" t="s">
        <v>243</v>
      </c>
      <c r="S509" s="315" t="s">
        <v>2850</v>
      </c>
      <c r="T509" s="338"/>
    </row>
    <row r="510" spans="1:20" ht="20.100000000000001" customHeight="1">
      <c r="A510" s="1171" t="s">
        <v>2957</v>
      </c>
      <c r="B510" s="1171" t="s">
        <v>3</v>
      </c>
      <c r="C510" s="1171" t="s">
        <v>108</v>
      </c>
      <c r="D510" s="526">
        <v>170</v>
      </c>
      <c r="E510" s="526">
        <v>340</v>
      </c>
      <c r="F510" s="526">
        <v>340</v>
      </c>
      <c r="G510" s="69" t="s">
        <v>62</v>
      </c>
      <c r="H510" s="56" t="s">
        <v>659</v>
      </c>
      <c r="I510" s="542" t="s">
        <v>17</v>
      </c>
      <c r="J510" s="559"/>
      <c r="K510" s="559" t="s">
        <v>771</v>
      </c>
      <c r="L510" s="542" t="s">
        <v>639</v>
      </c>
      <c r="M510" s="549">
        <v>43047</v>
      </c>
      <c r="N510" s="549">
        <v>43086</v>
      </c>
      <c r="O510" s="544" t="s">
        <v>955</v>
      </c>
      <c r="P510" s="562" t="s">
        <v>1725</v>
      </c>
      <c r="Q510" s="60"/>
      <c r="R510" s="561" t="s">
        <v>917</v>
      </c>
      <c r="S510" s="315" t="s">
        <v>2859</v>
      </c>
      <c r="T510" s="338"/>
    </row>
    <row r="511" spans="1:20" ht="20.100000000000001" customHeight="1">
      <c r="A511" s="1171" t="s">
        <v>2957</v>
      </c>
      <c r="B511" s="1171" t="s">
        <v>3</v>
      </c>
      <c r="C511" s="1171" t="s">
        <v>108</v>
      </c>
      <c r="D511" s="62">
        <v>500</v>
      </c>
      <c r="E511" s="528">
        <v>950</v>
      </c>
      <c r="F511" s="528">
        <v>950</v>
      </c>
      <c r="G511" s="48" t="s">
        <v>13</v>
      </c>
      <c r="H511" s="48" t="s">
        <v>760</v>
      </c>
      <c r="I511" s="558" t="s">
        <v>16</v>
      </c>
      <c r="J511" s="558"/>
      <c r="K511" s="558">
        <v>20</v>
      </c>
      <c r="L511" s="557" t="s">
        <v>637</v>
      </c>
      <c r="M511" s="6">
        <v>43070</v>
      </c>
      <c r="N511" s="6">
        <v>43100</v>
      </c>
      <c r="O511" s="544" t="s">
        <v>955</v>
      </c>
      <c r="P511" s="553"/>
      <c r="Q511" s="677"/>
      <c r="R511" s="546" t="s">
        <v>1958</v>
      </c>
      <c r="S511" s="319" t="s">
        <v>1176</v>
      </c>
      <c r="T511" s="338" t="s">
        <v>2875</v>
      </c>
    </row>
    <row r="512" spans="1:20" ht="20.100000000000001" customHeight="1">
      <c r="A512" s="1171" t="s">
        <v>2957</v>
      </c>
      <c r="B512" s="1171" t="s">
        <v>3</v>
      </c>
      <c r="C512" s="1171" t="s">
        <v>108</v>
      </c>
      <c r="D512" s="525">
        <v>450</v>
      </c>
      <c r="E512" s="525">
        <v>900</v>
      </c>
      <c r="F512" s="525">
        <v>900</v>
      </c>
      <c r="G512" s="56" t="s">
        <v>28</v>
      </c>
      <c r="H512" s="47">
        <v>4</v>
      </c>
      <c r="I512" s="542" t="s">
        <v>27</v>
      </c>
      <c r="J512" s="542"/>
      <c r="K512" s="542">
        <v>15</v>
      </c>
      <c r="L512" s="557" t="s">
        <v>637</v>
      </c>
      <c r="M512" s="549">
        <v>43041</v>
      </c>
      <c r="N512" s="549">
        <v>43089</v>
      </c>
      <c r="O512" s="544" t="s">
        <v>955</v>
      </c>
      <c r="P512" s="553"/>
      <c r="Q512" s="7"/>
      <c r="R512" s="561" t="s">
        <v>249</v>
      </c>
      <c r="S512" s="316" t="s">
        <v>1176</v>
      </c>
      <c r="T512" s="338"/>
    </row>
    <row r="513" spans="1:20" ht="20.100000000000001" customHeight="1">
      <c r="A513" s="1171" t="s">
        <v>2957</v>
      </c>
      <c r="B513" s="1171" t="s">
        <v>3</v>
      </c>
      <c r="C513" s="1171" t="s">
        <v>108</v>
      </c>
      <c r="D513" s="525">
        <v>325</v>
      </c>
      <c r="E513" s="525">
        <v>650</v>
      </c>
      <c r="F513" s="525">
        <v>650</v>
      </c>
      <c r="G513" s="224" t="s">
        <v>814</v>
      </c>
      <c r="H513" s="47" t="s">
        <v>654</v>
      </c>
      <c r="I513" s="542" t="s">
        <v>27</v>
      </c>
      <c r="J513" s="542"/>
      <c r="K513" s="542">
        <v>10</v>
      </c>
      <c r="L513" s="557" t="s">
        <v>637</v>
      </c>
      <c r="M513" s="547">
        <v>43038</v>
      </c>
      <c r="N513" s="547">
        <v>43086</v>
      </c>
      <c r="O513" s="544" t="s">
        <v>955</v>
      </c>
      <c r="P513" s="553"/>
      <c r="Q513" s="59"/>
      <c r="R513" s="561" t="s">
        <v>781</v>
      </c>
      <c r="S513" s="319" t="s">
        <v>1176</v>
      </c>
      <c r="T513" s="317" t="s">
        <v>2872</v>
      </c>
    </row>
    <row r="514" spans="1:20" ht="20.100000000000001" customHeight="1">
      <c r="A514" s="1172" t="s">
        <v>2957</v>
      </c>
      <c r="B514" s="1172" t="s">
        <v>3</v>
      </c>
      <c r="C514" s="1172" t="s">
        <v>108</v>
      </c>
      <c r="D514" s="32">
        <v>180</v>
      </c>
      <c r="E514" s="32">
        <v>360</v>
      </c>
      <c r="F514" s="32">
        <v>360</v>
      </c>
      <c r="G514" s="36" t="s">
        <v>36</v>
      </c>
      <c r="H514" s="36" t="s">
        <v>706</v>
      </c>
      <c r="I514" s="566" t="s">
        <v>17</v>
      </c>
      <c r="J514" s="542"/>
      <c r="K514" s="566" t="s">
        <v>721</v>
      </c>
      <c r="L514" s="559" t="s">
        <v>649</v>
      </c>
      <c r="M514" s="551">
        <v>42932</v>
      </c>
      <c r="N514" s="551">
        <v>43084</v>
      </c>
      <c r="O514" s="544" t="s">
        <v>955</v>
      </c>
      <c r="P514" s="553" t="s">
        <v>1500</v>
      </c>
      <c r="Q514" s="744"/>
      <c r="R514" s="561" t="s">
        <v>837</v>
      </c>
      <c r="S514" s="315" t="s">
        <v>2852</v>
      </c>
      <c r="T514" s="317">
        <v>14</v>
      </c>
    </row>
    <row r="515" spans="1:20" ht="20.100000000000001" customHeight="1">
      <c r="A515" s="1170" t="s">
        <v>2957</v>
      </c>
      <c r="B515" s="1170" t="s">
        <v>3</v>
      </c>
      <c r="C515" s="1170" t="s">
        <v>234</v>
      </c>
      <c r="D515" s="526">
        <v>235</v>
      </c>
      <c r="E515" s="526">
        <v>495</v>
      </c>
      <c r="F515" s="526">
        <v>495</v>
      </c>
      <c r="G515" s="69" t="s">
        <v>62</v>
      </c>
      <c r="H515" s="56" t="s">
        <v>729</v>
      </c>
      <c r="I515" s="558" t="s">
        <v>80</v>
      </c>
      <c r="J515" s="559"/>
      <c r="K515" s="559" t="s">
        <v>750</v>
      </c>
      <c r="L515" s="542" t="s">
        <v>639</v>
      </c>
      <c r="M515" s="549">
        <v>43080</v>
      </c>
      <c r="N515" s="549">
        <v>43086</v>
      </c>
      <c r="O515" s="544" t="s">
        <v>955</v>
      </c>
      <c r="P515" s="61" t="s">
        <v>4081</v>
      </c>
      <c r="Q515" s="7"/>
      <c r="R515" s="546" t="s">
        <v>437</v>
      </c>
      <c r="S515" s="315" t="s">
        <v>2848</v>
      </c>
      <c r="T515" s="338"/>
    </row>
    <row r="516" spans="1:20" ht="20.100000000000001" customHeight="1">
      <c r="A516" s="1171" t="s">
        <v>2957</v>
      </c>
      <c r="B516" s="1171" t="s">
        <v>3</v>
      </c>
      <c r="C516" s="1171" t="s">
        <v>234</v>
      </c>
      <c r="D516" s="526">
        <v>365</v>
      </c>
      <c r="E516" s="526">
        <v>730</v>
      </c>
      <c r="F516" s="526">
        <v>730</v>
      </c>
      <c r="G516" s="18" t="s">
        <v>3876</v>
      </c>
      <c r="H516" s="48" t="s">
        <v>1444</v>
      </c>
      <c r="I516" s="559" t="s">
        <v>80</v>
      </c>
      <c r="J516" s="559"/>
      <c r="K516" s="37" t="s">
        <v>3892</v>
      </c>
      <c r="L516" s="557" t="s">
        <v>637</v>
      </c>
      <c r="M516" s="547">
        <v>43060</v>
      </c>
      <c r="N516" s="547">
        <v>43086</v>
      </c>
      <c r="O516" s="25" t="s">
        <v>4068</v>
      </c>
      <c r="P516" s="562"/>
      <c r="Q516" s="7"/>
      <c r="R516" s="546" t="s">
        <v>2101</v>
      </c>
      <c r="S516" s="704" t="s">
        <v>1176</v>
      </c>
      <c r="T516" s="317" t="s">
        <v>3883</v>
      </c>
    </row>
    <row r="517" spans="1:20" ht="20.100000000000001" customHeight="1">
      <c r="A517" s="1171" t="s">
        <v>2957</v>
      </c>
      <c r="B517" s="1171" t="s">
        <v>3</v>
      </c>
      <c r="C517" s="1171" t="s">
        <v>234</v>
      </c>
      <c r="D517" s="526">
        <v>300</v>
      </c>
      <c r="E517" s="526">
        <v>600</v>
      </c>
      <c r="F517" s="526">
        <v>600</v>
      </c>
      <c r="G517" s="22" t="s">
        <v>29</v>
      </c>
      <c r="H517" s="48" t="s">
        <v>1444</v>
      </c>
      <c r="I517" s="559" t="s">
        <v>80</v>
      </c>
      <c r="J517" s="559"/>
      <c r="K517" s="557"/>
      <c r="L517" s="557" t="s">
        <v>637</v>
      </c>
      <c r="M517" s="547">
        <v>43052</v>
      </c>
      <c r="N517" s="547">
        <v>43072</v>
      </c>
      <c r="O517" s="544" t="s">
        <v>955</v>
      </c>
      <c r="P517" s="544"/>
      <c r="Q517" s="677"/>
      <c r="R517" s="546" t="s">
        <v>2101</v>
      </c>
      <c r="S517" s="319" t="s">
        <v>1176</v>
      </c>
      <c r="T517" s="338" t="s">
        <v>1988</v>
      </c>
    </row>
    <row r="518" spans="1:20" ht="20.100000000000001" customHeight="1">
      <c r="A518" s="1171" t="s">
        <v>2957</v>
      </c>
      <c r="B518" s="1171" t="s">
        <v>3</v>
      </c>
      <c r="C518" s="1171" t="s">
        <v>234</v>
      </c>
      <c r="D518" s="525">
        <v>300</v>
      </c>
      <c r="E518" s="525">
        <v>600</v>
      </c>
      <c r="F518" s="525">
        <v>600</v>
      </c>
      <c r="G518" s="69" t="s">
        <v>33</v>
      </c>
      <c r="H518" s="48" t="s">
        <v>659</v>
      </c>
      <c r="I518" s="542" t="s">
        <v>27</v>
      </c>
      <c r="J518" s="558"/>
      <c r="K518" s="558">
        <v>16</v>
      </c>
      <c r="L518" s="557" t="s">
        <v>637</v>
      </c>
      <c r="M518" s="549">
        <v>43040</v>
      </c>
      <c r="N518" s="549">
        <v>43079</v>
      </c>
      <c r="O518" s="544" t="s">
        <v>955</v>
      </c>
      <c r="P518" s="545"/>
      <c r="Q518" s="53"/>
      <c r="R518" s="561" t="s">
        <v>243</v>
      </c>
      <c r="S518" s="315" t="s">
        <v>2850</v>
      </c>
      <c r="T518" s="338"/>
    </row>
    <row r="519" spans="1:20" ht="20.100000000000001" customHeight="1">
      <c r="A519" s="1171" t="s">
        <v>2957</v>
      </c>
      <c r="B519" s="1171" t="s">
        <v>3</v>
      </c>
      <c r="C519" s="1171" t="s">
        <v>234</v>
      </c>
      <c r="D519" s="62">
        <v>600</v>
      </c>
      <c r="E519" s="526">
        <v>1100</v>
      </c>
      <c r="F519" s="526">
        <v>1100</v>
      </c>
      <c r="G519" s="48" t="s">
        <v>13</v>
      </c>
      <c r="H519" s="48" t="s">
        <v>760</v>
      </c>
      <c r="I519" s="558" t="s">
        <v>16</v>
      </c>
      <c r="J519" s="557" t="s">
        <v>452</v>
      </c>
      <c r="K519" s="558">
        <v>15</v>
      </c>
      <c r="L519" s="557" t="s">
        <v>637</v>
      </c>
      <c r="M519" s="6">
        <v>43070</v>
      </c>
      <c r="N519" s="6">
        <v>43100</v>
      </c>
      <c r="O519" s="544" t="s">
        <v>955</v>
      </c>
      <c r="P519" s="553"/>
      <c r="Q519" s="677"/>
      <c r="R519" s="546" t="s">
        <v>1958</v>
      </c>
      <c r="S519" s="319" t="s">
        <v>1176</v>
      </c>
      <c r="T519" s="338" t="s">
        <v>2875</v>
      </c>
    </row>
    <row r="520" spans="1:20" ht="20.100000000000001" customHeight="1">
      <c r="A520" s="1171" t="s">
        <v>2957</v>
      </c>
      <c r="B520" s="1171" t="s">
        <v>3</v>
      </c>
      <c r="C520" s="1171" t="s">
        <v>234</v>
      </c>
      <c r="D520" s="525">
        <v>575</v>
      </c>
      <c r="E520" s="525">
        <v>850</v>
      </c>
      <c r="F520" s="525">
        <v>850</v>
      </c>
      <c r="G520" s="224" t="s">
        <v>51</v>
      </c>
      <c r="H520" s="56" t="s">
        <v>1098</v>
      </c>
      <c r="I520" s="566" t="s">
        <v>17</v>
      </c>
      <c r="J520" s="542"/>
      <c r="K520" s="19" t="s">
        <v>2998</v>
      </c>
      <c r="L520" s="37" t="s">
        <v>2999</v>
      </c>
      <c r="M520" s="381">
        <v>43040</v>
      </c>
      <c r="N520" s="381">
        <v>43088</v>
      </c>
      <c r="O520" s="544" t="s">
        <v>955</v>
      </c>
      <c r="P520" s="581"/>
      <c r="Q520" s="52"/>
      <c r="R520" s="546" t="s">
        <v>202</v>
      </c>
      <c r="S520" s="319"/>
      <c r="T520" s="317">
        <v>12</v>
      </c>
    </row>
    <row r="521" spans="1:20" ht="20.100000000000001" customHeight="1">
      <c r="A521" s="1171" t="s">
        <v>2957</v>
      </c>
      <c r="B521" s="1171" t="s">
        <v>3</v>
      </c>
      <c r="C521" s="1171" t="s">
        <v>234</v>
      </c>
      <c r="D521" s="526">
        <v>565</v>
      </c>
      <c r="E521" s="526">
        <v>930</v>
      </c>
      <c r="F521" s="526">
        <v>930</v>
      </c>
      <c r="G521" s="66" t="s">
        <v>6</v>
      </c>
      <c r="H521" s="22" t="s">
        <v>721</v>
      </c>
      <c r="I521" s="558" t="s">
        <v>16</v>
      </c>
      <c r="J521" s="564"/>
      <c r="K521" s="564">
        <v>14</v>
      </c>
      <c r="L521" s="559" t="s">
        <v>637</v>
      </c>
      <c r="M521" s="549">
        <v>43070</v>
      </c>
      <c r="N521" s="549">
        <v>43074</v>
      </c>
      <c r="O521" s="544" t="s">
        <v>955</v>
      </c>
      <c r="P521" s="572"/>
      <c r="Q521" s="683"/>
      <c r="R521" s="546" t="s">
        <v>1950</v>
      </c>
      <c r="S521" s="316" t="s">
        <v>2860</v>
      </c>
      <c r="T521" s="338" t="s">
        <v>2874</v>
      </c>
    </row>
    <row r="522" spans="1:20" ht="20.100000000000001" customHeight="1">
      <c r="A522" s="1172" t="s">
        <v>2957</v>
      </c>
      <c r="B522" s="1172" t="s">
        <v>3</v>
      </c>
      <c r="C522" s="1172" t="s">
        <v>234</v>
      </c>
      <c r="D522" s="525">
        <v>290</v>
      </c>
      <c r="E522" s="525">
        <v>580</v>
      </c>
      <c r="F522" s="525">
        <v>580</v>
      </c>
      <c r="G522" s="56" t="s">
        <v>36</v>
      </c>
      <c r="H522" s="36" t="s">
        <v>706</v>
      </c>
      <c r="I522" s="554" t="s">
        <v>17</v>
      </c>
      <c r="J522" s="558"/>
      <c r="K522" s="566" t="s">
        <v>726</v>
      </c>
      <c r="L522" s="570" t="s">
        <v>649</v>
      </c>
      <c r="M522" s="551">
        <v>42967</v>
      </c>
      <c r="N522" s="551">
        <v>43084</v>
      </c>
      <c r="O522" s="544" t="s">
        <v>955</v>
      </c>
      <c r="P522" s="553" t="s">
        <v>1499</v>
      </c>
      <c r="Q522" s="7"/>
      <c r="R522" s="561" t="s">
        <v>1390</v>
      </c>
      <c r="S522" s="315" t="s">
        <v>2852</v>
      </c>
      <c r="T522" s="317">
        <v>14</v>
      </c>
    </row>
    <row r="523" spans="1:20" ht="20.100000000000001" customHeight="1">
      <c r="A523" s="1127" t="s">
        <v>2957</v>
      </c>
      <c r="B523" s="1169" t="s">
        <v>3</v>
      </c>
      <c r="C523" s="1169" t="s">
        <v>235</v>
      </c>
      <c r="D523" s="525">
        <v>665</v>
      </c>
      <c r="E523" s="525">
        <v>1280</v>
      </c>
      <c r="F523" s="525">
        <v>1280</v>
      </c>
      <c r="G523" s="66" t="s">
        <v>6</v>
      </c>
      <c r="H523" s="18" t="s">
        <v>729</v>
      </c>
      <c r="I523" s="558" t="s">
        <v>16</v>
      </c>
      <c r="J523" s="557"/>
      <c r="K523" s="558" t="s">
        <v>680</v>
      </c>
      <c r="L523" s="559" t="s">
        <v>636</v>
      </c>
      <c r="M523" s="549">
        <v>43070</v>
      </c>
      <c r="N523" s="549">
        <v>43074</v>
      </c>
      <c r="O523" s="544" t="s">
        <v>955</v>
      </c>
      <c r="P523" s="553"/>
      <c r="Q523" s="7"/>
      <c r="R523" s="546" t="s">
        <v>202</v>
      </c>
      <c r="S523" s="316" t="s">
        <v>2858</v>
      </c>
      <c r="T523" s="338" t="s">
        <v>2874</v>
      </c>
    </row>
    <row r="524" spans="1:20" ht="20.100000000000001" customHeight="1">
      <c r="A524" s="1127" t="s">
        <v>2957</v>
      </c>
      <c r="B524" s="1169" t="s">
        <v>3</v>
      </c>
      <c r="C524" s="1169" t="s">
        <v>235</v>
      </c>
      <c r="D524" s="526">
        <v>215</v>
      </c>
      <c r="E524" s="526">
        <v>455</v>
      </c>
      <c r="F524" s="526">
        <v>455</v>
      </c>
      <c r="G524" s="48" t="s">
        <v>62</v>
      </c>
      <c r="H524" s="56" t="s">
        <v>729</v>
      </c>
      <c r="I524" s="558" t="s">
        <v>80</v>
      </c>
      <c r="J524" s="559"/>
      <c r="K524" s="559" t="s">
        <v>20</v>
      </c>
      <c r="L524" s="542" t="s">
        <v>639</v>
      </c>
      <c r="M524" s="549">
        <v>43080</v>
      </c>
      <c r="N524" s="549">
        <v>43086</v>
      </c>
      <c r="O524" s="544" t="s">
        <v>955</v>
      </c>
      <c r="P524" s="61" t="s">
        <v>4081</v>
      </c>
      <c r="Q524" s="7"/>
      <c r="R524" s="546" t="s">
        <v>437</v>
      </c>
      <c r="S524" s="315" t="s">
        <v>2848</v>
      </c>
      <c r="T524" s="338"/>
    </row>
    <row r="525" spans="1:20" ht="20.100000000000001" customHeight="1">
      <c r="A525" s="1127" t="s">
        <v>2957</v>
      </c>
      <c r="B525" s="1169" t="s">
        <v>3</v>
      </c>
      <c r="C525" s="1169" t="s">
        <v>235</v>
      </c>
      <c r="D525" s="525">
        <v>300</v>
      </c>
      <c r="E525" s="525">
        <v>600</v>
      </c>
      <c r="F525" s="525">
        <v>600</v>
      </c>
      <c r="G525" s="48" t="s">
        <v>33</v>
      </c>
      <c r="H525" s="48" t="s">
        <v>659</v>
      </c>
      <c r="I525" s="542" t="s">
        <v>27</v>
      </c>
      <c r="J525" s="558"/>
      <c r="K525" s="558">
        <v>14</v>
      </c>
      <c r="L525" s="557" t="s">
        <v>637</v>
      </c>
      <c r="M525" s="549">
        <v>43040</v>
      </c>
      <c r="N525" s="549">
        <v>43079</v>
      </c>
      <c r="O525" s="544" t="s">
        <v>955</v>
      </c>
      <c r="P525" s="545"/>
      <c r="Q525" s="53"/>
      <c r="R525" s="561" t="s">
        <v>243</v>
      </c>
      <c r="S525" s="315" t="s">
        <v>2850</v>
      </c>
      <c r="T525" s="338"/>
    </row>
    <row r="526" spans="1:20" ht="20.100000000000001" customHeight="1">
      <c r="A526" s="1127" t="s">
        <v>2957</v>
      </c>
      <c r="B526" s="1169" t="s">
        <v>3</v>
      </c>
      <c r="C526" s="1169" t="s">
        <v>235</v>
      </c>
      <c r="D526" s="273">
        <v>885</v>
      </c>
      <c r="E526" s="273">
        <v>1470</v>
      </c>
      <c r="F526" s="273">
        <v>1470</v>
      </c>
      <c r="G526" s="55" t="s">
        <v>37</v>
      </c>
      <c r="H526" s="48" t="s">
        <v>1875</v>
      </c>
      <c r="I526" s="558" t="s">
        <v>16</v>
      </c>
      <c r="J526" s="557"/>
      <c r="K526" s="558" t="s">
        <v>727</v>
      </c>
      <c r="L526" s="557" t="s">
        <v>637</v>
      </c>
      <c r="M526" s="543">
        <v>43040</v>
      </c>
      <c r="N526" s="543">
        <v>43084</v>
      </c>
      <c r="O526" s="544" t="s">
        <v>955</v>
      </c>
      <c r="P526" s="553"/>
      <c r="Q526" s="7"/>
      <c r="R526" s="546" t="s">
        <v>1876</v>
      </c>
      <c r="S526" s="319" t="s">
        <v>1176</v>
      </c>
      <c r="T526" s="338"/>
    </row>
    <row r="527" spans="1:20" ht="20.100000000000001" customHeight="1">
      <c r="A527" s="1127" t="s">
        <v>2957</v>
      </c>
      <c r="B527" s="1169" t="s">
        <v>3</v>
      </c>
      <c r="C527" s="1169" t="s">
        <v>235</v>
      </c>
      <c r="D527" s="525">
        <f>D1071+530</f>
        <v>780</v>
      </c>
      <c r="E527" s="525">
        <f>E1071+830</f>
        <v>1330</v>
      </c>
      <c r="F527" s="525">
        <f>F1071+830</f>
        <v>1330</v>
      </c>
      <c r="G527" s="225" t="s">
        <v>51</v>
      </c>
      <c r="H527" s="36" t="s">
        <v>2370</v>
      </c>
      <c r="I527" s="557" t="s">
        <v>16</v>
      </c>
      <c r="J527" s="558"/>
      <c r="K527" s="558">
        <v>18</v>
      </c>
      <c r="L527" s="542" t="s">
        <v>637</v>
      </c>
      <c r="M527" s="381">
        <v>43040</v>
      </c>
      <c r="N527" s="381">
        <v>43088</v>
      </c>
      <c r="O527" s="544" t="s">
        <v>955</v>
      </c>
      <c r="P527" s="545"/>
      <c r="Q527" s="52"/>
      <c r="R527" s="575" t="s">
        <v>2371</v>
      </c>
      <c r="S527" s="319"/>
      <c r="T527" s="317">
        <v>12</v>
      </c>
    </row>
    <row r="528" spans="1:20" ht="20.100000000000001" customHeight="1">
      <c r="A528" s="1127" t="s">
        <v>2957</v>
      </c>
      <c r="B528" s="1169" t="s">
        <v>3</v>
      </c>
      <c r="C528" s="1169" t="s">
        <v>235</v>
      </c>
      <c r="D528" s="526">
        <v>320</v>
      </c>
      <c r="E528" s="526">
        <v>640</v>
      </c>
      <c r="F528" s="526">
        <v>640</v>
      </c>
      <c r="G528" s="22" t="s">
        <v>29</v>
      </c>
      <c r="H528" s="48" t="s">
        <v>1444</v>
      </c>
      <c r="I528" s="559" t="s">
        <v>80</v>
      </c>
      <c r="J528" s="559"/>
      <c r="K528" s="557"/>
      <c r="L528" s="557" t="s">
        <v>637</v>
      </c>
      <c r="M528" s="547">
        <v>43038</v>
      </c>
      <c r="N528" s="547">
        <v>43072</v>
      </c>
      <c r="O528" s="544" t="s">
        <v>955</v>
      </c>
      <c r="P528" s="544"/>
      <c r="Q528" s="677"/>
      <c r="R528" s="546" t="s">
        <v>2101</v>
      </c>
      <c r="S528" s="319" t="s">
        <v>1176</v>
      </c>
      <c r="T528" s="338" t="s">
        <v>1988</v>
      </c>
    </row>
    <row r="529" spans="1:20" ht="20.100000000000001" customHeight="1">
      <c r="A529" s="1127" t="s">
        <v>2957</v>
      </c>
      <c r="B529" s="1169" t="s">
        <v>3</v>
      </c>
      <c r="C529" s="1169" t="s">
        <v>235</v>
      </c>
      <c r="D529" s="62">
        <v>600</v>
      </c>
      <c r="E529" s="526">
        <v>1100</v>
      </c>
      <c r="F529" s="526">
        <v>1100</v>
      </c>
      <c r="G529" s="48" t="s">
        <v>13</v>
      </c>
      <c r="H529" s="48" t="s">
        <v>760</v>
      </c>
      <c r="I529" s="558" t="s">
        <v>16</v>
      </c>
      <c r="J529" s="558"/>
      <c r="K529" s="558">
        <v>15</v>
      </c>
      <c r="L529" s="557" t="s">
        <v>637</v>
      </c>
      <c r="M529" s="6">
        <v>43040</v>
      </c>
      <c r="N529" s="6">
        <v>43100</v>
      </c>
      <c r="O529" s="544" t="s">
        <v>955</v>
      </c>
      <c r="P529" s="553"/>
      <c r="Q529" s="677"/>
      <c r="R529" s="546" t="s">
        <v>1958</v>
      </c>
      <c r="S529" s="319" t="s">
        <v>1176</v>
      </c>
      <c r="T529" s="338" t="s">
        <v>2875</v>
      </c>
    </row>
    <row r="530" spans="1:20" ht="20.100000000000001" customHeight="1">
      <c r="A530" s="1127" t="s">
        <v>2957</v>
      </c>
      <c r="B530" s="1169" t="s">
        <v>3</v>
      </c>
      <c r="C530" s="1169" t="s">
        <v>235</v>
      </c>
      <c r="D530" s="525">
        <v>320</v>
      </c>
      <c r="E530" s="525">
        <v>640</v>
      </c>
      <c r="F530" s="525">
        <v>640</v>
      </c>
      <c r="G530" s="56" t="s">
        <v>36</v>
      </c>
      <c r="H530" s="36" t="s">
        <v>706</v>
      </c>
      <c r="I530" s="554" t="s">
        <v>17</v>
      </c>
      <c r="J530" s="558"/>
      <c r="K530" s="566" t="s">
        <v>732</v>
      </c>
      <c r="L530" s="570" t="s">
        <v>649</v>
      </c>
      <c r="M530" s="551">
        <v>42967</v>
      </c>
      <c r="N530" s="551">
        <v>43084</v>
      </c>
      <c r="O530" s="544" t="s">
        <v>955</v>
      </c>
      <c r="P530" s="553" t="s">
        <v>1499</v>
      </c>
      <c r="Q530" s="7"/>
      <c r="R530" s="561" t="s">
        <v>1390</v>
      </c>
      <c r="S530" s="315" t="s">
        <v>2852</v>
      </c>
      <c r="T530" s="317">
        <v>14</v>
      </c>
    </row>
    <row r="531" spans="1:20" ht="20.100000000000001" customHeight="1">
      <c r="A531" s="1127" t="s">
        <v>2957</v>
      </c>
      <c r="B531" s="1169" t="s">
        <v>3</v>
      </c>
      <c r="C531" s="1169" t="s">
        <v>376</v>
      </c>
      <c r="D531" s="526">
        <v>365</v>
      </c>
      <c r="E531" s="526">
        <v>730</v>
      </c>
      <c r="F531" s="526">
        <v>730</v>
      </c>
      <c r="G531" s="66" t="s">
        <v>6</v>
      </c>
      <c r="H531" s="55" t="s">
        <v>742</v>
      </c>
      <c r="I531" s="558" t="s">
        <v>945</v>
      </c>
      <c r="J531" s="558"/>
      <c r="K531" s="566" t="s">
        <v>743</v>
      </c>
      <c r="L531" s="564" t="s">
        <v>636</v>
      </c>
      <c r="M531" s="549">
        <v>43070</v>
      </c>
      <c r="N531" s="549">
        <v>43074</v>
      </c>
      <c r="O531" s="544" t="s">
        <v>955</v>
      </c>
      <c r="P531" s="553"/>
      <c r="Q531" s="52"/>
      <c r="R531" s="561" t="s">
        <v>816</v>
      </c>
      <c r="S531" s="316" t="s">
        <v>2861</v>
      </c>
      <c r="T531" s="338" t="s">
        <v>2874</v>
      </c>
    </row>
    <row r="532" spans="1:20" ht="20.100000000000001" customHeight="1">
      <c r="A532" s="1127" t="s">
        <v>2957</v>
      </c>
      <c r="B532" s="1169" t="s">
        <v>3</v>
      </c>
      <c r="C532" s="1169" t="s">
        <v>376</v>
      </c>
      <c r="D532" s="526">
        <v>105</v>
      </c>
      <c r="E532" s="526">
        <v>235</v>
      </c>
      <c r="F532" s="526">
        <v>235</v>
      </c>
      <c r="G532" s="69" t="s">
        <v>62</v>
      </c>
      <c r="H532" s="56" t="s">
        <v>659</v>
      </c>
      <c r="I532" s="559" t="s">
        <v>17</v>
      </c>
      <c r="J532" s="559"/>
      <c r="K532" s="559" t="s">
        <v>736</v>
      </c>
      <c r="L532" s="559" t="s">
        <v>639</v>
      </c>
      <c r="M532" s="549">
        <v>43080</v>
      </c>
      <c r="N532" s="549">
        <v>43086</v>
      </c>
      <c r="O532" s="544" t="s">
        <v>955</v>
      </c>
      <c r="P532" s="61" t="s">
        <v>4081</v>
      </c>
      <c r="Q532" s="60"/>
      <c r="R532" s="561" t="s">
        <v>917</v>
      </c>
      <c r="S532" s="315" t="s">
        <v>2848</v>
      </c>
      <c r="T532" s="338"/>
    </row>
    <row r="533" spans="1:20" ht="20.100000000000001" customHeight="1">
      <c r="A533" s="1127" t="s">
        <v>2957</v>
      </c>
      <c r="B533" s="1169" t="s">
        <v>3</v>
      </c>
      <c r="C533" s="1169" t="s">
        <v>376</v>
      </c>
      <c r="D533" s="525">
        <v>300</v>
      </c>
      <c r="E533" s="525">
        <v>600</v>
      </c>
      <c r="F533" s="525">
        <v>600</v>
      </c>
      <c r="G533" s="69" t="s">
        <v>33</v>
      </c>
      <c r="H533" s="48" t="s">
        <v>2788</v>
      </c>
      <c r="I533" s="542" t="s">
        <v>27</v>
      </c>
      <c r="J533" s="559"/>
      <c r="K533" s="559" t="s">
        <v>2790</v>
      </c>
      <c r="L533" s="557" t="s">
        <v>637</v>
      </c>
      <c r="M533" s="549">
        <v>43040</v>
      </c>
      <c r="N533" s="549">
        <v>43079</v>
      </c>
      <c r="O533" s="544" t="s">
        <v>955</v>
      </c>
      <c r="P533" s="562"/>
      <c r="Q533" s="60"/>
      <c r="R533" s="561" t="s">
        <v>2789</v>
      </c>
      <c r="S533" s="315" t="s">
        <v>2850</v>
      </c>
      <c r="T533" s="338"/>
    </row>
    <row r="534" spans="1:20" ht="20.100000000000001" customHeight="1">
      <c r="A534" s="1127" t="s">
        <v>2957</v>
      </c>
      <c r="B534" s="1169" t="s">
        <v>3</v>
      </c>
      <c r="C534" s="1169" t="s">
        <v>376</v>
      </c>
      <c r="D534" s="526"/>
      <c r="E534" s="526"/>
      <c r="F534" s="526"/>
      <c r="G534" s="224" t="s">
        <v>814</v>
      </c>
      <c r="H534" s="47" t="s">
        <v>654</v>
      </c>
      <c r="I534" s="542" t="s">
        <v>27</v>
      </c>
      <c r="J534" s="542"/>
      <c r="K534" s="542">
        <v>10</v>
      </c>
      <c r="L534" s="557" t="s">
        <v>637</v>
      </c>
      <c r="M534" s="547">
        <v>43038</v>
      </c>
      <c r="N534" s="547">
        <v>43086</v>
      </c>
      <c r="O534" s="544" t="s">
        <v>955</v>
      </c>
      <c r="P534" s="553"/>
      <c r="Q534" s="59"/>
      <c r="R534" s="561" t="s">
        <v>781</v>
      </c>
      <c r="S534" s="319" t="s">
        <v>1176</v>
      </c>
      <c r="T534" s="317" t="s">
        <v>2872</v>
      </c>
    </row>
    <row r="535" spans="1:20" ht="20.100000000000001" customHeight="1">
      <c r="A535" s="1127" t="s">
        <v>2957</v>
      </c>
      <c r="B535" s="1169" t="s">
        <v>3</v>
      </c>
      <c r="C535" s="1169" t="s">
        <v>376</v>
      </c>
      <c r="D535" s="525"/>
      <c r="E535" s="525"/>
      <c r="F535" s="525"/>
      <c r="G535" s="36" t="s">
        <v>36</v>
      </c>
      <c r="H535" s="36" t="s">
        <v>706</v>
      </c>
      <c r="I535" s="566" t="s">
        <v>17</v>
      </c>
      <c r="J535" s="559"/>
      <c r="K535" s="554" t="s">
        <v>732</v>
      </c>
      <c r="L535" s="559" t="s">
        <v>649</v>
      </c>
      <c r="M535" s="551">
        <v>42967</v>
      </c>
      <c r="N535" s="551">
        <v>43084</v>
      </c>
      <c r="O535" s="544" t="s">
        <v>955</v>
      </c>
      <c r="P535" s="553" t="s">
        <v>1499</v>
      </c>
      <c r="Q535" s="744"/>
      <c r="R535" s="561" t="s">
        <v>837</v>
      </c>
      <c r="S535" s="315" t="s">
        <v>2852</v>
      </c>
      <c r="T535" s="317">
        <v>14</v>
      </c>
    </row>
    <row r="536" spans="1:20" ht="20.100000000000001" customHeight="1">
      <c r="A536" s="1162" t="s">
        <v>2957</v>
      </c>
      <c r="B536" s="1170" t="s">
        <v>3</v>
      </c>
      <c r="C536" s="1170" t="s">
        <v>84</v>
      </c>
      <c r="D536" s="526">
        <v>255</v>
      </c>
      <c r="E536" s="526">
        <v>510</v>
      </c>
      <c r="F536" s="526">
        <v>510</v>
      </c>
      <c r="G536" s="66" t="s">
        <v>62</v>
      </c>
      <c r="H536" s="56" t="s">
        <v>729</v>
      </c>
      <c r="I536" s="559" t="s">
        <v>80</v>
      </c>
      <c r="J536" s="559"/>
      <c r="K536" s="559" t="s">
        <v>736</v>
      </c>
      <c r="L536" s="559" t="s">
        <v>639</v>
      </c>
      <c r="M536" s="549">
        <v>43039</v>
      </c>
      <c r="N536" s="549">
        <v>43086</v>
      </c>
      <c r="O536" s="544" t="s">
        <v>955</v>
      </c>
      <c r="P536" s="562" t="s">
        <v>1726</v>
      </c>
      <c r="Q536" s="7"/>
      <c r="R536" s="546" t="s">
        <v>437</v>
      </c>
      <c r="S536" s="315" t="s">
        <v>2848</v>
      </c>
      <c r="T536" s="338"/>
    </row>
    <row r="537" spans="1:20" ht="20.100000000000001" customHeight="1">
      <c r="A537" s="1166" t="s">
        <v>2957</v>
      </c>
      <c r="B537" s="1171" t="s">
        <v>3</v>
      </c>
      <c r="C537" s="1171" t="s">
        <v>84</v>
      </c>
      <c r="D537" s="529">
        <v>515</v>
      </c>
      <c r="E537" s="529">
        <v>980</v>
      </c>
      <c r="F537" s="529">
        <v>980</v>
      </c>
      <c r="G537" s="66" t="s">
        <v>6</v>
      </c>
      <c r="H537" s="22" t="s">
        <v>742</v>
      </c>
      <c r="I537" s="558" t="s">
        <v>945</v>
      </c>
      <c r="J537" s="559"/>
      <c r="K537" s="559" t="s">
        <v>20</v>
      </c>
      <c r="L537" s="564" t="s">
        <v>636</v>
      </c>
      <c r="M537" s="549">
        <v>43070</v>
      </c>
      <c r="N537" s="549">
        <v>43074</v>
      </c>
      <c r="O537" s="544" t="s">
        <v>955</v>
      </c>
      <c r="P537" s="553"/>
      <c r="Q537" s="52"/>
      <c r="R537" s="561" t="s">
        <v>816</v>
      </c>
      <c r="S537" s="316" t="s">
        <v>2858</v>
      </c>
      <c r="T537" s="338" t="s">
        <v>2874</v>
      </c>
    </row>
    <row r="538" spans="1:20" ht="20.100000000000001" customHeight="1">
      <c r="A538" s="1166" t="s">
        <v>2957</v>
      </c>
      <c r="B538" s="1171" t="s">
        <v>3</v>
      </c>
      <c r="C538" s="1171" t="s">
        <v>84</v>
      </c>
      <c r="D538" s="525">
        <v>120</v>
      </c>
      <c r="E538" s="525">
        <v>240</v>
      </c>
      <c r="F538" s="525">
        <v>240</v>
      </c>
      <c r="G538" s="36" t="s">
        <v>36</v>
      </c>
      <c r="H538" s="48">
        <v>3</v>
      </c>
      <c r="I538" s="566" t="s">
        <v>17</v>
      </c>
      <c r="J538" s="559"/>
      <c r="K538" s="564" t="s">
        <v>721</v>
      </c>
      <c r="L538" s="559" t="s">
        <v>649</v>
      </c>
      <c r="M538" s="551">
        <v>43089</v>
      </c>
      <c r="N538" s="551">
        <v>43089</v>
      </c>
      <c r="O538" s="544" t="s">
        <v>955</v>
      </c>
      <c r="P538" s="550" t="s">
        <v>1503</v>
      </c>
      <c r="Q538" s="683"/>
      <c r="R538" s="561" t="s">
        <v>1134</v>
      </c>
      <c r="S538" s="315" t="s">
        <v>2852</v>
      </c>
      <c r="T538" s="317">
        <v>14</v>
      </c>
    </row>
    <row r="539" spans="1:20" ht="20.100000000000001" customHeight="1">
      <c r="A539" s="1166" t="s">
        <v>2957</v>
      </c>
      <c r="B539" s="1171" t="s">
        <v>3</v>
      </c>
      <c r="C539" s="1171" t="s">
        <v>84</v>
      </c>
      <c r="D539" s="525">
        <v>530</v>
      </c>
      <c r="E539" s="525">
        <v>1060</v>
      </c>
      <c r="F539" s="525">
        <v>1060</v>
      </c>
      <c r="G539" s="36" t="s">
        <v>2505</v>
      </c>
      <c r="H539" s="56" t="s">
        <v>725</v>
      </c>
      <c r="I539" s="566" t="s">
        <v>17</v>
      </c>
      <c r="J539" s="569"/>
      <c r="K539" s="566" t="s">
        <v>736</v>
      </c>
      <c r="L539" s="542" t="s">
        <v>636</v>
      </c>
      <c r="M539" s="549">
        <v>43040</v>
      </c>
      <c r="N539" s="549">
        <v>43079</v>
      </c>
      <c r="O539" s="544" t="s">
        <v>955</v>
      </c>
      <c r="P539" s="14" t="s">
        <v>3438</v>
      </c>
      <c r="Q539" s="7"/>
      <c r="R539" s="546" t="s">
        <v>2486</v>
      </c>
      <c r="S539" s="315" t="s">
        <v>2850</v>
      </c>
      <c r="T539" s="317"/>
    </row>
    <row r="540" spans="1:20" ht="20.100000000000001" customHeight="1">
      <c r="A540" s="1166" t="s">
        <v>2957</v>
      </c>
      <c r="B540" s="1171" t="s">
        <v>3</v>
      </c>
      <c r="C540" s="1171" t="s">
        <v>84</v>
      </c>
      <c r="D540" s="526">
        <v>140</v>
      </c>
      <c r="E540" s="526">
        <v>280</v>
      </c>
      <c r="F540" s="526">
        <v>280</v>
      </c>
      <c r="G540" s="696" t="s">
        <v>558</v>
      </c>
      <c r="H540" s="56" t="s">
        <v>725</v>
      </c>
      <c r="I540" s="559" t="s">
        <v>17</v>
      </c>
      <c r="J540" s="559"/>
      <c r="K540" s="564" t="s">
        <v>706</v>
      </c>
      <c r="L540" s="557" t="s">
        <v>641</v>
      </c>
      <c r="M540" s="549">
        <v>43039</v>
      </c>
      <c r="N540" s="549">
        <v>43086</v>
      </c>
      <c r="O540" s="544" t="s">
        <v>955</v>
      </c>
      <c r="P540" s="14" t="s">
        <v>4165</v>
      </c>
      <c r="Q540" s="7"/>
      <c r="R540" s="546" t="s">
        <v>1254</v>
      </c>
      <c r="S540" s="321"/>
      <c r="T540" s="338"/>
    </row>
    <row r="541" spans="1:20" ht="20.100000000000001" customHeight="1">
      <c r="A541" s="1166" t="s">
        <v>2957</v>
      </c>
      <c r="B541" s="1171" t="s">
        <v>3</v>
      </c>
      <c r="C541" s="1171" t="s">
        <v>84</v>
      </c>
      <c r="D541" s="525">
        <v>270</v>
      </c>
      <c r="E541" s="525">
        <v>540</v>
      </c>
      <c r="F541" s="525">
        <v>540</v>
      </c>
      <c r="G541" s="22" t="s">
        <v>29</v>
      </c>
      <c r="H541" s="56" t="s">
        <v>725</v>
      </c>
      <c r="I541" s="559" t="s">
        <v>17</v>
      </c>
      <c r="J541" s="559"/>
      <c r="K541" s="564" t="s">
        <v>706</v>
      </c>
      <c r="L541" s="557" t="s">
        <v>641</v>
      </c>
      <c r="M541" s="547">
        <v>43052</v>
      </c>
      <c r="N541" s="547">
        <v>43072</v>
      </c>
      <c r="O541" s="544" t="s">
        <v>955</v>
      </c>
      <c r="P541" s="544"/>
      <c r="Q541" s="7"/>
      <c r="R541" s="546" t="s">
        <v>1254</v>
      </c>
      <c r="S541" s="319" t="s">
        <v>1176</v>
      </c>
      <c r="T541" s="338" t="s">
        <v>1988</v>
      </c>
    </row>
    <row r="542" spans="1:20" ht="20.100000000000001" customHeight="1">
      <c r="A542" s="1167" t="s">
        <v>2957</v>
      </c>
      <c r="B542" s="1172" t="s">
        <v>3</v>
      </c>
      <c r="C542" s="1172" t="s">
        <v>84</v>
      </c>
      <c r="D542" s="525">
        <v>140</v>
      </c>
      <c r="E542" s="525">
        <v>280</v>
      </c>
      <c r="F542" s="525">
        <v>280</v>
      </c>
      <c r="G542" s="36" t="s">
        <v>36</v>
      </c>
      <c r="H542" s="36" t="s">
        <v>706</v>
      </c>
      <c r="I542" s="566" t="s">
        <v>17</v>
      </c>
      <c r="J542" s="559"/>
      <c r="K542" s="554" t="s">
        <v>732</v>
      </c>
      <c r="L542" s="559" t="s">
        <v>649</v>
      </c>
      <c r="M542" s="551">
        <v>42932</v>
      </c>
      <c r="N542" s="551">
        <v>43089</v>
      </c>
      <c r="O542" s="544" t="s">
        <v>955</v>
      </c>
      <c r="P542" s="550" t="s">
        <v>1503</v>
      </c>
      <c r="Q542" s="7"/>
      <c r="R542" s="561" t="s">
        <v>837</v>
      </c>
      <c r="S542" s="315" t="s">
        <v>2852</v>
      </c>
      <c r="T542" s="317">
        <v>14</v>
      </c>
    </row>
    <row r="543" spans="1:20" ht="20.100000000000001" customHeight="1">
      <c r="A543" s="1175" t="s">
        <v>1070</v>
      </c>
      <c r="B543" s="1127" t="s">
        <v>3409</v>
      </c>
      <c r="C543" s="1127" t="s">
        <v>3009</v>
      </c>
      <c r="D543" s="526">
        <v>400</v>
      </c>
      <c r="E543" s="526">
        <v>805</v>
      </c>
      <c r="F543" s="526">
        <v>805</v>
      </c>
      <c r="G543" s="18" t="s">
        <v>62</v>
      </c>
      <c r="H543" s="56" t="s">
        <v>729</v>
      </c>
      <c r="I543" s="559" t="s">
        <v>80</v>
      </c>
      <c r="J543" s="569"/>
      <c r="K543" s="566">
        <v>12</v>
      </c>
      <c r="L543" s="559" t="s">
        <v>639</v>
      </c>
      <c r="M543" s="549">
        <v>43080</v>
      </c>
      <c r="N543" s="549">
        <v>43086</v>
      </c>
      <c r="O543" s="544" t="s">
        <v>955</v>
      </c>
      <c r="P543" s="61" t="s">
        <v>4081</v>
      </c>
      <c r="Q543" s="7"/>
      <c r="R543" s="546" t="s">
        <v>437</v>
      </c>
      <c r="S543" s="315" t="s">
        <v>2848</v>
      </c>
      <c r="T543" s="338"/>
    </row>
    <row r="544" spans="1:20" ht="20.100000000000001" customHeight="1">
      <c r="A544" s="1169" t="s">
        <v>2957</v>
      </c>
      <c r="B544" s="1169" t="s">
        <v>3</v>
      </c>
      <c r="C544" s="1169" t="s">
        <v>3009</v>
      </c>
      <c r="D544" s="62">
        <v>600</v>
      </c>
      <c r="E544" s="526">
        <v>1100</v>
      </c>
      <c r="F544" s="526">
        <v>1100</v>
      </c>
      <c r="G544" s="36" t="s">
        <v>13</v>
      </c>
      <c r="H544" s="48" t="s">
        <v>760</v>
      </c>
      <c r="I544" s="558" t="s">
        <v>16</v>
      </c>
      <c r="J544" s="558"/>
      <c r="K544" s="558">
        <v>15</v>
      </c>
      <c r="L544" s="557" t="s">
        <v>637</v>
      </c>
      <c r="M544" s="6">
        <v>43070</v>
      </c>
      <c r="N544" s="6">
        <v>43100</v>
      </c>
      <c r="O544" s="544" t="s">
        <v>955</v>
      </c>
      <c r="P544" s="553"/>
      <c r="Q544" s="677"/>
      <c r="R544" s="546" t="s">
        <v>1958</v>
      </c>
      <c r="S544" s="319" t="s">
        <v>1176</v>
      </c>
      <c r="T544" s="338" t="s">
        <v>2875</v>
      </c>
    </row>
    <row r="545" spans="1:20" ht="20.100000000000001" customHeight="1">
      <c r="A545" s="1169" t="s">
        <v>2957</v>
      </c>
      <c r="B545" s="1169" t="s">
        <v>3</v>
      </c>
      <c r="C545" s="1169" t="s">
        <v>3009</v>
      </c>
      <c r="D545" s="62">
        <v>410</v>
      </c>
      <c r="E545" s="526">
        <v>820</v>
      </c>
      <c r="F545" s="526">
        <v>820</v>
      </c>
      <c r="G545" s="36" t="s">
        <v>2505</v>
      </c>
      <c r="H545" s="56" t="s">
        <v>725</v>
      </c>
      <c r="I545" s="566" t="s">
        <v>17</v>
      </c>
      <c r="J545" s="569"/>
      <c r="K545" s="566" t="s">
        <v>706</v>
      </c>
      <c r="L545" s="542" t="s">
        <v>636</v>
      </c>
      <c r="M545" s="549">
        <v>43040</v>
      </c>
      <c r="N545" s="549">
        <v>43079</v>
      </c>
      <c r="O545" s="544" t="s">
        <v>955</v>
      </c>
      <c r="P545" s="550"/>
      <c r="Q545" s="7"/>
      <c r="R545" s="546" t="s">
        <v>2486</v>
      </c>
      <c r="S545" s="315" t="s">
        <v>2850</v>
      </c>
      <c r="T545" s="338"/>
    </row>
    <row r="546" spans="1:20" ht="20.100000000000001" customHeight="1">
      <c r="A546" s="1169" t="s">
        <v>2957</v>
      </c>
      <c r="B546" s="1169" t="s">
        <v>3</v>
      </c>
      <c r="C546" s="1169" t="s">
        <v>377</v>
      </c>
      <c r="D546" s="525">
        <v>50</v>
      </c>
      <c r="E546" s="525">
        <v>100</v>
      </c>
      <c r="F546" s="525">
        <v>100</v>
      </c>
      <c r="G546" s="224" t="s">
        <v>51</v>
      </c>
      <c r="H546" s="56" t="s">
        <v>1098</v>
      </c>
      <c r="I546" s="566" t="s">
        <v>17</v>
      </c>
      <c r="J546" s="542"/>
      <c r="K546" s="19" t="s">
        <v>2304</v>
      </c>
      <c r="L546" s="37" t="s">
        <v>2999</v>
      </c>
      <c r="M546" s="381">
        <v>43084</v>
      </c>
      <c r="N546" s="381">
        <v>43088</v>
      </c>
      <c r="O546" s="544" t="s">
        <v>955</v>
      </c>
      <c r="P546" s="581"/>
      <c r="Q546" s="52"/>
      <c r="R546" s="546" t="s">
        <v>202</v>
      </c>
      <c r="S546" s="319"/>
      <c r="T546" s="317">
        <v>12</v>
      </c>
    </row>
    <row r="547" spans="1:20" ht="20.100000000000001" customHeight="1">
      <c r="A547" s="1169" t="s">
        <v>2957</v>
      </c>
      <c r="B547" s="1169" t="s">
        <v>3</v>
      </c>
      <c r="C547" s="1169" t="s">
        <v>3009</v>
      </c>
      <c r="D547" s="525">
        <v>70</v>
      </c>
      <c r="E547" s="525">
        <v>140</v>
      </c>
      <c r="F547" s="525">
        <v>140</v>
      </c>
      <c r="G547" s="36" t="s">
        <v>36</v>
      </c>
      <c r="H547" s="36" t="s">
        <v>706</v>
      </c>
      <c r="I547" s="566" t="s">
        <v>17</v>
      </c>
      <c r="J547" s="559"/>
      <c r="K547" s="554" t="s">
        <v>681</v>
      </c>
      <c r="L547" s="559" t="s">
        <v>649</v>
      </c>
      <c r="M547" s="551">
        <v>42498</v>
      </c>
      <c r="N547" s="551">
        <v>43084</v>
      </c>
      <c r="O547" s="544" t="s">
        <v>955</v>
      </c>
      <c r="P547" s="550" t="s">
        <v>1504</v>
      </c>
      <c r="Q547" s="744"/>
      <c r="R547" s="561" t="s">
        <v>837</v>
      </c>
      <c r="S547" s="315" t="s">
        <v>2852</v>
      </c>
      <c r="T547" s="317">
        <v>14</v>
      </c>
    </row>
    <row r="548" spans="1:20" ht="20.100000000000001" customHeight="1">
      <c r="A548" s="784" t="s">
        <v>3408</v>
      </c>
      <c r="B548" s="783" t="s">
        <v>3410</v>
      </c>
      <c r="C548" s="783" t="s">
        <v>3411</v>
      </c>
      <c r="D548" s="525">
        <v>1300</v>
      </c>
      <c r="E548" s="525">
        <v>1500</v>
      </c>
      <c r="F548" s="525">
        <v>1500</v>
      </c>
      <c r="G548" s="36" t="s">
        <v>36</v>
      </c>
      <c r="H548" s="36" t="s">
        <v>706</v>
      </c>
      <c r="I548" s="19" t="s">
        <v>3417</v>
      </c>
      <c r="J548" s="542"/>
      <c r="K548" s="19" t="s">
        <v>1233</v>
      </c>
      <c r="L548" s="559" t="s">
        <v>649</v>
      </c>
      <c r="M548" s="551">
        <v>43058</v>
      </c>
      <c r="N548" s="551">
        <v>43084</v>
      </c>
      <c r="O548" s="544" t="s">
        <v>955</v>
      </c>
      <c r="P548" s="553" t="s">
        <v>1500</v>
      </c>
      <c r="Q548" s="744"/>
      <c r="R548" s="561" t="s">
        <v>837</v>
      </c>
      <c r="S548" s="315" t="s">
        <v>2852</v>
      </c>
      <c r="T548" s="317">
        <v>14</v>
      </c>
    </row>
    <row r="549" spans="1:20" ht="20.100000000000001" customHeight="1">
      <c r="A549" s="784" t="s">
        <v>3408</v>
      </c>
      <c r="B549" s="783" t="s">
        <v>3410</v>
      </c>
      <c r="C549" s="783" t="s">
        <v>3412</v>
      </c>
      <c r="D549" s="525">
        <v>1300</v>
      </c>
      <c r="E549" s="525">
        <v>1500</v>
      </c>
      <c r="F549" s="525">
        <v>1500</v>
      </c>
      <c r="G549" s="36" t="s">
        <v>36</v>
      </c>
      <c r="H549" s="36" t="s">
        <v>706</v>
      </c>
      <c r="I549" s="19" t="s">
        <v>3417</v>
      </c>
      <c r="J549" s="542"/>
      <c r="K549" s="19" t="s">
        <v>1233</v>
      </c>
      <c r="L549" s="559" t="s">
        <v>649</v>
      </c>
      <c r="M549" s="551">
        <v>43058</v>
      </c>
      <c r="N549" s="551">
        <v>43084</v>
      </c>
      <c r="O549" s="544" t="s">
        <v>955</v>
      </c>
      <c r="P549" s="553" t="s">
        <v>1500</v>
      </c>
      <c r="Q549" s="744"/>
      <c r="R549" s="561" t="s">
        <v>837</v>
      </c>
      <c r="S549" s="315" t="s">
        <v>2852</v>
      </c>
      <c r="T549" s="317">
        <v>14</v>
      </c>
    </row>
    <row r="550" spans="1:20" ht="20.100000000000001" customHeight="1">
      <c r="A550" s="784" t="s">
        <v>3408</v>
      </c>
      <c r="B550" s="783" t="s">
        <v>3410</v>
      </c>
      <c r="C550" s="783" t="s">
        <v>3413</v>
      </c>
      <c r="D550" s="525">
        <v>2800</v>
      </c>
      <c r="E550" s="525">
        <v>3000</v>
      </c>
      <c r="F550" s="525">
        <v>3000</v>
      </c>
      <c r="G550" s="36" t="s">
        <v>36</v>
      </c>
      <c r="H550" s="36" t="s">
        <v>706</v>
      </c>
      <c r="I550" s="19" t="s">
        <v>3417</v>
      </c>
      <c r="J550" s="542"/>
      <c r="K550" s="19" t="s">
        <v>2053</v>
      </c>
      <c r="L550" s="559" t="s">
        <v>649</v>
      </c>
      <c r="M550" s="551">
        <v>43058</v>
      </c>
      <c r="N550" s="551">
        <v>43084</v>
      </c>
      <c r="O550" s="544" t="s">
        <v>955</v>
      </c>
      <c r="P550" s="553" t="s">
        <v>1500</v>
      </c>
      <c r="Q550" s="744"/>
      <c r="R550" s="561" t="s">
        <v>837</v>
      </c>
      <c r="S550" s="315" t="s">
        <v>2852</v>
      </c>
      <c r="T550" s="317">
        <v>14</v>
      </c>
    </row>
    <row r="551" spans="1:20" ht="20.100000000000001" customHeight="1">
      <c r="A551" s="784" t="s">
        <v>3408</v>
      </c>
      <c r="B551" s="783" t="s">
        <v>3410</v>
      </c>
      <c r="C551" s="783" t="s">
        <v>3414</v>
      </c>
      <c r="D551" s="525">
        <v>1900</v>
      </c>
      <c r="E551" s="525">
        <v>2100</v>
      </c>
      <c r="F551" s="525">
        <v>2100</v>
      </c>
      <c r="G551" s="36" t="s">
        <v>36</v>
      </c>
      <c r="H551" s="36" t="s">
        <v>706</v>
      </c>
      <c r="I551" s="19" t="s">
        <v>3417</v>
      </c>
      <c r="J551" s="542"/>
      <c r="K551" s="19" t="s">
        <v>1233</v>
      </c>
      <c r="L551" s="559" t="s">
        <v>649</v>
      </c>
      <c r="M551" s="551">
        <v>43058</v>
      </c>
      <c r="N551" s="551">
        <v>43084</v>
      </c>
      <c r="O551" s="544" t="s">
        <v>955</v>
      </c>
      <c r="P551" s="553" t="s">
        <v>1500</v>
      </c>
      <c r="Q551" s="744"/>
      <c r="R551" s="561" t="s">
        <v>837</v>
      </c>
      <c r="S551" s="315" t="s">
        <v>2852</v>
      </c>
      <c r="T551" s="317">
        <v>14</v>
      </c>
    </row>
    <row r="552" spans="1:20" ht="20.100000000000001" customHeight="1">
      <c r="A552" s="784" t="s">
        <v>3408</v>
      </c>
      <c r="B552" s="783" t="s">
        <v>3410</v>
      </c>
      <c r="C552" s="783" t="s">
        <v>3415</v>
      </c>
      <c r="D552" s="525">
        <v>1500</v>
      </c>
      <c r="E552" s="525">
        <v>1700</v>
      </c>
      <c r="F552" s="525">
        <v>1700</v>
      </c>
      <c r="G552" s="36" t="s">
        <v>36</v>
      </c>
      <c r="H552" s="36" t="s">
        <v>706</v>
      </c>
      <c r="I552" s="19" t="s">
        <v>3417</v>
      </c>
      <c r="J552" s="542"/>
      <c r="K552" s="19" t="s">
        <v>1233</v>
      </c>
      <c r="L552" s="559" t="s">
        <v>649</v>
      </c>
      <c r="M552" s="551">
        <v>43058</v>
      </c>
      <c r="N552" s="551">
        <v>43084</v>
      </c>
      <c r="O552" s="544" t="s">
        <v>955</v>
      </c>
      <c r="P552" s="553" t="s">
        <v>1500</v>
      </c>
      <c r="Q552" s="744"/>
      <c r="R552" s="561" t="s">
        <v>837</v>
      </c>
      <c r="S552" s="315" t="s">
        <v>2852</v>
      </c>
      <c r="T552" s="317">
        <v>14</v>
      </c>
    </row>
    <row r="553" spans="1:20" ht="20.100000000000001" customHeight="1">
      <c r="A553" s="784" t="s">
        <v>3408</v>
      </c>
      <c r="B553" s="783" t="s">
        <v>3410</v>
      </c>
      <c r="C553" s="783" t="s">
        <v>3416</v>
      </c>
      <c r="D553" s="525">
        <v>1900</v>
      </c>
      <c r="E553" s="525">
        <v>2100</v>
      </c>
      <c r="F553" s="525">
        <v>2100</v>
      </c>
      <c r="G553" s="36" t="s">
        <v>36</v>
      </c>
      <c r="H553" s="36" t="s">
        <v>706</v>
      </c>
      <c r="I553" s="19" t="s">
        <v>3417</v>
      </c>
      <c r="J553" s="542"/>
      <c r="K553" s="19" t="s">
        <v>1233</v>
      </c>
      <c r="L553" s="559" t="s">
        <v>649</v>
      </c>
      <c r="M553" s="551">
        <v>43058</v>
      </c>
      <c r="N553" s="551">
        <v>43084</v>
      </c>
      <c r="O553" s="544" t="s">
        <v>955</v>
      </c>
      <c r="P553" s="553" t="s">
        <v>1500</v>
      </c>
      <c r="Q553" s="744"/>
      <c r="R553" s="561" t="s">
        <v>837</v>
      </c>
      <c r="S553" s="315" t="s">
        <v>2852</v>
      </c>
      <c r="T553" s="317">
        <v>14</v>
      </c>
    </row>
    <row r="554" spans="1:20" ht="20.100000000000001" customHeight="1">
      <c r="A554" s="1169" t="s">
        <v>2957</v>
      </c>
      <c r="B554" s="1169" t="s">
        <v>4272</v>
      </c>
      <c r="C554" s="1169" t="s">
        <v>4271</v>
      </c>
      <c r="D554" s="525">
        <v>235</v>
      </c>
      <c r="E554" s="525">
        <v>470</v>
      </c>
      <c r="F554" s="525">
        <v>470</v>
      </c>
      <c r="G554" s="628" t="s">
        <v>231</v>
      </c>
      <c r="H554" s="48" t="s">
        <v>729</v>
      </c>
      <c r="I554" s="567" t="s">
        <v>17</v>
      </c>
      <c r="J554" s="557" t="s">
        <v>74</v>
      </c>
      <c r="K554" s="567" t="s">
        <v>732</v>
      </c>
      <c r="L554" s="559" t="s">
        <v>649</v>
      </c>
      <c r="M554" s="547">
        <v>43087</v>
      </c>
      <c r="N554" s="547">
        <v>43087</v>
      </c>
      <c r="O554" s="544" t="s">
        <v>955</v>
      </c>
      <c r="P554" s="572"/>
      <c r="Q554" s="7"/>
      <c r="R554" s="546" t="s">
        <v>1113</v>
      </c>
      <c r="S554" s="319"/>
      <c r="T554" s="338" t="s">
        <v>1988</v>
      </c>
    </row>
    <row r="555" spans="1:20" ht="20.100000000000001" customHeight="1">
      <c r="A555" s="1169" t="s">
        <v>2957</v>
      </c>
      <c r="B555" s="1169" t="s">
        <v>4272</v>
      </c>
      <c r="C555" s="1169" t="s">
        <v>4271</v>
      </c>
      <c r="D555" s="525">
        <v>240</v>
      </c>
      <c r="E555" s="525">
        <v>480</v>
      </c>
      <c r="F555" s="525">
        <v>480</v>
      </c>
      <c r="G555" s="36" t="s">
        <v>29</v>
      </c>
      <c r="H555" s="18" t="s">
        <v>729</v>
      </c>
      <c r="I555" s="567" t="s">
        <v>17</v>
      </c>
      <c r="J555" s="557" t="s">
        <v>74</v>
      </c>
      <c r="K555" s="567" t="s">
        <v>732</v>
      </c>
      <c r="L555" s="559" t="s">
        <v>649</v>
      </c>
      <c r="M555" s="547">
        <v>43038</v>
      </c>
      <c r="N555" s="547">
        <v>43072</v>
      </c>
      <c r="O555" s="544" t="s">
        <v>955</v>
      </c>
      <c r="P555" s="572"/>
      <c r="Q555" s="7"/>
      <c r="R555" s="546" t="s">
        <v>251</v>
      </c>
      <c r="S555" s="319" t="s">
        <v>1176</v>
      </c>
      <c r="T555" s="338" t="s">
        <v>1988</v>
      </c>
    </row>
    <row r="556" spans="1:20" ht="20.100000000000001" customHeight="1">
      <c r="A556" s="1169" t="s">
        <v>2957</v>
      </c>
      <c r="B556" s="1169" t="s">
        <v>4272</v>
      </c>
      <c r="C556" s="1169" t="s">
        <v>4271</v>
      </c>
      <c r="D556" s="525">
        <v>505</v>
      </c>
      <c r="E556" s="525">
        <v>860</v>
      </c>
      <c r="F556" s="525">
        <v>860</v>
      </c>
      <c r="G556" s="48" t="s">
        <v>6</v>
      </c>
      <c r="H556" s="18">
        <v>2</v>
      </c>
      <c r="I556" s="567" t="s">
        <v>17</v>
      </c>
      <c r="J556" s="557" t="s">
        <v>74</v>
      </c>
      <c r="K556" s="567" t="s">
        <v>732</v>
      </c>
      <c r="L556" s="564" t="s">
        <v>636</v>
      </c>
      <c r="M556" s="549">
        <v>43070</v>
      </c>
      <c r="N556" s="549">
        <v>43074</v>
      </c>
      <c r="O556" s="544" t="s">
        <v>955</v>
      </c>
      <c r="P556" s="572"/>
      <c r="Q556" s="52"/>
      <c r="R556" s="546" t="s">
        <v>816</v>
      </c>
      <c r="S556" s="316" t="s">
        <v>2858</v>
      </c>
      <c r="T556" s="338" t="s">
        <v>2874</v>
      </c>
    </row>
    <row r="557" spans="1:20" ht="20.100000000000001" customHeight="1">
      <c r="A557" s="1169" t="s">
        <v>2957</v>
      </c>
      <c r="B557" s="1169" t="s">
        <v>4272</v>
      </c>
      <c r="C557" s="1169" t="s">
        <v>4271</v>
      </c>
      <c r="D557" s="526">
        <v>220</v>
      </c>
      <c r="E557" s="526">
        <v>440</v>
      </c>
      <c r="F557" s="526">
        <v>440</v>
      </c>
      <c r="G557" s="48" t="s">
        <v>232</v>
      </c>
      <c r="H557" s="48" t="s">
        <v>742</v>
      </c>
      <c r="I557" s="567" t="s">
        <v>17</v>
      </c>
      <c r="J557" s="557" t="s">
        <v>74</v>
      </c>
      <c r="K557" s="567" t="s">
        <v>771</v>
      </c>
      <c r="L557" s="557" t="s">
        <v>639</v>
      </c>
      <c r="M557" s="551">
        <v>43078</v>
      </c>
      <c r="N557" s="551">
        <v>43086</v>
      </c>
      <c r="O557" s="544" t="s">
        <v>955</v>
      </c>
      <c r="P557" s="572"/>
      <c r="Q557" s="52"/>
      <c r="R557" s="546" t="s">
        <v>1353</v>
      </c>
      <c r="S557" s="316"/>
      <c r="T557" s="317" t="s">
        <v>1678</v>
      </c>
    </row>
    <row r="558" spans="1:20" ht="20.100000000000001" customHeight="1">
      <c r="A558" s="1169" t="s">
        <v>2957</v>
      </c>
      <c r="B558" s="1169" t="s">
        <v>4272</v>
      </c>
      <c r="C558" s="1169" t="s">
        <v>4271</v>
      </c>
      <c r="D558" s="32">
        <v>215</v>
      </c>
      <c r="E558" s="32">
        <v>430</v>
      </c>
      <c r="F558" s="32">
        <v>430</v>
      </c>
      <c r="G558" s="224" t="s">
        <v>434</v>
      </c>
      <c r="H558" s="48" t="s">
        <v>742</v>
      </c>
      <c r="I558" s="567" t="s">
        <v>17</v>
      </c>
      <c r="J558" s="557" t="s">
        <v>74</v>
      </c>
      <c r="K558" s="567" t="s">
        <v>771</v>
      </c>
      <c r="L558" s="557" t="s">
        <v>639</v>
      </c>
      <c r="M558" s="549">
        <v>43080</v>
      </c>
      <c r="N558" s="549">
        <v>43093</v>
      </c>
      <c r="O558" s="544" t="s">
        <v>955</v>
      </c>
      <c r="P558" s="545"/>
      <c r="Q558" s="52"/>
      <c r="R558" s="546" t="s">
        <v>1353</v>
      </c>
      <c r="S558" s="321" t="s">
        <v>1176</v>
      </c>
      <c r="T558" s="317" t="s">
        <v>2824</v>
      </c>
    </row>
    <row r="559" spans="1:20" ht="20.100000000000001" customHeight="1">
      <c r="A559" s="1169" t="s">
        <v>2957</v>
      </c>
      <c r="B559" s="1169" t="s">
        <v>4272</v>
      </c>
      <c r="C559" s="1169" t="s">
        <v>4271</v>
      </c>
      <c r="D559" s="320">
        <v>205</v>
      </c>
      <c r="E559" s="320">
        <v>410</v>
      </c>
      <c r="F559" s="320">
        <v>410</v>
      </c>
      <c r="G559" s="48" t="s">
        <v>87</v>
      </c>
      <c r="H559" s="48" t="s">
        <v>742</v>
      </c>
      <c r="I559" s="567" t="s">
        <v>17</v>
      </c>
      <c r="J559" s="557" t="s">
        <v>74</v>
      </c>
      <c r="K559" s="567" t="s">
        <v>771</v>
      </c>
      <c r="L559" s="557" t="s">
        <v>639</v>
      </c>
      <c r="M559" s="551">
        <v>43087</v>
      </c>
      <c r="N559" s="551">
        <v>43092</v>
      </c>
      <c r="O559" s="544" t="s">
        <v>955</v>
      </c>
      <c r="P559" s="572"/>
      <c r="Q559" s="52"/>
      <c r="R559" s="546" t="s">
        <v>1353</v>
      </c>
      <c r="S559" s="315" t="s">
        <v>2849</v>
      </c>
      <c r="T559" s="338" t="s">
        <v>1991</v>
      </c>
    </row>
    <row r="560" spans="1:20" ht="20.100000000000001" customHeight="1">
      <c r="A560" s="1169" t="s">
        <v>2957</v>
      </c>
      <c r="B560" s="1169" t="s">
        <v>4272</v>
      </c>
      <c r="C560" s="1169" t="s">
        <v>4271</v>
      </c>
      <c r="D560" s="2">
        <v>220</v>
      </c>
      <c r="E560" s="2">
        <v>440</v>
      </c>
      <c r="F560" s="2">
        <v>440</v>
      </c>
      <c r="G560" s="48" t="s">
        <v>432</v>
      </c>
      <c r="H560" s="48" t="s">
        <v>742</v>
      </c>
      <c r="I560" s="567" t="s">
        <v>17</v>
      </c>
      <c r="J560" s="557" t="s">
        <v>74</v>
      </c>
      <c r="K560" s="567" t="s">
        <v>771</v>
      </c>
      <c r="L560" s="557" t="s">
        <v>639</v>
      </c>
      <c r="M560" s="547">
        <v>43081</v>
      </c>
      <c r="N560" s="549">
        <v>43086</v>
      </c>
      <c r="O560" s="544" t="s">
        <v>955</v>
      </c>
      <c r="P560" s="572"/>
      <c r="Q560" s="52"/>
      <c r="R560" s="546" t="s">
        <v>1353</v>
      </c>
      <c r="S560" s="704" t="s">
        <v>1176</v>
      </c>
      <c r="T560" s="338"/>
    </row>
    <row r="561" spans="1:20" ht="20.100000000000001" customHeight="1">
      <c r="A561" s="1169" t="s">
        <v>2957</v>
      </c>
      <c r="B561" s="1169" t="s">
        <v>4272</v>
      </c>
      <c r="C561" s="1169" t="s">
        <v>4271</v>
      </c>
      <c r="D561" s="525">
        <v>195</v>
      </c>
      <c r="E561" s="62"/>
      <c r="F561" s="62"/>
      <c r="G561" s="699" t="s">
        <v>76</v>
      </c>
      <c r="H561" s="56" t="s">
        <v>742</v>
      </c>
      <c r="I561" s="558" t="s">
        <v>17</v>
      </c>
      <c r="J561" s="567" t="s">
        <v>74</v>
      </c>
      <c r="K561" s="566" t="s">
        <v>726</v>
      </c>
      <c r="L561" s="559" t="s">
        <v>639</v>
      </c>
      <c r="M561" s="6">
        <v>43087</v>
      </c>
      <c r="N561" s="6">
        <v>43093</v>
      </c>
      <c r="O561" s="544" t="s">
        <v>955</v>
      </c>
      <c r="P561" s="572"/>
      <c r="Q561" s="52"/>
      <c r="R561" s="546" t="s">
        <v>171</v>
      </c>
      <c r="S561" s="322" t="s">
        <v>1176</v>
      </c>
      <c r="T561" s="338" t="s">
        <v>2372</v>
      </c>
    </row>
    <row r="562" spans="1:20" ht="20.100000000000001" customHeight="1">
      <c r="A562" s="1169" t="s">
        <v>2957</v>
      </c>
      <c r="B562" s="1169" t="s">
        <v>4272</v>
      </c>
      <c r="C562" s="1169" t="s">
        <v>4271</v>
      </c>
      <c r="D562" s="525">
        <v>325</v>
      </c>
      <c r="E562" s="525">
        <v>650</v>
      </c>
      <c r="F562" s="525">
        <v>650</v>
      </c>
      <c r="G562" s="628" t="s">
        <v>51</v>
      </c>
      <c r="H562" s="210" t="s">
        <v>742</v>
      </c>
      <c r="I562" s="557" t="s">
        <v>17</v>
      </c>
      <c r="J562" s="557" t="s">
        <v>74</v>
      </c>
      <c r="K562" s="566" t="s">
        <v>726</v>
      </c>
      <c r="L562" s="559" t="s">
        <v>639</v>
      </c>
      <c r="M562" s="381">
        <v>43040</v>
      </c>
      <c r="N562" s="381">
        <v>43088</v>
      </c>
      <c r="O562" s="544" t="s">
        <v>955</v>
      </c>
      <c r="P562" s="552"/>
      <c r="Q562" s="52"/>
      <c r="R562" s="546" t="s">
        <v>171</v>
      </c>
      <c r="S562" s="319"/>
      <c r="T562" s="317">
        <v>12</v>
      </c>
    </row>
    <row r="563" spans="1:20" ht="20.100000000000001" customHeight="1">
      <c r="A563" s="1169" t="s">
        <v>2957</v>
      </c>
      <c r="B563" s="1169" t="s">
        <v>4272</v>
      </c>
      <c r="C563" s="1169" t="s">
        <v>4271</v>
      </c>
      <c r="D563" s="525"/>
      <c r="E563" s="525"/>
      <c r="F563" s="525"/>
      <c r="G563" s="66" t="s">
        <v>33</v>
      </c>
      <c r="H563" s="56" t="s">
        <v>742</v>
      </c>
      <c r="I563" s="558" t="s">
        <v>17</v>
      </c>
      <c r="J563" s="567" t="s">
        <v>74</v>
      </c>
      <c r="K563" s="566" t="s">
        <v>726</v>
      </c>
      <c r="L563" s="559" t="s">
        <v>639</v>
      </c>
      <c r="M563" s="549">
        <v>43078</v>
      </c>
      <c r="N563" s="549">
        <v>43082</v>
      </c>
      <c r="O563" s="544" t="s">
        <v>955</v>
      </c>
      <c r="P563" s="572"/>
      <c r="Q563" s="52"/>
      <c r="R563" s="546" t="s">
        <v>171</v>
      </c>
      <c r="S563" s="315" t="s">
        <v>2850</v>
      </c>
      <c r="T563" s="338"/>
    </row>
    <row r="564" spans="1:20" ht="20.100000000000001" customHeight="1">
      <c r="A564" s="1169" t="s">
        <v>2957</v>
      </c>
      <c r="B564" s="1169" t="s">
        <v>4272</v>
      </c>
      <c r="C564" s="1169" t="s">
        <v>4271</v>
      </c>
      <c r="D564" s="32">
        <v>255</v>
      </c>
      <c r="E564" s="32">
        <v>510</v>
      </c>
      <c r="F564" s="32">
        <v>510</v>
      </c>
      <c r="G564" s="224" t="s">
        <v>434</v>
      </c>
      <c r="H564" s="56" t="s">
        <v>742</v>
      </c>
      <c r="I564" s="558" t="s">
        <v>17</v>
      </c>
      <c r="J564" s="567" t="s">
        <v>74</v>
      </c>
      <c r="K564" s="566" t="s">
        <v>726</v>
      </c>
      <c r="L564" s="559" t="s">
        <v>639</v>
      </c>
      <c r="M564" s="549">
        <v>43073</v>
      </c>
      <c r="N564" s="549">
        <v>43093</v>
      </c>
      <c r="O564" s="544" t="s">
        <v>955</v>
      </c>
      <c r="P564" s="572"/>
      <c r="Q564" s="52"/>
      <c r="R564" s="546" t="s">
        <v>171</v>
      </c>
      <c r="S564" s="321" t="s">
        <v>1176</v>
      </c>
      <c r="T564" s="317" t="s">
        <v>2824</v>
      </c>
    </row>
    <row r="565" spans="1:20" ht="20.100000000000001" customHeight="1">
      <c r="A565" s="1169" t="s">
        <v>2957</v>
      </c>
      <c r="B565" s="1169" t="s">
        <v>4272</v>
      </c>
      <c r="C565" s="1169" t="s">
        <v>4271</v>
      </c>
      <c r="D565" s="525">
        <v>265</v>
      </c>
      <c r="E565" s="525">
        <v>530</v>
      </c>
      <c r="F565" s="525">
        <v>530</v>
      </c>
      <c r="G565" s="66" t="s">
        <v>30</v>
      </c>
      <c r="H565" s="56" t="s">
        <v>742</v>
      </c>
      <c r="I565" s="558" t="s">
        <v>17</v>
      </c>
      <c r="J565" s="567" t="s">
        <v>74</v>
      </c>
      <c r="K565" s="566" t="s">
        <v>726</v>
      </c>
      <c r="L565" s="559" t="s">
        <v>639</v>
      </c>
      <c r="M565" s="568">
        <v>43040</v>
      </c>
      <c r="N565" s="568">
        <v>43100</v>
      </c>
      <c r="O565" s="544" t="s">
        <v>955</v>
      </c>
      <c r="P565" s="572"/>
      <c r="Q565" s="52"/>
      <c r="R565" s="546" t="s">
        <v>1915</v>
      </c>
      <c r="S565" s="321"/>
      <c r="T565" s="317">
        <v>14</v>
      </c>
    </row>
    <row r="566" spans="1:20" ht="20.100000000000001" customHeight="1">
      <c r="A566" s="1169" t="s">
        <v>2957</v>
      </c>
      <c r="B566" s="1169" t="s">
        <v>4272</v>
      </c>
      <c r="C566" s="1169" t="s">
        <v>4271</v>
      </c>
      <c r="D566" s="526">
        <v>345</v>
      </c>
      <c r="E566" s="526">
        <v>650</v>
      </c>
      <c r="F566" s="526">
        <v>650</v>
      </c>
      <c r="G566" s="66" t="s">
        <v>568</v>
      </c>
      <c r="H566" s="56" t="s">
        <v>742</v>
      </c>
      <c r="I566" s="558" t="s">
        <v>17</v>
      </c>
      <c r="J566" s="567" t="s">
        <v>74</v>
      </c>
      <c r="K566" s="566" t="s">
        <v>726</v>
      </c>
      <c r="L566" s="559" t="s">
        <v>639</v>
      </c>
      <c r="M566" s="551">
        <v>43070</v>
      </c>
      <c r="N566" s="551">
        <v>43083</v>
      </c>
      <c r="O566" s="544" t="s">
        <v>955</v>
      </c>
      <c r="P566" s="572"/>
      <c r="Q566" s="52"/>
      <c r="R566" s="546" t="s">
        <v>171</v>
      </c>
      <c r="S566" s="322"/>
      <c r="T566" s="338"/>
    </row>
    <row r="567" spans="1:20" ht="20.100000000000001" customHeight="1">
      <c r="A567" s="1169" t="s">
        <v>2957</v>
      </c>
      <c r="B567" s="1169" t="s">
        <v>4272</v>
      </c>
      <c r="C567" s="1169" t="s">
        <v>4271</v>
      </c>
      <c r="D567" s="526">
        <v>200</v>
      </c>
      <c r="E567" s="526">
        <v>400</v>
      </c>
      <c r="F567" s="526">
        <v>400</v>
      </c>
      <c r="G567" s="66" t="s">
        <v>3893</v>
      </c>
      <c r="H567" s="56" t="s">
        <v>742</v>
      </c>
      <c r="I567" s="558" t="s">
        <v>17</v>
      </c>
      <c r="J567" s="567" t="s">
        <v>74</v>
      </c>
      <c r="K567" s="566" t="s">
        <v>726</v>
      </c>
      <c r="L567" s="559" t="s">
        <v>639</v>
      </c>
      <c r="M567" s="551">
        <v>43083</v>
      </c>
      <c r="N567" s="551">
        <v>43090</v>
      </c>
      <c r="O567" s="544"/>
      <c r="P567" s="572"/>
      <c r="Q567" s="52"/>
      <c r="R567" s="546" t="s">
        <v>171</v>
      </c>
      <c r="S567" s="704" t="s">
        <v>1176</v>
      </c>
      <c r="T567" s="317" t="s">
        <v>3883</v>
      </c>
    </row>
    <row r="568" spans="1:20" ht="20.100000000000001" customHeight="1">
      <c r="A568" s="1169" t="s">
        <v>2957</v>
      </c>
      <c r="B568" s="1169" t="s">
        <v>4272</v>
      </c>
      <c r="C568" s="1169" t="s">
        <v>378</v>
      </c>
      <c r="D568" s="887">
        <v>230</v>
      </c>
      <c r="E568" s="887">
        <v>460</v>
      </c>
      <c r="F568" s="887">
        <v>460</v>
      </c>
      <c r="G568" s="66" t="s">
        <v>1878</v>
      </c>
      <c r="H568" s="56" t="s">
        <v>742</v>
      </c>
      <c r="I568" s="558" t="s">
        <v>17</v>
      </c>
      <c r="J568" s="567" t="s">
        <v>74</v>
      </c>
      <c r="K568" s="566" t="s">
        <v>726</v>
      </c>
      <c r="L568" s="559" t="s">
        <v>639</v>
      </c>
      <c r="M568" s="391">
        <v>43087</v>
      </c>
      <c r="N568" s="391">
        <v>43093</v>
      </c>
      <c r="O568" s="544" t="s">
        <v>955</v>
      </c>
      <c r="P568" s="572"/>
      <c r="Q568" s="52"/>
      <c r="R568" s="397" t="s">
        <v>171</v>
      </c>
      <c r="S568" s="704"/>
      <c r="T568" s="338" t="s">
        <v>1678</v>
      </c>
    </row>
    <row r="569" spans="1:20" ht="20.100000000000001" customHeight="1">
      <c r="A569" s="1169" t="s">
        <v>2957</v>
      </c>
      <c r="B569" s="1169" t="s">
        <v>4272</v>
      </c>
      <c r="C569" s="1169" t="s">
        <v>4271</v>
      </c>
      <c r="D569" s="525">
        <v>230</v>
      </c>
      <c r="E569" s="525">
        <v>460</v>
      </c>
      <c r="F569" s="525">
        <v>460</v>
      </c>
      <c r="G569" s="628" t="s">
        <v>1659</v>
      </c>
      <c r="H569" s="56" t="s">
        <v>742</v>
      </c>
      <c r="I569" s="558" t="s">
        <v>17</v>
      </c>
      <c r="J569" s="567" t="s">
        <v>74</v>
      </c>
      <c r="K569" s="566" t="s">
        <v>726</v>
      </c>
      <c r="L569" s="559" t="s">
        <v>639</v>
      </c>
      <c r="M569" s="547">
        <v>43081</v>
      </c>
      <c r="N569" s="547">
        <v>43090</v>
      </c>
      <c r="O569" s="544" t="s">
        <v>955</v>
      </c>
      <c r="P569" s="572"/>
      <c r="Q569" s="52"/>
      <c r="R569" s="546" t="s">
        <v>171</v>
      </c>
      <c r="S569" s="315" t="s">
        <v>2862</v>
      </c>
      <c r="T569" s="338" t="s">
        <v>1678</v>
      </c>
    </row>
    <row r="570" spans="1:20" ht="20.100000000000001" customHeight="1">
      <c r="A570" s="1169" t="s">
        <v>2957</v>
      </c>
      <c r="B570" s="1169" t="s">
        <v>4272</v>
      </c>
      <c r="C570" s="1169" t="s">
        <v>4271</v>
      </c>
      <c r="D570" s="525">
        <v>230</v>
      </c>
      <c r="E570" s="525">
        <v>500</v>
      </c>
      <c r="F570" s="525">
        <v>500</v>
      </c>
      <c r="G570" s="218" t="s">
        <v>14</v>
      </c>
      <c r="H570" s="56" t="s">
        <v>742</v>
      </c>
      <c r="I570" s="558" t="s">
        <v>17</v>
      </c>
      <c r="J570" s="567" t="s">
        <v>74</v>
      </c>
      <c r="K570" s="566" t="s">
        <v>726</v>
      </c>
      <c r="L570" s="559" t="s">
        <v>639</v>
      </c>
      <c r="M570" s="547">
        <v>43086</v>
      </c>
      <c r="N570" s="547">
        <v>43092</v>
      </c>
      <c r="O570" s="544" t="s">
        <v>955</v>
      </c>
      <c r="P570" s="545"/>
      <c r="Q570" s="52"/>
      <c r="R570" s="546" t="s">
        <v>171</v>
      </c>
      <c r="S570" s="319"/>
      <c r="T570" s="338"/>
    </row>
    <row r="571" spans="1:20" ht="20.100000000000001" customHeight="1">
      <c r="A571" s="1169" t="s">
        <v>2957</v>
      </c>
      <c r="B571" s="1169" t="s">
        <v>4272</v>
      </c>
      <c r="C571" s="1169" t="s">
        <v>4271</v>
      </c>
      <c r="D571" s="11"/>
      <c r="E571" s="11"/>
      <c r="F571" s="11"/>
      <c r="G571" s="70" t="s">
        <v>28</v>
      </c>
      <c r="H571" s="56" t="s">
        <v>742</v>
      </c>
      <c r="I571" s="558" t="s">
        <v>17</v>
      </c>
      <c r="J571" s="567" t="s">
        <v>74</v>
      </c>
      <c r="K571" s="566" t="s">
        <v>726</v>
      </c>
      <c r="L571" s="559" t="s">
        <v>639</v>
      </c>
      <c r="M571" s="549">
        <v>43041</v>
      </c>
      <c r="N571" s="549">
        <v>43089</v>
      </c>
      <c r="O571" s="544" t="s">
        <v>955</v>
      </c>
      <c r="P571" s="545"/>
      <c r="Q571" s="52"/>
      <c r="R571" s="546" t="s">
        <v>171</v>
      </c>
      <c r="S571" s="316" t="s">
        <v>1176</v>
      </c>
      <c r="T571" s="338"/>
    </row>
    <row r="572" spans="1:20" ht="20.100000000000001" customHeight="1">
      <c r="A572" s="1169" t="s">
        <v>2957</v>
      </c>
      <c r="B572" s="1169" t="s">
        <v>4272</v>
      </c>
      <c r="C572" s="1169" t="s">
        <v>4271</v>
      </c>
      <c r="D572" s="526">
        <v>413</v>
      </c>
      <c r="E572" s="526">
        <v>813</v>
      </c>
      <c r="F572" s="526">
        <v>813</v>
      </c>
      <c r="G572" s="66" t="s">
        <v>19</v>
      </c>
      <c r="H572" s="56" t="s">
        <v>742</v>
      </c>
      <c r="I572" s="558" t="s">
        <v>17</v>
      </c>
      <c r="J572" s="567" t="s">
        <v>74</v>
      </c>
      <c r="K572" s="566" t="s">
        <v>726</v>
      </c>
      <c r="L572" s="559" t="s">
        <v>639</v>
      </c>
      <c r="M572" s="559"/>
      <c r="N572" s="549">
        <v>42825</v>
      </c>
      <c r="O572" s="544" t="s">
        <v>955</v>
      </c>
      <c r="P572" s="565"/>
      <c r="Q572" s="52"/>
      <c r="R572" s="546" t="s">
        <v>187</v>
      </c>
      <c r="S572" s="319"/>
      <c r="T572" s="338"/>
    </row>
    <row r="573" spans="1:20" ht="20.100000000000001" customHeight="1">
      <c r="A573" s="1169" t="s">
        <v>2957</v>
      </c>
      <c r="B573" s="1169" t="s">
        <v>4272</v>
      </c>
      <c r="C573" s="1169" t="s">
        <v>4271</v>
      </c>
      <c r="D573" s="526">
        <v>205</v>
      </c>
      <c r="E573" s="526"/>
      <c r="F573" s="526"/>
      <c r="G573" s="66" t="s">
        <v>2397</v>
      </c>
      <c r="H573" s="56" t="s">
        <v>2400</v>
      </c>
      <c r="I573" s="558" t="s">
        <v>17</v>
      </c>
      <c r="J573" s="567" t="s">
        <v>74</v>
      </c>
      <c r="K573" s="566" t="s">
        <v>2398</v>
      </c>
      <c r="L573" s="559" t="s">
        <v>2399</v>
      </c>
      <c r="M573" s="559"/>
      <c r="N573" s="547">
        <v>43044</v>
      </c>
      <c r="O573" s="544" t="s">
        <v>955</v>
      </c>
      <c r="P573" s="565"/>
      <c r="Q573" s="7"/>
      <c r="R573" s="546"/>
      <c r="S573" s="319"/>
      <c r="T573" s="338"/>
    </row>
    <row r="574" spans="1:20" ht="20.100000000000001" customHeight="1">
      <c r="A574" s="1169" t="s">
        <v>2957</v>
      </c>
      <c r="B574" s="1169" t="s">
        <v>4272</v>
      </c>
      <c r="C574" s="1169" t="s">
        <v>4271</v>
      </c>
      <c r="D574" s="11">
        <v>250</v>
      </c>
      <c r="E574" s="11">
        <v>500</v>
      </c>
      <c r="F574" s="11">
        <v>500</v>
      </c>
      <c r="G574" s="628" t="s">
        <v>22</v>
      </c>
      <c r="H574" s="48">
        <v>3</v>
      </c>
      <c r="I574" s="557" t="s">
        <v>17</v>
      </c>
      <c r="J574" s="557" t="s">
        <v>74</v>
      </c>
      <c r="K574" s="567">
        <v>11</v>
      </c>
      <c r="L574" s="559" t="s">
        <v>636</v>
      </c>
      <c r="M574" s="547">
        <v>43040</v>
      </c>
      <c r="N574" s="547">
        <v>43069</v>
      </c>
      <c r="O574" s="544" t="s">
        <v>955</v>
      </c>
      <c r="P574" s="565"/>
      <c r="Q574" s="7"/>
      <c r="R574" s="546" t="s">
        <v>191</v>
      </c>
      <c r="S574" s="316" t="s">
        <v>1176</v>
      </c>
      <c r="T574" s="317">
        <v>14</v>
      </c>
    </row>
    <row r="575" spans="1:20" ht="20.100000000000001" customHeight="1">
      <c r="A575" s="1169" t="s">
        <v>2957</v>
      </c>
      <c r="B575" s="1169" t="s">
        <v>4272</v>
      </c>
      <c r="C575" s="1169" t="s">
        <v>4271</v>
      </c>
      <c r="D575" s="526">
        <v>225</v>
      </c>
      <c r="E575" s="526">
        <v>400</v>
      </c>
      <c r="F575" s="526">
        <v>400</v>
      </c>
      <c r="G575" s="659" t="s">
        <v>13</v>
      </c>
      <c r="H575" s="48">
        <v>3</v>
      </c>
      <c r="I575" s="557" t="s">
        <v>17</v>
      </c>
      <c r="J575" s="557" t="s">
        <v>74</v>
      </c>
      <c r="K575" s="567">
        <v>11</v>
      </c>
      <c r="L575" s="559" t="s">
        <v>636</v>
      </c>
      <c r="M575" s="6">
        <v>43080</v>
      </c>
      <c r="N575" s="6">
        <v>43083</v>
      </c>
      <c r="O575" s="544" t="s">
        <v>955</v>
      </c>
      <c r="P575" s="553"/>
      <c r="Q575" s="7"/>
      <c r="R575" s="546" t="s">
        <v>191</v>
      </c>
      <c r="S575" s="319" t="s">
        <v>1176</v>
      </c>
      <c r="T575" s="338" t="s">
        <v>2875</v>
      </c>
    </row>
    <row r="576" spans="1:20" ht="20.100000000000001" customHeight="1">
      <c r="A576" s="1169" t="s">
        <v>2957</v>
      </c>
      <c r="B576" s="1169" t="s">
        <v>4272</v>
      </c>
      <c r="C576" s="1169" t="s">
        <v>4271</v>
      </c>
      <c r="D576" s="525">
        <v>240</v>
      </c>
      <c r="E576" s="525">
        <v>480</v>
      </c>
      <c r="F576" s="525">
        <v>480</v>
      </c>
      <c r="G576" s="70" t="s">
        <v>29</v>
      </c>
      <c r="H576" s="48">
        <v>3</v>
      </c>
      <c r="I576" s="557" t="s">
        <v>17</v>
      </c>
      <c r="J576" s="557" t="s">
        <v>74</v>
      </c>
      <c r="K576" s="567">
        <v>11</v>
      </c>
      <c r="L576" s="559" t="s">
        <v>636</v>
      </c>
      <c r="M576" s="547">
        <v>43038</v>
      </c>
      <c r="N576" s="547">
        <v>43072</v>
      </c>
      <c r="O576" s="544" t="s">
        <v>955</v>
      </c>
      <c r="P576" s="544"/>
      <c r="Q576" s="7"/>
      <c r="R576" s="546" t="s">
        <v>191</v>
      </c>
      <c r="S576" s="319" t="s">
        <v>1176</v>
      </c>
      <c r="T576" s="338" t="s">
        <v>1988</v>
      </c>
    </row>
    <row r="577" spans="1:20" ht="20.100000000000001" customHeight="1">
      <c r="A577" s="1169" t="s">
        <v>2957</v>
      </c>
      <c r="B577" s="1169" t="s">
        <v>4272</v>
      </c>
      <c r="C577" s="1169" t="s">
        <v>4271</v>
      </c>
      <c r="D577" s="525">
        <v>325</v>
      </c>
      <c r="E577" s="525">
        <v>650</v>
      </c>
      <c r="F577" s="525">
        <v>650</v>
      </c>
      <c r="G577" s="628" t="s">
        <v>51</v>
      </c>
      <c r="H577" s="211">
        <v>3</v>
      </c>
      <c r="I577" s="557" t="s">
        <v>17</v>
      </c>
      <c r="J577" s="557" t="s">
        <v>74</v>
      </c>
      <c r="K577" s="569" t="s">
        <v>726</v>
      </c>
      <c r="L577" s="559" t="s">
        <v>639</v>
      </c>
      <c r="M577" s="381">
        <v>43040</v>
      </c>
      <c r="N577" s="381">
        <v>43088</v>
      </c>
      <c r="O577" s="544" t="s">
        <v>955</v>
      </c>
      <c r="P577" s="552"/>
      <c r="Q577" s="7"/>
      <c r="R577" s="546" t="s">
        <v>450</v>
      </c>
      <c r="S577" s="319"/>
      <c r="T577" s="317">
        <v>12</v>
      </c>
    </row>
    <row r="578" spans="1:20" ht="20.100000000000001" customHeight="1">
      <c r="A578" s="1169" t="s">
        <v>2957</v>
      </c>
      <c r="B578" s="1169" t="s">
        <v>4272</v>
      </c>
      <c r="C578" s="1169" t="s">
        <v>4271</v>
      </c>
      <c r="D578" s="525">
        <v>235</v>
      </c>
      <c r="E578" s="525">
        <v>460</v>
      </c>
      <c r="F578" s="525">
        <v>460</v>
      </c>
      <c r="G578" s="66" t="s">
        <v>33</v>
      </c>
      <c r="H578" s="48">
        <v>3</v>
      </c>
      <c r="I578" s="557" t="s">
        <v>17</v>
      </c>
      <c r="J578" s="557" t="s">
        <v>74</v>
      </c>
      <c r="K578" s="569" t="s">
        <v>726</v>
      </c>
      <c r="L578" s="559" t="s">
        <v>639</v>
      </c>
      <c r="M578" s="549">
        <v>43078</v>
      </c>
      <c r="N578" s="549">
        <v>43082</v>
      </c>
      <c r="O578" s="544" t="s">
        <v>955</v>
      </c>
      <c r="P578" s="552"/>
      <c r="Q578" s="7"/>
      <c r="R578" s="17" t="s">
        <v>450</v>
      </c>
      <c r="S578" s="315" t="s">
        <v>2850</v>
      </c>
      <c r="T578" s="317"/>
    </row>
    <row r="579" spans="1:20" ht="20.100000000000001" customHeight="1">
      <c r="A579" s="1169" t="s">
        <v>2957</v>
      </c>
      <c r="B579" s="1169" t="s">
        <v>4272</v>
      </c>
      <c r="C579" s="1169" t="s">
        <v>4271</v>
      </c>
      <c r="D579" s="525">
        <v>240</v>
      </c>
      <c r="E579" s="525">
        <v>480</v>
      </c>
      <c r="F579" s="525">
        <v>480</v>
      </c>
      <c r="G579" s="70" t="s">
        <v>29</v>
      </c>
      <c r="H579" s="48">
        <v>3</v>
      </c>
      <c r="I579" s="557" t="s">
        <v>17</v>
      </c>
      <c r="J579" s="557" t="s">
        <v>74</v>
      </c>
      <c r="K579" s="569" t="s">
        <v>726</v>
      </c>
      <c r="L579" s="559" t="s">
        <v>639</v>
      </c>
      <c r="M579" s="547">
        <v>43038</v>
      </c>
      <c r="N579" s="547">
        <v>43072</v>
      </c>
      <c r="O579" s="544" t="s">
        <v>955</v>
      </c>
      <c r="P579" s="544"/>
      <c r="Q579" s="7"/>
      <c r="R579" s="546" t="s">
        <v>450</v>
      </c>
      <c r="S579" s="319" t="s">
        <v>1176</v>
      </c>
      <c r="T579" s="338" t="s">
        <v>1988</v>
      </c>
    </row>
    <row r="580" spans="1:20" ht="20.100000000000001" customHeight="1">
      <c r="A580" s="1169" t="s">
        <v>2957</v>
      </c>
      <c r="B580" s="1169" t="s">
        <v>4272</v>
      </c>
      <c r="C580" s="1169" t="s">
        <v>4271</v>
      </c>
      <c r="D580" s="526">
        <v>245</v>
      </c>
      <c r="E580" s="526">
        <v>490</v>
      </c>
      <c r="F580" s="526">
        <v>490</v>
      </c>
      <c r="G580" s="224" t="s">
        <v>814</v>
      </c>
      <c r="H580" s="47">
        <v>4</v>
      </c>
      <c r="I580" s="542" t="s">
        <v>17</v>
      </c>
      <c r="J580" s="542" t="s">
        <v>74</v>
      </c>
      <c r="K580" s="566" t="s">
        <v>732</v>
      </c>
      <c r="L580" s="559" t="s">
        <v>639</v>
      </c>
      <c r="M580" s="547">
        <v>43076</v>
      </c>
      <c r="N580" s="547">
        <v>43086</v>
      </c>
      <c r="O580" s="544" t="s">
        <v>955</v>
      </c>
      <c r="P580" s="553"/>
      <c r="Q580" s="7"/>
      <c r="R580" s="555" t="s">
        <v>316</v>
      </c>
      <c r="S580" s="319" t="s">
        <v>1176</v>
      </c>
      <c r="T580" s="317" t="s">
        <v>2872</v>
      </c>
    </row>
    <row r="581" spans="1:20" ht="20.100000000000001" customHeight="1">
      <c r="A581" s="1169" t="s">
        <v>2957</v>
      </c>
      <c r="B581" s="1169" t="s">
        <v>4272</v>
      </c>
      <c r="C581" s="1169" t="s">
        <v>4271</v>
      </c>
      <c r="D581" s="32">
        <v>215</v>
      </c>
      <c r="E581" s="32">
        <v>430</v>
      </c>
      <c r="F581" s="32">
        <v>430</v>
      </c>
      <c r="G581" s="224" t="s">
        <v>434</v>
      </c>
      <c r="H581" s="47">
        <v>4</v>
      </c>
      <c r="I581" s="566" t="s">
        <v>17</v>
      </c>
      <c r="J581" s="569" t="s">
        <v>74</v>
      </c>
      <c r="K581" s="566" t="s">
        <v>732</v>
      </c>
      <c r="L581" s="559" t="s">
        <v>639</v>
      </c>
      <c r="M581" s="549">
        <v>43080</v>
      </c>
      <c r="N581" s="549">
        <v>43093</v>
      </c>
      <c r="O581" s="544" t="s">
        <v>955</v>
      </c>
      <c r="P581" s="553"/>
      <c r="Q581" s="7"/>
      <c r="R581" s="555" t="s">
        <v>316</v>
      </c>
      <c r="S581" s="321" t="s">
        <v>1176</v>
      </c>
      <c r="T581" s="317" t="s">
        <v>2824</v>
      </c>
    </row>
    <row r="582" spans="1:20" ht="20.100000000000001" customHeight="1">
      <c r="A582" s="1169" t="s">
        <v>2957</v>
      </c>
      <c r="B582" s="1169" t="s">
        <v>4272</v>
      </c>
      <c r="C582" s="1169" t="s">
        <v>4271</v>
      </c>
      <c r="D582" s="320">
        <v>205</v>
      </c>
      <c r="E582" s="320">
        <v>410</v>
      </c>
      <c r="F582" s="320">
        <v>410</v>
      </c>
      <c r="G582" s="66" t="s">
        <v>87</v>
      </c>
      <c r="H582" s="47">
        <v>4</v>
      </c>
      <c r="I582" s="557" t="s">
        <v>17</v>
      </c>
      <c r="J582" s="557" t="s">
        <v>74</v>
      </c>
      <c r="K582" s="566" t="s">
        <v>732</v>
      </c>
      <c r="L582" s="559" t="s">
        <v>639</v>
      </c>
      <c r="M582" s="551">
        <v>43087</v>
      </c>
      <c r="N582" s="551">
        <v>43092</v>
      </c>
      <c r="O582" s="544" t="s">
        <v>955</v>
      </c>
      <c r="P582" s="553"/>
      <c r="Q582" s="7"/>
      <c r="R582" s="555" t="s">
        <v>316</v>
      </c>
      <c r="S582" s="315" t="s">
        <v>2849</v>
      </c>
      <c r="T582" s="338" t="s">
        <v>1991</v>
      </c>
    </row>
    <row r="583" spans="1:20" ht="20.100000000000001" customHeight="1">
      <c r="A583" s="1169" t="s">
        <v>2957</v>
      </c>
      <c r="B583" s="1169" t="s">
        <v>4272</v>
      </c>
      <c r="C583" s="1169" t="s">
        <v>4271</v>
      </c>
      <c r="D583" s="2">
        <v>220</v>
      </c>
      <c r="E583" s="2">
        <v>440</v>
      </c>
      <c r="F583" s="2">
        <v>440</v>
      </c>
      <c r="G583" s="56" t="s">
        <v>432</v>
      </c>
      <c r="H583" s="47">
        <v>4</v>
      </c>
      <c r="I583" s="557" t="s">
        <v>17</v>
      </c>
      <c r="J583" s="557" t="s">
        <v>74</v>
      </c>
      <c r="K583" s="566" t="s">
        <v>732</v>
      </c>
      <c r="L583" s="559" t="s">
        <v>639</v>
      </c>
      <c r="M583" s="547">
        <v>43083</v>
      </c>
      <c r="N583" s="549">
        <v>43086</v>
      </c>
      <c r="O583" s="544" t="s">
        <v>955</v>
      </c>
      <c r="P583" s="553"/>
      <c r="Q583" s="7"/>
      <c r="R583" s="546" t="s">
        <v>316</v>
      </c>
      <c r="S583" s="704" t="s">
        <v>1176</v>
      </c>
      <c r="T583" s="338"/>
    </row>
    <row r="584" spans="1:20" ht="20.100000000000001" customHeight="1">
      <c r="A584" s="1169" t="s">
        <v>2957</v>
      </c>
      <c r="B584" s="1169" t="s">
        <v>4272</v>
      </c>
      <c r="C584" s="1169" t="s">
        <v>4271</v>
      </c>
      <c r="D584" s="526">
        <v>245</v>
      </c>
      <c r="E584" s="526">
        <v>490</v>
      </c>
      <c r="F584" s="526">
        <v>490</v>
      </c>
      <c r="G584" s="224" t="s">
        <v>814</v>
      </c>
      <c r="H584" s="36" t="s">
        <v>681</v>
      </c>
      <c r="I584" s="576" t="s">
        <v>17</v>
      </c>
      <c r="J584" s="557" t="s">
        <v>74</v>
      </c>
      <c r="K584" s="566" t="s">
        <v>726</v>
      </c>
      <c r="L584" s="542" t="s">
        <v>649</v>
      </c>
      <c r="M584" s="547">
        <v>43077</v>
      </c>
      <c r="N584" s="547">
        <v>43086</v>
      </c>
      <c r="O584" s="544" t="s">
        <v>955</v>
      </c>
      <c r="P584" s="545"/>
      <c r="Q584" s="683"/>
      <c r="R584" s="556" t="s">
        <v>778</v>
      </c>
      <c r="S584" s="319" t="s">
        <v>1176</v>
      </c>
      <c r="T584" s="317" t="s">
        <v>2872</v>
      </c>
    </row>
    <row r="585" spans="1:20" ht="20.100000000000001" customHeight="1">
      <c r="A585" s="1169" t="s">
        <v>2957</v>
      </c>
      <c r="B585" s="1169" t="s">
        <v>4272</v>
      </c>
      <c r="C585" s="1169" t="s">
        <v>4271</v>
      </c>
      <c r="D585" s="525">
        <v>325</v>
      </c>
      <c r="E585" s="525">
        <v>650</v>
      </c>
      <c r="F585" s="525">
        <v>650</v>
      </c>
      <c r="G585" s="628" t="s">
        <v>51</v>
      </c>
      <c r="H585" s="36" t="s">
        <v>681</v>
      </c>
      <c r="I585" s="576" t="s">
        <v>17</v>
      </c>
      <c r="J585" s="557" t="s">
        <v>74</v>
      </c>
      <c r="K585" s="566" t="s">
        <v>726</v>
      </c>
      <c r="L585" s="542" t="s">
        <v>649</v>
      </c>
      <c r="M585" s="381">
        <v>43040</v>
      </c>
      <c r="N585" s="381">
        <v>43088</v>
      </c>
      <c r="O585" s="544" t="s">
        <v>955</v>
      </c>
      <c r="P585" s="552"/>
      <c r="Q585" s="683"/>
      <c r="R585" s="556" t="s">
        <v>778</v>
      </c>
      <c r="S585" s="704"/>
      <c r="T585" s="317">
        <v>12</v>
      </c>
    </row>
    <row r="586" spans="1:20" ht="20.100000000000001" customHeight="1">
      <c r="A586" s="1169" t="s">
        <v>2957</v>
      </c>
      <c r="B586" s="1169" t="s">
        <v>4272</v>
      </c>
      <c r="C586" s="1169" t="s">
        <v>4271</v>
      </c>
      <c r="D586" s="525">
        <v>265</v>
      </c>
      <c r="E586" s="525">
        <v>530</v>
      </c>
      <c r="F586" s="525">
        <v>530</v>
      </c>
      <c r="G586" s="628" t="s">
        <v>231</v>
      </c>
      <c r="H586" s="36" t="s">
        <v>681</v>
      </c>
      <c r="I586" s="576" t="s">
        <v>17</v>
      </c>
      <c r="J586" s="557" t="s">
        <v>74</v>
      </c>
      <c r="K586" s="566" t="s">
        <v>726</v>
      </c>
      <c r="L586" s="542" t="s">
        <v>649</v>
      </c>
      <c r="M586" s="547">
        <v>43077</v>
      </c>
      <c r="N586" s="547">
        <v>43087</v>
      </c>
      <c r="O586" s="544" t="s">
        <v>955</v>
      </c>
      <c r="P586" s="552"/>
      <c r="Q586" s="683"/>
      <c r="R586" s="556" t="s">
        <v>778</v>
      </c>
      <c r="S586" s="704"/>
      <c r="T586" s="338" t="s">
        <v>1988</v>
      </c>
    </row>
    <row r="587" spans="1:20" ht="20.100000000000001" customHeight="1">
      <c r="A587" s="1169" t="s">
        <v>2957</v>
      </c>
      <c r="B587" s="1169" t="s">
        <v>4272</v>
      </c>
      <c r="C587" s="1169" t="s">
        <v>4271</v>
      </c>
      <c r="D587" s="320">
        <v>205</v>
      </c>
      <c r="E587" s="320">
        <v>410</v>
      </c>
      <c r="F587" s="320">
        <v>410</v>
      </c>
      <c r="G587" s="56" t="s">
        <v>87</v>
      </c>
      <c r="H587" s="36" t="s">
        <v>681</v>
      </c>
      <c r="I587" s="576" t="s">
        <v>17</v>
      </c>
      <c r="J587" s="557" t="s">
        <v>74</v>
      </c>
      <c r="K587" s="566" t="s">
        <v>726</v>
      </c>
      <c r="L587" s="542" t="s">
        <v>649</v>
      </c>
      <c r="M587" s="551">
        <v>43087</v>
      </c>
      <c r="N587" s="551">
        <v>43092</v>
      </c>
      <c r="O587" s="544" t="s">
        <v>955</v>
      </c>
      <c r="P587" s="545"/>
      <c r="Q587" s="683"/>
      <c r="R587" s="556" t="s">
        <v>778</v>
      </c>
      <c r="S587" s="315" t="s">
        <v>2849</v>
      </c>
      <c r="T587" s="338" t="s">
        <v>1991</v>
      </c>
    </row>
    <row r="588" spans="1:20" ht="20.100000000000001" customHeight="1">
      <c r="A588" s="1169" t="s">
        <v>2957</v>
      </c>
      <c r="B588" s="1169" t="s">
        <v>4272</v>
      </c>
      <c r="C588" s="1169" t="s">
        <v>4271</v>
      </c>
      <c r="D588" s="32">
        <v>215</v>
      </c>
      <c r="E588" s="32">
        <v>430</v>
      </c>
      <c r="F588" s="32">
        <v>430</v>
      </c>
      <c r="G588" s="224" t="s">
        <v>434</v>
      </c>
      <c r="H588" s="36" t="s">
        <v>681</v>
      </c>
      <c r="I588" s="576" t="s">
        <v>17</v>
      </c>
      <c r="J588" s="557" t="s">
        <v>74</v>
      </c>
      <c r="K588" s="566" t="s">
        <v>726</v>
      </c>
      <c r="L588" s="542" t="s">
        <v>649</v>
      </c>
      <c r="M588" s="549">
        <v>43080</v>
      </c>
      <c r="N588" s="549">
        <v>43093</v>
      </c>
      <c r="O588" s="544" t="s">
        <v>955</v>
      </c>
      <c r="P588" s="545"/>
      <c r="Q588" s="683"/>
      <c r="R588" s="556" t="s">
        <v>778</v>
      </c>
      <c r="S588" s="321" t="s">
        <v>1176</v>
      </c>
      <c r="T588" s="317" t="s">
        <v>2824</v>
      </c>
    </row>
    <row r="589" spans="1:20" ht="20.100000000000001" customHeight="1">
      <c r="A589" s="1169" t="s">
        <v>2957</v>
      </c>
      <c r="B589" s="1169" t="s">
        <v>4272</v>
      </c>
      <c r="C589" s="1169" t="s">
        <v>4271</v>
      </c>
      <c r="D589" s="526">
        <v>240</v>
      </c>
      <c r="E589" s="526">
        <v>480</v>
      </c>
      <c r="F589" s="526">
        <v>480</v>
      </c>
      <c r="G589" s="48" t="s">
        <v>232</v>
      </c>
      <c r="H589" s="36" t="s">
        <v>681</v>
      </c>
      <c r="I589" s="576" t="s">
        <v>17</v>
      </c>
      <c r="J589" s="557" t="s">
        <v>74</v>
      </c>
      <c r="K589" s="566" t="s">
        <v>726</v>
      </c>
      <c r="L589" s="542" t="s">
        <v>649</v>
      </c>
      <c r="M589" s="551">
        <v>43067</v>
      </c>
      <c r="N589" s="551">
        <v>43086</v>
      </c>
      <c r="O589" s="544" t="s">
        <v>955</v>
      </c>
      <c r="P589" s="545"/>
      <c r="Q589" s="683"/>
      <c r="R589" s="556" t="s">
        <v>1460</v>
      </c>
      <c r="S589" s="321"/>
      <c r="T589" s="317" t="s">
        <v>1678</v>
      </c>
    </row>
    <row r="590" spans="1:20" ht="20.100000000000001" customHeight="1">
      <c r="A590" s="1169" t="s">
        <v>2957</v>
      </c>
      <c r="B590" s="1169" t="s">
        <v>4272</v>
      </c>
      <c r="C590" s="1169" t="s">
        <v>4271</v>
      </c>
      <c r="D590" s="887">
        <v>230</v>
      </c>
      <c r="E590" s="887">
        <v>460</v>
      </c>
      <c r="F590" s="887">
        <v>460</v>
      </c>
      <c r="G590" s="36" t="s">
        <v>278</v>
      </c>
      <c r="H590" s="36" t="s">
        <v>681</v>
      </c>
      <c r="I590" s="576" t="s">
        <v>17</v>
      </c>
      <c r="J590" s="557" t="s">
        <v>74</v>
      </c>
      <c r="K590" s="566" t="s">
        <v>726</v>
      </c>
      <c r="L590" s="542" t="s">
        <v>649</v>
      </c>
      <c r="M590" s="391">
        <v>43087</v>
      </c>
      <c r="N590" s="391">
        <v>43093</v>
      </c>
      <c r="O590" s="544" t="s">
        <v>955</v>
      </c>
      <c r="P590" s="545"/>
      <c r="Q590" s="683"/>
      <c r="R590" s="556" t="s">
        <v>778</v>
      </c>
      <c r="S590" s="704"/>
      <c r="T590" s="338" t="s">
        <v>1678</v>
      </c>
    </row>
    <row r="591" spans="1:20" ht="20.100000000000001" customHeight="1">
      <c r="A591" s="1169" t="s">
        <v>2957</v>
      </c>
      <c r="B591" s="1169" t="s">
        <v>4272</v>
      </c>
      <c r="C591" s="1169" t="s">
        <v>4271</v>
      </c>
      <c r="D591" s="2">
        <v>220</v>
      </c>
      <c r="E591" s="2">
        <v>440</v>
      </c>
      <c r="F591" s="2">
        <v>440</v>
      </c>
      <c r="G591" s="56" t="s">
        <v>432</v>
      </c>
      <c r="H591" s="36" t="s">
        <v>681</v>
      </c>
      <c r="I591" s="576" t="s">
        <v>17</v>
      </c>
      <c r="J591" s="557" t="s">
        <v>74</v>
      </c>
      <c r="K591" s="566" t="s">
        <v>726</v>
      </c>
      <c r="L591" s="542" t="s">
        <v>649</v>
      </c>
      <c r="M591" s="549">
        <v>43084</v>
      </c>
      <c r="N591" s="549">
        <v>43086</v>
      </c>
      <c r="O591" s="544" t="s">
        <v>955</v>
      </c>
      <c r="P591" s="545"/>
      <c r="Q591" s="683"/>
      <c r="R591" s="556" t="s">
        <v>778</v>
      </c>
      <c r="S591" s="704" t="s">
        <v>1176</v>
      </c>
      <c r="T591" s="338"/>
    </row>
    <row r="592" spans="1:20" ht="20.100000000000001" customHeight="1">
      <c r="A592" s="1169" t="s">
        <v>2957</v>
      </c>
      <c r="B592" s="1169" t="s">
        <v>4272</v>
      </c>
      <c r="C592" s="1169" t="s">
        <v>4271</v>
      </c>
      <c r="D592" s="11">
        <v>240</v>
      </c>
      <c r="E592" s="11">
        <v>480</v>
      </c>
      <c r="F592" s="11">
        <v>480</v>
      </c>
      <c r="G592" s="56" t="s">
        <v>28</v>
      </c>
      <c r="H592" s="36" t="s">
        <v>681</v>
      </c>
      <c r="I592" s="576" t="s">
        <v>17</v>
      </c>
      <c r="J592" s="557" t="s">
        <v>74</v>
      </c>
      <c r="K592" s="566" t="s">
        <v>726</v>
      </c>
      <c r="L592" s="542" t="s">
        <v>649</v>
      </c>
      <c r="M592" s="549">
        <v>43076</v>
      </c>
      <c r="N592" s="549">
        <v>43089</v>
      </c>
      <c r="O592" s="544" t="s">
        <v>955</v>
      </c>
      <c r="P592" s="545"/>
      <c r="Q592" s="7"/>
      <c r="R592" s="556" t="s">
        <v>1703</v>
      </c>
      <c r="S592" s="316" t="s">
        <v>1176</v>
      </c>
      <c r="T592" s="338"/>
    </row>
    <row r="593" spans="1:20" ht="20.100000000000001" customHeight="1">
      <c r="A593" s="1169" t="s">
        <v>2957</v>
      </c>
      <c r="B593" s="1169" t="s">
        <v>4272</v>
      </c>
      <c r="C593" s="1169" t="s">
        <v>4271</v>
      </c>
      <c r="D593" s="525">
        <v>235</v>
      </c>
      <c r="E593" s="525">
        <v>460</v>
      </c>
      <c r="F593" s="525">
        <v>460</v>
      </c>
      <c r="G593" s="56" t="s">
        <v>33</v>
      </c>
      <c r="H593" s="36" t="s">
        <v>721</v>
      </c>
      <c r="I593" s="576" t="s">
        <v>17</v>
      </c>
      <c r="J593" s="567" t="s">
        <v>74</v>
      </c>
      <c r="K593" s="566" t="s">
        <v>20</v>
      </c>
      <c r="L593" s="557" t="s">
        <v>636</v>
      </c>
      <c r="M593" s="549">
        <v>43078</v>
      </c>
      <c r="N593" s="549">
        <v>43082</v>
      </c>
      <c r="O593" s="544" t="s">
        <v>955</v>
      </c>
      <c r="P593" s="545"/>
      <c r="Q593" s="683"/>
      <c r="R593" s="556" t="s">
        <v>1655</v>
      </c>
      <c r="S593" s="315" t="s">
        <v>2850</v>
      </c>
      <c r="T593" s="338"/>
    </row>
    <row r="594" spans="1:20" ht="20.100000000000001" customHeight="1">
      <c r="A594" s="1169" t="s">
        <v>2957</v>
      </c>
      <c r="B594" s="1169" t="s">
        <v>4272</v>
      </c>
      <c r="C594" s="1169" t="s">
        <v>4271</v>
      </c>
      <c r="D594" s="32">
        <v>255</v>
      </c>
      <c r="E594" s="32">
        <v>510</v>
      </c>
      <c r="F594" s="32">
        <v>510</v>
      </c>
      <c r="G594" s="224" t="s">
        <v>434</v>
      </c>
      <c r="H594" s="48">
        <v>6</v>
      </c>
      <c r="I594" s="557" t="s">
        <v>17</v>
      </c>
      <c r="J594" s="567" t="s">
        <v>74</v>
      </c>
      <c r="K594" s="577">
        <v>8</v>
      </c>
      <c r="L594" s="559" t="s">
        <v>639</v>
      </c>
      <c r="M594" s="549">
        <v>43071</v>
      </c>
      <c r="N594" s="549">
        <v>43093</v>
      </c>
      <c r="O594" s="544" t="s">
        <v>955</v>
      </c>
      <c r="P594" s="553"/>
      <c r="Q594" s="683"/>
      <c r="R594" s="555" t="s">
        <v>1559</v>
      </c>
      <c r="S594" s="321" t="s">
        <v>1176</v>
      </c>
      <c r="T594" s="317" t="s">
        <v>2824</v>
      </c>
    </row>
    <row r="595" spans="1:20" ht="20.100000000000001" customHeight="1">
      <c r="A595" s="1169" t="s">
        <v>2957</v>
      </c>
      <c r="B595" s="1169" t="s">
        <v>4272</v>
      </c>
      <c r="C595" s="1169" t="s">
        <v>4271</v>
      </c>
      <c r="D595" s="320">
        <v>205</v>
      </c>
      <c r="E595" s="320">
        <v>410</v>
      </c>
      <c r="F595" s="320">
        <v>410</v>
      </c>
      <c r="G595" s="56" t="s">
        <v>87</v>
      </c>
      <c r="H595" s="56">
        <v>6</v>
      </c>
      <c r="I595" s="557" t="s">
        <v>17</v>
      </c>
      <c r="J595" s="557" t="s">
        <v>74</v>
      </c>
      <c r="K595" s="577">
        <v>8</v>
      </c>
      <c r="L595" s="559" t="s">
        <v>639</v>
      </c>
      <c r="M595" s="551">
        <v>43087</v>
      </c>
      <c r="N595" s="551">
        <v>43092</v>
      </c>
      <c r="O595" s="544" t="s">
        <v>955</v>
      </c>
      <c r="P595" s="553"/>
      <c r="Q595" s="683"/>
      <c r="R595" s="555" t="s">
        <v>248</v>
      </c>
      <c r="S595" s="315" t="s">
        <v>2849</v>
      </c>
      <c r="T595" s="338" t="s">
        <v>1991</v>
      </c>
    </row>
    <row r="596" spans="1:20" ht="20.100000000000001" customHeight="1">
      <c r="A596" s="1127" t="s">
        <v>2957</v>
      </c>
      <c r="B596" s="1169" t="s">
        <v>567</v>
      </c>
      <c r="C596" s="1169" t="s">
        <v>378</v>
      </c>
      <c r="D596" s="525"/>
      <c r="E596" s="525"/>
      <c r="F596" s="525"/>
      <c r="G596" s="56" t="s">
        <v>37</v>
      </c>
      <c r="H596" s="48" t="s">
        <v>1653</v>
      </c>
      <c r="I596" s="558" t="s">
        <v>16</v>
      </c>
      <c r="J596" s="557" t="s">
        <v>74</v>
      </c>
      <c r="K596" s="558">
        <v>14</v>
      </c>
      <c r="L596" s="557" t="s">
        <v>637</v>
      </c>
      <c r="M596" s="543">
        <v>43040</v>
      </c>
      <c r="N596" s="543">
        <v>43084</v>
      </c>
      <c r="O596" s="544" t="s">
        <v>955</v>
      </c>
      <c r="P596" s="553"/>
      <c r="Q596" s="7"/>
      <c r="R596" s="548" t="s">
        <v>1877</v>
      </c>
      <c r="S596" s="319" t="s">
        <v>1176</v>
      </c>
      <c r="T596" s="338"/>
    </row>
    <row r="597" spans="1:20" ht="20.100000000000001" customHeight="1">
      <c r="A597" s="1127" t="s">
        <v>2957</v>
      </c>
      <c r="B597" s="1169" t="s">
        <v>567</v>
      </c>
      <c r="C597" s="1169" t="s">
        <v>378</v>
      </c>
      <c r="D597" s="525">
        <v>330</v>
      </c>
      <c r="E597" s="525">
        <v>570</v>
      </c>
      <c r="F597" s="525">
        <v>570</v>
      </c>
      <c r="G597" s="69" t="s">
        <v>62</v>
      </c>
      <c r="H597" s="56" t="s">
        <v>681</v>
      </c>
      <c r="I597" s="566" t="s">
        <v>1</v>
      </c>
      <c r="J597" s="567" t="s">
        <v>74</v>
      </c>
      <c r="K597" s="559" t="s">
        <v>20</v>
      </c>
      <c r="L597" s="542" t="s">
        <v>649</v>
      </c>
      <c r="M597" s="549">
        <v>43039</v>
      </c>
      <c r="N597" s="549">
        <v>43086</v>
      </c>
      <c r="O597" s="544" t="s">
        <v>955</v>
      </c>
      <c r="P597" s="562"/>
      <c r="Q597" s="683"/>
      <c r="R597" s="546" t="s">
        <v>1845</v>
      </c>
      <c r="S597" s="315" t="s">
        <v>2848</v>
      </c>
      <c r="T597" s="338"/>
    </row>
    <row r="598" spans="1:20" ht="20.100000000000001" customHeight="1">
      <c r="A598" s="1171" t="s">
        <v>2957</v>
      </c>
      <c r="B598" s="1171" t="s">
        <v>4272</v>
      </c>
      <c r="C598" s="1171" t="s">
        <v>4271</v>
      </c>
      <c r="D598" s="525">
        <v>235</v>
      </c>
      <c r="E598" s="525">
        <v>470</v>
      </c>
      <c r="F598" s="525">
        <v>470</v>
      </c>
      <c r="G598" s="56" t="s">
        <v>37</v>
      </c>
      <c r="H598" s="55" t="s">
        <v>729</v>
      </c>
      <c r="I598" s="582" t="s">
        <v>17</v>
      </c>
      <c r="J598" s="583" t="s">
        <v>60</v>
      </c>
      <c r="K598" s="584" t="s">
        <v>732</v>
      </c>
      <c r="L598" s="574" t="s">
        <v>636</v>
      </c>
      <c r="M598" s="543">
        <v>43073</v>
      </c>
      <c r="N598" s="543">
        <v>43084</v>
      </c>
      <c r="O598" s="544" t="s">
        <v>955</v>
      </c>
      <c r="P598" s="562"/>
      <c r="Q598" s="7"/>
      <c r="R598" s="575" t="s">
        <v>1719</v>
      </c>
      <c r="S598" s="319" t="s">
        <v>1176</v>
      </c>
      <c r="T598" s="338"/>
    </row>
    <row r="599" spans="1:20" ht="20.100000000000001" customHeight="1">
      <c r="A599" s="1171" t="s">
        <v>2957</v>
      </c>
      <c r="B599" s="1171" t="s">
        <v>4272</v>
      </c>
      <c r="C599" s="1171" t="s">
        <v>4271</v>
      </c>
      <c r="D599" s="885">
        <v>255</v>
      </c>
      <c r="E599" s="885">
        <v>510</v>
      </c>
      <c r="F599" s="885">
        <v>510</v>
      </c>
      <c r="G599" s="69" t="s">
        <v>6</v>
      </c>
      <c r="H599" s="55" t="s">
        <v>729</v>
      </c>
      <c r="I599" s="576" t="s">
        <v>17</v>
      </c>
      <c r="J599" s="583" t="s">
        <v>60</v>
      </c>
      <c r="K599" s="24" t="s">
        <v>2053</v>
      </c>
      <c r="L599" s="559" t="s">
        <v>649</v>
      </c>
      <c r="M599" s="549">
        <v>43087</v>
      </c>
      <c r="N599" s="549">
        <v>43087</v>
      </c>
      <c r="O599" s="544" t="s">
        <v>955</v>
      </c>
      <c r="P599" s="562"/>
      <c r="Q599" s="7"/>
      <c r="R599" s="17" t="s">
        <v>3442</v>
      </c>
      <c r="S599" s="316" t="s">
        <v>2858</v>
      </c>
      <c r="T599" s="338" t="s">
        <v>2874</v>
      </c>
    </row>
    <row r="600" spans="1:20" ht="20.100000000000001" customHeight="1">
      <c r="A600" s="1171" t="s">
        <v>2957</v>
      </c>
      <c r="B600" s="1171" t="s">
        <v>4272</v>
      </c>
      <c r="C600" s="1171" t="s">
        <v>4271</v>
      </c>
      <c r="D600" s="526">
        <v>245</v>
      </c>
      <c r="E600" s="526">
        <v>490</v>
      </c>
      <c r="F600" s="526">
        <v>490</v>
      </c>
      <c r="G600" s="224" t="s">
        <v>814</v>
      </c>
      <c r="H600" s="55" t="s">
        <v>3440</v>
      </c>
      <c r="I600" s="576" t="s">
        <v>17</v>
      </c>
      <c r="J600" s="583" t="s">
        <v>60</v>
      </c>
      <c r="K600" s="24" t="s">
        <v>3444</v>
      </c>
      <c r="L600" s="559" t="s">
        <v>649</v>
      </c>
      <c r="M600" s="547">
        <v>43073</v>
      </c>
      <c r="N600" s="547">
        <v>43086</v>
      </c>
      <c r="O600" s="544" t="s">
        <v>955</v>
      </c>
      <c r="P600" s="572"/>
      <c r="Q600" s="7"/>
      <c r="R600" s="17" t="s">
        <v>3442</v>
      </c>
      <c r="S600" s="319" t="s">
        <v>1176</v>
      </c>
      <c r="T600" s="317" t="s">
        <v>2872</v>
      </c>
    </row>
    <row r="601" spans="1:20" ht="20.100000000000001" customHeight="1">
      <c r="A601" s="1171" t="s">
        <v>2957</v>
      </c>
      <c r="B601" s="1171" t="s">
        <v>4272</v>
      </c>
      <c r="C601" s="1171" t="s">
        <v>4271</v>
      </c>
      <c r="D601" s="526">
        <v>225</v>
      </c>
      <c r="E601" s="526">
        <v>400</v>
      </c>
      <c r="F601" s="526">
        <v>400</v>
      </c>
      <c r="G601" s="659" t="s">
        <v>13</v>
      </c>
      <c r="H601" s="47">
        <v>1</v>
      </c>
      <c r="I601" s="542" t="s">
        <v>17</v>
      </c>
      <c r="J601" s="566" t="s">
        <v>60</v>
      </c>
      <c r="K601" s="566">
        <v>9</v>
      </c>
      <c r="L601" s="559" t="s">
        <v>636</v>
      </c>
      <c r="M601" s="6">
        <v>43080</v>
      </c>
      <c r="N601" s="6">
        <v>43083</v>
      </c>
      <c r="O601" s="544" t="s">
        <v>955</v>
      </c>
      <c r="P601" s="545"/>
      <c r="Q601" s="7"/>
      <c r="R601" s="561" t="s">
        <v>1814</v>
      </c>
      <c r="S601" s="319" t="s">
        <v>1176</v>
      </c>
      <c r="T601" s="338" t="s">
        <v>1988</v>
      </c>
    </row>
    <row r="602" spans="1:20" ht="20.100000000000001" customHeight="1">
      <c r="A602" s="1171" t="s">
        <v>2957</v>
      </c>
      <c r="B602" s="1171" t="s">
        <v>4272</v>
      </c>
      <c r="C602" s="1171" t="s">
        <v>4271</v>
      </c>
      <c r="D602" s="525">
        <v>375</v>
      </c>
      <c r="E602" s="525"/>
      <c r="F602" s="525">
        <v>750</v>
      </c>
      <c r="G602" s="56" t="s">
        <v>12</v>
      </c>
      <c r="H602" s="47">
        <v>1</v>
      </c>
      <c r="I602" s="542" t="s">
        <v>17</v>
      </c>
      <c r="J602" s="566" t="s">
        <v>60</v>
      </c>
      <c r="K602" s="566">
        <v>9</v>
      </c>
      <c r="L602" s="559" t="s">
        <v>636</v>
      </c>
      <c r="M602" s="551">
        <v>43038</v>
      </c>
      <c r="N602" s="547">
        <v>43075</v>
      </c>
      <c r="O602" s="544" t="s">
        <v>955</v>
      </c>
      <c r="P602" s="545"/>
      <c r="Q602" s="52"/>
      <c r="R602" s="561" t="s">
        <v>168</v>
      </c>
      <c r="S602" s="325"/>
      <c r="T602" s="338" t="s">
        <v>1994</v>
      </c>
    </row>
    <row r="603" spans="1:20" ht="20.100000000000001" customHeight="1">
      <c r="A603" s="1171" t="s">
        <v>2957</v>
      </c>
      <c r="B603" s="1171" t="s">
        <v>4272</v>
      </c>
      <c r="C603" s="1171" t="s">
        <v>4271</v>
      </c>
      <c r="D603" s="525"/>
      <c r="E603" s="525"/>
      <c r="F603" s="525"/>
      <c r="G603" s="56" t="s">
        <v>37</v>
      </c>
      <c r="H603" s="55" t="s">
        <v>729</v>
      </c>
      <c r="I603" s="582" t="s">
        <v>17</v>
      </c>
      <c r="J603" s="583" t="s">
        <v>60</v>
      </c>
      <c r="K603" s="584" t="s">
        <v>732</v>
      </c>
      <c r="L603" s="574" t="s">
        <v>636</v>
      </c>
      <c r="M603" s="543">
        <v>43040</v>
      </c>
      <c r="N603" s="543">
        <v>43084</v>
      </c>
      <c r="O603" s="544" t="s">
        <v>955</v>
      </c>
      <c r="P603" s="545"/>
      <c r="Q603" s="7"/>
      <c r="R603" s="561" t="s">
        <v>1787</v>
      </c>
      <c r="S603" s="319" t="s">
        <v>1176</v>
      </c>
      <c r="T603" s="338"/>
    </row>
    <row r="604" spans="1:20" ht="20.100000000000001" customHeight="1">
      <c r="A604" s="1171" t="s">
        <v>2957</v>
      </c>
      <c r="B604" s="1171" t="s">
        <v>4272</v>
      </c>
      <c r="C604" s="1171" t="s">
        <v>4271</v>
      </c>
      <c r="D604" s="526">
        <v>225</v>
      </c>
      <c r="E604" s="526">
        <v>400</v>
      </c>
      <c r="F604" s="526">
        <v>400</v>
      </c>
      <c r="G604" s="659" t="s">
        <v>13</v>
      </c>
      <c r="H604" s="194" t="s">
        <v>729</v>
      </c>
      <c r="I604" s="542" t="s">
        <v>17</v>
      </c>
      <c r="J604" s="577" t="s">
        <v>60</v>
      </c>
      <c r="K604" s="566" t="s">
        <v>732</v>
      </c>
      <c r="L604" s="557" t="s">
        <v>636</v>
      </c>
      <c r="M604" s="6">
        <v>43080</v>
      </c>
      <c r="N604" s="6">
        <v>43083</v>
      </c>
      <c r="O604" s="544" t="s">
        <v>955</v>
      </c>
      <c r="P604" s="545"/>
      <c r="Q604" s="683"/>
      <c r="R604" s="548" t="s">
        <v>1181</v>
      </c>
      <c r="S604" s="319" t="s">
        <v>1176</v>
      </c>
      <c r="T604" s="338" t="s">
        <v>1988</v>
      </c>
    </row>
    <row r="605" spans="1:20" ht="20.100000000000001" customHeight="1">
      <c r="A605" s="1171" t="s">
        <v>2957</v>
      </c>
      <c r="B605" s="1171" t="s">
        <v>4272</v>
      </c>
      <c r="C605" s="1171" t="s">
        <v>4271</v>
      </c>
      <c r="D605" s="525">
        <v>265</v>
      </c>
      <c r="E605" s="525">
        <v>530</v>
      </c>
      <c r="F605" s="525">
        <v>530</v>
      </c>
      <c r="G605" s="66" t="s">
        <v>30</v>
      </c>
      <c r="H605" s="56" t="s">
        <v>742</v>
      </c>
      <c r="I605" s="558" t="s">
        <v>17</v>
      </c>
      <c r="J605" s="577" t="s">
        <v>60</v>
      </c>
      <c r="K605" s="566" t="s">
        <v>736</v>
      </c>
      <c r="L605" s="559" t="s">
        <v>636</v>
      </c>
      <c r="M605" s="568">
        <v>43040</v>
      </c>
      <c r="N605" s="568">
        <v>43100</v>
      </c>
      <c r="O605" s="544" t="s">
        <v>955</v>
      </c>
      <c r="P605" s="572"/>
      <c r="Q605" s="52"/>
      <c r="R605" s="546" t="s">
        <v>962</v>
      </c>
      <c r="S605" s="322"/>
      <c r="T605" s="317">
        <v>14</v>
      </c>
    </row>
    <row r="606" spans="1:20" ht="20.100000000000001" customHeight="1">
      <c r="A606" s="1171" t="s">
        <v>2957</v>
      </c>
      <c r="B606" s="1171" t="s">
        <v>4272</v>
      </c>
      <c r="C606" s="1171" t="s">
        <v>4271</v>
      </c>
      <c r="D606" s="525"/>
      <c r="E606" s="525"/>
      <c r="F606" s="525"/>
      <c r="G606" s="66" t="s">
        <v>3893</v>
      </c>
      <c r="H606" s="56" t="s">
        <v>742</v>
      </c>
      <c r="I606" s="558" t="s">
        <v>17</v>
      </c>
      <c r="J606" s="577" t="s">
        <v>60</v>
      </c>
      <c r="K606" s="566" t="s">
        <v>736</v>
      </c>
      <c r="L606" s="559" t="s">
        <v>636</v>
      </c>
      <c r="M606" s="551">
        <v>43068</v>
      </c>
      <c r="N606" s="551">
        <v>43090</v>
      </c>
      <c r="O606" s="544"/>
      <c r="P606" s="572"/>
      <c r="Q606" s="52"/>
      <c r="R606" s="546" t="s">
        <v>1523</v>
      </c>
      <c r="S606" s="704" t="s">
        <v>1176</v>
      </c>
      <c r="T606" s="317" t="s">
        <v>3883</v>
      </c>
    </row>
    <row r="607" spans="1:20" ht="20.100000000000001" customHeight="1">
      <c r="A607" s="1171" t="s">
        <v>2957</v>
      </c>
      <c r="B607" s="1171" t="s">
        <v>4272</v>
      </c>
      <c r="C607" s="1171" t="s">
        <v>4271</v>
      </c>
      <c r="D607" s="320">
        <v>210</v>
      </c>
      <c r="E607" s="320">
        <v>420</v>
      </c>
      <c r="F607" s="320">
        <v>420</v>
      </c>
      <c r="G607" s="628" t="s">
        <v>1659</v>
      </c>
      <c r="H607" s="56" t="s">
        <v>742</v>
      </c>
      <c r="I607" s="558" t="s">
        <v>17</v>
      </c>
      <c r="J607" s="577" t="s">
        <v>60</v>
      </c>
      <c r="K607" s="566" t="s">
        <v>736</v>
      </c>
      <c r="L607" s="559" t="s">
        <v>636</v>
      </c>
      <c r="M607" s="547">
        <v>43088</v>
      </c>
      <c r="N607" s="547">
        <v>43090</v>
      </c>
      <c r="O607" s="544" t="s">
        <v>955</v>
      </c>
      <c r="P607" s="572"/>
      <c r="Q607" s="52"/>
      <c r="R607" s="575" t="s">
        <v>1886</v>
      </c>
      <c r="S607" s="315" t="s">
        <v>2862</v>
      </c>
      <c r="T607" s="338" t="s">
        <v>1678</v>
      </c>
    </row>
    <row r="608" spans="1:20" ht="20.100000000000001" customHeight="1">
      <c r="A608" s="1171" t="s">
        <v>2957</v>
      </c>
      <c r="B608" s="1171" t="s">
        <v>4272</v>
      </c>
      <c r="C608" s="1171" t="s">
        <v>4271</v>
      </c>
      <c r="D608" s="2">
        <v>220</v>
      </c>
      <c r="E608" s="2">
        <v>440</v>
      </c>
      <c r="F608" s="2">
        <v>440</v>
      </c>
      <c r="G608" s="56" t="s">
        <v>432</v>
      </c>
      <c r="H608" s="48" t="s">
        <v>742</v>
      </c>
      <c r="I608" s="557" t="s">
        <v>17</v>
      </c>
      <c r="J608" s="577" t="s">
        <v>60</v>
      </c>
      <c r="K608" s="567" t="s">
        <v>736</v>
      </c>
      <c r="L608" s="542" t="s">
        <v>636</v>
      </c>
      <c r="M608" s="549">
        <v>43081</v>
      </c>
      <c r="N608" s="549">
        <v>43088</v>
      </c>
      <c r="O608" s="544" t="s">
        <v>955</v>
      </c>
      <c r="P608" s="553"/>
      <c r="Q608" s="52"/>
      <c r="R608" s="546" t="s">
        <v>173</v>
      </c>
      <c r="S608" s="704" t="s">
        <v>1176</v>
      </c>
      <c r="T608" s="338"/>
    </row>
    <row r="609" spans="1:20" ht="20.100000000000001" customHeight="1">
      <c r="A609" s="1171" t="s">
        <v>2957</v>
      </c>
      <c r="B609" s="1171" t="s">
        <v>4272</v>
      </c>
      <c r="C609" s="1171" t="s">
        <v>4271</v>
      </c>
      <c r="D609" s="525">
        <v>330</v>
      </c>
      <c r="E609" s="525">
        <v>540</v>
      </c>
      <c r="F609" s="525">
        <v>540</v>
      </c>
      <c r="G609" s="628" t="s">
        <v>147</v>
      </c>
      <c r="H609" s="48" t="s">
        <v>742</v>
      </c>
      <c r="I609" s="557" t="s">
        <v>17</v>
      </c>
      <c r="J609" s="577" t="s">
        <v>60</v>
      </c>
      <c r="K609" s="567" t="s">
        <v>736</v>
      </c>
      <c r="L609" s="542" t="s">
        <v>636</v>
      </c>
      <c r="M609" s="547">
        <v>43080</v>
      </c>
      <c r="N609" s="547">
        <v>43086</v>
      </c>
      <c r="O609" s="544" t="s">
        <v>955</v>
      </c>
      <c r="P609" s="553"/>
      <c r="Q609" s="52"/>
      <c r="R609" s="546" t="s">
        <v>1523</v>
      </c>
      <c r="S609" s="704"/>
      <c r="T609" s="317">
        <v>14</v>
      </c>
    </row>
    <row r="610" spans="1:20" ht="20.100000000000001" customHeight="1">
      <c r="A610" s="1171" t="s">
        <v>2957</v>
      </c>
      <c r="B610" s="1171" t="s">
        <v>4272</v>
      </c>
      <c r="C610" s="1171" t="s">
        <v>4271</v>
      </c>
      <c r="D610" s="525">
        <v>230</v>
      </c>
      <c r="E610" s="525">
        <v>500</v>
      </c>
      <c r="F610" s="525">
        <v>500</v>
      </c>
      <c r="G610" s="628" t="s">
        <v>14</v>
      </c>
      <c r="H610" s="48" t="s">
        <v>742</v>
      </c>
      <c r="I610" s="557" t="s">
        <v>17</v>
      </c>
      <c r="J610" s="577" t="s">
        <v>60</v>
      </c>
      <c r="K610" s="567" t="s">
        <v>736</v>
      </c>
      <c r="L610" s="542" t="s">
        <v>636</v>
      </c>
      <c r="M610" s="547">
        <v>43086</v>
      </c>
      <c r="N610" s="547">
        <v>43092</v>
      </c>
      <c r="O610" s="544" t="s">
        <v>955</v>
      </c>
      <c r="P610" s="553"/>
      <c r="Q610" s="52"/>
      <c r="R610" s="546" t="s">
        <v>1523</v>
      </c>
      <c r="S610" s="704"/>
      <c r="T610" s="317"/>
    </row>
    <row r="611" spans="1:20" ht="20.100000000000001" customHeight="1">
      <c r="A611" s="1171" t="s">
        <v>2957</v>
      </c>
      <c r="B611" s="1171" t="s">
        <v>4272</v>
      </c>
      <c r="C611" s="1171" t="s">
        <v>4271</v>
      </c>
      <c r="D611" s="526">
        <v>225</v>
      </c>
      <c r="E611" s="526">
        <v>400</v>
      </c>
      <c r="F611" s="526">
        <v>400</v>
      </c>
      <c r="G611" s="659" t="s">
        <v>13</v>
      </c>
      <c r="H611" s="211" t="s">
        <v>742</v>
      </c>
      <c r="I611" s="557" t="s">
        <v>17</v>
      </c>
      <c r="J611" s="577" t="s">
        <v>60</v>
      </c>
      <c r="K611" s="566" t="s">
        <v>732</v>
      </c>
      <c r="L611" s="542" t="s">
        <v>643</v>
      </c>
      <c r="M611" s="6">
        <v>43080</v>
      </c>
      <c r="N611" s="6">
        <v>43083</v>
      </c>
      <c r="O611" s="544" t="s">
        <v>955</v>
      </c>
      <c r="P611" s="553"/>
      <c r="Q611" s="52"/>
      <c r="R611" s="548" t="s">
        <v>1749</v>
      </c>
      <c r="S611" s="319" t="s">
        <v>1176</v>
      </c>
      <c r="T611" s="338" t="s">
        <v>1988</v>
      </c>
    </row>
    <row r="612" spans="1:20" ht="20.100000000000001" customHeight="1">
      <c r="A612" s="1171" t="s">
        <v>2957</v>
      </c>
      <c r="B612" s="1171" t="s">
        <v>4272</v>
      </c>
      <c r="C612" s="1171" t="s">
        <v>4271</v>
      </c>
      <c r="D612" s="320">
        <v>205</v>
      </c>
      <c r="E612" s="320">
        <v>410</v>
      </c>
      <c r="F612" s="320">
        <v>410</v>
      </c>
      <c r="G612" s="659" t="s">
        <v>87</v>
      </c>
      <c r="H612" s="56" t="s">
        <v>659</v>
      </c>
      <c r="I612" s="558" t="s">
        <v>17</v>
      </c>
      <c r="J612" s="577" t="s">
        <v>60</v>
      </c>
      <c r="K612" s="19" t="s">
        <v>2996</v>
      </c>
      <c r="L612" s="38" t="s">
        <v>3039</v>
      </c>
      <c r="M612" s="551">
        <v>43087</v>
      </c>
      <c r="N612" s="551">
        <v>43092</v>
      </c>
      <c r="O612" s="544" t="s">
        <v>955</v>
      </c>
      <c r="P612" s="572"/>
      <c r="Q612" s="52"/>
      <c r="R612" s="73" t="s">
        <v>3058</v>
      </c>
      <c r="S612" s="315" t="s">
        <v>2849</v>
      </c>
      <c r="T612" s="338" t="s">
        <v>1991</v>
      </c>
    </row>
    <row r="613" spans="1:20" ht="20.100000000000001" customHeight="1">
      <c r="A613" s="1171" t="s">
        <v>2957</v>
      </c>
      <c r="B613" s="1171" t="s">
        <v>4272</v>
      </c>
      <c r="C613" s="1171" t="s">
        <v>4271</v>
      </c>
      <c r="D613" s="526">
        <v>180</v>
      </c>
      <c r="E613" s="526">
        <v>360</v>
      </c>
      <c r="F613" s="526">
        <v>360</v>
      </c>
      <c r="G613" s="628" t="s">
        <v>10</v>
      </c>
      <c r="H613" s="56" t="s">
        <v>659</v>
      </c>
      <c r="I613" s="558" t="s">
        <v>17</v>
      </c>
      <c r="J613" s="577" t="s">
        <v>60</v>
      </c>
      <c r="K613" s="19" t="s">
        <v>2996</v>
      </c>
      <c r="L613" s="38" t="s">
        <v>3039</v>
      </c>
      <c r="M613" s="547">
        <v>43075</v>
      </c>
      <c r="N613" s="547">
        <v>43084</v>
      </c>
      <c r="O613" s="544" t="s">
        <v>955</v>
      </c>
      <c r="P613" s="572"/>
      <c r="Q613" s="52"/>
      <c r="R613" s="49" t="s">
        <v>3052</v>
      </c>
      <c r="S613" s="316" t="s">
        <v>1176</v>
      </c>
      <c r="T613" s="317">
        <v>14</v>
      </c>
    </row>
    <row r="614" spans="1:20" ht="20.100000000000001" customHeight="1">
      <c r="A614" s="1171" t="s">
        <v>2957</v>
      </c>
      <c r="B614" s="1171" t="s">
        <v>4272</v>
      </c>
      <c r="C614" s="1171" t="s">
        <v>4271</v>
      </c>
      <c r="D614" s="525">
        <v>230</v>
      </c>
      <c r="E614" s="525">
        <v>460</v>
      </c>
      <c r="F614" s="525">
        <v>460</v>
      </c>
      <c r="G614" s="628" t="s">
        <v>1659</v>
      </c>
      <c r="H614" s="56" t="s">
        <v>659</v>
      </c>
      <c r="I614" s="558" t="s">
        <v>17</v>
      </c>
      <c r="J614" s="577" t="s">
        <v>60</v>
      </c>
      <c r="K614" s="19" t="s">
        <v>3038</v>
      </c>
      <c r="L614" s="38" t="s">
        <v>3039</v>
      </c>
      <c r="M614" s="547">
        <v>43081</v>
      </c>
      <c r="N614" s="547">
        <v>43090</v>
      </c>
      <c r="O614" s="544" t="s">
        <v>955</v>
      </c>
      <c r="P614" s="572"/>
      <c r="Q614" s="52"/>
      <c r="R614" s="73" t="s">
        <v>3040</v>
      </c>
      <c r="S614" s="315" t="s">
        <v>2862</v>
      </c>
      <c r="T614" s="338" t="s">
        <v>1678</v>
      </c>
    </row>
    <row r="615" spans="1:20" ht="20.100000000000001" customHeight="1">
      <c r="A615" s="1171" t="s">
        <v>2957</v>
      </c>
      <c r="B615" s="1171" t="s">
        <v>4272</v>
      </c>
      <c r="C615" s="1171" t="s">
        <v>4271</v>
      </c>
      <c r="D615" s="525">
        <v>255</v>
      </c>
      <c r="E615" s="525">
        <v>510</v>
      </c>
      <c r="F615" s="525">
        <v>510</v>
      </c>
      <c r="G615" s="56" t="s">
        <v>12</v>
      </c>
      <c r="H615" s="56" t="s">
        <v>659</v>
      </c>
      <c r="I615" s="558" t="s">
        <v>17</v>
      </c>
      <c r="J615" s="577" t="s">
        <v>60</v>
      </c>
      <c r="K615" s="19" t="s">
        <v>2996</v>
      </c>
      <c r="L615" s="38" t="s">
        <v>3039</v>
      </c>
      <c r="M615" s="547">
        <v>43075</v>
      </c>
      <c r="N615" s="547">
        <v>43075</v>
      </c>
      <c r="O615" s="544" t="s">
        <v>955</v>
      </c>
      <c r="P615" s="572"/>
      <c r="Q615" s="52"/>
      <c r="R615" s="73" t="s">
        <v>3387</v>
      </c>
      <c r="S615" s="325"/>
      <c r="T615" s="338" t="s">
        <v>1994</v>
      </c>
    </row>
    <row r="616" spans="1:20" ht="20.100000000000001" customHeight="1">
      <c r="A616" s="1171" t="s">
        <v>2957</v>
      </c>
      <c r="B616" s="1171" t="s">
        <v>4272</v>
      </c>
      <c r="C616" s="1171" t="s">
        <v>4271</v>
      </c>
      <c r="D616" s="526">
        <v>240</v>
      </c>
      <c r="E616" s="526">
        <v>480</v>
      </c>
      <c r="F616" s="526">
        <v>480</v>
      </c>
      <c r="G616" s="48" t="s">
        <v>232</v>
      </c>
      <c r="H616" s="56" t="s">
        <v>659</v>
      </c>
      <c r="I616" s="566" t="s">
        <v>17</v>
      </c>
      <c r="J616" s="569" t="s">
        <v>60</v>
      </c>
      <c r="K616" s="566">
        <v>10</v>
      </c>
      <c r="L616" s="570" t="s">
        <v>641</v>
      </c>
      <c r="M616" s="551">
        <v>43067</v>
      </c>
      <c r="N616" s="551">
        <v>43086</v>
      </c>
      <c r="O616" s="544" t="s">
        <v>955</v>
      </c>
      <c r="P616" s="545"/>
      <c r="Q616" s="7"/>
      <c r="R616" s="561" t="s">
        <v>247</v>
      </c>
      <c r="S616" s="325"/>
      <c r="T616" s="317" t="s">
        <v>1678</v>
      </c>
    </row>
    <row r="617" spans="1:20" ht="20.100000000000001" customHeight="1">
      <c r="A617" s="1171" t="s">
        <v>2957</v>
      </c>
      <c r="B617" s="1171" t="s">
        <v>4272</v>
      </c>
      <c r="C617" s="1171" t="s">
        <v>4271</v>
      </c>
      <c r="D617" s="525">
        <v>325</v>
      </c>
      <c r="E617" s="525">
        <v>650</v>
      </c>
      <c r="F617" s="525">
        <v>650</v>
      </c>
      <c r="G617" s="224" t="s">
        <v>51</v>
      </c>
      <c r="H617" s="36" t="s">
        <v>659</v>
      </c>
      <c r="I617" s="542" t="s">
        <v>17</v>
      </c>
      <c r="J617" s="566" t="s">
        <v>60</v>
      </c>
      <c r="K617" s="569" t="s">
        <v>682</v>
      </c>
      <c r="L617" s="570" t="s">
        <v>636</v>
      </c>
      <c r="M617" s="381">
        <v>43040</v>
      </c>
      <c r="N617" s="381">
        <v>43088</v>
      </c>
      <c r="O617" s="544" t="s">
        <v>955</v>
      </c>
      <c r="P617" s="553"/>
      <c r="Q617" s="7"/>
      <c r="R617" s="546" t="s">
        <v>1907</v>
      </c>
      <c r="S617" s="316"/>
      <c r="T617" s="317">
        <v>12</v>
      </c>
    </row>
    <row r="618" spans="1:20" ht="20.100000000000001" customHeight="1">
      <c r="A618" s="1171" t="s">
        <v>2957</v>
      </c>
      <c r="B618" s="1171" t="s">
        <v>4272</v>
      </c>
      <c r="C618" s="1171" t="s">
        <v>4271</v>
      </c>
      <c r="D618" s="525">
        <v>195</v>
      </c>
      <c r="E618" s="62"/>
      <c r="F618" s="62"/>
      <c r="G618" s="224" t="s">
        <v>76</v>
      </c>
      <c r="H618" s="36" t="s">
        <v>725</v>
      </c>
      <c r="I618" s="557" t="s">
        <v>17</v>
      </c>
      <c r="J618" s="577" t="s">
        <v>60</v>
      </c>
      <c r="K618" s="567">
        <v>10</v>
      </c>
      <c r="L618" s="542" t="s">
        <v>641</v>
      </c>
      <c r="M618" s="6">
        <v>43087</v>
      </c>
      <c r="N618" s="6">
        <v>43093</v>
      </c>
      <c r="O618" s="544" t="s">
        <v>955</v>
      </c>
      <c r="P618" s="553"/>
      <c r="Q618" s="7"/>
      <c r="R618" s="546" t="s">
        <v>826</v>
      </c>
      <c r="S618" s="322" t="s">
        <v>1176</v>
      </c>
      <c r="T618" s="338" t="s">
        <v>2372</v>
      </c>
    </row>
    <row r="619" spans="1:20" ht="20.100000000000001" customHeight="1">
      <c r="A619" s="1171" t="s">
        <v>2957</v>
      </c>
      <c r="B619" s="1171" t="s">
        <v>4272</v>
      </c>
      <c r="C619" s="1171" t="s">
        <v>4271</v>
      </c>
      <c r="D619" s="525">
        <v>195</v>
      </c>
      <c r="E619" s="62"/>
      <c r="F619" s="62">
        <v>370</v>
      </c>
      <c r="G619" s="224" t="s">
        <v>2343</v>
      </c>
      <c r="H619" s="36" t="s">
        <v>725</v>
      </c>
      <c r="I619" s="557" t="s">
        <v>17</v>
      </c>
      <c r="J619" s="577" t="s">
        <v>60</v>
      </c>
      <c r="K619" s="567">
        <v>10</v>
      </c>
      <c r="L619" s="542" t="s">
        <v>641</v>
      </c>
      <c r="M619" s="381">
        <v>43075</v>
      </c>
      <c r="N619" s="381">
        <v>43086</v>
      </c>
      <c r="O619" s="544" t="s">
        <v>955</v>
      </c>
      <c r="P619" s="553"/>
      <c r="Q619" s="7"/>
      <c r="R619" s="546" t="s">
        <v>826</v>
      </c>
      <c r="S619" s="322"/>
      <c r="T619" s="338"/>
    </row>
    <row r="620" spans="1:20" ht="20.100000000000001" customHeight="1">
      <c r="A620" s="1171" t="s">
        <v>2957</v>
      </c>
      <c r="B620" s="1171" t="s">
        <v>4272</v>
      </c>
      <c r="C620" s="1171" t="s">
        <v>4271</v>
      </c>
      <c r="D620" s="525"/>
      <c r="E620" s="525"/>
      <c r="F620" s="525"/>
      <c r="G620" s="66" t="s">
        <v>3893</v>
      </c>
      <c r="H620" s="36" t="s">
        <v>725</v>
      </c>
      <c r="I620" s="557" t="s">
        <v>17</v>
      </c>
      <c r="J620" s="577" t="s">
        <v>60</v>
      </c>
      <c r="K620" s="567">
        <v>10</v>
      </c>
      <c r="L620" s="542" t="s">
        <v>641</v>
      </c>
      <c r="M620" s="551">
        <v>43068</v>
      </c>
      <c r="N620" s="551">
        <v>43090</v>
      </c>
      <c r="O620" s="544"/>
      <c r="P620" s="553"/>
      <c r="Q620" s="7"/>
      <c r="R620" s="546" t="s">
        <v>836</v>
      </c>
      <c r="S620" s="704" t="s">
        <v>1176</v>
      </c>
      <c r="T620" s="317" t="s">
        <v>3883</v>
      </c>
    </row>
    <row r="621" spans="1:20" ht="20.100000000000001" customHeight="1">
      <c r="A621" s="1171" t="s">
        <v>2957</v>
      </c>
      <c r="B621" s="1171" t="s">
        <v>4272</v>
      </c>
      <c r="C621" s="1171" t="s">
        <v>4271</v>
      </c>
      <c r="D621" s="885">
        <v>210</v>
      </c>
      <c r="E621" s="885">
        <v>420</v>
      </c>
      <c r="F621" s="885">
        <v>420</v>
      </c>
      <c r="G621" s="628" t="s">
        <v>1659</v>
      </c>
      <c r="H621" s="36" t="s">
        <v>725</v>
      </c>
      <c r="I621" s="557" t="s">
        <v>17</v>
      </c>
      <c r="J621" s="577" t="s">
        <v>60</v>
      </c>
      <c r="K621" s="567">
        <v>10</v>
      </c>
      <c r="L621" s="542" t="s">
        <v>641</v>
      </c>
      <c r="M621" s="547">
        <v>43090</v>
      </c>
      <c r="N621" s="547">
        <v>43090</v>
      </c>
      <c r="O621" s="544" t="s">
        <v>955</v>
      </c>
      <c r="P621" s="545"/>
      <c r="Q621" s="7"/>
      <c r="R621" s="556" t="s">
        <v>2475</v>
      </c>
      <c r="S621" s="315" t="s">
        <v>2862</v>
      </c>
      <c r="T621" s="338" t="s">
        <v>1678</v>
      </c>
    </row>
    <row r="622" spans="1:20" ht="20.100000000000001" customHeight="1">
      <c r="A622" s="1171" t="s">
        <v>2957</v>
      </c>
      <c r="B622" s="1171" t="s">
        <v>4272</v>
      </c>
      <c r="C622" s="1171" t="s">
        <v>4271</v>
      </c>
      <c r="D622" s="525">
        <v>200</v>
      </c>
      <c r="E622" s="525">
        <v>400</v>
      </c>
      <c r="F622" s="525">
        <v>400</v>
      </c>
      <c r="G622" s="628" t="s">
        <v>10</v>
      </c>
      <c r="H622" s="36" t="s">
        <v>725</v>
      </c>
      <c r="I622" s="557" t="s">
        <v>17</v>
      </c>
      <c r="J622" s="577" t="s">
        <v>60</v>
      </c>
      <c r="K622" s="567">
        <v>10</v>
      </c>
      <c r="L622" s="542" t="s">
        <v>641</v>
      </c>
      <c r="M622" s="547">
        <v>43083</v>
      </c>
      <c r="N622" s="547">
        <v>43084</v>
      </c>
      <c r="O622" s="544" t="s">
        <v>955</v>
      </c>
      <c r="P622" s="544"/>
      <c r="Q622" s="7"/>
      <c r="R622" s="546" t="s">
        <v>836</v>
      </c>
      <c r="S622" s="316" t="s">
        <v>1176</v>
      </c>
      <c r="T622" s="317">
        <v>14</v>
      </c>
    </row>
    <row r="623" spans="1:20" ht="20.100000000000001" customHeight="1">
      <c r="A623" s="1171" t="s">
        <v>2957</v>
      </c>
      <c r="B623" s="1171" t="s">
        <v>4272</v>
      </c>
      <c r="C623" s="1171" t="s">
        <v>4271</v>
      </c>
      <c r="D623" s="526">
        <v>245</v>
      </c>
      <c r="E623" s="526">
        <v>490</v>
      </c>
      <c r="F623" s="526">
        <v>490</v>
      </c>
      <c r="G623" s="224" t="s">
        <v>814</v>
      </c>
      <c r="H623" s="47">
        <v>4</v>
      </c>
      <c r="I623" s="566" t="s">
        <v>17</v>
      </c>
      <c r="J623" s="567" t="s">
        <v>60</v>
      </c>
      <c r="K623" s="577">
        <v>9</v>
      </c>
      <c r="L623" s="559" t="s">
        <v>639</v>
      </c>
      <c r="M623" s="547">
        <v>43076</v>
      </c>
      <c r="N623" s="547">
        <v>43086</v>
      </c>
      <c r="O623" s="544" t="s">
        <v>955</v>
      </c>
      <c r="P623" s="553"/>
      <c r="Q623" s="7"/>
      <c r="R623" s="555" t="s">
        <v>316</v>
      </c>
      <c r="S623" s="319" t="s">
        <v>1176</v>
      </c>
      <c r="T623" s="317" t="s">
        <v>2872</v>
      </c>
    </row>
    <row r="624" spans="1:20" ht="20.100000000000001" customHeight="1">
      <c r="A624" s="1171" t="s">
        <v>2957</v>
      </c>
      <c r="B624" s="1171" t="s">
        <v>4272</v>
      </c>
      <c r="C624" s="1171" t="s">
        <v>4271</v>
      </c>
      <c r="D624" s="32">
        <v>215</v>
      </c>
      <c r="E624" s="32">
        <v>430</v>
      </c>
      <c r="F624" s="32">
        <v>430</v>
      </c>
      <c r="G624" s="224" t="s">
        <v>434</v>
      </c>
      <c r="H624" s="47">
        <v>4</v>
      </c>
      <c r="I624" s="566" t="s">
        <v>17</v>
      </c>
      <c r="J624" s="567" t="s">
        <v>60</v>
      </c>
      <c r="K624" s="577">
        <v>9</v>
      </c>
      <c r="L624" s="559" t="s">
        <v>639</v>
      </c>
      <c r="M624" s="549">
        <v>43080</v>
      </c>
      <c r="N624" s="549">
        <v>43093</v>
      </c>
      <c r="O624" s="544" t="s">
        <v>955</v>
      </c>
      <c r="P624" s="553"/>
      <c r="Q624" s="7"/>
      <c r="R624" s="555" t="s">
        <v>316</v>
      </c>
      <c r="S624" s="321" t="s">
        <v>1176</v>
      </c>
      <c r="T624" s="317" t="s">
        <v>2824</v>
      </c>
    </row>
    <row r="625" spans="1:20" ht="20.100000000000001" customHeight="1">
      <c r="A625" s="1171" t="s">
        <v>2957</v>
      </c>
      <c r="B625" s="1171" t="s">
        <v>4272</v>
      </c>
      <c r="C625" s="1171" t="s">
        <v>4271</v>
      </c>
      <c r="D625" s="320">
        <v>205</v>
      </c>
      <c r="E625" s="320">
        <v>410</v>
      </c>
      <c r="F625" s="320">
        <v>410</v>
      </c>
      <c r="G625" s="56" t="s">
        <v>87</v>
      </c>
      <c r="H625" s="47">
        <v>4</v>
      </c>
      <c r="I625" s="566" t="s">
        <v>17</v>
      </c>
      <c r="J625" s="567" t="s">
        <v>60</v>
      </c>
      <c r="K625" s="577">
        <v>9</v>
      </c>
      <c r="L625" s="559" t="s">
        <v>639</v>
      </c>
      <c r="M625" s="551">
        <v>43087</v>
      </c>
      <c r="N625" s="551">
        <v>43092</v>
      </c>
      <c r="O625" s="544" t="s">
        <v>955</v>
      </c>
      <c r="P625" s="553"/>
      <c r="Q625" s="7"/>
      <c r="R625" s="555" t="s">
        <v>316</v>
      </c>
      <c r="S625" s="315" t="s">
        <v>2849</v>
      </c>
      <c r="T625" s="338" t="s">
        <v>1991</v>
      </c>
    </row>
    <row r="626" spans="1:20" ht="20.100000000000001" customHeight="1">
      <c r="A626" s="1171" t="s">
        <v>2957</v>
      </c>
      <c r="B626" s="1171" t="s">
        <v>4272</v>
      </c>
      <c r="C626" s="1171" t="s">
        <v>4271</v>
      </c>
      <c r="D626" s="2">
        <v>220</v>
      </c>
      <c r="E626" s="2">
        <v>440</v>
      </c>
      <c r="F626" s="2">
        <v>440</v>
      </c>
      <c r="G626" s="56" t="s">
        <v>432</v>
      </c>
      <c r="H626" s="47">
        <v>4</v>
      </c>
      <c r="I626" s="566" t="s">
        <v>17</v>
      </c>
      <c r="J626" s="567" t="s">
        <v>60</v>
      </c>
      <c r="K626" s="577">
        <v>9</v>
      </c>
      <c r="L626" s="559" t="s">
        <v>639</v>
      </c>
      <c r="M626" s="547">
        <v>43083</v>
      </c>
      <c r="N626" s="549">
        <v>43088</v>
      </c>
      <c r="O626" s="544" t="s">
        <v>955</v>
      </c>
      <c r="P626" s="553"/>
      <c r="Q626" s="7"/>
      <c r="R626" s="546" t="s">
        <v>316</v>
      </c>
      <c r="S626" s="704" t="s">
        <v>1176</v>
      </c>
      <c r="T626" s="338"/>
    </row>
    <row r="627" spans="1:20" ht="20.100000000000001" customHeight="1">
      <c r="A627" s="1171" t="s">
        <v>2957</v>
      </c>
      <c r="B627" s="1171" t="s">
        <v>4272</v>
      </c>
      <c r="C627" s="1171" t="s">
        <v>4271</v>
      </c>
      <c r="D627" s="526">
        <v>205</v>
      </c>
      <c r="E627" s="2"/>
      <c r="F627" s="2"/>
      <c r="G627" s="56" t="s">
        <v>2397</v>
      </c>
      <c r="H627" s="47" t="s">
        <v>2292</v>
      </c>
      <c r="I627" s="566" t="s">
        <v>17</v>
      </c>
      <c r="J627" s="567" t="s">
        <v>60</v>
      </c>
      <c r="K627" s="577" t="s">
        <v>2398</v>
      </c>
      <c r="L627" s="559" t="s">
        <v>2399</v>
      </c>
      <c r="M627" s="559"/>
      <c r="N627" s="547">
        <v>43044</v>
      </c>
      <c r="O627" s="544" t="s">
        <v>955</v>
      </c>
      <c r="P627" s="553"/>
      <c r="Q627" s="7"/>
      <c r="R627" s="546"/>
      <c r="S627" s="704"/>
      <c r="T627" s="338"/>
    </row>
    <row r="628" spans="1:20" ht="20.100000000000001" customHeight="1">
      <c r="A628" s="1171" t="s">
        <v>2957</v>
      </c>
      <c r="B628" s="1171" t="s">
        <v>4272</v>
      </c>
      <c r="C628" s="1171" t="s">
        <v>4271</v>
      </c>
      <c r="D628" s="525">
        <v>325</v>
      </c>
      <c r="E628" s="525">
        <v>650</v>
      </c>
      <c r="F628" s="525">
        <v>650</v>
      </c>
      <c r="G628" s="628" t="s">
        <v>51</v>
      </c>
      <c r="H628" s="36" t="s">
        <v>681</v>
      </c>
      <c r="I628" s="576" t="s">
        <v>17</v>
      </c>
      <c r="J628" s="566" t="s">
        <v>60</v>
      </c>
      <c r="K628" s="566" t="s">
        <v>706</v>
      </c>
      <c r="L628" s="542" t="s">
        <v>649</v>
      </c>
      <c r="M628" s="381">
        <v>43040</v>
      </c>
      <c r="N628" s="381">
        <v>43088</v>
      </c>
      <c r="O628" s="544" t="s">
        <v>955</v>
      </c>
      <c r="P628" s="552"/>
      <c r="Q628" s="683"/>
      <c r="R628" s="556" t="s">
        <v>778</v>
      </c>
      <c r="S628" s="704"/>
      <c r="T628" s="317">
        <v>12</v>
      </c>
    </row>
    <row r="629" spans="1:20" ht="20.100000000000001" customHeight="1">
      <c r="A629" s="1171" t="s">
        <v>2957</v>
      </c>
      <c r="B629" s="1171" t="s">
        <v>4272</v>
      </c>
      <c r="C629" s="1171" t="s">
        <v>4271</v>
      </c>
      <c r="D629" s="526">
        <v>245</v>
      </c>
      <c r="E629" s="526">
        <v>490</v>
      </c>
      <c r="F629" s="526">
        <v>490</v>
      </c>
      <c r="G629" s="224" t="s">
        <v>814</v>
      </c>
      <c r="H629" s="36" t="s">
        <v>681</v>
      </c>
      <c r="I629" s="576" t="s">
        <v>17</v>
      </c>
      <c r="J629" s="566" t="s">
        <v>60</v>
      </c>
      <c r="K629" s="566" t="s">
        <v>706</v>
      </c>
      <c r="L629" s="542" t="s">
        <v>649</v>
      </c>
      <c r="M629" s="547">
        <v>43077</v>
      </c>
      <c r="N629" s="547">
        <v>43086</v>
      </c>
      <c r="O629" s="544" t="s">
        <v>955</v>
      </c>
      <c r="P629" s="545"/>
      <c r="Q629" s="683"/>
      <c r="R629" s="556" t="s">
        <v>778</v>
      </c>
      <c r="S629" s="319" t="s">
        <v>1176</v>
      </c>
      <c r="T629" s="317" t="s">
        <v>2872</v>
      </c>
    </row>
    <row r="630" spans="1:20" ht="20.100000000000001" customHeight="1">
      <c r="A630" s="1171" t="s">
        <v>2957</v>
      </c>
      <c r="B630" s="1171" t="s">
        <v>4272</v>
      </c>
      <c r="C630" s="1171" t="s">
        <v>4271</v>
      </c>
      <c r="D630" s="525">
        <v>265</v>
      </c>
      <c r="E630" s="525">
        <v>530</v>
      </c>
      <c r="F630" s="525">
        <v>530</v>
      </c>
      <c r="G630" s="224" t="s">
        <v>231</v>
      </c>
      <c r="H630" s="36" t="s">
        <v>681</v>
      </c>
      <c r="I630" s="576" t="s">
        <v>17</v>
      </c>
      <c r="J630" s="566" t="s">
        <v>60</v>
      </c>
      <c r="K630" s="566" t="s">
        <v>706</v>
      </c>
      <c r="L630" s="542" t="s">
        <v>649</v>
      </c>
      <c r="M630" s="547">
        <v>43077</v>
      </c>
      <c r="N630" s="547">
        <v>43087</v>
      </c>
      <c r="O630" s="544" t="s">
        <v>955</v>
      </c>
      <c r="P630" s="545"/>
      <c r="Q630" s="683"/>
      <c r="R630" s="556" t="s">
        <v>778</v>
      </c>
      <c r="S630" s="319"/>
      <c r="T630" s="338" t="s">
        <v>1988</v>
      </c>
    </row>
    <row r="631" spans="1:20" ht="20.100000000000001" customHeight="1">
      <c r="A631" s="1171" t="s">
        <v>2957</v>
      </c>
      <c r="B631" s="1171" t="s">
        <v>4272</v>
      </c>
      <c r="C631" s="1171" t="s">
        <v>4271</v>
      </c>
      <c r="D631" s="320">
        <v>205</v>
      </c>
      <c r="E631" s="320">
        <v>410</v>
      </c>
      <c r="F631" s="320">
        <v>410</v>
      </c>
      <c r="G631" s="56" t="s">
        <v>87</v>
      </c>
      <c r="H631" s="36" t="s">
        <v>681</v>
      </c>
      <c r="I631" s="576" t="s">
        <v>17</v>
      </c>
      <c r="J631" s="566" t="s">
        <v>60</v>
      </c>
      <c r="K631" s="566" t="s">
        <v>706</v>
      </c>
      <c r="L631" s="542" t="s">
        <v>649</v>
      </c>
      <c r="M631" s="551">
        <v>43087</v>
      </c>
      <c r="N631" s="551">
        <v>43092</v>
      </c>
      <c r="O631" s="544" t="s">
        <v>955</v>
      </c>
      <c r="P631" s="545"/>
      <c r="Q631" s="683"/>
      <c r="R631" s="556" t="s">
        <v>778</v>
      </c>
      <c r="S631" s="315" t="s">
        <v>2849</v>
      </c>
      <c r="T631" s="338" t="s">
        <v>1991</v>
      </c>
    </row>
    <row r="632" spans="1:20" ht="20.100000000000001" customHeight="1">
      <c r="A632" s="1171" t="s">
        <v>2957</v>
      </c>
      <c r="B632" s="1171" t="s">
        <v>4272</v>
      </c>
      <c r="C632" s="1171" t="s">
        <v>4271</v>
      </c>
      <c r="D632" s="32">
        <v>215</v>
      </c>
      <c r="E632" s="32">
        <v>430</v>
      </c>
      <c r="F632" s="32">
        <v>430</v>
      </c>
      <c r="G632" s="224" t="s">
        <v>434</v>
      </c>
      <c r="H632" s="36" t="s">
        <v>681</v>
      </c>
      <c r="I632" s="576" t="s">
        <v>17</v>
      </c>
      <c r="J632" s="566" t="s">
        <v>60</v>
      </c>
      <c r="K632" s="566" t="s">
        <v>706</v>
      </c>
      <c r="L632" s="542" t="s">
        <v>649</v>
      </c>
      <c r="M632" s="549">
        <v>43080</v>
      </c>
      <c r="N632" s="549">
        <v>43093</v>
      </c>
      <c r="O632" s="544" t="s">
        <v>955</v>
      </c>
      <c r="P632" s="545"/>
      <c r="Q632" s="683"/>
      <c r="R632" s="556" t="s">
        <v>778</v>
      </c>
      <c r="S632" s="321" t="s">
        <v>1176</v>
      </c>
      <c r="T632" s="317" t="s">
        <v>2824</v>
      </c>
    </row>
    <row r="633" spans="1:20" ht="20.100000000000001" customHeight="1">
      <c r="A633" s="1171" t="s">
        <v>2957</v>
      </c>
      <c r="B633" s="1171" t="s">
        <v>4272</v>
      </c>
      <c r="C633" s="1171" t="s">
        <v>4271</v>
      </c>
      <c r="D633" s="526">
        <v>240</v>
      </c>
      <c r="E633" s="526">
        <v>480</v>
      </c>
      <c r="F633" s="526">
        <v>480</v>
      </c>
      <c r="G633" s="48" t="s">
        <v>232</v>
      </c>
      <c r="H633" s="36" t="s">
        <v>681</v>
      </c>
      <c r="I633" s="576" t="s">
        <v>17</v>
      </c>
      <c r="J633" s="566" t="s">
        <v>60</v>
      </c>
      <c r="K633" s="566" t="s">
        <v>706</v>
      </c>
      <c r="L633" s="542" t="s">
        <v>649</v>
      </c>
      <c r="M633" s="551">
        <v>43067</v>
      </c>
      <c r="N633" s="551">
        <v>43086</v>
      </c>
      <c r="O633" s="544" t="s">
        <v>955</v>
      </c>
      <c r="P633" s="545"/>
      <c r="Q633" s="683"/>
      <c r="R633" s="556" t="s">
        <v>1460</v>
      </c>
      <c r="S633" s="321"/>
      <c r="T633" s="317" t="s">
        <v>1678</v>
      </c>
    </row>
    <row r="634" spans="1:20" ht="20.100000000000001" customHeight="1">
      <c r="A634" s="1171" t="s">
        <v>2957</v>
      </c>
      <c r="B634" s="1171" t="s">
        <v>4272</v>
      </c>
      <c r="C634" s="1171" t="s">
        <v>4271</v>
      </c>
      <c r="D634" s="887">
        <v>230</v>
      </c>
      <c r="E634" s="887">
        <v>460</v>
      </c>
      <c r="F634" s="887">
        <v>460</v>
      </c>
      <c r="G634" s="36" t="s">
        <v>278</v>
      </c>
      <c r="H634" s="36" t="s">
        <v>681</v>
      </c>
      <c r="I634" s="576" t="s">
        <v>17</v>
      </c>
      <c r="J634" s="566" t="s">
        <v>60</v>
      </c>
      <c r="K634" s="566" t="s">
        <v>706</v>
      </c>
      <c r="L634" s="542" t="s">
        <v>649</v>
      </c>
      <c r="M634" s="391">
        <v>43087</v>
      </c>
      <c r="N634" s="391">
        <v>43093</v>
      </c>
      <c r="O634" s="544" t="s">
        <v>955</v>
      </c>
      <c r="P634" s="545"/>
      <c r="Q634" s="683"/>
      <c r="R634" s="556" t="s">
        <v>778</v>
      </c>
      <c r="S634" s="321"/>
      <c r="T634" s="338" t="s">
        <v>1678</v>
      </c>
    </row>
    <row r="635" spans="1:20" ht="20.100000000000001" customHeight="1">
      <c r="A635" s="1171" t="s">
        <v>2957</v>
      </c>
      <c r="B635" s="1171" t="s">
        <v>4272</v>
      </c>
      <c r="C635" s="1171" t="s">
        <v>4271</v>
      </c>
      <c r="D635" s="2">
        <v>220</v>
      </c>
      <c r="E635" s="2">
        <v>440</v>
      </c>
      <c r="F635" s="2">
        <v>440</v>
      </c>
      <c r="G635" s="56" t="s">
        <v>432</v>
      </c>
      <c r="H635" s="36" t="s">
        <v>681</v>
      </c>
      <c r="I635" s="576" t="s">
        <v>17</v>
      </c>
      <c r="J635" s="566" t="s">
        <v>60</v>
      </c>
      <c r="K635" s="566" t="s">
        <v>706</v>
      </c>
      <c r="L635" s="542" t="s">
        <v>649</v>
      </c>
      <c r="M635" s="549">
        <v>43084</v>
      </c>
      <c r="N635" s="549">
        <v>43088</v>
      </c>
      <c r="O635" s="544" t="s">
        <v>955</v>
      </c>
      <c r="P635" s="545"/>
      <c r="Q635" s="683"/>
      <c r="R635" s="556" t="s">
        <v>778</v>
      </c>
      <c r="S635" s="704" t="s">
        <v>1176</v>
      </c>
      <c r="T635" s="338"/>
    </row>
    <row r="636" spans="1:20" ht="20.100000000000001" customHeight="1">
      <c r="A636" s="1171" t="s">
        <v>2957</v>
      </c>
      <c r="B636" s="1171" t="s">
        <v>4272</v>
      </c>
      <c r="C636" s="1171" t="s">
        <v>4271</v>
      </c>
      <c r="D636" s="11">
        <v>240</v>
      </c>
      <c r="E636" s="11">
        <v>480</v>
      </c>
      <c r="F636" s="11">
        <v>480</v>
      </c>
      <c r="G636" s="48" t="s">
        <v>28</v>
      </c>
      <c r="H636" s="36" t="s">
        <v>681</v>
      </c>
      <c r="I636" s="576" t="s">
        <v>17</v>
      </c>
      <c r="J636" s="566" t="s">
        <v>60</v>
      </c>
      <c r="K636" s="566" t="s">
        <v>706</v>
      </c>
      <c r="L636" s="542" t="s">
        <v>649</v>
      </c>
      <c r="M636" s="549">
        <v>43076</v>
      </c>
      <c r="N636" s="549">
        <v>43089</v>
      </c>
      <c r="O636" s="544" t="s">
        <v>955</v>
      </c>
      <c r="P636" s="545"/>
      <c r="Q636" s="7"/>
      <c r="R636" s="556" t="s">
        <v>1703</v>
      </c>
      <c r="S636" s="316" t="s">
        <v>1176</v>
      </c>
      <c r="T636" s="338"/>
    </row>
    <row r="637" spans="1:20" ht="20.100000000000001" customHeight="1">
      <c r="A637" s="1171" t="s">
        <v>2957</v>
      </c>
      <c r="B637" s="1171" t="s">
        <v>4272</v>
      </c>
      <c r="C637" s="1171" t="s">
        <v>4271</v>
      </c>
      <c r="D637" s="11">
        <v>240</v>
      </c>
      <c r="E637" s="11">
        <v>480</v>
      </c>
      <c r="F637" s="11">
        <v>480</v>
      </c>
      <c r="G637" s="48" t="s">
        <v>28</v>
      </c>
      <c r="H637" s="36">
        <v>5</v>
      </c>
      <c r="I637" s="557" t="s">
        <v>17</v>
      </c>
      <c r="J637" s="577" t="s">
        <v>60</v>
      </c>
      <c r="K637" s="567">
        <v>10</v>
      </c>
      <c r="L637" s="542" t="s">
        <v>641</v>
      </c>
      <c r="M637" s="549">
        <v>43076</v>
      </c>
      <c r="N637" s="549">
        <v>43089</v>
      </c>
      <c r="O637" s="544" t="s">
        <v>955</v>
      </c>
      <c r="P637" s="553"/>
      <c r="Q637" s="7"/>
      <c r="R637" s="546" t="s">
        <v>186</v>
      </c>
      <c r="S637" s="316" t="s">
        <v>1176</v>
      </c>
      <c r="T637" s="338"/>
    </row>
    <row r="638" spans="1:20" ht="20.100000000000001" customHeight="1">
      <c r="A638" s="1171" t="s">
        <v>2957</v>
      </c>
      <c r="B638" s="1171" t="s">
        <v>4272</v>
      </c>
      <c r="C638" s="1171" t="s">
        <v>4271</v>
      </c>
      <c r="D638" s="525">
        <v>195</v>
      </c>
      <c r="E638" s="11"/>
      <c r="F638" s="11"/>
      <c r="G638" s="224" t="s">
        <v>76</v>
      </c>
      <c r="H638" s="36" t="s">
        <v>721</v>
      </c>
      <c r="I638" s="557" t="s">
        <v>17</v>
      </c>
      <c r="J638" s="577" t="s">
        <v>60</v>
      </c>
      <c r="K638" s="567" t="s">
        <v>736</v>
      </c>
      <c r="L638" s="559" t="s">
        <v>641</v>
      </c>
      <c r="M638" s="6">
        <v>43087</v>
      </c>
      <c r="N638" s="6">
        <v>43093</v>
      </c>
      <c r="O638" s="544" t="s">
        <v>955</v>
      </c>
      <c r="P638" s="553"/>
      <c r="Q638" s="7"/>
      <c r="R638" s="17" t="s">
        <v>3018</v>
      </c>
      <c r="S638" s="322" t="s">
        <v>1176</v>
      </c>
      <c r="T638" s="338" t="s">
        <v>1678</v>
      </c>
    </row>
    <row r="639" spans="1:20" ht="20.100000000000001" customHeight="1">
      <c r="A639" s="1171" t="s">
        <v>2957</v>
      </c>
      <c r="B639" s="1171" t="s">
        <v>4272</v>
      </c>
      <c r="C639" s="1171" t="s">
        <v>378</v>
      </c>
      <c r="D639" s="525">
        <v>210</v>
      </c>
      <c r="E639" s="11">
        <v>420</v>
      </c>
      <c r="F639" s="11">
        <v>420</v>
      </c>
      <c r="G639" s="48" t="s">
        <v>232</v>
      </c>
      <c r="H639" s="36" t="s">
        <v>721</v>
      </c>
      <c r="I639" s="557" t="s">
        <v>17</v>
      </c>
      <c r="J639" s="577" t="s">
        <v>60</v>
      </c>
      <c r="K639" s="567" t="s">
        <v>736</v>
      </c>
      <c r="L639" s="559" t="s">
        <v>641</v>
      </c>
      <c r="M639" s="551">
        <v>43078</v>
      </c>
      <c r="N639" s="551">
        <v>43086</v>
      </c>
      <c r="O639" s="544" t="s">
        <v>955</v>
      </c>
      <c r="P639" s="553"/>
      <c r="Q639" s="7"/>
      <c r="R639" s="17" t="s">
        <v>3018</v>
      </c>
      <c r="S639" s="322"/>
      <c r="T639" s="317" t="s">
        <v>1678</v>
      </c>
    </row>
    <row r="640" spans="1:20" ht="20.100000000000001" customHeight="1">
      <c r="A640" s="1171" t="s">
        <v>2957</v>
      </c>
      <c r="B640" s="1171" t="s">
        <v>4272</v>
      </c>
      <c r="C640" s="1171" t="s">
        <v>4271</v>
      </c>
      <c r="D640" s="525"/>
      <c r="E640" s="525"/>
      <c r="F640" s="525"/>
      <c r="G640" s="66" t="s">
        <v>3893</v>
      </c>
      <c r="H640" s="36" t="s">
        <v>721</v>
      </c>
      <c r="I640" s="557" t="s">
        <v>17</v>
      </c>
      <c r="J640" s="577" t="s">
        <v>60</v>
      </c>
      <c r="K640" s="567" t="s">
        <v>736</v>
      </c>
      <c r="L640" s="559" t="s">
        <v>641</v>
      </c>
      <c r="M640" s="551">
        <v>43068</v>
      </c>
      <c r="N640" s="551">
        <v>43090</v>
      </c>
      <c r="O640" s="544"/>
      <c r="P640" s="553"/>
      <c r="Q640" s="7"/>
      <c r="R640" s="17" t="s">
        <v>3018</v>
      </c>
      <c r="S640" s="704" t="s">
        <v>1176</v>
      </c>
      <c r="T640" s="317" t="s">
        <v>3883</v>
      </c>
    </row>
    <row r="641" spans="1:20" ht="20.100000000000001" customHeight="1">
      <c r="A641" s="1171" t="s">
        <v>2957</v>
      </c>
      <c r="B641" s="1171" t="s">
        <v>4272</v>
      </c>
      <c r="C641" s="1171" t="s">
        <v>4271</v>
      </c>
      <c r="D641" s="525">
        <v>375</v>
      </c>
      <c r="E641" s="525"/>
      <c r="F641" s="525">
        <v>750</v>
      </c>
      <c r="G641" s="48" t="s">
        <v>12</v>
      </c>
      <c r="H641" s="36" t="s">
        <v>721</v>
      </c>
      <c r="I641" s="557" t="s">
        <v>17</v>
      </c>
      <c r="J641" s="577" t="s">
        <v>60</v>
      </c>
      <c r="K641" s="567" t="s">
        <v>736</v>
      </c>
      <c r="L641" s="559" t="s">
        <v>641</v>
      </c>
      <c r="M641" s="551">
        <v>43038</v>
      </c>
      <c r="N641" s="547">
        <v>43075</v>
      </c>
      <c r="O641" s="544" t="s">
        <v>955</v>
      </c>
      <c r="P641" s="553"/>
      <c r="Q641" s="52"/>
      <c r="R641" s="546" t="s">
        <v>202</v>
      </c>
      <c r="S641" s="316"/>
      <c r="T641" s="338" t="s">
        <v>1994</v>
      </c>
    </row>
    <row r="642" spans="1:20" ht="20.100000000000001" customHeight="1">
      <c r="A642" s="1172" t="s">
        <v>2957</v>
      </c>
      <c r="B642" s="1172" t="s">
        <v>4272</v>
      </c>
      <c r="C642" s="1172" t="s">
        <v>4271</v>
      </c>
      <c r="D642" s="525">
        <v>235</v>
      </c>
      <c r="E642" s="525">
        <v>460</v>
      </c>
      <c r="F642" s="525">
        <v>460</v>
      </c>
      <c r="G642" s="48" t="s">
        <v>33</v>
      </c>
      <c r="H642" s="36" t="s">
        <v>721</v>
      </c>
      <c r="I642" s="576" t="s">
        <v>17</v>
      </c>
      <c r="J642" s="567" t="s">
        <v>60</v>
      </c>
      <c r="K642" s="566" t="s">
        <v>771</v>
      </c>
      <c r="L642" s="557" t="s">
        <v>636</v>
      </c>
      <c r="M642" s="549">
        <v>43078</v>
      </c>
      <c r="N642" s="549">
        <v>43082</v>
      </c>
      <c r="O642" s="544" t="s">
        <v>955</v>
      </c>
      <c r="P642" s="545"/>
      <c r="Q642" s="683"/>
      <c r="R642" s="556" t="s">
        <v>1655</v>
      </c>
      <c r="S642" s="315" t="s">
        <v>2850</v>
      </c>
      <c r="T642" s="338"/>
    </row>
    <row r="643" spans="1:20" ht="20.100000000000001" customHeight="1">
      <c r="A643" s="1127" t="s">
        <v>2957</v>
      </c>
      <c r="B643" s="1169" t="s">
        <v>567</v>
      </c>
      <c r="C643" s="1169" t="s">
        <v>378</v>
      </c>
      <c r="D643" s="11">
        <v>250</v>
      </c>
      <c r="E643" s="11">
        <v>500</v>
      </c>
      <c r="F643" s="11">
        <v>500</v>
      </c>
      <c r="G643" s="628" t="s">
        <v>22</v>
      </c>
      <c r="H643" s="36" t="s">
        <v>740</v>
      </c>
      <c r="I643" s="558" t="s">
        <v>80</v>
      </c>
      <c r="J643" s="567" t="s">
        <v>60</v>
      </c>
      <c r="K643" s="569" t="s">
        <v>771</v>
      </c>
      <c r="L643" s="559" t="s">
        <v>643</v>
      </c>
      <c r="M643" s="547">
        <v>43009</v>
      </c>
      <c r="N643" s="547">
        <v>43069</v>
      </c>
      <c r="O643" s="544" t="s">
        <v>955</v>
      </c>
      <c r="P643" s="545"/>
      <c r="Q643" s="683"/>
      <c r="R643" s="561" t="s">
        <v>2019</v>
      </c>
      <c r="S643" s="316" t="s">
        <v>1176</v>
      </c>
      <c r="T643" s="317">
        <v>14</v>
      </c>
    </row>
    <row r="644" spans="1:20" ht="20.100000000000001" customHeight="1">
      <c r="A644" s="1127" t="s">
        <v>2957</v>
      </c>
      <c r="B644" s="1169" t="s">
        <v>567</v>
      </c>
      <c r="C644" s="1169" t="s">
        <v>378</v>
      </c>
      <c r="D644" s="525"/>
      <c r="E644" s="525"/>
      <c r="F644" s="525"/>
      <c r="G644" s="56" t="s">
        <v>37</v>
      </c>
      <c r="H644" s="48" t="s">
        <v>1653</v>
      </c>
      <c r="I644" s="558" t="s">
        <v>16</v>
      </c>
      <c r="J644" s="567" t="s">
        <v>60</v>
      </c>
      <c r="K644" s="558">
        <v>14</v>
      </c>
      <c r="L644" s="557" t="s">
        <v>637</v>
      </c>
      <c r="M644" s="543">
        <v>43040</v>
      </c>
      <c r="N644" s="543">
        <v>43084</v>
      </c>
      <c r="O644" s="544" t="s">
        <v>955</v>
      </c>
      <c r="P644" s="553"/>
      <c r="Q644" s="7"/>
      <c r="R644" s="548" t="s">
        <v>1877</v>
      </c>
      <c r="S644" s="319" t="s">
        <v>1176</v>
      </c>
      <c r="T644" s="338"/>
    </row>
    <row r="645" spans="1:20" ht="20.100000000000001" customHeight="1">
      <c r="A645" s="1127" t="s">
        <v>2957</v>
      </c>
      <c r="B645" s="1169" t="s">
        <v>567</v>
      </c>
      <c r="C645" s="1169" t="s">
        <v>378</v>
      </c>
      <c r="D645" s="525">
        <v>330</v>
      </c>
      <c r="E645" s="525">
        <v>570</v>
      </c>
      <c r="F645" s="525">
        <v>570</v>
      </c>
      <c r="G645" s="69" t="s">
        <v>62</v>
      </c>
      <c r="H645" s="56" t="s">
        <v>681</v>
      </c>
      <c r="I645" s="566" t="s">
        <v>1</v>
      </c>
      <c r="J645" s="567" t="s">
        <v>60</v>
      </c>
      <c r="K645" s="559" t="s">
        <v>20</v>
      </c>
      <c r="L645" s="542" t="s">
        <v>649</v>
      </c>
      <c r="M645" s="549">
        <v>43039</v>
      </c>
      <c r="N645" s="549">
        <v>43086</v>
      </c>
      <c r="O645" s="544" t="s">
        <v>955</v>
      </c>
      <c r="P645" s="562"/>
      <c r="Q645" s="683"/>
      <c r="R645" s="546" t="s">
        <v>1845</v>
      </c>
      <c r="S645" s="315" t="s">
        <v>2848</v>
      </c>
      <c r="T645" s="338"/>
    </row>
    <row r="646" spans="1:20" ht="20.100000000000001" customHeight="1">
      <c r="A646" s="1127" t="s">
        <v>2957</v>
      </c>
      <c r="B646" s="1169" t="s">
        <v>567</v>
      </c>
      <c r="C646" s="1169" t="s">
        <v>378</v>
      </c>
      <c r="D646" s="525">
        <v>270</v>
      </c>
      <c r="E646" s="525">
        <v>540</v>
      </c>
      <c r="F646" s="525">
        <v>540</v>
      </c>
      <c r="G646" s="56" t="s">
        <v>29</v>
      </c>
      <c r="H646" s="48" t="s">
        <v>1444</v>
      </c>
      <c r="I646" s="557" t="s">
        <v>80</v>
      </c>
      <c r="J646" s="567" t="s">
        <v>60</v>
      </c>
      <c r="K646" s="542" t="s">
        <v>746</v>
      </c>
      <c r="L646" s="559" t="s">
        <v>637</v>
      </c>
      <c r="M646" s="547">
        <v>43038</v>
      </c>
      <c r="N646" s="547">
        <v>43072</v>
      </c>
      <c r="O646" s="544" t="s">
        <v>955</v>
      </c>
      <c r="P646" s="544"/>
      <c r="Q646" s="7"/>
      <c r="R646" s="546" t="s">
        <v>2101</v>
      </c>
      <c r="S646" s="319" t="s">
        <v>1176</v>
      </c>
      <c r="T646" s="338" t="s">
        <v>1988</v>
      </c>
    </row>
    <row r="647" spans="1:20" ht="20.100000000000001" customHeight="1">
      <c r="A647" s="1127" t="s">
        <v>2957</v>
      </c>
      <c r="B647" s="1169" t="s">
        <v>567</v>
      </c>
      <c r="C647" s="1169" t="s">
        <v>514</v>
      </c>
      <c r="D647" s="526">
        <v>290</v>
      </c>
      <c r="E647" s="526">
        <v>580</v>
      </c>
      <c r="F647" s="526">
        <v>580</v>
      </c>
      <c r="G647" s="659" t="s">
        <v>232</v>
      </c>
      <c r="H647" s="48" t="s">
        <v>742</v>
      </c>
      <c r="I647" s="567" t="s">
        <v>17</v>
      </c>
      <c r="J647" s="577"/>
      <c r="K647" s="576" t="s">
        <v>732</v>
      </c>
      <c r="L647" s="557" t="s">
        <v>639</v>
      </c>
      <c r="M647" s="551">
        <v>43067</v>
      </c>
      <c r="N647" s="551">
        <v>43086</v>
      </c>
      <c r="O647" s="544" t="s">
        <v>955</v>
      </c>
      <c r="P647" s="553"/>
      <c r="Q647" s="52"/>
      <c r="R647" s="546" t="s">
        <v>1353</v>
      </c>
      <c r="S647" s="316"/>
      <c r="T647" s="317" t="s">
        <v>1678</v>
      </c>
    </row>
    <row r="648" spans="1:20" ht="20.100000000000001" customHeight="1">
      <c r="A648" s="1127" t="s">
        <v>2957</v>
      </c>
      <c r="B648" s="1169" t="s">
        <v>567</v>
      </c>
      <c r="C648" s="1169" t="s">
        <v>514</v>
      </c>
      <c r="D648" s="32">
        <v>265</v>
      </c>
      <c r="E648" s="32">
        <v>530</v>
      </c>
      <c r="F648" s="32">
        <v>530</v>
      </c>
      <c r="G648" s="224" t="s">
        <v>434</v>
      </c>
      <c r="H648" s="48" t="s">
        <v>742</v>
      </c>
      <c r="I648" s="567" t="s">
        <v>17</v>
      </c>
      <c r="J648" s="577"/>
      <c r="K648" s="576" t="s">
        <v>732</v>
      </c>
      <c r="L648" s="557" t="s">
        <v>639</v>
      </c>
      <c r="M648" s="549">
        <v>43080</v>
      </c>
      <c r="N648" s="549">
        <v>43093</v>
      </c>
      <c r="O648" s="544" t="s">
        <v>955</v>
      </c>
      <c r="P648" s="553"/>
      <c r="Q648" s="52"/>
      <c r="R648" s="546" t="s">
        <v>1353</v>
      </c>
      <c r="S648" s="321" t="s">
        <v>1176</v>
      </c>
      <c r="T648" s="317" t="s">
        <v>2824</v>
      </c>
    </row>
    <row r="649" spans="1:20" ht="20.100000000000001" customHeight="1">
      <c r="A649" s="1127" t="s">
        <v>2957</v>
      </c>
      <c r="B649" s="1169" t="s">
        <v>567</v>
      </c>
      <c r="C649" s="1169" t="s">
        <v>514</v>
      </c>
      <c r="D649" s="525">
        <v>300</v>
      </c>
      <c r="E649" s="525">
        <v>600</v>
      </c>
      <c r="F649" s="525">
        <v>600</v>
      </c>
      <c r="G649" s="659" t="s">
        <v>87</v>
      </c>
      <c r="H649" s="48" t="s">
        <v>742</v>
      </c>
      <c r="I649" s="567" t="s">
        <v>17</v>
      </c>
      <c r="J649" s="577"/>
      <c r="K649" s="576" t="s">
        <v>732</v>
      </c>
      <c r="L649" s="557" t="s">
        <v>639</v>
      </c>
      <c r="M649" s="551">
        <v>43070</v>
      </c>
      <c r="N649" s="551">
        <v>43086</v>
      </c>
      <c r="O649" s="544" t="s">
        <v>955</v>
      </c>
      <c r="P649" s="553"/>
      <c r="Q649" s="52"/>
      <c r="R649" s="546" t="s">
        <v>1353</v>
      </c>
      <c r="S649" s="315" t="s">
        <v>2849</v>
      </c>
      <c r="T649" s="338" t="s">
        <v>1991</v>
      </c>
    </row>
    <row r="650" spans="1:20" ht="20.100000000000001" customHeight="1">
      <c r="A650" s="1127" t="s">
        <v>2957</v>
      </c>
      <c r="B650" s="1169" t="s">
        <v>567</v>
      </c>
      <c r="C650" s="1169" t="s">
        <v>514</v>
      </c>
      <c r="D650" s="2">
        <v>290</v>
      </c>
      <c r="E650" s="2">
        <v>580</v>
      </c>
      <c r="F650" s="2">
        <v>580</v>
      </c>
      <c r="G650" s="659" t="s">
        <v>432</v>
      </c>
      <c r="H650" s="48" t="s">
        <v>742</v>
      </c>
      <c r="I650" s="567" t="s">
        <v>17</v>
      </c>
      <c r="J650" s="577"/>
      <c r="K650" s="576" t="s">
        <v>732</v>
      </c>
      <c r="L650" s="557" t="s">
        <v>639</v>
      </c>
      <c r="M650" s="547">
        <v>43081</v>
      </c>
      <c r="N650" s="549">
        <v>43086</v>
      </c>
      <c r="O650" s="544" t="s">
        <v>955</v>
      </c>
      <c r="P650" s="553"/>
      <c r="Q650" s="52"/>
      <c r="R650" s="546" t="s">
        <v>1353</v>
      </c>
      <c r="S650" s="704" t="s">
        <v>1176</v>
      </c>
      <c r="T650" s="338"/>
    </row>
    <row r="651" spans="1:20" ht="20.100000000000001" customHeight="1">
      <c r="A651" s="1127" t="s">
        <v>2957</v>
      </c>
      <c r="B651" s="1169" t="s">
        <v>567</v>
      </c>
      <c r="C651" s="1169" t="s">
        <v>514</v>
      </c>
      <c r="D651" s="320">
        <v>355</v>
      </c>
      <c r="E651" s="320">
        <v>710</v>
      </c>
      <c r="F651" s="320">
        <v>710</v>
      </c>
      <c r="G651" s="224" t="s">
        <v>51</v>
      </c>
      <c r="H651" s="36" t="s">
        <v>659</v>
      </c>
      <c r="I651" s="542" t="s">
        <v>17</v>
      </c>
      <c r="J651" s="569"/>
      <c r="K651" s="569" t="s">
        <v>727</v>
      </c>
      <c r="L651" s="570" t="s">
        <v>636</v>
      </c>
      <c r="M651" s="381">
        <v>43084</v>
      </c>
      <c r="N651" s="381">
        <v>43100</v>
      </c>
      <c r="O651" s="544" t="s">
        <v>955</v>
      </c>
      <c r="P651" s="553"/>
      <c r="Q651" s="7"/>
      <c r="R651" s="546" t="s">
        <v>1907</v>
      </c>
      <c r="S651" s="316"/>
      <c r="T651" s="317">
        <v>12</v>
      </c>
    </row>
    <row r="652" spans="1:20" ht="20.100000000000001" customHeight="1">
      <c r="A652" s="1127" t="s">
        <v>2957</v>
      </c>
      <c r="B652" s="1169" t="s">
        <v>567</v>
      </c>
      <c r="C652" s="1169" t="s">
        <v>514</v>
      </c>
      <c r="D652" s="527">
        <v>295</v>
      </c>
      <c r="E652" s="527">
        <v>590</v>
      </c>
      <c r="F652" s="527">
        <v>590</v>
      </c>
      <c r="G652" s="224" t="s">
        <v>814</v>
      </c>
      <c r="H652" s="36" t="s">
        <v>681</v>
      </c>
      <c r="I652" s="576" t="s">
        <v>17</v>
      </c>
      <c r="J652" s="569"/>
      <c r="K652" s="566" t="s">
        <v>736</v>
      </c>
      <c r="L652" s="542" t="s">
        <v>649</v>
      </c>
      <c r="M652" s="547">
        <v>43077</v>
      </c>
      <c r="N652" s="547">
        <v>43086</v>
      </c>
      <c r="O652" s="544" t="s">
        <v>955</v>
      </c>
      <c r="P652" s="545"/>
      <c r="Q652" s="683"/>
      <c r="R652" s="556" t="s">
        <v>778</v>
      </c>
      <c r="S652" s="319" t="s">
        <v>1176</v>
      </c>
      <c r="T652" s="317" t="s">
        <v>2872</v>
      </c>
    </row>
    <row r="653" spans="1:20" ht="20.100000000000001" customHeight="1">
      <c r="A653" s="1127" t="s">
        <v>2957</v>
      </c>
      <c r="B653" s="1169" t="s">
        <v>567</v>
      </c>
      <c r="C653" s="1169" t="s">
        <v>514</v>
      </c>
      <c r="D653" s="320">
        <v>355</v>
      </c>
      <c r="E653" s="320">
        <v>710</v>
      </c>
      <c r="F653" s="320">
        <v>710</v>
      </c>
      <c r="G653" s="628" t="s">
        <v>51</v>
      </c>
      <c r="H653" s="36" t="s">
        <v>681</v>
      </c>
      <c r="I653" s="576" t="s">
        <v>17</v>
      </c>
      <c r="J653" s="569"/>
      <c r="K653" s="566" t="s">
        <v>736</v>
      </c>
      <c r="L653" s="542" t="s">
        <v>649</v>
      </c>
      <c r="M653" s="381">
        <v>43084</v>
      </c>
      <c r="N653" s="381">
        <v>43100</v>
      </c>
      <c r="O653" s="544" t="s">
        <v>955</v>
      </c>
      <c r="P653" s="552"/>
      <c r="Q653" s="683"/>
      <c r="R653" s="556" t="s">
        <v>778</v>
      </c>
      <c r="S653" s="704"/>
      <c r="T653" s="317">
        <v>12</v>
      </c>
    </row>
    <row r="654" spans="1:20" ht="20.100000000000001" customHeight="1">
      <c r="A654" s="1127" t="s">
        <v>2957</v>
      </c>
      <c r="B654" s="1169" t="s">
        <v>567</v>
      </c>
      <c r="C654" s="1169" t="s">
        <v>514</v>
      </c>
      <c r="D654" s="525">
        <v>305</v>
      </c>
      <c r="E654" s="525">
        <v>610</v>
      </c>
      <c r="F654" s="525">
        <v>610</v>
      </c>
      <c r="G654" s="628" t="s">
        <v>231</v>
      </c>
      <c r="H654" s="36" t="s">
        <v>681</v>
      </c>
      <c r="I654" s="576" t="s">
        <v>17</v>
      </c>
      <c r="J654" s="569"/>
      <c r="K654" s="566" t="s">
        <v>736</v>
      </c>
      <c r="L654" s="542" t="s">
        <v>649</v>
      </c>
      <c r="M654" s="547">
        <v>43070</v>
      </c>
      <c r="N654" s="547">
        <v>43087</v>
      </c>
      <c r="O654" s="544" t="s">
        <v>955</v>
      </c>
      <c r="P654" s="545"/>
      <c r="Q654" s="683"/>
      <c r="R654" s="556" t="s">
        <v>778</v>
      </c>
      <c r="S654" s="704"/>
      <c r="T654" s="338" t="s">
        <v>1988</v>
      </c>
    </row>
    <row r="655" spans="1:20" ht="20.100000000000001" customHeight="1">
      <c r="A655" s="1127" t="s">
        <v>2957</v>
      </c>
      <c r="B655" s="1169" t="s">
        <v>567</v>
      </c>
      <c r="C655" s="1169" t="s">
        <v>514</v>
      </c>
      <c r="D655" s="525">
        <v>300</v>
      </c>
      <c r="E655" s="525">
        <v>600</v>
      </c>
      <c r="F655" s="525">
        <v>600</v>
      </c>
      <c r="G655" s="56" t="s">
        <v>87</v>
      </c>
      <c r="H655" s="36" t="s">
        <v>681</v>
      </c>
      <c r="I655" s="576" t="s">
        <v>17</v>
      </c>
      <c r="J655" s="569"/>
      <c r="K655" s="566" t="s">
        <v>736</v>
      </c>
      <c r="L655" s="542" t="s">
        <v>649</v>
      </c>
      <c r="M655" s="551">
        <v>43070</v>
      </c>
      <c r="N655" s="551">
        <v>43086</v>
      </c>
      <c r="O655" s="544" t="s">
        <v>955</v>
      </c>
      <c r="P655" s="545"/>
      <c r="Q655" s="683"/>
      <c r="R655" s="556" t="s">
        <v>778</v>
      </c>
      <c r="S655" s="315" t="s">
        <v>2849</v>
      </c>
      <c r="T655" s="338" t="s">
        <v>1991</v>
      </c>
    </row>
    <row r="656" spans="1:20" ht="20.100000000000001" customHeight="1">
      <c r="A656" s="1127" t="s">
        <v>2957</v>
      </c>
      <c r="B656" s="1169" t="s">
        <v>567</v>
      </c>
      <c r="C656" s="1169" t="s">
        <v>514</v>
      </c>
      <c r="D656" s="32">
        <v>265</v>
      </c>
      <c r="E656" s="32">
        <v>530</v>
      </c>
      <c r="F656" s="32">
        <v>530</v>
      </c>
      <c r="G656" s="224" t="s">
        <v>434</v>
      </c>
      <c r="H656" s="36" t="s">
        <v>681</v>
      </c>
      <c r="I656" s="576" t="s">
        <v>17</v>
      </c>
      <c r="J656" s="569"/>
      <c r="K656" s="566" t="s">
        <v>736</v>
      </c>
      <c r="L656" s="542" t="s">
        <v>649</v>
      </c>
      <c r="M656" s="549">
        <v>43080</v>
      </c>
      <c r="N656" s="549">
        <v>43093</v>
      </c>
      <c r="O656" s="544" t="s">
        <v>955</v>
      </c>
      <c r="P656" s="545"/>
      <c r="Q656" s="683"/>
      <c r="R656" s="556" t="s">
        <v>778</v>
      </c>
      <c r="S656" s="321" t="s">
        <v>1176</v>
      </c>
      <c r="T656" s="317" t="s">
        <v>2824</v>
      </c>
    </row>
    <row r="657" spans="1:20" ht="20.100000000000001" customHeight="1">
      <c r="A657" s="1127" t="s">
        <v>2957</v>
      </c>
      <c r="B657" s="1169" t="s">
        <v>567</v>
      </c>
      <c r="C657" s="1169" t="s">
        <v>514</v>
      </c>
      <c r="D657" s="526">
        <v>290</v>
      </c>
      <c r="E657" s="526">
        <v>580</v>
      </c>
      <c r="F657" s="526">
        <v>580</v>
      </c>
      <c r="G657" s="659" t="s">
        <v>232</v>
      </c>
      <c r="H657" s="36" t="s">
        <v>681</v>
      </c>
      <c r="I657" s="576" t="s">
        <v>17</v>
      </c>
      <c r="J657" s="569"/>
      <c r="K657" s="566" t="s">
        <v>736</v>
      </c>
      <c r="L657" s="542" t="s">
        <v>649</v>
      </c>
      <c r="M657" s="551">
        <v>43067</v>
      </c>
      <c r="N657" s="551">
        <v>43086</v>
      </c>
      <c r="O657" s="544" t="s">
        <v>955</v>
      </c>
      <c r="P657" s="545"/>
      <c r="Q657" s="683"/>
      <c r="R657" s="556" t="s">
        <v>1460</v>
      </c>
      <c r="S657" s="321"/>
      <c r="T657" s="317" t="s">
        <v>1678</v>
      </c>
    </row>
    <row r="658" spans="1:20" ht="20.100000000000001" customHeight="1">
      <c r="A658" s="1127" t="s">
        <v>2957</v>
      </c>
      <c r="B658" s="1169" t="s">
        <v>567</v>
      </c>
      <c r="C658" s="1169" t="s">
        <v>514</v>
      </c>
      <c r="D658" s="887">
        <v>270</v>
      </c>
      <c r="E658" s="887">
        <v>540</v>
      </c>
      <c r="F658" s="887">
        <v>540</v>
      </c>
      <c r="G658" s="36" t="s">
        <v>278</v>
      </c>
      <c r="H658" s="36" t="s">
        <v>681</v>
      </c>
      <c r="I658" s="576" t="s">
        <v>17</v>
      </c>
      <c r="J658" s="569"/>
      <c r="K658" s="566" t="s">
        <v>736</v>
      </c>
      <c r="L658" s="542" t="s">
        <v>649</v>
      </c>
      <c r="M658" s="391">
        <v>43087</v>
      </c>
      <c r="N658" s="391">
        <v>43093</v>
      </c>
      <c r="O658" s="544" t="s">
        <v>955</v>
      </c>
      <c r="P658" s="545"/>
      <c r="Q658" s="683"/>
      <c r="R658" s="556" t="s">
        <v>778</v>
      </c>
      <c r="S658" s="321"/>
      <c r="T658" s="338" t="s">
        <v>1678</v>
      </c>
    </row>
    <row r="659" spans="1:20" ht="20.100000000000001" customHeight="1">
      <c r="A659" s="1127" t="s">
        <v>2957</v>
      </c>
      <c r="B659" s="1169" t="s">
        <v>567</v>
      </c>
      <c r="C659" s="1169" t="s">
        <v>514</v>
      </c>
      <c r="D659" s="2">
        <v>290</v>
      </c>
      <c r="E659" s="2">
        <v>580</v>
      </c>
      <c r="F659" s="2">
        <v>580</v>
      </c>
      <c r="G659" s="56" t="s">
        <v>432</v>
      </c>
      <c r="H659" s="36" t="s">
        <v>681</v>
      </c>
      <c r="I659" s="576" t="s">
        <v>17</v>
      </c>
      <c r="J659" s="569"/>
      <c r="K659" s="566" t="s">
        <v>736</v>
      </c>
      <c r="L659" s="542" t="s">
        <v>649</v>
      </c>
      <c r="M659" s="549">
        <v>43084</v>
      </c>
      <c r="N659" s="549">
        <v>43086</v>
      </c>
      <c r="O659" s="544" t="s">
        <v>955</v>
      </c>
      <c r="P659" s="545"/>
      <c r="Q659" s="683"/>
      <c r="R659" s="556" t="s">
        <v>778</v>
      </c>
      <c r="S659" s="704" t="s">
        <v>1176</v>
      </c>
      <c r="T659" s="338"/>
    </row>
    <row r="660" spans="1:20" ht="20.100000000000001" customHeight="1">
      <c r="A660" s="1127" t="s">
        <v>2957</v>
      </c>
      <c r="B660" s="1169" t="s">
        <v>567</v>
      </c>
      <c r="C660" s="1169" t="s">
        <v>514</v>
      </c>
      <c r="D660" s="11">
        <v>290</v>
      </c>
      <c r="E660" s="11">
        <v>580</v>
      </c>
      <c r="F660" s="11">
        <v>580</v>
      </c>
      <c r="G660" s="56" t="s">
        <v>28</v>
      </c>
      <c r="H660" s="36" t="s">
        <v>681</v>
      </c>
      <c r="I660" s="576" t="s">
        <v>17</v>
      </c>
      <c r="J660" s="569"/>
      <c r="K660" s="566" t="s">
        <v>736</v>
      </c>
      <c r="L660" s="542" t="s">
        <v>649</v>
      </c>
      <c r="M660" s="549">
        <v>43076</v>
      </c>
      <c r="N660" s="549">
        <v>43089</v>
      </c>
      <c r="O660" s="544" t="s">
        <v>955</v>
      </c>
      <c r="P660" s="545"/>
      <c r="Q660" s="7"/>
      <c r="R660" s="556" t="s">
        <v>1703</v>
      </c>
      <c r="S660" s="316" t="s">
        <v>1176</v>
      </c>
      <c r="T660" s="338"/>
    </row>
    <row r="661" spans="1:20" ht="20.100000000000001" customHeight="1">
      <c r="A661" s="1127" t="s">
        <v>2957</v>
      </c>
      <c r="B661" s="1169" t="s">
        <v>567</v>
      </c>
      <c r="C661" s="1169" t="s">
        <v>514</v>
      </c>
      <c r="D661" s="525">
        <v>300</v>
      </c>
      <c r="E661" s="525">
        <v>600</v>
      </c>
      <c r="F661" s="525">
        <v>600</v>
      </c>
      <c r="G661" s="659" t="s">
        <v>87</v>
      </c>
      <c r="H661" s="48">
        <v>6</v>
      </c>
      <c r="I661" s="576" t="s">
        <v>17</v>
      </c>
      <c r="J661" s="576"/>
      <c r="K661" s="577">
        <v>9</v>
      </c>
      <c r="L661" s="559" t="s">
        <v>639</v>
      </c>
      <c r="M661" s="551">
        <v>43070</v>
      </c>
      <c r="N661" s="551">
        <v>43086</v>
      </c>
      <c r="O661" s="544" t="s">
        <v>955</v>
      </c>
      <c r="P661" s="553"/>
      <c r="Q661" s="683"/>
      <c r="R661" s="555" t="s">
        <v>248</v>
      </c>
      <c r="S661" s="315" t="s">
        <v>2849</v>
      </c>
      <c r="T661" s="338" t="s">
        <v>1991</v>
      </c>
    </row>
    <row r="662" spans="1:20" ht="20.100000000000001" customHeight="1">
      <c r="A662" s="1127" t="s">
        <v>2957</v>
      </c>
      <c r="B662" s="1169" t="s">
        <v>567</v>
      </c>
      <c r="C662" s="1169" t="s">
        <v>514</v>
      </c>
      <c r="D662" s="32">
        <v>295</v>
      </c>
      <c r="E662" s="32">
        <v>590</v>
      </c>
      <c r="F662" s="32">
        <v>590</v>
      </c>
      <c r="G662" s="224" t="s">
        <v>434</v>
      </c>
      <c r="H662" s="48">
        <v>6</v>
      </c>
      <c r="I662" s="557" t="s">
        <v>17</v>
      </c>
      <c r="J662" s="557"/>
      <c r="K662" s="577">
        <v>9</v>
      </c>
      <c r="L662" s="559" t="s">
        <v>639</v>
      </c>
      <c r="M662" s="549">
        <v>43071</v>
      </c>
      <c r="N662" s="549">
        <v>43093</v>
      </c>
      <c r="O662" s="544" t="s">
        <v>955</v>
      </c>
      <c r="P662" s="553"/>
      <c r="Q662" s="683"/>
      <c r="R662" s="555" t="s">
        <v>1559</v>
      </c>
      <c r="S662" s="321" t="s">
        <v>1176</v>
      </c>
      <c r="T662" s="317" t="s">
        <v>2824</v>
      </c>
    </row>
    <row r="663" spans="1:20" ht="20.100000000000001" customHeight="1">
      <c r="A663" s="1127" t="s">
        <v>2957</v>
      </c>
      <c r="B663" s="1169" t="s">
        <v>567</v>
      </c>
      <c r="C663" s="1169" t="s">
        <v>514</v>
      </c>
      <c r="D663" s="527"/>
      <c r="E663" s="527"/>
      <c r="F663" s="527">
        <v>750</v>
      </c>
      <c r="G663" s="56" t="s">
        <v>12</v>
      </c>
      <c r="H663" s="56" t="s">
        <v>729</v>
      </c>
      <c r="I663" s="569" t="s">
        <v>23</v>
      </c>
      <c r="J663" s="569"/>
      <c r="K663" s="566">
        <v>15</v>
      </c>
      <c r="L663" s="566" t="s">
        <v>636</v>
      </c>
      <c r="M663" s="551">
        <v>43038</v>
      </c>
      <c r="N663" s="551">
        <v>43058</v>
      </c>
      <c r="O663" s="544" t="s">
        <v>955</v>
      </c>
      <c r="P663" s="545"/>
      <c r="Q663" s="7"/>
      <c r="R663" s="561" t="s">
        <v>168</v>
      </c>
      <c r="S663" s="325"/>
      <c r="T663" s="338" t="s">
        <v>1994</v>
      </c>
    </row>
    <row r="664" spans="1:20" ht="20.100000000000001" customHeight="1">
      <c r="A664" s="1127" t="s">
        <v>2957</v>
      </c>
      <c r="B664" s="1169" t="s">
        <v>567</v>
      </c>
      <c r="C664" s="1169" t="s">
        <v>514</v>
      </c>
      <c r="D664" s="525">
        <v>275</v>
      </c>
      <c r="E664" s="525">
        <v>550</v>
      </c>
      <c r="F664" s="525">
        <v>550</v>
      </c>
      <c r="G664" s="628" t="s">
        <v>231</v>
      </c>
      <c r="H664" s="56" t="s">
        <v>729</v>
      </c>
      <c r="I664" s="569" t="s">
        <v>23</v>
      </c>
      <c r="J664" s="569"/>
      <c r="K664" s="569" t="s">
        <v>746</v>
      </c>
      <c r="L664" s="557" t="s">
        <v>649</v>
      </c>
      <c r="M664" s="547">
        <v>43073</v>
      </c>
      <c r="N664" s="547">
        <v>43087</v>
      </c>
      <c r="O664" s="544" t="s">
        <v>955</v>
      </c>
      <c r="P664" s="553"/>
      <c r="Q664" s="7"/>
      <c r="R664" s="561" t="s">
        <v>1113</v>
      </c>
      <c r="S664" s="325"/>
      <c r="T664" s="338" t="s">
        <v>1988</v>
      </c>
    </row>
    <row r="665" spans="1:20" ht="20.100000000000001" customHeight="1">
      <c r="A665" s="1127" t="s">
        <v>2957</v>
      </c>
      <c r="B665" s="1169" t="s">
        <v>567</v>
      </c>
      <c r="C665" s="1169" t="s">
        <v>514</v>
      </c>
      <c r="D665" s="525">
        <v>300</v>
      </c>
      <c r="E665" s="525"/>
      <c r="F665" s="525"/>
      <c r="G665" s="699" t="s">
        <v>76</v>
      </c>
      <c r="H665" s="55" t="s">
        <v>3015</v>
      </c>
      <c r="I665" s="558" t="s">
        <v>16</v>
      </c>
      <c r="J665" s="564"/>
      <c r="K665" s="564">
        <v>14</v>
      </c>
      <c r="L665" s="557" t="s">
        <v>637</v>
      </c>
      <c r="M665" s="6">
        <v>43045</v>
      </c>
      <c r="N665" s="6">
        <v>43093</v>
      </c>
      <c r="O665" s="544" t="s">
        <v>955</v>
      </c>
      <c r="P665" s="553"/>
      <c r="Q665" s="53"/>
      <c r="R665" s="17" t="s">
        <v>3016</v>
      </c>
      <c r="S665" s="315" t="s">
        <v>2863</v>
      </c>
      <c r="T665" s="338"/>
    </row>
    <row r="666" spans="1:20" ht="20.100000000000001" customHeight="1">
      <c r="A666" s="1127" t="s">
        <v>2957</v>
      </c>
      <c r="B666" s="1169" t="s">
        <v>567</v>
      </c>
      <c r="C666" s="1169" t="s">
        <v>514</v>
      </c>
      <c r="D666" s="11">
        <v>235</v>
      </c>
      <c r="E666" s="11">
        <v>420</v>
      </c>
      <c r="F666" s="11">
        <v>370</v>
      </c>
      <c r="G666" s="56" t="s">
        <v>37</v>
      </c>
      <c r="H666" s="48" t="s">
        <v>4273</v>
      </c>
      <c r="I666" s="558" t="s">
        <v>16</v>
      </c>
      <c r="J666" s="557"/>
      <c r="K666" s="558">
        <v>14</v>
      </c>
      <c r="L666" s="557" t="s">
        <v>637</v>
      </c>
      <c r="M666" s="543">
        <v>43040</v>
      </c>
      <c r="N666" s="543">
        <v>43084</v>
      </c>
      <c r="O666" s="544" t="s">
        <v>955</v>
      </c>
      <c r="P666" s="553"/>
      <c r="Q666" s="7"/>
      <c r="R666" s="49" t="s">
        <v>4274</v>
      </c>
      <c r="S666" s="319" t="s">
        <v>1176</v>
      </c>
      <c r="T666" s="338"/>
    </row>
    <row r="667" spans="1:20" ht="20.100000000000001" customHeight="1">
      <c r="A667" s="1127" t="s">
        <v>2957</v>
      </c>
      <c r="B667" s="1169" t="s">
        <v>567</v>
      </c>
      <c r="C667" s="1169" t="s">
        <v>514</v>
      </c>
      <c r="D667" s="526">
        <v>265</v>
      </c>
      <c r="E667" s="526">
        <v>520</v>
      </c>
      <c r="F667" s="526">
        <v>520</v>
      </c>
      <c r="G667" s="218" t="s">
        <v>10</v>
      </c>
      <c r="H667" s="36" t="s">
        <v>633</v>
      </c>
      <c r="I667" s="558" t="s">
        <v>16</v>
      </c>
      <c r="J667" s="558"/>
      <c r="K667" s="558">
        <v>12</v>
      </c>
      <c r="L667" s="557" t="s">
        <v>637</v>
      </c>
      <c r="M667" s="547">
        <v>43040</v>
      </c>
      <c r="N667" s="547">
        <v>43084</v>
      </c>
      <c r="O667" s="544" t="s">
        <v>955</v>
      </c>
      <c r="P667" s="553"/>
      <c r="Q667" s="677"/>
      <c r="R667" s="548" t="s">
        <v>1015</v>
      </c>
      <c r="S667" s="316" t="s">
        <v>1176</v>
      </c>
      <c r="T667" s="317">
        <v>14</v>
      </c>
    </row>
    <row r="668" spans="1:20" ht="20.100000000000001" customHeight="1">
      <c r="A668" s="1127" t="s">
        <v>2957</v>
      </c>
      <c r="B668" s="1169" t="s">
        <v>567</v>
      </c>
      <c r="C668" s="1169" t="s">
        <v>514</v>
      </c>
      <c r="D668" s="525">
        <v>220</v>
      </c>
      <c r="E668" s="525">
        <v>420</v>
      </c>
      <c r="F668" s="525">
        <v>420</v>
      </c>
      <c r="G668" s="56" t="s">
        <v>33</v>
      </c>
      <c r="H668" s="48" t="s">
        <v>886</v>
      </c>
      <c r="I668" s="569" t="s">
        <v>80</v>
      </c>
      <c r="J668" s="569"/>
      <c r="K668" s="569">
        <v>15</v>
      </c>
      <c r="L668" s="557" t="s">
        <v>637</v>
      </c>
      <c r="M668" s="549">
        <v>43078</v>
      </c>
      <c r="N668" s="549">
        <v>43082</v>
      </c>
      <c r="O668" s="544" t="s">
        <v>955</v>
      </c>
      <c r="P668" s="553"/>
      <c r="Q668" s="53"/>
      <c r="R668" s="561" t="s">
        <v>1074</v>
      </c>
      <c r="S668" s="315" t="s">
        <v>2850</v>
      </c>
      <c r="T668" s="338"/>
    </row>
    <row r="669" spans="1:20" ht="20.100000000000001" customHeight="1">
      <c r="A669" s="1127" t="s">
        <v>2957</v>
      </c>
      <c r="B669" s="1169" t="s">
        <v>567</v>
      </c>
      <c r="C669" s="1169" t="s">
        <v>514</v>
      </c>
      <c r="D669" s="526">
        <v>305</v>
      </c>
      <c r="E669" s="526">
        <v>485</v>
      </c>
      <c r="F669" s="526">
        <v>485</v>
      </c>
      <c r="G669" s="63" t="s">
        <v>6</v>
      </c>
      <c r="H669" s="18" t="s">
        <v>729</v>
      </c>
      <c r="I669" s="558" t="s">
        <v>16</v>
      </c>
      <c r="J669" s="557"/>
      <c r="K669" s="558" t="s">
        <v>750</v>
      </c>
      <c r="L669" s="564" t="s">
        <v>636</v>
      </c>
      <c r="M669" s="549">
        <v>43070</v>
      </c>
      <c r="N669" s="549">
        <v>43074</v>
      </c>
      <c r="O669" s="544" t="s">
        <v>955</v>
      </c>
      <c r="P669" s="553"/>
      <c r="Q669" s="7"/>
      <c r="R669" s="546" t="s">
        <v>202</v>
      </c>
      <c r="S669" s="316" t="s">
        <v>2858</v>
      </c>
      <c r="T669" s="338" t="s">
        <v>2874</v>
      </c>
    </row>
    <row r="670" spans="1:20" ht="20.100000000000001" customHeight="1">
      <c r="A670" s="1127" t="s">
        <v>2957</v>
      </c>
      <c r="B670" s="1169" t="s">
        <v>567</v>
      </c>
      <c r="C670" s="1169" t="s">
        <v>514</v>
      </c>
      <c r="D670" s="526">
        <v>563</v>
      </c>
      <c r="E670" s="526">
        <v>813</v>
      </c>
      <c r="F670" s="526">
        <v>813</v>
      </c>
      <c r="G670" s="63" t="s">
        <v>19</v>
      </c>
      <c r="H670" s="56" t="s">
        <v>742</v>
      </c>
      <c r="I670" s="558" t="s">
        <v>16</v>
      </c>
      <c r="J670" s="557"/>
      <c r="K670" s="558" t="s">
        <v>151</v>
      </c>
      <c r="L670" s="559" t="s">
        <v>639</v>
      </c>
      <c r="M670" s="559"/>
      <c r="N670" s="549">
        <v>42825</v>
      </c>
      <c r="O670" s="544" t="s">
        <v>955</v>
      </c>
      <c r="P670" s="553"/>
      <c r="Q670" s="52"/>
      <c r="R670" s="546" t="s">
        <v>187</v>
      </c>
      <c r="S670" s="316"/>
      <c r="T670" s="338"/>
    </row>
    <row r="671" spans="1:20" ht="20.100000000000001" customHeight="1">
      <c r="A671" s="1127" t="s">
        <v>2957</v>
      </c>
      <c r="B671" s="1169" t="s">
        <v>567</v>
      </c>
      <c r="C671" s="1169" t="s">
        <v>514</v>
      </c>
      <c r="D671" s="526">
        <v>345</v>
      </c>
      <c r="E671" s="526">
        <v>450</v>
      </c>
      <c r="F671" s="526">
        <v>450</v>
      </c>
      <c r="G671" s="63" t="s">
        <v>568</v>
      </c>
      <c r="H671" s="56" t="s">
        <v>742</v>
      </c>
      <c r="I671" s="558" t="s">
        <v>16</v>
      </c>
      <c r="J671" s="569"/>
      <c r="K671" s="558"/>
      <c r="L671" s="559" t="s">
        <v>639</v>
      </c>
      <c r="M671" s="551">
        <v>43070</v>
      </c>
      <c r="N671" s="551">
        <v>43083</v>
      </c>
      <c r="O671" s="544" t="s">
        <v>955</v>
      </c>
      <c r="P671" s="572"/>
      <c r="Q671" s="52"/>
      <c r="R671" s="546" t="s">
        <v>171</v>
      </c>
      <c r="S671" s="316"/>
      <c r="T671" s="338"/>
    </row>
    <row r="672" spans="1:20" ht="20.100000000000001" customHeight="1">
      <c r="A672" s="1127" t="s">
        <v>2957</v>
      </c>
      <c r="B672" s="1169" t="s">
        <v>567</v>
      </c>
      <c r="C672" s="1169" t="s">
        <v>514</v>
      </c>
      <c r="D672" s="32">
        <v>415</v>
      </c>
      <c r="E672" s="32">
        <v>780</v>
      </c>
      <c r="F672" s="32">
        <v>780</v>
      </c>
      <c r="G672" s="63" t="s">
        <v>30</v>
      </c>
      <c r="H672" s="56" t="s">
        <v>742</v>
      </c>
      <c r="I672" s="558" t="s">
        <v>16</v>
      </c>
      <c r="J672" s="558"/>
      <c r="K672" s="558">
        <v>11</v>
      </c>
      <c r="L672" s="559" t="s">
        <v>637</v>
      </c>
      <c r="M672" s="568">
        <v>43040</v>
      </c>
      <c r="N672" s="568">
        <v>43100</v>
      </c>
      <c r="O672" s="544" t="s">
        <v>955</v>
      </c>
      <c r="P672" s="544"/>
      <c r="Q672" s="677"/>
      <c r="R672" s="546" t="s">
        <v>1977</v>
      </c>
      <c r="S672" s="319"/>
      <c r="T672" s="317">
        <v>14</v>
      </c>
    </row>
    <row r="673" spans="1:20" ht="20.100000000000001" customHeight="1">
      <c r="A673" s="1127" t="s">
        <v>2957</v>
      </c>
      <c r="B673" s="1169" t="s">
        <v>567</v>
      </c>
      <c r="C673" s="1169" t="s">
        <v>514</v>
      </c>
      <c r="D673" s="525">
        <v>450</v>
      </c>
      <c r="E673" s="525">
        <v>900</v>
      </c>
      <c r="F673" s="525">
        <v>900</v>
      </c>
      <c r="G673" s="218" t="s">
        <v>14</v>
      </c>
      <c r="H673" s="56" t="s">
        <v>742</v>
      </c>
      <c r="I673" s="557" t="s">
        <v>16</v>
      </c>
      <c r="J673" s="558"/>
      <c r="K673" s="558">
        <v>10</v>
      </c>
      <c r="L673" s="559" t="s">
        <v>639</v>
      </c>
      <c r="M673" s="547">
        <v>43086</v>
      </c>
      <c r="N673" s="547">
        <v>43092</v>
      </c>
      <c r="O673" s="544" t="s">
        <v>955</v>
      </c>
      <c r="P673" s="545"/>
      <c r="Q673" s="7"/>
      <c r="R673" s="17" t="s">
        <v>449</v>
      </c>
      <c r="S673" s="319"/>
      <c r="T673" s="338"/>
    </row>
    <row r="674" spans="1:20" ht="20.100000000000001" customHeight="1">
      <c r="A674" s="1127" t="s">
        <v>2957</v>
      </c>
      <c r="B674" s="1169" t="s">
        <v>567</v>
      </c>
      <c r="C674" s="1169" t="s">
        <v>514</v>
      </c>
      <c r="D674" s="526">
        <v>350</v>
      </c>
      <c r="E674" s="526">
        <v>700</v>
      </c>
      <c r="F674" s="526">
        <v>700</v>
      </c>
      <c r="G674" s="48" t="s">
        <v>13</v>
      </c>
      <c r="H674" s="48" t="s">
        <v>760</v>
      </c>
      <c r="I674" s="558" t="s">
        <v>16</v>
      </c>
      <c r="J674" s="558"/>
      <c r="K674" s="558">
        <v>22</v>
      </c>
      <c r="L674" s="557" t="s">
        <v>637</v>
      </c>
      <c r="M674" s="6">
        <v>43070</v>
      </c>
      <c r="N674" s="6">
        <v>43100</v>
      </c>
      <c r="O674" s="544" t="s">
        <v>955</v>
      </c>
      <c r="P674" s="553"/>
      <c r="Q674" s="677"/>
      <c r="R674" s="546" t="s">
        <v>1958</v>
      </c>
      <c r="S674" s="319" t="s">
        <v>1176</v>
      </c>
      <c r="T674" s="338" t="s">
        <v>2875</v>
      </c>
    </row>
    <row r="675" spans="1:20" ht="20.100000000000001" customHeight="1">
      <c r="A675" s="1127" t="s">
        <v>2957</v>
      </c>
      <c r="B675" s="1169" t="s">
        <v>567</v>
      </c>
      <c r="C675" s="1169" t="s">
        <v>514</v>
      </c>
      <c r="D675" s="525">
        <v>240</v>
      </c>
      <c r="E675" s="525">
        <v>480</v>
      </c>
      <c r="F675" s="525">
        <v>480</v>
      </c>
      <c r="G675" s="70" t="s">
        <v>29</v>
      </c>
      <c r="H675" s="56" t="s">
        <v>2102</v>
      </c>
      <c r="I675" s="559" t="s">
        <v>80</v>
      </c>
      <c r="J675" s="576"/>
      <c r="K675" s="558">
        <v>16</v>
      </c>
      <c r="L675" s="557" t="s">
        <v>637</v>
      </c>
      <c r="M675" s="547">
        <v>43052</v>
      </c>
      <c r="N675" s="547">
        <v>43072</v>
      </c>
      <c r="O675" s="544" t="s">
        <v>955</v>
      </c>
      <c r="P675" s="544"/>
      <c r="Q675" s="677"/>
      <c r="R675" s="546" t="s">
        <v>2103</v>
      </c>
      <c r="S675" s="319" t="s">
        <v>1176</v>
      </c>
      <c r="T675" s="338" t="s">
        <v>1988</v>
      </c>
    </row>
    <row r="676" spans="1:20" ht="20.100000000000001" customHeight="1">
      <c r="A676" s="1127" t="s">
        <v>2957</v>
      </c>
      <c r="B676" s="1169" t="s">
        <v>567</v>
      </c>
      <c r="C676" s="1169" t="s">
        <v>514</v>
      </c>
      <c r="D676" s="525">
        <v>365</v>
      </c>
      <c r="E676" s="525">
        <v>670</v>
      </c>
      <c r="F676" s="525">
        <v>670</v>
      </c>
      <c r="G676" s="69" t="s">
        <v>62</v>
      </c>
      <c r="H676" s="56" t="s">
        <v>681</v>
      </c>
      <c r="I676" s="566" t="s">
        <v>1</v>
      </c>
      <c r="J676" s="559"/>
      <c r="K676" s="559" t="s">
        <v>723</v>
      </c>
      <c r="L676" s="559" t="s">
        <v>649</v>
      </c>
      <c r="M676" s="549">
        <v>43039</v>
      </c>
      <c r="N676" s="549">
        <v>43086</v>
      </c>
      <c r="O676" s="544" t="s">
        <v>955</v>
      </c>
      <c r="P676" s="562"/>
      <c r="Q676" s="683"/>
      <c r="R676" s="546" t="s">
        <v>1845</v>
      </c>
      <c r="S676" s="315" t="s">
        <v>2848</v>
      </c>
      <c r="T676" s="338"/>
    </row>
    <row r="677" spans="1:20" ht="20.100000000000001" customHeight="1">
      <c r="A677" s="1127" t="s">
        <v>2957</v>
      </c>
      <c r="B677" s="1169" t="s">
        <v>567</v>
      </c>
      <c r="C677" s="1169" t="s">
        <v>514</v>
      </c>
      <c r="D677" s="526">
        <v>450</v>
      </c>
      <c r="E677" s="526">
        <v>950</v>
      </c>
      <c r="F677" s="526">
        <v>950</v>
      </c>
      <c r="G677" s="628" t="s">
        <v>22</v>
      </c>
      <c r="H677" s="56" t="s">
        <v>706</v>
      </c>
      <c r="I677" s="566" t="s">
        <v>16</v>
      </c>
      <c r="J677" s="567"/>
      <c r="K677" s="569">
        <v>14</v>
      </c>
      <c r="L677" s="559" t="s">
        <v>643</v>
      </c>
      <c r="M677" s="547">
        <v>43009</v>
      </c>
      <c r="N677" s="547">
        <v>43069</v>
      </c>
      <c r="O677" s="544" t="s">
        <v>955</v>
      </c>
      <c r="P677" s="553"/>
      <c r="Q677" s="60"/>
      <c r="R677" s="546" t="s">
        <v>1783</v>
      </c>
      <c r="S677" s="316" t="s">
        <v>1176</v>
      </c>
      <c r="T677" s="317">
        <v>14</v>
      </c>
    </row>
    <row r="678" spans="1:20" ht="20.100000000000001" customHeight="1">
      <c r="A678" s="1127" t="s">
        <v>2957</v>
      </c>
      <c r="B678" s="1169" t="s">
        <v>567</v>
      </c>
      <c r="C678" s="1169" t="s">
        <v>564</v>
      </c>
      <c r="D678" s="526">
        <v>290</v>
      </c>
      <c r="E678" s="526">
        <v>580</v>
      </c>
      <c r="F678" s="526">
        <v>580</v>
      </c>
      <c r="G678" s="63" t="s">
        <v>232</v>
      </c>
      <c r="H678" s="48" t="s">
        <v>742</v>
      </c>
      <c r="I678" s="567" t="s">
        <v>17</v>
      </c>
      <c r="J678" s="576"/>
      <c r="K678" s="558" t="s">
        <v>20</v>
      </c>
      <c r="L678" s="557" t="s">
        <v>639</v>
      </c>
      <c r="M678" s="551">
        <v>43067</v>
      </c>
      <c r="N678" s="551">
        <v>43086</v>
      </c>
      <c r="O678" s="544" t="s">
        <v>955</v>
      </c>
      <c r="P678" s="553"/>
      <c r="Q678" s="52"/>
      <c r="R678" s="546" t="s">
        <v>1353</v>
      </c>
      <c r="S678" s="316"/>
      <c r="T678" s="317" t="s">
        <v>1678</v>
      </c>
    </row>
    <row r="679" spans="1:20" ht="20.100000000000001" customHeight="1">
      <c r="A679" s="1127" t="s">
        <v>2957</v>
      </c>
      <c r="B679" s="1169" t="s">
        <v>567</v>
      </c>
      <c r="C679" s="1169" t="s">
        <v>564</v>
      </c>
      <c r="D679" s="32">
        <v>265</v>
      </c>
      <c r="E679" s="32">
        <v>530</v>
      </c>
      <c r="F679" s="32">
        <v>530</v>
      </c>
      <c r="G679" s="224" t="s">
        <v>434</v>
      </c>
      <c r="H679" s="48" t="s">
        <v>742</v>
      </c>
      <c r="I679" s="567" t="s">
        <v>17</v>
      </c>
      <c r="J679" s="576"/>
      <c r="K679" s="558" t="s">
        <v>20</v>
      </c>
      <c r="L679" s="557" t="s">
        <v>639</v>
      </c>
      <c r="M679" s="549">
        <v>43080</v>
      </c>
      <c r="N679" s="549">
        <v>43093</v>
      </c>
      <c r="O679" s="544" t="s">
        <v>955</v>
      </c>
      <c r="P679" s="553"/>
      <c r="Q679" s="52"/>
      <c r="R679" s="546" t="s">
        <v>1353</v>
      </c>
      <c r="S679" s="321" t="s">
        <v>1176</v>
      </c>
      <c r="T679" s="317" t="s">
        <v>2824</v>
      </c>
    </row>
    <row r="680" spans="1:20" ht="20.100000000000001" customHeight="1">
      <c r="A680" s="1127" t="s">
        <v>2957</v>
      </c>
      <c r="B680" s="1169" t="s">
        <v>567</v>
      </c>
      <c r="C680" s="1169" t="s">
        <v>564</v>
      </c>
      <c r="D680" s="525">
        <v>300</v>
      </c>
      <c r="E680" s="525">
        <v>600</v>
      </c>
      <c r="F680" s="525">
        <v>600</v>
      </c>
      <c r="G680" s="63" t="s">
        <v>87</v>
      </c>
      <c r="H680" s="48" t="s">
        <v>742</v>
      </c>
      <c r="I680" s="567" t="s">
        <v>17</v>
      </c>
      <c r="J680" s="576"/>
      <c r="K680" s="558" t="s">
        <v>20</v>
      </c>
      <c r="L680" s="557" t="s">
        <v>639</v>
      </c>
      <c r="M680" s="551">
        <v>43070</v>
      </c>
      <c r="N680" s="551">
        <v>43086</v>
      </c>
      <c r="O680" s="544" t="s">
        <v>955</v>
      </c>
      <c r="P680" s="553"/>
      <c r="Q680" s="52"/>
      <c r="R680" s="546" t="s">
        <v>1353</v>
      </c>
      <c r="S680" s="315" t="s">
        <v>2849</v>
      </c>
      <c r="T680" s="338" t="s">
        <v>1991</v>
      </c>
    </row>
    <row r="681" spans="1:20" ht="20.100000000000001" customHeight="1">
      <c r="A681" s="1127" t="s">
        <v>2957</v>
      </c>
      <c r="B681" s="1169" t="s">
        <v>567</v>
      </c>
      <c r="C681" s="1169" t="s">
        <v>564</v>
      </c>
      <c r="D681" s="2">
        <v>290</v>
      </c>
      <c r="E681" s="2">
        <v>580</v>
      </c>
      <c r="F681" s="2">
        <v>580</v>
      </c>
      <c r="G681" s="63" t="s">
        <v>432</v>
      </c>
      <c r="H681" s="48" t="s">
        <v>742</v>
      </c>
      <c r="I681" s="567" t="s">
        <v>17</v>
      </c>
      <c r="J681" s="576"/>
      <c r="K681" s="558" t="s">
        <v>20</v>
      </c>
      <c r="L681" s="557" t="s">
        <v>639</v>
      </c>
      <c r="M681" s="547">
        <v>43081</v>
      </c>
      <c r="N681" s="549">
        <v>43086</v>
      </c>
      <c r="O681" s="544" t="s">
        <v>955</v>
      </c>
      <c r="P681" s="553"/>
      <c r="Q681" s="52"/>
      <c r="R681" s="546" t="s">
        <v>1353</v>
      </c>
      <c r="S681" s="704" t="s">
        <v>1176</v>
      </c>
      <c r="T681" s="338"/>
    </row>
    <row r="682" spans="1:20" ht="20.100000000000001" customHeight="1">
      <c r="A682" s="1127" t="s">
        <v>2957</v>
      </c>
      <c r="B682" s="1169" t="s">
        <v>567</v>
      </c>
      <c r="C682" s="1169" t="s">
        <v>564</v>
      </c>
      <c r="D682" s="527">
        <v>295</v>
      </c>
      <c r="E682" s="527">
        <v>590</v>
      </c>
      <c r="F682" s="527">
        <v>590</v>
      </c>
      <c r="G682" s="224" t="s">
        <v>814</v>
      </c>
      <c r="H682" s="36" t="s">
        <v>681</v>
      </c>
      <c r="I682" s="576" t="s">
        <v>17</v>
      </c>
      <c r="J682" s="569"/>
      <c r="K682" s="566">
        <v>12</v>
      </c>
      <c r="L682" s="542" t="s">
        <v>649</v>
      </c>
      <c r="M682" s="547">
        <v>43077</v>
      </c>
      <c r="N682" s="547">
        <v>43086</v>
      </c>
      <c r="O682" s="544" t="s">
        <v>955</v>
      </c>
      <c r="P682" s="545"/>
      <c r="Q682" s="683" t="s">
        <v>5432</v>
      </c>
      <c r="R682" s="556" t="s">
        <v>778</v>
      </c>
      <c r="S682" s="319" t="s">
        <v>1176</v>
      </c>
      <c r="T682" s="317" t="s">
        <v>2872</v>
      </c>
    </row>
    <row r="683" spans="1:20" ht="20.100000000000001" customHeight="1">
      <c r="A683" s="1127" t="s">
        <v>2957</v>
      </c>
      <c r="B683" s="1169" t="s">
        <v>567</v>
      </c>
      <c r="C683" s="1169" t="s">
        <v>564</v>
      </c>
      <c r="D683" s="320">
        <v>355</v>
      </c>
      <c r="E683" s="320">
        <v>710</v>
      </c>
      <c r="F683" s="320">
        <v>710</v>
      </c>
      <c r="G683" s="224" t="s">
        <v>51</v>
      </c>
      <c r="H683" s="36" t="s">
        <v>681</v>
      </c>
      <c r="I683" s="576" t="s">
        <v>17</v>
      </c>
      <c r="J683" s="569"/>
      <c r="K683" s="566">
        <v>12</v>
      </c>
      <c r="L683" s="542" t="s">
        <v>649</v>
      </c>
      <c r="M683" s="381">
        <v>43084</v>
      </c>
      <c r="N683" s="381">
        <v>43100</v>
      </c>
      <c r="O683" s="544" t="s">
        <v>955</v>
      </c>
      <c r="P683" s="552"/>
      <c r="Q683" s="683" t="s">
        <v>5432</v>
      </c>
      <c r="R683" s="556" t="s">
        <v>778</v>
      </c>
      <c r="S683" s="704"/>
      <c r="T683" s="317">
        <v>12</v>
      </c>
    </row>
    <row r="684" spans="1:20" ht="20.100000000000001" customHeight="1">
      <c r="A684" s="1127" t="s">
        <v>2957</v>
      </c>
      <c r="B684" s="1169" t="s">
        <v>567</v>
      </c>
      <c r="C684" s="1169" t="s">
        <v>564</v>
      </c>
      <c r="D684" s="525">
        <v>305</v>
      </c>
      <c r="E684" s="525">
        <v>610</v>
      </c>
      <c r="F684" s="525">
        <v>610</v>
      </c>
      <c r="G684" s="628" t="s">
        <v>231</v>
      </c>
      <c r="H684" s="36" t="s">
        <v>681</v>
      </c>
      <c r="I684" s="576" t="s">
        <v>17</v>
      </c>
      <c r="J684" s="569"/>
      <c r="K684" s="566">
        <v>12</v>
      </c>
      <c r="L684" s="542" t="s">
        <v>649</v>
      </c>
      <c r="M684" s="547">
        <v>43070</v>
      </c>
      <c r="N684" s="547">
        <v>43087</v>
      </c>
      <c r="O684" s="544" t="s">
        <v>955</v>
      </c>
      <c r="P684" s="545"/>
      <c r="Q684" s="683" t="s">
        <v>5432</v>
      </c>
      <c r="R684" s="556" t="s">
        <v>778</v>
      </c>
      <c r="S684" s="704"/>
      <c r="T684" s="338" t="s">
        <v>1988</v>
      </c>
    </row>
    <row r="685" spans="1:20" ht="20.100000000000001" customHeight="1">
      <c r="A685" s="1127" t="s">
        <v>2957</v>
      </c>
      <c r="B685" s="1169" t="s">
        <v>567</v>
      </c>
      <c r="C685" s="1169" t="s">
        <v>564</v>
      </c>
      <c r="D685" s="525">
        <v>300</v>
      </c>
      <c r="E685" s="525">
        <v>600</v>
      </c>
      <c r="F685" s="525">
        <v>600</v>
      </c>
      <c r="G685" s="56" t="s">
        <v>87</v>
      </c>
      <c r="H685" s="36" t="s">
        <v>681</v>
      </c>
      <c r="I685" s="576" t="s">
        <v>17</v>
      </c>
      <c r="J685" s="569"/>
      <c r="K685" s="566">
        <v>12</v>
      </c>
      <c r="L685" s="542" t="s">
        <v>649</v>
      </c>
      <c r="M685" s="551">
        <v>43070</v>
      </c>
      <c r="N685" s="551">
        <v>43086</v>
      </c>
      <c r="O685" s="544" t="s">
        <v>955</v>
      </c>
      <c r="P685" s="545"/>
      <c r="Q685" s="683" t="s">
        <v>5432</v>
      </c>
      <c r="R685" s="556" t="s">
        <v>778</v>
      </c>
      <c r="S685" s="315" t="s">
        <v>2849</v>
      </c>
      <c r="T685" s="338" t="s">
        <v>1991</v>
      </c>
    </row>
    <row r="686" spans="1:20" ht="20.100000000000001" customHeight="1">
      <c r="A686" s="1127" t="s">
        <v>2957</v>
      </c>
      <c r="B686" s="1169" t="s">
        <v>567</v>
      </c>
      <c r="C686" s="1169" t="s">
        <v>564</v>
      </c>
      <c r="D686" s="32">
        <v>265</v>
      </c>
      <c r="E686" s="32">
        <v>530</v>
      </c>
      <c r="F686" s="32">
        <v>530</v>
      </c>
      <c r="G686" s="224" t="s">
        <v>434</v>
      </c>
      <c r="H686" s="36" t="s">
        <v>681</v>
      </c>
      <c r="I686" s="576" t="s">
        <v>17</v>
      </c>
      <c r="J686" s="569"/>
      <c r="K686" s="566">
        <v>12</v>
      </c>
      <c r="L686" s="542" t="s">
        <v>649</v>
      </c>
      <c r="M686" s="549">
        <v>43080</v>
      </c>
      <c r="N686" s="549">
        <v>43093</v>
      </c>
      <c r="O686" s="544" t="s">
        <v>955</v>
      </c>
      <c r="P686" s="545"/>
      <c r="Q686" s="683" t="s">
        <v>5432</v>
      </c>
      <c r="R686" s="556" t="s">
        <v>778</v>
      </c>
      <c r="S686" s="321" t="s">
        <v>1176</v>
      </c>
      <c r="T686" s="317" t="s">
        <v>2824</v>
      </c>
    </row>
    <row r="687" spans="1:20" ht="20.100000000000001" customHeight="1">
      <c r="A687" s="1127" t="s">
        <v>2957</v>
      </c>
      <c r="B687" s="1169" t="s">
        <v>567</v>
      </c>
      <c r="C687" s="1169" t="s">
        <v>564</v>
      </c>
      <c r="D687" s="526">
        <v>290</v>
      </c>
      <c r="E687" s="526">
        <v>580</v>
      </c>
      <c r="F687" s="526">
        <v>580</v>
      </c>
      <c r="G687" s="659" t="s">
        <v>232</v>
      </c>
      <c r="H687" s="36" t="s">
        <v>681</v>
      </c>
      <c r="I687" s="576" t="s">
        <v>17</v>
      </c>
      <c r="J687" s="569"/>
      <c r="K687" s="566">
        <v>12</v>
      </c>
      <c r="L687" s="542" t="s">
        <v>649</v>
      </c>
      <c r="M687" s="551">
        <v>43067</v>
      </c>
      <c r="N687" s="551">
        <v>43086</v>
      </c>
      <c r="O687" s="544" t="s">
        <v>955</v>
      </c>
      <c r="P687" s="545"/>
      <c r="Q687" s="683" t="s">
        <v>5432</v>
      </c>
      <c r="R687" s="556" t="s">
        <v>1460</v>
      </c>
      <c r="S687" s="321"/>
      <c r="T687" s="317" t="s">
        <v>1678</v>
      </c>
    </row>
    <row r="688" spans="1:20" ht="20.100000000000001" customHeight="1">
      <c r="A688" s="1127" t="s">
        <v>2957</v>
      </c>
      <c r="B688" s="1169" t="s">
        <v>567</v>
      </c>
      <c r="C688" s="1169" t="s">
        <v>564</v>
      </c>
      <c r="D688" s="887">
        <v>270</v>
      </c>
      <c r="E688" s="887">
        <v>540</v>
      </c>
      <c r="F688" s="887">
        <v>540</v>
      </c>
      <c r="G688" s="36" t="s">
        <v>278</v>
      </c>
      <c r="H688" s="36" t="s">
        <v>681</v>
      </c>
      <c r="I688" s="576" t="s">
        <v>17</v>
      </c>
      <c r="J688" s="569"/>
      <c r="K688" s="566">
        <v>12</v>
      </c>
      <c r="L688" s="542" t="s">
        <v>649</v>
      </c>
      <c r="M688" s="391">
        <v>43087</v>
      </c>
      <c r="N688" s="391">
        <v>43093</v>
      </c>
      <c r="O688" s="544" t="s">
        <v>955</v>
      </c>
      <c r="P688" s="545"/>
      <c r="Q688" s="683" t="s">
        <v>5432</v>
      </c>
      <c r="R688" s="556" t="s">
        <v>778</v>
      </c>
      <c r="S688" s="321"/>
      <c r="T688" s="338" t="s">
        <v>1678</v>
      </c>
    </row>
    <row r="689" spans="1:20" ht="20.100000000000001" customHeight="1">
      <c r="A689" s="1127" t="s">
        <v>2957</v>
      </c>
      <c r="B689" s="1169" t="s">
        <v>567</v>
      </c>
      <c r="C689" s="1169" t="s">
        <v>564</v>
      </c>
      <c r="D689" s="2">
        <v>290</v>
      </c>
      <c r="E689" s="2">
        <v>580</v>
      </c>
      <c r="F689" s="2">
        <v>580</v>
      </c>
      <c r="G689" s="56" t="s">
        <v>432</v>
      </c>
      <c r="H689" s="36" t="s">
        <v>681</v>
      </c>
      <c r="I689" s="576" t="s">
        <v>17</v>
      </c>
      <c r="J689" s="569"/>
      <c r="K689" s="566">
        <v>12</v>
      </c>
      <c r="L689" s="542" t="s">
        <v>649</v>
      </c>
      <c r="M689" s="549">
        <v>43084</v>
      </c>
      <c r="N689" s="549">
        <v>43086</v>
      </c>
      <c r="O689" s="544" t="s">
        <v>955</v>
      </c>
      <c r="P689" s="545"/>
      <c r="Q689" s="683" t="s">
        <v>5432</v>
      </c>
      <c r="R689" s="556" t="s">
        <v>778</v>
      </c>
      <c r="S689" s="704" t="s">
        <v>1176</v>
      </c>
      <c r="T689" s="338"/>
    </row>
    <row r="690" spans="1:20" ht="20.100000000000001" customHeight="1">
      <c r="A690" s="1127" t="s">
        <v>2957</v>
      </c>
      <c r="B690" s="1169" t="s">
        <v>567</v>
      </c>
      <c r="C690" s="1169" t="s">
        <v>564</v>
      </c>
      <c r="D690" s="11">
        <v>290</v>
      </c>
      <c r="E690" s="11">
        <v>580</v>
      </c>
      <c r="F690" s="11">
        <v>580</v>
      </c>
      <c r="G690" s="56" t="s">
        <v>28</v>
      </c>
      <c r="H690" s="36" t="s">
        <v>681</v>
      </c>
      <c r="I690" s="576" t="s">
        <v>17</v>
      </c>
      <c r="J690" s="569"/>
      <c r="K690" s="566">
        <v>12</v>
      </c>
      <c r="L690" s="542" t="s">
        <v>649</v>
      </c>
      <c r="M690" s="549">
        <v>43076</v>
      </c>
      <c r="N690" s="549">
        <v>43089</v>
      </c>
      <c r="O690" s="544" t="s">
        <v>955</v>
      </c>
      <c r="P690" s="545"/>
      <c r="Q690" s="683" t="s">
        <v>5432</v>
      </c>
      <c r="R690" s="556" t="s">
        <v>1703</v>
      </c>
      <c r="S690" s="316" t="s">
        <v>1176</v>
      </c>
      <c r="T690" s="338"/>
    </row>
    <row r="691" spans="1:20" ht="20.100000000000001" customHeight="1">
      <c r="A691" s="1127" t="s">
        <v>2957</v>
      </c>
      <c r="B691" s="1169" t="s">
        <v>567</v>
      </c>
      <c r="C691" s="1169" t="s">
        <v>564</v>
      </c>
      <c r="D691" s="320">
        <v>355</v>
      </c>
      <c r="E691" s="320">
        <v>710</v>
      </c>
      <c r="F691" s="320">
        <v>710</v>
      </c>
      <c r="G691" s="224" t="s">
        <v>51</v>
      </c>
      <c r="H691" s="56" t="s">
        <v>681</v>
      </c>
      <c r="I691" s="566" t="s">
        <v>17</v>
      </c>
      <c r="J691" s="576"/>
      <c r="K691" s="558" t="s">
        <v>660</v>
      </c>
      <c r="L691" s="557" t="s">
        <v>636</v>
      </c>
      <c r="M691" s="381">
        <v>43084</v>
      </c>
      <c r="N691" s="381">
        <v>43100</v>
      </c>
      <c r="O691" s="544" t="s">
        <v>955</v>
      </c>
      <c r="P691" s="553"/>
      <c r="Q691" s="7"/>
      <c r="R691" s="546" t="s">
        <v>1207</v>
      </c>
      <c r="S691" s="704"/>
      <c r="T691" s="317">
        <v>12</v>
      </c>
    </row>
    <row r="692" spans="1:20" ht="20.100000000000001" customHeight="1">
      <c r="A692" s="1127" t="s">
        <v>2957</v>
      </c>
      <c r="B692" s="1169" t="s">
        <v>567</v>
      </c>
      <c r="C692" s="1169" t="s">
        <v>564</v>
      </c>
      <c r="D692" s="525">
        <v>300</v>
      </c>
      <c r="E692" s="525">
        <v>600</v>
      </c>
      <c r="F692" s="525">
        <v>600</v>
      </c>
      <c r="G692" s="56" t="s">
        <v>33</v>
      </c>
      <c r="H692" s="36" t="s">
        <v>721</v>
      </c>
      <c r="I692" s="576" t="s">
        <v>17</v>
      </c>
      <c r="J692" s="569"/>
      <c r="K692" s="566" t="s">
        <v>736</v>
      </c>
      <c r="L692" s="557" t="s">
        <v>636</v>
      </c>
      <c r="M692" s="549">
        <v>43078</v>
      </c>
      <c r="N692" s="549">
        <v>43082</v>
      </c>
      <c r="O692" s="544" t="s">
        <v>955</v>
      </c>
      <c r="P692" s="545"/>
      <c r="Q692" s="683"/>
      <c r="R692" s="556" t="s">
        <v>1655</v>
      </c>
      <c r="S692" s="315" t="s">
        <v>2850</v>
      </c>
      <c r="T692" s="338"/>
    </row>
    <row r="693" spans="1:20" ht="20.100000000000001" customHeight="1">
      <c r="A693" s="1127" t="s">
        <v>2957</v>
      </c>
      <c r="B693" s="1169" t="s">
        <v>567</v>
      </c>
      <c r="C693" s="1169" t="s">
        <v>564</v>
      </c>
      <c r="D693" s="525">
        <v>275</v>
      </c>
      <c r="E693" s="525">
        <v>550</v>
      </c>
      <c r="F693" s="525">
        <v>550</v>
      </c>
      <c r="G693" s="628" t="s">
        <v>231</v>
      </c>
      <c r="H693" s="56" t="s">
        <v>729</v>
      </c>
      <c r="I693" s="569" t="s">
        <v>23</v>
      </c>
      <c r="J693" s="569"/>
      <c r="K693" s="569" t="s">
        <v>723</v>
      </c>
      <c r="L693" s="557" t="s">
        <v>649</v>
      </c>
      <c r="M693" s="547">
        <v>43073</v>
      </c>
      <c r="N693" s="547">
        <v>43087</v>
      </c>
      <c r="O693" s="544" t="s">
        <v>955</v>
      </c>
      <c r="P693" s="553"/>
      <c r="Q693" s="7"/>
      <c r="R693" s="561" t="s">
        <v>1113</v>
      </c>
      <c r="S693" s="325"/>
      <c r="T693" s="338" t="s">
        <v>1988</v>
      </c>
    </row>
    <row r="694" spans="1:20" ht="20.100000000000001" customHeight="1">
      <c r="A694" s="1127" t="s">
        <v>2957</v>
      </c>
      <c r="B694" s="1169" t="s">
        <v>567</v>
      </c>
      <c r="C694" s="1169" t="s">
        <v>564</v>
      </c>
      <c r="D694" s="526">
        <v>325</v>
      </c>
      <c r="E694" s="526">
        <v>600</v>
      </c>
      <c r="F694" s="526">
        <v>600</v>
      </c>
      <c r="G694" s="56" t="s">
        <v>12</v>
      </c>
      <c r="H694" s="56" t="s">
        <v>706</v>
      </c>
      <c r="I694" s="569" t="s">
        <v>122</v>
      </c>
      <c r="J694" s="569"/>
      <c r="K694" s="566">
        <v>15</v>
      </c>
      <c r="L694" s="542" t="s">
        <v>649</v>
      </c>
      <c r="M694" s="551">
        <v>43079</v>
      </c>
      <c r="N694" s="551">
        <v>43086</v>
      </c>
      <c r="O694" s="544" t="s">
        <v>955</v>
      </c>
      <c r="P694" s="545"/>
      <c r="Q694" s="60"/>
      <c r="R694" s="546" t="s">
        <v>169</v>
      </c>
      <c r="S694" s="325"/>
      <c r="T694" s="338" t="s">
        <v>1994</v>
      </c>
    </row>
    <row r="695" spans="1:20" ht="20.100000000000001" customHeight="1">
      <c r="A695" s="1127" t="s">
        <v>2957</v>
      </c>
      <c r="B695" s="1169" t="s">
        <v>567</v>
      </c>
      <c r="C695" s="1169" t="s">
        <v>564</v>
      </c>
      <c r="D695" s="62">
        <v>360</v>
      </c>
      <c r="E695" s="62">
        <v>720</v>
      </c>
      <c r="F695" s="62">
        <v>720</v>
      </c>
      <c r="G695" s="218" t="s">
        <v>10</v>
      </c>
      <c r="H695" s="36" t="s">
        <v>633</v>
      </c>
      <c r="I695" s="558" t="s">
        <v>16</v>
      </c>
      <c r="J695" s="558"/>
      <c r="K695" s="558">
        <v>13</v>
      </c>
      <c r="L695" s="557" t="s">
        <v>637</v>
      </c>
      <c r="M695" s="547">
        <v>43040</v>
      </c>
      <c r="N695" s="547">
        <v>43084</v>
      </c>
      <c r="O695" s="544" t="s">
        <v>955</v>
      </c>
      <c r="P695" s="553"/>
      <c r="Q695" s="677"/>
      <c r="R695" s="548" t="s">
        <v>1015</v>
      </c>
      <c r="S695" s="316" t="s">
        <v>1176</v>
      </c>
      <c r="T695" s="317">
        <v>14</v>
      </c>
    </row>
    <row r="696" spans="1:20" ht="20.100000000000001" customHeight="1">
      <c r="A696" s="1127" t="s">
        <v>2957</v>
      </c>
      <c r="B696" s="1169" t="s">
        <v>567</v>
      </c>
      <c r="C696" s="1169" t="s">
        <v>564</v>
      </c>
      <c r="D696" s="525">
        <v>300</v>
      </c>
      <c r="E696" s="525">
        <v>600</v>
      </c>
      <c r="F696" s="525">
        <v>600</v>
      </c>
      <c r="G696" s="63" t="s">
        <v>33</v>
      </c>
      <c r="H696" s="48" t="s">
        <v>886</v>
      </c>
      <c r="I696" s="569" t="s">
        <v>80</v>
      </c>
      <c r="J696" s="569"/>
      <c r="K696" s="569">
        <v>15</v>
      </c>
      <c r="L696" s="557" t="s">
        <v>637</v>
      </c>
      <c r="M696" s="549">
        <v>43078</v>
      </c>
      <c r="N696" s="549">
        <v>43082</v>
      </c>
      <c r="O696" s="544" t="s">
        <v>955</v>
      </c>
      <c r="P696" s="553"/>
      <c r="Q696" s="53"/>
      <c r="R696" s="561" t="s">
        <v>1074</v>
      </c>
      <c r="S696" s="315" t="s">
        <v>2850</v>
      </c>
      <c r="T696" s="338"/>
    </row>
    <row r="697" spans="1:20" ht="20.100000000000001" customHeight="1">
      <c r="A697" s="1127" t="s">
        <v>2957</v>
      </c>
      <c r="B697" s="1169" t="s">
        <v>567</v>
      </c>
      <c r="C697" s="1169" t="s">
        <v>564</v>
      </c>
      <c r="D697" s="525">
        <v>450</v>
      </c>
      <c r="E697" s="525">
        <v>800</v>
      </c>
      <c r="F697" s="525">
        <v>800</v>
      </c>
      <c r="G697" s="63" t="s">
        <v>37</v>
      </c>
      <c r="H697" s="48" t="s">
        <v>1653</v>
      </c>
      <c r="I697" s="558" t="s">
        <v>16</v>
      </c>
      <c r="J697" s="557"/>
      <c r="K697" s="558">
        <v>14</v>
      </c>
      <c r="L697" s="557" t="s">
        <v>637</v>
      </c>
      <c r="M697" s="543">
        <v>43040</v>
      </c>
      <c r="N697" s="543">
        <v>43084</v>
      </c>
      <c r="O697" s="544" t="s">
        <v>955</v>
      </c>
      <c r="P697" s="553"/>
      <c r="Q697" s="7"/>
      <c r="R697" s="548" t="s">
        <v>1877</v>
      </c>
      <c r="S697" s="319" t="s">
        <v>1176</v>
      </c>
      <c r="T697" s="338"/>
    </row>
    <row r="698" spans="1:20" ht="20.100000000000001" customHeight="1">
      <c r="A698" s="1127" t="s">
        <v>2957</v>
      </c>
      <c r="B698" s="1169" t="s">
        <v>567</v>
      </c>
      <c r="C698" s="1169" t="s">
        <v>564</v>
      </c>
      <c r="D698" s="525">
        <v>240</v>
      </c>
      <c r="E698" s="525">
        <v>480</v>
      </c>
      <c r="F698" s="525">
        <v>480</v>
      </c>
      <c r="G698" s="70" t="s">
        <v>29</v>
      </c>
      <c r="H698" s="56" t="s">
        <v>2102</v>
      </c>
      <c r="I698" s="559" t="s">
        <v>80</v>
      </c>
      <c r="J698" s="576"/>
      <c r="K698" s="558">
        <v>15</v>
      </c>
      <c r="L698" s="557" t="s">
        <v>637</v>
      </c>
      <c r="M698" s="547">
        <v>43052</v>
      </c>
      <c r="N698" s="547">
        <v>43072</v>
      </c>
      <c r="O698" s="544" t="s">
        <v>955</v>
      </c>
      <c r="P698" s="544"/>
      <c r="Q698" s="677"/>
      <c r="R698" s="546" t="s">
        <v>2103</v>
      </c>
      <c r="S698" s="319" t="s">
        <v>1176</v>
      </c>
      <c r="T698" s="338" t="s">
        <v>1988</v>
      </c>
    </row>
    <row r="699" spans="1:20" ht="20.100000000000001" customHeight="1">
      <c r="A699" s="1127" t="s">
        <v>2957</v>
      </c>
      <c r="B699" s="1169" t="s">
        <v>567</v>
      </c>
      <c r="C699" s="1169" t="s">
        <v>564</v>
      </c>
      <c r="D699" s="525">
        <v>325</v>
      </c>
      <c r="E699" s="525"/>
      <c r="F699" s="525"/>
      <c r="G699" s="699" t="s">
        <v>76</v>
      </c>
      <c r="H699" s="55" t="s">
        <v>3015</v>
      </c>
      <c r="I699" s="558" t="s">
        <v>16</v>
      </c>
      <c r="J699" s="564"/>
      <c r="K699" s="564">
        <v>13</v>
      </c>
      <c r="L699" s="557" t="s">
        <v>637</v>
      </c>
      <c r="M699" s="6">
        <v>43052</v>
      </c>
      <c r="N699" s="6">
        <v>43093</v>
      </c>
      <c r="O699" s="544" t="s">
        <v>955</v>
      </c>
      <c r="P699" s="565"/>
      <c r="Q699" s="7"/>
      <c r="R699" s="17" t="s">
        <v>3016</v>
      </c>
      <c r="S699" s="315" t="s">
        <v>2863</v>
      </c>
      <c r="T699" s="338"/>
    </row>
    <row r="700" spans="1:20" ht="20.100000000000001" customHeight="1">
      <c r="A700" s="1127" t="s">
        <v>2957</v>
      </c>
      <c r="B700" s="1169" t="s">
        <v>567</v>
      </c>
      <c r="C700" s="1169" t="s">
        <v>564</v>
      </c>
      <c r="D700" s="526">
        <v>413</v>
      </c>
      <c r="E700" s="526">
        <v>813</v>
      </c>
      <c r="F700" s="526">
        <v>813</v>
      </c>
      <c r="G700" s="63" t="s">
        <v>19</v>
      </c>
      <c r="H700" s="56" t="s">
        <v>742</v>
      </c>
      <c r="I700" s="558" t="s">
        <v>16</v>
      </c>
      <c r="J700" s="557"/>
      <c r="K700" s="558" t="s">
        <v>732</v>
      </c>
      <c r="L700" s="559" t="s">
        <v>639</v>
      </c>
      <c r="M700" s="559"/>
      <c r="N700" s="549">
        <v>42825</v>
      </c>
      <c r="O700" s="544" t="s">
        <v>955</v>
      </c>
      <c r="P700" s="553"/>
      <c r="Q700" s="52"/>
      <c r="R700" s="546" t="s">
        <v>187</v>
      </c>
      <c r="S700" s="316"/>
      <c r="T700" s="338"/>
    </row>
    <row r="701" spans="1:20" ht="20.100000000000001" customHeight="1">
      <c r="A701" s="1127" t="s">
        <v>2957</v>
      </c>
      <c r="B701" s="1169" t="s">
        <v>567</v>
      </c>
      <c r="C701" s="1169" t="s">
        <v>564</v>
      </c>
      <c r="D701" s="526">
        <v>345</v>
      </c>
      <c r="E701" s="526">
        <v>590</v>
      </c>
      <c r="F701" s="526">
        <v>590</v>
      </c>
      <c r="G701" s="63" t="s">
        <v>568</v>
      </c>
      <c r="H701" s="56" t="s">
        <v>706</v>
      </c>
      <c r="I701" s="558" t="s">
        <v>16</v>
      </c>
      <c r="J701" s="569"/>
      <c r="K701" s="558"/>
      <c r="L701" s="38" t="s">
        <v>655</v>
      </c>
      <c r="M701" s="551">
        <v>43070</v>
      </c>
      <c r="N701" s="551">
        <v>43083</v>
      </c>
      <c r="O701" s="544" t="s">
        <v>955</v>
      </c>
      <c r="P701" s="572"/>
      <c r="Q701" s="52"/>
      <c r="R701" s="555" t="s">
        <v>1783</v>
      </c>
      <c r="S701" s="316"/>
      <c r="T701" s="338"/>
    </row>
    <row r="702" spans="1:20" ht="20.100000000000001" customHeight="1">
      <c r="A702" s="1127" t="s">
        <v>2957</v>
      </c>
      <c r="B702" s="1169" t="s">
        <v>567</v>
      </c>
      <c r="C702" s="1169" t="s">
        <v>564</v>
      </c>
      <c r="D702" s="32">
        <v>465</v>
      </c>
      <c r="E702" s="32">
        <v>830</v>
      </c>
      <c r="F702" s="32">
        <v>830</v>
      </c>
      <c r="G702" s="63" t="s">
        <v>30</v>
      </c>
      <c r="H702" s="56" t="s">
        <v>742</v>
      </c>
      <c r="I702" s="558" t="s">
        <v>16</v>
      </c>
      <c r="J702" s="558"/>
      <c r="K702" s="558">
        <v>13</v>
      </c>
      <c r="L702" s="559" t="s">
        <v>637</v>
      </c>
      <c r="M702" s="568">
        <v>43040</v>
      </c>
      <c r="N702" s="568">
        <v>43100</v>
      </c>
      <c r="O702" s="544" t="s">
        <v>955</v>
      </c>
      <c r="P702" s="544"/>
      <c r="Q702" s="677"/>
      <c r="R702" s="546" t="s">
        <v>1977</v>
      </c>
      <c r="S702" s="319"/>
      <c r="T702" s="317">
        <v>14</v>
      </c>
    </row>
    <row r="703" spans="1:20" ht="20.100000000000001" customHeight="1">
      <c r="A703" s="1127" t="s">
        <v>2957</v>
      </c>
      <c r="B703" s="1169" t="s">
        <v>567</v>
      </c>
      <c r="C703" s="1169" t="s">
        <v>564</v>
      </c>
      <c r="D703" s="526">
        <v>405</v>
      </c>
      <c r="E703" s="526">
        <v>660</v>
      </c>
      <c r="F703" s="526">
        <v>660</v>
      </c>
      <c r="G703" s="66" t="s">
        <v>6</v>
      </c>
      <c r="H703" s="22" t="s">
        <v>2037</v>
      </c>
      <c r="I703" s="558" t="s">
        <v>16</v>
      </c>
      <c r="J703" s="564"/>
      <c r="K703" s="564">
        <v>11</v>
      </c>
      <c r="L703" s="559" t="s">
        <v>637</v>
      </c>
      <c r="M703" s="549">
        <v>43070</v>
      </c>
      <c r="N703" s="549">
        <v>43074</v>
      </c>
      <c r="O703" s="544" t="s">
        <v>955</v>
      </c>
      <c r="P703" s="572"/>
      <c r="Q703" s="683"/>
      <c r="R703" s="546" t="s">
        <v>1951</v>
      </c>
      <c r="S703" s="316" t="s">
        <v>2858</v>
      </c>
      <c r="T703" s="338" t="s">
        <v>2874</v>
      </c>
    </row>
    <row r="704" spans="1:20" ht="20.100000000000001" customHeight="1">
      <c r="A704" s="1127" t="s">
        <v>2957</v>
      </c>
      <c r="B704" s="1169" t="s">
        <v>567</v>
      </c>
      <c r="C704" s="1169" t="s">
        <v>564</v>
      </c>
      <c r="D704" s="525">
        <v>400</v>
      </c>
      <c r="E704" s="525">
        <v>800</v>
      </c>
      <c r="F704" s="525">
        <v>800</v>
      </c>
      <c r="G704" s="218" t="s">
        <v>14</v>
      </c>
      <c r="H704" s="56" t="s">
        <v>742</v>
      </c>
      <c r="I704" s="557" t="s">
        <v>16</v>
      </c>
      <c r="J704" s="558"/>
      <c r="K704" s="558">
        <v>11</v>
      </c>
      <c r="L704" s="559" t="s">
        <v>639</v>
      </c>
      <c r="M704" s="547">
        <v>43086</v>
      </c>
      <c r="N704" s="547">
        <v>43092</v>
      </c>
      <c r="O704" s="544" t="s">
        <v>955</v>
      </c>
      <c r="P704" s="545"/>
      <c r="Q704" s="7"/>
      <c r="R704" s="17" t="s">
        <v>449</v>
      </c>
      <c r="S704" s="319"/>
      <c r="T704" s="338"/>
    </row>
    <row r="705" spans="1:20" ht="20.100000000000001" customHeight="1">
      <c r="A705" s="1127" t="s">
        <v>2957</v>
      </c>
      <c r="B705" s="1169" t="s">
        <v>567</v>
      </c>
      <c r="C705" s="1169" t="s">
        <v>564</v>
      </c>
      <c r="D705" s="526">
        <v>350</v>
      </c>
      <c r="E705" s="526">
        <v>700</v>
      </c>
      <c r="F705" s="526">
        <v>700</v>
      </c>
      <c r="G705" s="48" t="s">
        <v>13</v>
      </c>
      <c r="H705" s="48" t="s">
        <v>760</v>
      </c>
      <c r="I705" s="558" t="s">
        <v>16</v>
      </c>
      <c r="J705" s="558"/>
      <c r="K705" s="558">
        <v>20</v>
      </c>
      <c r="L705" s="557" t="s">
        <v>637</v>
      </c>
      <c r="M705" s="6">
        <v>43047</v>
      </c>
      <c r="N705" s="6">
        <v>43100</v>
      </c>
      <c r="O705" s="544" t="s">
        <v>955</v>
      </c>
      <c r="P705" s="553"/>
      <c r="Q705" s="677"/>
      <c r="R705" s="546" t="s">
        <v>1958</v>
      </c>
      <c r="S705" s="319" t="s">
        <v>1176</v>
      </c>
      <c r="T705" s="338" t="s">
        <v>2875</v>
      </c>
    </row>
    <row r="706" spans="1:20" ht="20.100000000000001" customHeight="1">
      <c r="A706" s="1127" t="s">
        <v>2957</v>
      </c>
      <c r="B706" s="1169" t="s">
        <v>567</v>
      </c>
      <c r="C706" s="1169" t="s">
        <v>564</v>
      </c>
      <c r="D706" s="11">
        <v>290</v>
      </c>
      <c r="E706" s="11">
        <v>580</v>
      </c>
      <c r="F706" s="11">
        <v>580</v>
      </c>
      <c r="G706" s="63" t="s">
        <v>28</v>
      </c>
      <c r="H706" s="55" t="s">
        <v>681</v>
      </c>
      <c r="I706" s="559" t="s">
        <v>23</v>
      </c>
      <c r="J706" s="557"/>
      <c r="K706" s="557" t="s">
        <v>151</v>
      </c>
      <c r="L706" s="557" t="s">
        <v>641</v>
      </c>
      <c r="M706" s="549">
        <v>43076</v>
      </c>
      <c r="N706" s="549">
        <v>43089</v>
      </c>
      <c r="O706" s="544" t="s">
        <v>955</v>
      </c>
      <c r="P706" s="553"/>
      <c r="Q706" s="683"/>
      <c r="R706" s="546" t="s">
        <v>186</v>
      </c>
      <c r="S706" s="316" t="s">
        <v>1176</v>
      </c>
      <c r="T706" s="338"/>
    </row>
    <row r="707" spans="1:20" ht="20.100000000000001" customHeight="1">
      <c r="A707" s="1127" t="s">
        <v>2957</v>
      </c>
      <c r="B707" s="1169" t="s">
        <v>567</v>
      </c>
      <c r="C707" s="1169" t="s">
        <v>564</v>
      </c>
      <c r="D707" s="525">
        <v>560</v>
      </c>
      <c r="E707" s="525">
        <v>810</v>
      </c>
      <c r="F707" s="525">
        <v>810</v>
      </c>
      <c r="G707" s="63" t="s">
        <v>62</v>
      </c>
      <c r="H707" s="56" t="s">
        <v>681</v>
      </c>
      <c r="I707" s="566" t="s">
        <v>1</v>
      </c>
      <c r="J707" s="567"/>
      <c r="K707" s="559" t="s">
        <v>747</v>
      </c>
      <c r="L707" s="559" t="s">
        <v>649</v>
      </c>
      <c r="M707" s="549">
        <v>43039</v>
      </c>
      <c r="N707" s="549">
        <v>43086</v>
      </c>
      <c r="O707" s="544" t="s">
        <v>955</v>
      </c>
      <c r="P707" s="562"/>
      <c r="Q707" s="683"/>
      <c r="R707" s="546" t="s">
        <v>1845</v>
      </c>
      <c r="S707" s="315" t="s">
        <v>2848</v>
      </c>
      <c r="T707" s="338"/>
    </row>
    <row r="708" spans="1:20" ht="20.100000000000001" customHeight="1">
      <c r="A708" s="1127" t="s">
        <v>2957</v>
      </c>
      <c r="B708" s="1169" t="s">
        <v>567</v>
      </c>
      <c r="C708" s="1169" t="s">
        <v>564</v>
      </c>
      <c r="D708" s="526">
        <v>550</v>
      </c>
      <c r="E708" s="526">
        <v>1100</v>
      </c>
      <c r="F708" s="526">
        <v>1100</v>
      </c>
      <c r="G708" s="628" t="s">
        <v>22</v>
      </c>
      <c r="H708" s="56" t="s">
        <v>706</v>
      </c>
      <c r="I708" s="558" t="s">
        <v>16</v>
      </c>
      <c r="J708" s="567"/>
      <c r="K708" s="569">
        <v>14</v>
      </c>
      <c r="L708" s="559" t="s">
        <v>643</v>
      </c>
      <c r="M708" s="547">
        <v>43009</v>
      </c>
      <c r="N708" s="547">
        <v>43069</v>
      </c>
      <c r="O708" s="544" t="s">
        <v>955</v>
      </c>
      <c r="P708" s="553"/>
      <c r="Q708" s="60"/>
      <c r="R708" s="546" t="s">
        <v>1783</v>
      </c>
      <c r="S708" s="316" t="s">
        <v>1176</v>
      </c>
      <c r="T708" s="317">
        <v>14</v>
      </c>
    </row>
    <row r="709" spans="1:20" ht="20.100000000000001" customHeight="1">
      <c r="A709" s="732" t="s">
        <v>2957</v>
      </c>
      <c r="B709" s="573" t="s">
        <v>567</v>
      </c>
      <c r="C709" s="573" t="s">
        <v>1223</v>
      </c>
      <c r="D709" s="525">
        <f>D628+400+100</f>
        <v>825</v>
      </c>
      <c r="E709" s="525">
        <f>E628+400+200</f>
        <v>1250</v>
      </c>
      <c r="F709" s="525">
        <f>F628+400+200</f>
        <v>1250</v>
      </c>
      <c r="G709" s="609" t="s">
        <v>51</v>
      </c>
      <c r="H709" s="48" t="s">
        <v>681</v>
      </c>
      <c r="I709" s="557" t="s">
        <v>23</v>
      </c>
      <c r="J709" s="567"/>
      <c r="K709" s="567" t="s">
        <v>746</v>
      </c>
      <c r="L709" s="542" t="s">
        <v>637</v>
      </c>
      <c r="M709" s="381">
        <v>43040</v>
      </c>
      <c r="N709" s="381">
        <v>43088</v>
      </c>
      <c r="O709" s="544" t="s">
        <v>955</v>
      </c>
      <c r="P709" s="553"/>
      <c r="Q709" s="683"/>
      <c r="R709" s="561" t="s">
        <v>778</v>
      </c>
      <c r="S709" s="325"/>
      <c r="T709" s="317">
        <v>12</v>
      </c>
    </row>
    <row r="710" spans="1:20" ht="20.100000000000001" customHeight="1">
      <c r="A710" s="1127" t="s">
        <v>2957</v>
      </c>
      <c r="B710" s="1169" t="s">
        <v>567</v>
      </c>
      <c r="C710" s="1169" t="s">
        <v>379</v>
      </c>
      <c r="D710" s="32">
        <v>370</v>
      </c>
      <c r="E710" s="32">
        <v>690</v>
      </c>
      <c r="F710" s="32">
        <v>690</v>
      </c>
      <c r="G710" s="659" t="s">
        <v>33</v>
      </c>
      <c r="H710" s="47">
        <v>1</v>
      </c>
      <c r="I710" s="558" t="s">
        <v>17</v>
      </c>
      <c r="J710" s="559"/>
      <c r="K710" s="557">
        <v>11</v>
      </c>
      <c r="L710" s="557" t="s">
        <v>636</v>
      </c>
      <c r="M710" s="549">
        <v>43040</v>
      </c>
      <c r="N710" s="549">
        <v>43079</v>
      </c>
      <c r="O710" s="544" t="s">
        <v>955</v>
      </c>
      <c r="P710" s="553"/>
      <c r="Q710" s="52"/>
      <c r="R710" s="546" t="s">
        <v>244</v>
      </c>
      <c r="S710" s="315" t="s">
        <v>2850</v>
      </c>
      <c r="T710" s="338"/>
    </row>
    <row r="711" spans="1:20" ht="20.100000000000001" customHeight="1">
      <c r="A711" s="1127" t="s">
        <v>2957</v>
      </c>
      <c r="B711" s="1169" t="s">
        <v>567</v>
      </c>
      <c r="C711" s="1169" t="s">
        <v>379</v>
      </c>
      <c r="D711" s="32">
        <v>370</v>
      </c>
      <c r="E711" s="32">
        <v>690</v>
      </c>
      <c r="F711" s="32">
        <v>690</v>
      </c>
      <c r="G711" s="659" t="s">
        <v>33</v>
      </c>
      <c r="H711" s="194" t="s">
        <v>729</v>
      </c>
      <c r="I711" s="558" t="s">
        <v>17</v>
      </c>
      <c r="J711" s="559"/>
      <c r="K711" s="557" t="s">
        <v>732</v>
      </c>
      <c r="L711" s="557" t="s">
        <v>639</v>
      </c>
      <c r="M711" s="549">
        <v>43040</v>
      </c>
      <c r="N711" s="549">
        <v>43079</v>
      </c>
      <c r="O711" s="544" t="s">
        <v>955</v>
      </c>
      <c r="P711" s="553"/>
      <c r="Q711" s="683"/>
      <c r="R711" s="546" t="s">
        <v>166</v>
      </c>
      <c r="S711" s="315" t="s">
        <v>2850</v>
      </c>
      <c r="T711" s="317"/>
    </row>
    <row r="712" spans="1:20" ht="20.100000000000001" customHeight="1">
      <c r="A712" s="1127" t="s">
        <v>2957</v>
      </c>
      <c r="B712" s="1169" t="s">
        <v>567</v>
      </c>
      <c r="C712" s="1169" t="s">
        <v>379</v>
      </c>
      <c r="D712" s="32">
        <v>340</v>
      </c>
      <c r="E712" s="32">
        <v>630</v>
      </c>
      <c r="F712" s="32">
        <v>630</v>
      </c>
      <c r="G712" s="659" t="s">
        <v>37</v>
      </c>
      <c r="H712" s="47">
        <v>1</v>
      </c>
      <c r="I712" s="558" t="s">
        <v>17</v>
      </c>
      <c r="J712" s="559"/>
      <c r="K712" s="557" t="s">
        <v>732</v>
      </c>
      <c r="L712" s="557" t="s">
        <v>639</v>
      </c>
      <c r="M712" s="543">
        <v>43040</v>
      </c>
      <c r="N712" s="543">
        <v>43084</v>
      </c>
      <c r="O712" s="544" t="s">
        <v>955</v>
      </c>
      <c r="P712" s="553"/>
      <c r="Q712" s="52"/>
      <c r="R712" s="546" t="s">
        <v>1719</v>
      </c>
      <c r="S712" s="319" t="s">
        <v>1176</v>
      </c>
      <c r="T712" s="338"/>
    </row>
    <row r="713" spans="1:20" ht="20.100000000000001" customHeight="1">
      <c r="A713" s="1127" t="s">
        <v>2957</v>
      </c>
      <c r="B713" s="1169" t="s">
        <v>567</v>
      </c>
      <c r="C713" s="1169" t="s">
        <v>379</v>
      </c>
      <c r="D713" s="526">
        <v>355</v>
      </c>
      <c r="E713" s="526">
        <v>710</v>
      </c>
      <c r="F713" s="526">
        <v>710</v>
      </c>
      <c r="G713" s="69" t="s">
        <v>62</v>
      </c>
      <c r="H713" s="56" t="s">
        <v>681</v>
      </c>
      <c r="I713" s="542" t="s">
        <v>17</v>
      </c>
      <c r="J713" s="559"/>
      <c r="K713" s="554" t="s">
        <v>706</v>
      </c>
      <c r="L713" s="559" t="s">
        <v>649</v>
      </c>
      <c r="M713" s="549">
        <v>43039</v>
      </c>
      <c r="N713" s="549">
        <v>43086</v>
      </c>
      <c r="O713" s="544" t="s">
        <v>955</v>
      </c>
      <c r="P713" s="562"/>
      <c r="Q713" s="683"/>
      <c r="R713" s="546" t="s">
        <v>1845</v>
      </c>
      <c r="S713" s="315" t="s">
        <v>2848</v>
      </c>
      <c r="T713" s="338"/>
    </row>
    <row r="714" spans="1:20" ht="20.100000000000001" customHeight="1">
      <c r="A714" s="1127" t="s">
        <v>2957</v>
      </c>
      <c r="B714" s="1169" t="s">
        <v>567</v>
      </c>
      <c r="C714" s="1169" t="s">
        <v>379</v>
      </c>
      <c r="D714" s="32">
        <v>370</v>
      </c>
      <c r="E714" s="32">
        <v>690</v>
      </c>
      <c r="F714" s="32">
        <v>690</v>
      </c>
      <c r="G714" s="48" t="s">
        <v>33</v>
      </c>
      <c r="H714" s="36" t="s">
        <v>721</v>
      </c>
      <c r="I714" s="576" t="s">
        <v>17</v>
      </c>
      <c r="J714" s="567"/>
      <c r="K714" s="566" t="s">
        <v>746</v>
      </c>
      <c r="L714" s="557" t="s">
        <v>636</v>
      </c>
      <c r="M714" s="549">
        <v>43040</v>
      </c>
      <c r="N714" s="549">
        <v>43079</v>
      </c>
      <c r="O714" s="544" t="s">
        <v>955</v>
      </c>
      <c r="P714" s="545"/>
      <c r="Q714" s="683"/>
      <c r="R714" s="556" t="s">
        <v>1655</v>
      </c>
      <c r="S714" s="315" t="s">
        <v>2850</v>
      </c>
      <c r="T714" s="317"/>
    </row>
    <row r="715" spans="1:20" ht="20.100000000000001" customHeight="1">
      <c r="A715" s="1127" t="s">
        <v>2957</v>
      </c>
      <c r="B715" s="1169" t="s">
        <v>567</v>
      </c>
      <c r="C715" s="1169" t="s">
        <v>510</v>
      </c>
      <c r="D715" s="32">
        <v>495</v>
      </c>
      <c r="E715" s="32">
        <v>890</v>
      </c>
      <c r="F715" s="32">
        <v>890</v>
      </c>
      <c r="G715" s="56" t="s">
        <v>33</v>
      </c>
      <c r="H715" s="48" t="s">
        <v>729</v>
      </c>
      <c r="I715" s="569" t="s">
        <v>80</v>
      </c>
      <c r="J715" s="569"/>
      <c r="K715" s="569">
        <v>15</v>
      </c>
      <c r="L715" s="557" t="s">
        <v>637</v>
      </c>
      <c r="M715" s="549">
        <v>43040</v>
      </c>
      <c r="N715" s="549">
        <v>43079</v>
      </c>
      <c r="O715" s="544" t="s">
        <v>955</v>
      </c>
      <c r="P715" s="553"/>
      <c r="Q715" s="52"/>
      <c r="R715" s="561" t="s">
        <v>244</v>
      </c>
      <c r="S715" s="315" t="s">
        <v>2850</v>
      </c>
      <c r="T715" s="338"/>
    </row>
    <row r="716" spans="1:20" ht="20.100000000000001" customHeight="1">
      <c r="A716" s="1127" t="s">
        <v>2957</v>
      </c>
      <c r="B716" s="1169" t="s">
        <v>567</v>
      </c>
      <c r="C716" s="1169" t="s">
        <v>510</v>
      </c>
      <c r="D716" s="526">
        <f>D1071+520</f>
        <v>770</v>
      </c>
      <c r="E716" s="526">
        <f>E1071+960</f>
        <v>1460</v>
      </c>
      <c r="F716" s="526">
        <f>F1071+960</f>
        <v>1460</v>
      </c>
      <c r="G716" s="225" t="s">
        <v>51</v>
      </c>
      <c r="H716" s="36" t="s">
        <v>2370</v>
      </c>
      <c r="I716" s="557" t="s">
        <v>16</v>
      </c>
      <c r="J716" s="558"/>
      <c r="K716" s="558">
        <v>14</v>
      </c>
      <c r="L716" s="542" t="s">
        <v>637</v>
      </c>
      <c r="M716" s="381">
        <v>43040</v>
      </c>
      <c r="N716" s="381">
        <v>43088</v>
      </c>
      <c r="O716" s="544" t="s">
        <v>955</v>
      </c>
      <c r="P716" s="545"/>
      <c r="Q716" s="52"/>
      <c r="R716" s="575" t="s">
        <v>2371</v>
      </c>
      <c r="S716" s="319"/>
      <c r="T716" s="317">
        <v>12</v>
      </c>
    </row>
    <row r="717" spans="1:20" ht="20.100000000000001" customHeight="1">
      <c r="A717" s="1127" t="s">
        <v>2957</v>
      </c>
      <c r="B717" s="1169" t="s">
        <v>567</v>
      </c>
      <c r="C717" s="1169" t="s">
        <v>510</v>
      </c>
      <c r="D717" s="525">
        <v>835</v>
      </c>
      <c r="E717" s="525"/>
      <c r="F717" s="525">
        <v>1670</v>
      </c>
      <c r="G717" s="628" t="s">
        <v>231</v>
      </c>
      <c r="H717" s="56" t="s">
        <v>634</v>
      </c>
      <c r="I717" s="569" t="s">
        <v>23</v>
      </c>
      <c r="J717" s="569"/>
      <c r="K717" s="569" t="s">
        <v>723</v>
      </c>
      <c r="L717" s="557" t="s">
        <v>637</v>
      </c>
      <c r="M717" s="547">
        <v>43040</v>
      </c>
      <c r="N717" s="547">
        <v>43087</v>
      </c>
      <c r="O717" s="544" t="s">
        <v>955</v>
      </c>
      <c r="P717" s="553"/>
      <c r="Q717" s="53"/>
      <c r="R717" s="561" t="s">
        <v>1480</v>
      </c>
      <c r="S717" s="325"/>
      <c r="T717" s="338" t="s">
        <v>1988</v>
      </c>
    </row>
    <row r="718" spans="1:20" ht="20.100000000000001" customHeight="1">
      <c r="A718" s="1127" t="s">
        <v>2957</v>
      </c>
      <c r="B718" s="1169" t="s">
        <v>567</v>
      </c>
      <c r="C718" s="1169" t="s">
        <v>510</v>
      </c>
      <c r="D718" s="273">
        <v>1085</v>
      </c>
      <c r="E718" s="273">
        <v>2170</v>
      </c>
      <c r="F718" s="273">
        <v>2170</v>
      </c>
      <c r="G718" s="55" t="s">
        <v>37</v>
      </c>
      <c r="H718" s="48" t="s">
        <v>1875</v>
      </c>
      <c r="I718" s="558" t="s">
        <v>16</v>
      </c>
      <c r="J718" s="557"/>
      <c r="K718" s="558" t="s">
        <v>682</v>
      </c>
      <c r="L718" s="557" t="s">
        <v>637</v>
      </c>
      <c r="M718" s="543">
        <v>43040</v>
      </c>
      <c r="N718" s="543">
        <v>43084</v>
      </c>
      <c r="O718" s="544" t="s">
        <v>955</v>
      </c>
      <c r="P718" s="553"/>
      <c r="Q718" s="7"/>
      <c r="R718" s="546" t="s">
        <v>1876</v>
      </c>
      <c r="S718" s="319" t="s">
        <v>1176</v>
      </c>
      <c r="T718" s="338"/>
    </row>
    <row r="719" spans="1:20" ht="20.100000000000001" customHeight="1">
      <c r="A719" s="1127" t="s">
        <v>2957</v>
      </c>
      <c r="B719" s="1169" t="s">
        <v>567</v>
      </c>
      <c r="C719" s="1169" t="s">
        <v>510</v>
      </c>
      <c r="D719" s="525">
        <v>650</v>
      </c>
      <c r="E719" s="525">
        <v>1180</v>
      </c>
      <c r="F719" s="525">
        <v>1180</v>
      </c>
      <c r="G719" s="55" t="s">
        <v>28</v>
      </c>
      <c r="H719" s="56" t="s">
        <v>2381</v>
      </c>
      <c r="I719" s="558" t="s">
        <v>16</v>
      </c>
      <c r="J719" s="569"/>
      <c r="K719" s="566" t="s">
        <v>2386</v>
      </c>
      <c r="L719" s="559" t="s">
        <v>2383</v>
      </c>
      <c r="M719" s="549">
        <v>43041</v>
      </c>
      <c r="N719" s="549">
        <v>43089</v>
      </c>
      <c r="O719" s="544" t="s">
        <v>955</v>
      </c>
      <c r="P719" s="553"/>
      <c r="Q719" s="52"/>
      <c r="R719" s="546" t="s">
        <v>2384</v>
      </c>
      <c r="S719" s="319"/>
      <c r="T719" s="338"/>
    </row>
    <row r="720" spans="1:20" ht="20.100000000000001" customHeight="1">
      <c r="A720" s="1127" t="s">
        <v>2957</v>
      </c>
      <c r="B720" s="1169" t="s">
        <v>567</v>
      </c>
      <c r="C720" s="1169" t="s">
        <v>510</v>
      </c>
      <c r="D720" s="11">
        <v>470</v>
      </c>
      <c r="E720" s="11">
        <v>840</v>
      </c>
      <c r="F720" s="11">
        <v>840</v>
      </c>
      <c r="G720" s="56" t="s">
        <v>36</v>
      </c>
      <c r="H720" s="18" t="s">
        <v>658</v>
      </c>
      <c r="I720" s="558" t="s">
        <v>80</v>
      </c>
      <c r="J720" s="559"/>
      <c r="K720" s="557" t="s">
        <v>151</v>
      </c>
      <c r="L720" s="557" t="s">
        <v>637</v>
      </c>
      <c r="M720" s="551">
        <v>42955</v>
      </c>
      <c r="N720" s="551">
        <v>43084</v>
      </c>
      <c r="O720" s="544" t="s">
        <v>955</v>
      </c>
      <c r="P720" s="562"/>
      <c r="Q720" s="7"/>
      <c r="R720" s="561"/>
      <c r="S720" s="325"/>
      <c r="T720" s="317">
        <v>14</v>
      </c>
    </row>
    <row r="721" spans="1:20" ht="20.100000000000001" customHeight="1">
      <c r="A721" s="1127" t="s">
        <v>2957</v>
      </c>
      <c r="B721" s="1169" t="s">
        <v>567</v>
      </c>
      <c r="C721" s="1169" t="s">
        <v>510</v>
      </c>
      <c r="D721" s="273">
        <v>600</v>
      </c>
      <c r="E721" s="273">
        <v>1200</v>
      </c>
      <c r="F721" s="273">
        <v>1200</v>
      </c>
      <c r="G721" s="22" t="s">
        <v>29</v>
      </c>
      <c r="H721" s="36" t="s">
        <v>659</v>
      </c>
      <c r="I721" s="559" t="s">
        <v>23</v>
      </c>
      <c r="J721" s="557"/>
      <c r="K721" s="558">
        <v>15</v>
      </c>
      <c r="L721" s="557" t="s">
        <v>637</v>
      </c>
      <c r="M721" s="547">
        <v>43038</v>
      </c>
      <c r="N721" s="547">
        <v>43072</v>
      </c>
      <c r="O721" s="544" t="s">
        <v>955</v>
      </c>
      <c r="P721" s="544"/>
      <c r="Q721" s="7"/>
      <c r="R721" s="546" t="s">
        <v>191</v>
      </c>
      <c r="S721" s="319" t="s">
        <v>1176</v>
      </c>
      <c r="T721" s="338" t="s">
        <v>1988</v>
      </c>
    </row>
    <row r="722" spans="1:20" ht="20.100000000000001" customHeight="1">
      <c r="A722" s="1127" t="s">
        <v>2957</v>
      </c>
      <c r="B722" s="1169" t="s">
        <v>567</v>
      </c>
      <c r="C722" s="1169" t="s">
        <v>510</v>
      </c>
      <c r="D722" s="526">
        <v>600</v>
      </c>
      <c r="E722" s="526">
        <v>1200</v>
      </c>
      <c r="F722" s="526">
        <v>1200</v>
      </c>
      <c r="G722" s="48" t="s">
        <v>13</v>
      </c>
      <c r="H722" s="48" t="s">
        <v>760</v>
      </c>
      <c r="I722" s="558" t="s">
        <v>16</v>
      </c>
      <c r="J722" s="558"/>
      <c r="K722" s="558">
        <v>23</v>
      </c>
      <c r="L722" s="557" t="s">
        <v>637</v>
      </c>
      <c r="M722" s="6">
        <v>43047</v>
      </c>
      <c r="N722" s="6">
        <v>43100</v>
      </c>
      <c r="O722" s="544" t="s">
        <v>955</v>
      </c>
      <c r="P722" s="553"/>
      <c r="Q722" s="677"/>
      <c r="R722" s="546" t="s">
        <v>1958</v>
      </c>
      <c r="S722" s="319" t="s">
        <v>1176</v>
      </c>
      <c r="T722" s="338" t="s">
        <v>2875</v>
      </c>
    </row>
    <row r="723" spans="1:20" ht="20.100000000000001" customHeight="1">
      <c r="A723" s="1127" t="s">
        <v>2957</v>
      </c>
      <c r="B723" s="1169" t="s">
        <v>567</v>
      </c>
      <c r="C723" s="1169" t="s">
        <v>510</v>
      </c>
      <c r="D723" s="526">
        <v>575</v>
      </c>
      <c r="E723" s="526">
        <v>1230</v>
      </c>
      <c r="F723" s="526">
        <v>1230</v>
      </c>
      <c r="G723" s="48" t="s">
        <v>62</v>
      </c>
      <c r="H723" s="56" t="s">
        <v>681</v>
      </c>
      <c r="I723" s="566" t="s">
        <v>1</v>
      </c>
      <c r="J723" s="559"/>
      <c r="K723" s="557" t="s">
        <v>20</v>
      </c>
      <c r="L723" s="559" t="s">
        <v>649</v>
      </c>
      <c r="M723" s="549">
        <v>43039</v>
      </c>
      <c r="N723" s="549">
        <v>43086</v>
      </c>
      <c r="O723" s="544" t="s">
        <v>955</v>
      </c>
      <c r="P723" s="562"/>
      <c r="Q723" s="683"/>
      <c r="R723" s="546" t="s">
        <v>1845</v>
      </c>
      <c r="S723" s="315" t="s">
        <v>2848</v>
      </c>
      <c r="T723" s="338"/>
    </row>
    <row r="724" spans="1:20" ht="20.100000000000001" customHeight="1">
      <c r="A724" s="1127" t="s">
        <v>2957</v>
      </c>
      <c r="B724" s="1169" t="s">
        <v>567</v>
      </c>
      <c r="C724" s="1169" t="s">
        <v>510</v>
      </c>
      <c r="D724" s="525">
        <v>650</v>
      </c>
      <c r="E724" s="525">
        <v>1300</v>
      </c>
      <c r="F724" s="525">
        <v>1300</v>
      </c>
      <c r="G724" s="224" t="s">
        <v>814</v>
      </c>
      <c r="H724" s="56" t="s">
        <v>681</v>
      </c>
      <c r="I724" s="566" t="s">
        <v>23</v>
      </c>
      <c r="J724" s="569"/>
      <c r="K724" s="566"/>
      <c r="L724" s="542" t="s">
        <v>649</v>
      </c>
      <c r="M724" s="547">
        <v>43038</v>
      </c>
      <c r="N724" s="547">
        <v>43086</v>
      </c>
      <c r="O724" s="544" t="s">
        <v>955</v>
      </c>
      <c r="P724" s="544"/>
      <c r="Q724" s="739" t="s">
        <v>1024</v>
      </c>
      <c r="R724" s="561" t="s">
        <v>778</v>
      </c>
      <c r="S724" s="319" t="s">
        <v>1176</v>
      </c>
      <c r="T724" s="317" t="s">
        <v>2872</v>
      </c>
    </row>
    <row r="725" spans="1:20" ht="20.100000000000001" customHeight="1">
      <c r="A725" s="1127" t="s">
        <v>2957</v>
      </c>
      <c r="B725" s="1169" t="s">
        <v>567</v>
      </c>
      <c r="C725" s="1169" t="s">
        <v>510</v>
      </c>
      <c r="D725" s="525">
        <v>700</v>
      </c>
      <c r="E725" s="525">
        <v>1280</v>
      </c>
      <c r="F725" s="525">
        <v>1280</v>
      </c>
      <c r="G725" s="55" t="s">
        <v>28</v>
      </c>
      <c r="H725" s="56" t="s">
        <v>2377</v>
      </c>
      <c r="I725" s="566" t="s">
        <v>16</v>
      </c>
      <c r="J725" s="569"/>
      <c r="K725" s="566" t="s">
        <v>2386</v>
      </c>
      <c r="L725" s="542" t="s">
        <v>2379</v>
      </c>
      <c r="M725" s="549">
        <v>43041</v>
      </c>
      <c r="N725" s="549">
        <v>43089</v>
      </c>
      <c r="O725" s="544" t="s">
        <v>955</v>
      </c>
      <c r="P725" s="544"/>
      <c r="Q725" s="7"/>
      <c r="R725" s="561" t="s">
        <v>2380</v>
      </c>
      <c r="S725" s="319"/>
      <c r="T725" s="317"/>
    </row>
    <row r="726" spans="1:20" ht="20.100000000000001" customHeight="1">
      <c r="A726" s="1127" t="s">
        <v>2957</v>
      </c>
      <c r="B726" s="1169" t="s">
        <v>567</v>
      </c>
      <c r="C726" s="1169" t="s">
        <v>2417</v>
      </c>
      <c r="D726" s="11">
        <v>545</v>
      </c>
      <c r="E726" s="11">
        <v>940</v>
      </c>
      <c r="F726" s="11">
        <v>940</v>
      </c>
      <c r="G726" s="56" t="s">
        <v>33</v>
      </c>
      <c r="H726" s="48" t="s">
        <v>886</v>
      </c>
      <c r="I726" s="569" t="s">
        <v>1</v>
      </c>
      <c r="J726" s="569"/>
      <c r="K726" s="569">
        <v>17</v>
      </c>
      <c r="L726" s="557" t="s">
        <v>637</v>
      </c>
      <c r="M726" s="549">
        <v>43040</v>
      </c>
      <c r="N726" s="549">
        <v>43079</v>
      </c>
      <c r="O726" s="544" t="s">
        <v>955</v>
      </c>
      <c r="P726" s="553"/>
      <c r="Q726" s="53"/>
      <c r="R726" s="561" t="s">
        <v>1074</v>
      </c>
      <c r="S726" s="315" t="s">
        <v>2850</v>
      </c>
      <c r="T726" s="338"/>
    </row>
    <row r="727" spans="1:20" ht="20.100000000000001" customHeight="1">
      <c r="A727" s="1127" t="s">
        <v>2957</v>
      </c>
      <c r="B727" s="1169" t="s">
        <v>567</v>
      </c>
      <c r="C727" s="1169" t="s">
        <v>381</v>
      </c>
      <c r="D727" s="273">
        <v>685</v>
      </c>
      <c r="E727" s="273">
        <v>1370</v>
      </c>
      <c r="F727" s="273">
        <v>1370</v>
      </c>
      <c r="G727" s="55" t="s">
        <v>37</v>
      </c>
      <c r="H727" s="48" t="s">
        <v>1875</v>
      </c>
      <c r="I727" s="558" t="s">
        <v>16</v>
      </c>
      <c r="J727" s="557"/>
      <c r="K727" s="558" t="s">
        <v>747</v>
      </c>
      <c r="L727" s="557" t="s">
        <v>637</v>
      </c>
      <c r="M727" s="543">
        <v>43040</v>
      </c>
      <c r="N727" s="543">
        <v>43084</v>
      </c>
      <c r="O727" s="544" t="s">
        <v>955</v>
      </c>
      <c r="P727" s="553"/>
      <c r="Q727" s="7"/>
      <c r="R727" s="546" t="s">
        <v>1876</v>
      </c>
      <c r="S727" s="319" t="s">
        <v>1176</v>
      </c>
      <c r="T727" s="338"/>
    </row>
    <row r="728" spans="1:20" ht="20.100000000000001" customHeight="1">
      <c r="A728" s="1127" t="s">
        <v>2957</v>
      </c>
      <c r="B728" s="1169" t="s">
        <v>567</v>
      </c>
      <c r="C728" s="1169" t="s">
        <v>381</v>
      </c>
      <c r="D728" s="526">
        <v>475</v>
      </c>
      <c r="E728" s="526">
        <v>800</v>
      </c>
      <c r="F728" s="526">
        <v>800</v>
      </c>
      <c r="G728" s="48" t="s">
        <v>13</v>
      </c>
      <c r="H728" s="48" t="s">
        <v>760</v>
      </c>
      <c r="I728" s="558" t="s">
        <v>16</v>
      </c>
      <c r="J728" s="558"/>
      <c r="K728" s="558">
        <v>20</v>
      </c>
      <c r="L728" s="557" t="s">
        <v>637</v>
      </c>
      <c r="M728" s="6">
        <v>43070</v>
      </c>
      <c r="N728" s="6">
        <v>43100</v>
      </c>
      <c r="O728" s="544" t="s">
        <v>955</v>
      </c>
      <c r="P728" s="553"/>
      <c r="Q728" s="677"/>
      <c r="R728" s="546" t="s">
        <v>1958</v>
      </c>
      <c r="S728" s="319" t="s">
        <v>1176</v>
      </c>
      <c r="T728" s="338" t="s">
        <v>2875</v>
      </c>
    </row>
    <row r="729" spans="1:20" ht="20.100000000000001" customHeight="1">
      <c r="A729" s="1127" t="s">
        <v>2957</v>
      </c>
      <c r="B729" s="1169" t="s">
        <v>567</v>
      </c>
      <c r="C729" s="1169" t="s">
        <v>381</v>
      </c>
      <c r="D729" s="525">
        <v>600</v>
      </c>
      <c r="E729" s="525">
        <v>1200</v>
      </c>
      <c r="F729" s="525">
        <v>1200</v>
      </c>
      <c r="G729" s="218" t="s">
        <v>14</v>
      </c>
      <c r="H729" s="56" t="s">
        <v>742</v>
      </c>
      <c r="I729" s="557" t="s">
        <v>16</v>
      </c>
      <c r="J729" s="558"/>
      <c r="K729" s="558">
        <v>15</v>
      </c>
      <c r="L729" s="559" t="s">
        <v>639</v>
      </c>
      <c r="M729" s="547">
        <v>43044</v>
      </c>
      <c r="N729" s="547">
        <v>43092</v>
      </c>
      <c r="O729" s="544" t="s">
        <v>955</v>
      </c>
      <c r="P729" s="545"/>
      <c r="Q729" s="7"/>
      <c r="R729" s="17" t="s">
        <v>449</v>
      </c>
      <c r="S729" s="319"/>
      <c r="T729" s="338"/>
    </row>
    <row r="730" spans="1:20" ht="20.100000000000001" customHeight="1">
      <c r="A730" s="1127" t="s">
        <v>2957</v>
      </c>
      <c r="B730" s="1169" t="s">
        <v>567</v>
      </c>
      <c r="C730" s="1169" t="s">
        <v>381</v>
      </c>
      <c r="D730" s="11">
        <v>663</v>
      </c>
      <c r="E730" s="11">
        <v>963</v>
      </c>
      <c r="F730" s="11">
        <v>963</v>
      </c>
      <c r="G730" s="56" t="s">
        <v>19</v>
      </c>
      <c r="H730" s="56" t="s">
        <v>742</v>
      </c>
      <c r="I730" s="558" t="s">
        <v>16</v>
      </c>
      <c r="J730" s="569"/>
      <c r="K730" s="566" t="s">
        <v>723</v>
      </c>
      <c r="L730" s="559" t="s">
        <v>639</v>
      </c>
      <c r="M730" s="559"/>
      <c r="N730" s="549">
        <v>42825</v>
      </c>
      <c r="O730" s="544" t="s">
        <v>955</v>
      </c>
      <c r="P730" s="553"/>
      <c r="Q730" s="52"/>
      <c r="R730" s="546" t="s">
        <v>187</v>
      </c>
      <c r="S730" s="316"/>
      <c r="T730" s="338"/>
    </row>
    <row r="731" spans="1:20" ht="20.100000000000001" customHeight="1">
      <c r="A731" s="1127" t="s">
        <v>2957</v>
      </c>
      <c r="B731" s="1169" t="s">
        <v>567</v>
      </c>
      <c r="C731" s="1169" t="s">
        <v>381</v>
      </c>
      <c r="D731" s="525">
        <f>D1071+430</f>
        <v>680</v>
      </c>
      <c r="E731" s="525">
        <f>E1071+780</f>
        <v>1280</v>
      </c>
      <c r="F731" s="525">
        <f>F1071+780</f>
        <v>1280</v>
      </c>
      <c r="G731" s="225" t="s">
        <v>51</v>
      </c>
      <c r="H731" s="36" t="s">
        <v>2370</v>
      </c>
      <c r="I731" s="557" t="s">
        <v>16</v>
      </c>
      <c r="J731" s="558"/>
      <c r="K731" s="558">
        <v>14</v>
      </c>
      <c r="L731" s="542" t="s">
        <v>637</v>
      </c>
      <c r="M731" s="381">
        <v>43040</v>
      </c>
      <c r="N731" s="381">
        <v>43088</v>
      </c>
      <c r="O731" s="544" t="s">
        <v>955</v>
      </c>
      <c r="P731" s="545"/>
      <c r="Q731" s="52"/>
      <c r="R731" s="575" t="s">
        <v>2371</v>
      </c>
      <c r="S731" s="319"/>
      <c r="T731" s="317">
        <v>12</v>
      </c>
    </row>
    <row r="732" spans="1:20" ht="20.100000000000001" customHeight="1">
      <c r="A732" s="1127" t="s">
        <v>2957</v>
      </c>
      <c r="B732" s="1169" t="s">
        <v>567</v>
      </c>
      <c r="C732" s="1169" t="s">
        <v>381</v>
      </c>
      <c r="D732" s="526">
        <v>460</v>
      </c>
      <c r="E732" s="526">
        <v>920</v>
      </c>
      <c r="F732" s="526">
        <v>920</v>
      </c>
      <c r="G732" s="48" t="s">
        <v>62</v>
      </c>
      <c r="H732" s="56" t="s">
        <v>681</v>
      </c>
      <c r="I732" s="566" t="s">
        <v>1</v>
      </c>
      <c r="J732" s="559"/>
      <c r="K732" s="557" t="s">
        <v>743</v>
      </c>
      <c r="L732" s="559" t="s">
        <v>649</v>
      </c>
      <c r="M732" s="549">
        <v>43039</v>
      </c>
      <c r="N732" s="549">
        <v>43086</v>
      </c>
      <c r="O732" s="544" t="s">
        <v>955</v>
      </c>
      <c r="P732" s="562"/>
      <c r="Q732" s="683"/>
      <c r="R732" s="546" t="s">
        <v>1845</v>
      </c>
      <c r="S732" s="315" t="s">
        <v>2848</v>
      </c>
      <c r="T732" s="338"/>
    </row>
    <row r="733" spans="1:20" ht="20.100000000000001" customHeight="1">
      <c r="A733" s="1127" t="s">
        <v>2957</v>
      </c>
      <c r="B733" s="1169" t="s">
        <v>567</v>
      </c>
      <c r="C733" s="1169" t="s">
        <v>253</v>
      </c>
      <c r="D733" s="11">
        <f>D1071+450</f>
        <v>700</v>
      </c>
      <c r="E733" s="11">
        <f>E1071+810</f>
        <v>1310</v>
      </c>
      <c r="F733" s="11">
        <f>F1071+810</f>
        <v>1310</v>
      </c>
      <c r="G733" s="225" t="s">
        <v>51</v>
      </c>
      <c r="H733" s="36" t="s">
        <v>2370</v>
      </c>
      <c r="I733" s="557" t="s">
        <v>16</v>
      </c>
      <c r="J733" s="558"/>
      <c r="K733" s="558">
        <v>14</v>
      </c>
      <c r="L733" s="542" t="s">
        <v>637</v>
      </c>
      <c r="M733" s="381">
        <v>43040</v>
      </c>
      <c r="N733" s="381">
        <v>43088</v>
      </c>
      <c r="O733" s="544" t="s">
        <v>955</v>
      </c>
      <c r="P733" s="545"/>
      <c r="Q733" s="52"/>
      <c r="R733" s="575" t="s">
        <v>2371</v>
      </c>
      <c r="S733" s="319"/>
      <c r="T733" s="317">
        <v>12</v>
      </c>
    </row>
    <row r="734" spans="1:20" ht="20.100000000000001" customHeight="1">
      <c r="A734" s="1127" t="s">
        <v>2957</v>
      </c>
      <c r="B734" s="1169" t="s">
        <v>567</v>
      </c>
      <c r="C734" s="1169" t="s">
        <v>253</v>
      </c>
      <c r="D734" s="11">
        <v>695</v>
      </c>
      <c r="E734" s="11">
        <v>1190</v>
      </c>
      <c r="F734" s="11">
        <v>1190</v>
      </c>
      <c r="G734" s="56" t="s">
        <v>33</v>
      </c>
      <c r="H734" s="56" t="s">
        <v>651</v>
      </c>
      <c r="I734" s="569" t="s">
        <v>1</v>
      </c>
      <c r="J734" s="569"/>
      <c r="K734" s="569">
        <v>15</v>
      </c>
      <c r="L734" s="557" t="s">
        <v>637</v>
      </c>
      <c r="M734" s="549">
        <v>43040</v>
      </c>
      <c r="N734" s="549">
        <v>43079</v>
      </c>
      <c r="O734" s="544" t="s">
        <v>955</v>
      </c>
      <c r="P734" s="553"/>
      <c r="Q734" s="53"/>
      <c r="R734" s="561" t="s">
        <v>2298</v>
      </c>
      <c r="S734" s="315" t="s">
        <v>2850</v>
      </c>
      <c r="T734" s="338"/>
    </row>
    <row r="735" spans="1:20" ht="20.100000000000001" customHeight="1">
      <c r="A735" s="1127" t="s">
        <v>2957</v>
      </c>
      <c r="B735" s="1169" t="s">
        <v>567</v>
      </c>
      <c r="C735" s="1169" t="s">
        <v>253</v>
      </c>
      <c r="D735" s="11">
        <v>663</v>
      </c>
      <c r="E735" s="11">
        <v>1413</v>
      </c>
      <c r="F735" s="11">
        <v>1413</v>
      </c>
      <c r="G735" s="56" t="s">
        <v>19</v>
      </c>
      <c r="H735" s="56" t="s">
        <v>742</v>
      </c>
      <c r="I735" s="558" t="s">
        <v>16</v>
      </c>
      <c r="J735" s="569"/>
      <c r="K735" s="566" t="s">
        <v>746</v>
      </c>
      <c r="L735" s="559" t="s">
        <v>639</v>
      </c>
      <c r="M735" s="559"/>
      <c r="N735" s="549">
        <v>42825</v>
      </c>
      <c r="O735" s="544" t="s">
        <v>955</v>
      </c>
      <c r="P735" s="553"/>
      <c r="Q735" s="52"/>
      <c r="R735" s="546" t="s">
        <v>187</v>
      </c>
      <c r="S735" s="316"/>
      <c r="T735" s="338"/>
    </row>
    <row r="736" spans="1:20" ht="20.100000000000001" customHeight="1">
      <c r="A736" s="1127" t="s">
        <v>2957</v>
      </c>
      <c r="B736" s="1169" t="s">
        <v>567</v>
      </c>
      <c r="C736" s="1169" t="s">
        <v>253</v>
      </c>
      <c r="D736" s="11">
        <v>660</v>
      </c>
      <c r="E736" s="11">
        <v>1180</v>
      </c>
      <c r="F736" s="11">
        <v>1180</v>
      </c>
      <c r="G736" s="56" t="s">
        <v>28</v>
      </c>
      <c r="H736" s="56" t="s">
        <v>2381</v>
      </c>
      <c r="I736" s="558" t="s">
        <v>16</v>
      </c>
      <c r="J736" s="569"/>
      <c r="K736" s="566" t="s">
        <v>2382</v>
      </c>
      <c r="L736" s="559" t="s">
        <v>2383</v>
      </c>
      <c r="M736" s="549">
        <v>43041</v>
      </c>
      <c r="N736" s="549">
        <v>43089</v>
      </c>
      <c r="O736" s="544" t="s">
        <v>955</v>
      </c>
      <c r="P736" s="553"/>
      <c r="Q736" s="52"/>
      <c r="R736" s="546" t="s">
        <v>2384</v>
      </c>
      <c r="S736" s="316"/>
      <c r="T736" s="338"/>
    </row>
    <row r="737" spans="1:20" ht="20.100000000000001" customHeight="1">
      <c r="A737" s="1127" t="s">
        <v>2957</v>
      </c>
      <c r="B737" s="1169" t="s">
        <v>567</v>
      </c>
      <c r="C737" s="1169" t="s">
        <v>253</v>
      </c>
      <c r="D737" s="11">
        <v>520</v>
      </c>
      <c r="E737" s="11">
        <v>940</v>
      </c>
      <c r="F737" s="11">
        <v>940</v>
      </c>
      <c r="G737" s="56" t="s">
        <v>36</v>
      </c>
      <c r="H737" s="18" t="s">
        <v>658</v>
      </c>
      <c r="I737" s="542" t="s">
        <v>854</v>
      </c>
      <c r="J737" s="569"/>
      <c r="K737" s="569" t="s">
        <v>723</v>
      </c>
      <c r="L737" s="557" t="s">
        <v>637</v>
      </c>
      <c r="M737" s="551">
        <v>42993</v>
      </c>
      <c r="N737" s="551">
        <v>43084</v>
      </c>
      <c r="O737" s="544" t="s">
        <v>955</v>
      </c>
      <c r="P737" s="553"/>
      <c r="Q737" s="7"/>
      <c r="R737" s="561"/>
      <c r="S737" s="325"/>
      <c r="T737" s="317">
        <v>14</v>
      </c>
    </row>
    <row r="738" spans="1:20" ht="20.100000000000001" customHeight="1">
      <c r="A738" s="1127" t="s">
        <v>2957</v>
      </c>
      <c r="B738" s="1169" t="s">
        <v>567</v>
      </c>
      <c r="C738" s="1169" t="s">
        <v>253</v>
      </c>
      <c r="D738" s="273">
        <v>750</v>
      </c>
      <c r="E738" s="273">
        <v>1400</v>
      </c>
      <c r="F738" s="273">
        <v>1400</v>
      </c>
      <c r="G738" s="22" t="s">
        <v>29</v>
      </c>
      <c r="H738" s="36" t="s">
        <v>659</v>
      </c>
      <c r="I738" s="576" t="s">
        <v>23</v>
      </c>
      <c r="J738" s="576" t="s">
        <v>618</v>
      </c>
      <c r="K738" s="558">
        <v>15</v>
      </c>
      <c r="L738" s="557" t="s">
        <v>637</v>
      </c>
      <c r="M738" s="547">
        <v>43038</v>
      </c>
      <c r="N738" s="547">
        <v>43072</v>
      </c>
      <c r="O738" s="544" t="s">
        <v>955</v>
      </c>
      <c r="P738" s="544"/>
      <c r="Q738" s="7"/>
      <c r="R738" s="546" t="s">
        <v>191</v>
      </c>
      <c r="S738" s="319" t="s">
        <v>1176</v>
      </c>
      <c r="T738" s="338" t="s">
        <v>1988</v>
      </c>
    </row>
    <row r="739" spans="1:20" ht="20.100000000000001" customHeight="1">
      <c r="A739" s="1127" t="s">
        <v>2957</v>
      </c>
      <c r="B739" s="1169" t="s">
        <v>567</v>
      </c>
      <c r="C739" s="1169" t="s">
        <v>253</v>
      </c>
      <c r="D739" s="526">
        <v>600</v>
      </c>
      <c r="E739" s="526">
        <v>1200</v>
      </c>
      <c r="F739" s="526">
        <v>1200</v>
      </c>
      <c r="G739" s="48" t="s">
        <v>13</v>
      </c>
      <c r="H739" s="48" t="s">
        <v>760</v>
      </c>
      <c r="I739" s="558" t="s">
        <v>16</v>
      </c>
      <c r="J739" s="558"/>
      <c r="K739" s="558">
        <v>24</v>
      </c>
      <c r="L739" s="557" t="s">
        <v>637</v>
      </c>
      <c r="M739" s="6">
        <v>43047</v>
      </c>
      <c r="N739" s="6">
        <v>43100</v>
      </c>
      <c r="O739" s="544" t="s">
        <v>955</v>
      </c>
      <c r="P739" s="553"/>
      <c r="Q739" s="677"/>
      <c r="R739" s="546" t="s">
        <v>1958</v>
      </c>
      <c r="S739" s="319" t="s">
        <v>1176</v>
      </c>
      <c r="T739" s="338" t="s">
        <v>2875</v>
      </c>
    </row>
    <row r="740" spans="1:20" ht="20.100000000000001" customHeight="1">
      <c r="A740" s="1127" t="s">
        <v>2957</v>
      </c>
      <c r="B740" s="1169" t="s">
        <v>567</v>
      </c>
      <c r="C740" s="1169" t="s">
        <v>253</v>
      </c>
      <c r="D740" s="526">
        <v>775</v>
      </c>
      <c r="E740" s="526">
        <v>1610</v>
      </c>
      <c r="F740" s="526">
        <v>1610</v>
      </c>
      <c r="G740" s="69" t="s">
        <v>62</v>
      </c>
      <c r="H740" s="56" t="s">
        <v>681</v>
      </c>
      <c r="I740" s="566" t="s">
        <v>1</v>
      </c>
      <c r="J740" s="559"/>
      <c r="K740" s="559" t="s">
        <v>747</v>
      </c>
      <c r="L740" s="559" t="s">
        <v>649</v>
      </c>
      <c r="M740" s="549">
        <v>43039</v>
      </c>
      <c r="N740" s="549">
        <v>43086</v>
      </c>
      <c r="O740" s="544" t="s">
        <v>955</v>
      </c>
      <c r="P740" s="562"/>
      <c r="Q740" s="683"/>
      <c r="R740" s="546" t="s">
        <v>1845</v>
      </c>
      <c r="S740" s="315" t="s">
        <v>2848</v>
      </c>
      <c r="T740" s="338"/>
    </row>
    <row r="741" spans="1:20" ht="20.100000000000001" customHeight="1">
      <c r="A741" s="1127" t="s">
        <v>2957</v>
      </c>
      <c r="B741" s="1169" t="s">
        <v>567</v>
      </c>
      <c r="C741" s="1169" t="s">
        <v>253</v>
      </c>
      <c r="D741" s="32">
        <v>790</v>
      </c>
      <c r="E741" s="32">
        <v>1580</v>
      </c>
      <c r="F741" s="32">
        <v>1580</v>
      </c>
      <c r="G741" s="224" t="s">
        <v>814</v>
      </c>
      <c r="H741" s="56" t="s">
        <v>681</v>
      </c>
      <c r="I741" s="566" t="s">
        <v>23</v>
      </c>
      <c r="J741" s="569"/>
      <c r="K741" s="566"/>
      <c r="L741" s="542" t="s">
        <v>649</v>
      </c>
      <c r="M741" s="547">
        <v>43038</v>
      </c>
      <c r="N741" s="547">
        <v>43086</v>
      </c>
      <c r="O741" s="544" t="s">
        <v>955</v>
      </c>
      <c r="P741" s="544"/>
      <c r="Q741" s="739" t="s">
        <v>1024</v>
      </c>
      <c r="R741" s="561" t="s">
        <v>778</v>
      </c>
      <c r="S741" s="319" t="s">
        <v>1176</v>
      </c>
      <c r="T741" s="317" t="s">
        <v>2872</v>
      </c>
    </row>
    <row r="742" spans="1:20" ht="20.100000000000001" customHeight="1">
      <c r="A742" s="1127" t="s">
        <v>2957</v>
      </c>
      <c r="B742" s="1169" t="s">
        <v>567</v>
      </c>
      <c r="C742" s="1169" t="s">
        <v>253</v>
      </c>
      <c r="D742" s="32">
        <v>690</v>
      </c>
      <c r="E742" s="32">
        <v>1280</v>
      </c>
      <c r="F742" s="32">
        <v>1280</v>
      </c>
      <c r="G742" s="56" t="s">
        <v>28</v>
      </c>
      <c r="H742" s="56" t="s">
        <v>2377</v>
      </c>
      <c r="I742" s="566" t="s">
        <v>16</v>
      </c>
      <c r="J742" s="569"/>
      <c r="K742" s="566" t="s">
        <v>2382</v>
      </c>
      <c r="L742" s="542" t="s">
        <v>2379</v>
      </c>
      <c r="M742" s="549">
        <v>43041</v>
      </c>
      <c r="N742" s="549">
        <v>43089</v>
      </c>
      <c r="O742" s="544" t="s">
        <v>955</v>
      </c>
      <c r="P742" s="544"/>
      <c r="Q742" s="7"/>
      <c r="R742" s="561" t="s">
        <v>2380</v>
      </c>
      <c r="S742" s="319"/>
      <c r="T742" s="317"/>
    </row>
    <row r="743" spans="1:20" ht="20.100000000000001" customHeight="1">
      <c r="A743" s="1127" t="s">
        <v>2957</v>
      </c>
      <c r="B743" s="1169" t="s">
        <v>567</v>
      </c>
      <c r="C743" s="1169" t="s">
        <v>382</v>
      </c>
      <c r="D743" s="11">
        <v>595</v>
      </c>
      <c r="E743" s="11">
        <v>1040</v>
      </c>
      <c r="F743" s="11">
        <v>1040</v>
      </c>
      <c r="G743" s="56" t="s">
        <v>33</v>
      </c>
      <c r="H743" s="55" t="s">
        <v>729</v>
      </c>
      <c r="I743" s="569" t="s">
        <v>80</v>
      </c>
      <c r="J743" s="569"/>
      <c r="K743" s="569">
        <v>17</v>
      </c>
      <c r="L743" s="557" t="s">
        <v>637</v>
      </c>
      <c r="M743" s="549">
        <v>43040</v>
      </c>
      <c r="N743" s="549">
        <v>43079</v>
      </c>
      <c r="O743" s="544" t="s">
        <v>955</v>
      </c>
      <c r="P743" s="553"/>
      <c r="Q743" s="52"/>
      <c r="R743" s="561" t="s">
        <v>244</v>
      </c>
      <c r="S743" s="315" t="s">
        <v>2850</v>
      </c>
      <c r="T743" s="338"/>
    </row>
    <row r="744" spans="1:20" ht="20.100000000000001" customHeight="1">
      <c r="A744" s="1127" t="s">
        <v>2957</v>
      </c>
      <c r="B744" s="1169" t="s">
        <v>567</v>
      </c>
      <c r="C744" s="1169" t="s">
        <v>382</v>
      </c>
      <c r="D744" s="11">
        <f>D1071+465</f>
        <v>715</v>
      </c>
      <c r="E744" s="11">
        <f>E1071+850</f>
        <v>1350</v>
      </c>
      <c r="F744" s="11">
        <f>F1071+850</f>
        <v>1350</v>
      </c>
      <c r="G744" s="225" t="s">
        <v>51</v>
      </c>
      <c r="H744" s="36" t="s">
        <v>2370</v>
      </c>
      <c r="I744" s="557" t="s">
        <v>16</v>
      </c>
      <c r="J744" s="558"/>
      <c r="K744" s="558">
        <v>14</v>
      </c>
      <c r="L744" s="542" t="s">
        <v>637</v>
      </c>
      <c r="M744" s="381">
        <v>43040</v>
      </c>
      <c r="N744" s="381">
        <v>43088</v>
      </c>
      <c r="O744" s="544" t="s">
        <v>955</v>
      </c>
      <c r="P744" s="545"/>
      <c r="Q744" s="52"/>
      <c r="R744" s="575" t="s">
        <v>2371</v>
      </c>
      <c r="S744" s="319"/>
      <c r="T744" s="317">
        <v>12</v>
      </c>
    </row>
    <row r="745" spans="1:20" ht="20.100000000000001" customHeight="1">
      <c r="A745" s="1127" t="s">
        <v>2957</v>
      </c>
      <c r="B745" s="1169" t="s">
        <v>567</v>
      </c>
      <c r="C745" s="1169" t="s">
        <v>382</v>
      </c>
      <c r="D745" s="273">
        <v>1085</v>
      </c>
      <c r="E745" s="273">
        <v>1970</v>
      </c>
      <c r="F745" s="273">
        <v>1970</v>
      </c>
      <c r="G745" s="55" t="s">
        <v>2375</v>
      </c>
      <c r="H745" s="48" t="s">
        <v>1875</v>
      </c>
      <c r="I745" s="558" t="s">
        <v>16</v>
      </c>
      <c r="J745" s="557"/>
      <c r="K745" s="558" t="s">
        <v>743</v>
      </c>
      <c r="L745" s="557" t="s">
        <v>637</v>
      </c>
      <c r="M745" s="543">
        <v>43040</v>
      </c>
      <c r="N745" s="543">
        <v>43084</v>
      </c>
      <c r="O745" s="544" t="s">
        <v>955</v>
      </c>
      <c r="P745" s="553"/>
      <c r="Q745" s="7"/>
      <c r="R745" s="546" t="s">
        <v>1876</v>
      </c>
      <c r="S745" s="319" t="s">
        <v>1176</v>
      </c>
      <c r="T745" s="338"/>
    </row>
    <row r="746" spans="1:20" ht="20.100000000000001" customHeight="1">
      <c r="A746" s="1127" t="s">
        <v>2957</v>
      </c>
      <c r="B746" s="1169" t="s">
        <v>567</v>
      </c>
      <c r="C746" s="1169" t="s">
        <v>382</v>
      </c>
      <c r="D746" s="11">
        <v>963</v>
      </c>
      <c r="E746" s="11">
        <v>1213</v>
      </c>
      <c r="F746" s="11">
        <v>1213</v>
      </c>
      <c r="G746" s="56" t="s">
        <v>19</v>
      </c>
      <c r="H746" s="56" t="s">
        <v>742</v>
      </c>
      <c r="I746" s="558" t="s">
        <v>16</v>
      </c>
      <c r="J746" s="569"/>
      <c r="K746" s="566" t="s">
        <v>746</v>
      </c>
      <c r="L746" s="559" t="s">
        <v>639</v>
      </c>
      <c r="M746" s="559"/>
      <c r="N746" s="549">
        <v>42825</v>
      </c>
      <c r="O746" s="544" t="s">
        <v>955</v>
      </c>
      <c r="P746" s="553"/>
      <c r="Q746" s="52"/>
      <c r="R746" s="546" t="s">
        <v>187</v>
      </c>
      <c r="S746" s="316"/>
      <c r="T746" s="338"/>
    </row>
    <row r="747" spans="1:20" ht="20.100000000000001" customHeight="1">
      <c r="A747" s="1127" t="s">
        <v>2957</v>
      </c>
      <c r="B747" s="1169" t="s">
        <v>567</v>
      </c>
      <c r="C747" s="1169" t="s">
        <v>382</v>
      </c>
      <c r="D747" s="11">
        <v>690</v>
      </c>
      <c r="E747" s="11">
        <v>1280</v>
      </c>
      <c r="F747" s="11">
        <v>1280</v>
      </c>
      <c r="G747" s="56" t="s">
        <v>28</v>
      </c>
      <c r="H747" s="56" t="s">
        <v>2381</v>
      </c>
      <c r="I747" s="558" t="s">
        <v>16</v>
      </c>
      <c r="J747" s="569"/>
      <c r="K747" s="566" t="s">
        <v>2382</v>
      </c>
      <c r="L747" s="559" t="s">
        <v>2383</v>
      </c>
      <c r="M747" s="549">
        <v>43041</v>
      </c>
      <c r="N747" s="549">
        <v>43089</v>
      </c>
      <c r="O747" s="544" t="s">
        <v>955</v>
      </c>
      <c r="P747" s="553"/>
      <c r="Q747" s="52"/>
      <c r="R747" s="546" t="s">
        <v>2384</v>
      </c>
      <c r="S747" s="316"/>
      <c r="T747" s="338"/>
    </row>
    <row r="748" spans="1:20" ht="20.100000000000001" customHeight="1">
      <c r="A748" s="1127" t="s">
        <v>2957</v>
      </c>
      <c r="B748" s="1169" t="s">
        <v>567</v>
      </c>
      <c r="C748" s="1169" t="s">
        <v>382</v>
      </c>
      <c r="D748" s="11">
        <v>500</v>
      </c>
      <c r="E748" s="11">
        <v>900</v>
      </c>
      <c r="F748" s="11">
        <v>900</v>
      </c>
      <c r="G748" s="56" t="s">
        <v>36</v>
      </c>
      <c r="H748" s="22" t="s">
        <v>658</v>
      </c>
      <c r="I748" s="542" t="s">
        <v>80</v>
      </c>
      <c r="J748" s="569"/>
      <c r="K748" s="569" t="s">
        <v>151</v>
      </c>
      <c r="L748" s="557" t="s">
        <v>637</v>
      </c>
      <c r="M748" s="551">
        <v>43070</v>
      </c>
      <c r="N748" s="551">
        <v>43084</v>
      </c>
      <c r="O748" s="544" t="s">
        <v>955</v>
      </c>
      <c r="P748" s="553"/>
      <c r="Q748" s="52"/>
      <c r="R748" s="561"/>
      <c r="S748" s="325"/>
      <c r="T748" s="317">
        <v>14</v>
      </c>
    </row>
    <row r="749" spans="1:20" ht="20.100000000000001" customHeight="1">
      <c r="A749" s="1127" t="s">
        <v>2957</v>
      </c>
      <c r="B749" s="1169" t="s">
        <v>567</v>
      </c>
      <c r="C749" s="1169" t="s">
        <v>382</v>
      </c>
      <c r="D749" s="273">
        <v>650</v>
      </c>
      <c r="E749" s="273">
        <v>1150</v>
      </c>
      <c r="F749" s="273">
        <v>1150</v>
      </c>
      <c r="G749" s="22" t="s">
        <v>29</v>
      </c>
      <c r="H749" s="36" t="s">
        <v>659</v>
      </c>
      <c r="I749" s="576" t="s">
        <v>23</v>
      </c>
      <c r="J749" s="557"/>
      <c r="K749" s="558">
        <v>15</v>
      </c>
      <c r="L749" s="557" t="s">
        <v>637</v>
      </c>
      <c r="M749" s="547">
        <v>43038</v>
      </c>
      <c r="N749" s="547">
        <v>43072</v>
      </c>
      <c r="O749" s="544" t="s">
        <v>955</v>
      </c>
      <c r="P749" s="544"/>
      <c r="Q749" s="7"/>
      <c r="R749" s="546" t="s">
        <v>191</v>
      </c>
      <c r="S749" s="319" t="s">
        <v>1176</v>
      </c>
      <c r="T749" s="338" t="s">
        <v>1988</v>
      </c>
    </row>
    <row r="750" spans="1:20" ht="20.100000000000001" customHeight="1">
      <c r="A750" s="1127" t="s">
        <v>2957</v>
      </c>
      <c r="B750" s="1169" t="s">
        <v>567</v>
      </c>
      <c r="C750" s="1169" t="s">
        <v>382</v>
      </c>
      <c r="D750" s="526">
        <v>600</v>
      </c>
      <c r="E750" s="526">
        <v>1200</v>
      </c>
      <c r="F750" s="526">
        <v>1200</v>
      </c>
      <c r="G750" s="48" t="s">
        <v>13</v>
      </c>
      <c r="H750" s="48" t="s">
        <v>760</v>
      </c>
      <c r="I750" s="558" t="s">
        <v>16</v>
      </c>
      <c r="J750" s="558"/>
      <c r="K750" s="558">
        <v>23</v>
      </c>
      <c r="L750" s="557" t="s">
        <v>637</v>
      </c>
      <c r="M750" s="6">
        <v>43047</v>
      </c>
      <c r="N750" s="6">
        <v>43100</v>
      </c>
      <c r="O750" s="544" t="s">
        <v>955</v>
      </c>
      <c r="P750" s="553"/>
      <c r="Q750" s="677"/>
      <c r="R750" s="546" t="s">
        <v>1958</v>
      </c>
      <c r="S750" s="319" t="s">
        <v>1176</v>
      </c>
      <c r="T750" s="338" t="s">
        <v>2875</v>
      </c>
    </row>
    <row r="751" spans="1:20" ht="20.100000000000001" customHeight="1">
      <c r="A751" s="1127" t="s">
        <v>2957</v>
      </c>
      <c r="B751" s="1169" t="s">
        <v>567</v>
      </c>
      <c r="C751" s="1169" t="s">
        <v>382</v>
      </c>
      <c r="D751" s="526">
        <v>615</v>
      </c>
      <c r="E751" s="526">
        <v>1130</v>
      </c>
      <c r="F751" s="526">
        <v>1130</v>
      </c>
      <c r="G751" s="48" t="s">
        <v>62</v>
      </c>
      <c r="H751" s="56" t="s">
        <v>681</v>
      </c>
      <c r="I751" s="566" t="s">
        <v>1</v>
      </c>
      <c r="J751" s="559"/>
      <c r="K751" s="557">
        <v>20</v>
      </c>
      <c r="L751" s="559" t="s">
        <v>649</v>
      </c>
      <c r="M751" s="549">
        <v>43039</v>
      </c>
      <c r="N751" s="549">
        <v>43086</v>
      </c>
      <c r="O751" s="544" t="s">
        <v>955</v>
      </c>
      <c r="P751" s="562"/>
      <c r="Q751" s="683"/>
      <c r="R751" s="546" t="s">
        <v>1845</v>
      </c>
      <c r="S751" s="315" t="s">
        <v>2864</v>
      </c>
      <c r="T751" s="338"/>
    </row>
    <row r="752" spans="1:20" ht="20.100000000000001" customHeight="1">
      <c r="A752" s="1127" t="s">
        <v>2957</v>
      </c>
      <c r="B752" s="1169" t="s">
        <v>567</v>
      </c>
      <c r="C752" s="1169" t="s">
        <v>382</v>
      </c>
      <c r="D752" s="525">
        <v>680</v>
      </c>
      <c r="E752" s="525">
        <v>1350</v>
      </c>
      <c r="F752" s="525">
        <v>1350</v>
      </c>
      <c r="G752" s="224" t="s">
        <v>814</v>
      </c>
      <c r="H752" s="56" t="s">
        <v>681</v>
      </c>
      <c r="I752" s="566" t="s">
        <v>23</v>
      </c>
      <c r="J752" s="569"/>
      <c r="K752" s="566"/>
      <c r="L752" s="542" t="s">
        <v>649</v>
      </c>
      <c r="M752" s="547">
        <v>43038</v>
      </c>
      <c r="N752" s="547">
        <v>43086</v>
      </c>
      <c r="O752" s="544" t="s">
        <v>955</v>
      </c>
      <c r="P752" s="544"/>
      <c r="Q752" s="739" t="s">
        <v>1024</v>
      </c>
      <c r="R752" s="561" t="s">
        <v>778</v>
      </c>
      <c r="S752" s="319" t="s">
        <v>1176</v>
      </c>
      <c r="T752" s="317" t="s">
        <v>2872</v>
      </c>
    </row>
    <row r="753" spans="1:20" ht="20.100000000000001" customHeight="1">
      <c r="A753" s="1127" t="s">
        <v>2957</v>
      </c>
      <c r="B753" s="1169" t="s">
        <v>567</v>
      </c>
      <c r="C753" s="1169" t="s">
        <v>382</v>
      </c>
      <c r="D753" s="525">
        <v>740</v>
      </c>
      <c r="E753" s="525">
        <v>1380</v>
      </c>
      <c r="F753" s="525">
        <v>1380</v>
      </c>
      <c r="G753" s="56" t="s">
        <v>28</v>
      </c>
      <c r="H753" s="56" t="s">
        <v>2377</v>
      </c>
      <c r="I753" s="566" t="s">
        <v>16</v>
      </c>
      <c r="J753" s="569"/>
      <c r="K753" s="566" t="s">
        <v>2378</v>
      </c>
      <c r="L753" s="542" t="s">
        <v>2379</v>
      </c>
      <c r="M753" s="549">
        <v>43041</v>
      </c>
      <c r="N753" s="549">
        <v>43089</v>
      </c>
      <c r="O753" s="544" t="s">
        <v>955</v>
      </c>
      <c r="P753" s="544"/>
      <c r="Q753" s="7"/>
      <c r="R753" s="561" t="s">
        <v>2380</v>
      </c>
      <c r="S753" s="319"/>
      <c r="T753" s="317"/>
    </row>
    <row r="754" spans="1:20" ht="20.100000000000001" customHeight="1">
      <c r="A754" s="1127" t="s">
        <v>2957</v>
      </c>
      <c r="B754" s="1169" t="s">
        <v>567</v>
      </c>
      <c r="C754" s="1169" t="s">
        <v>213</v>
      </c>
      <c r="D754" s="32">
        <f>D1071+485</f>
        <v>735</v>
      </c>
      <c r="E754" s="32">
        <f>E1071+850</f>
        <v>1350</v>
      </c>
      <c r="F754" s="32">
        <f>F1071+850</f>
        <v>1350</v>
      </c>
      <c r="G754" s="225" t="s">
        <v>51</v>
      </c>
      <c r="H754" s="36" t="s">
        <v>2370</v>
      </c>
      <c r="I754" s="557" t="s">
        <v>16</v>
      </c>
      <c r="J754" s="558"/>
      <c r="K754" s="558">
        <v>14</v>
      </c>
      <c r="L754" s="542" t="s">
        <v>637</v>
      </c>
      <c r="M754" s="381">
        <v>43040</v>
      </c>
      <c r="N754" s="381">
        <v>43088</v>
      </c>
      <c r="O754" s="544" t="s">
        <v>955</v>
      </c>
      <c r="P754" s="545"/>
      <c r="Q754" s="52"/>
      <c r="R754" s="575" t="s">
        <v>2371</v>
      </c>
      <c r="S754" s="319"/>
      <c r="T754" s="317">
        <v>12</v>
      </c>
    </row>
    <row r="755" spans="1:20" ht="20.100000000000001" customHeight="1">
      <c r="A755" s="1127" t="s">
        <v>2957</v>
      </c>
      <c r="B755" s="1169" t="s">
        <v>567</v>
      </c>
      <c r="C755" s="1169" t="s">
        <v>213</v>
      </c>
      <c r="D755" s="273">
        <v>1035</v>
      </c>
      <c r="E755" s="273">
        <v>2070</v>
      </c>
      <c r="F755" s="273">
        <v>2070</v>
      </c>
      <c r="G755" s="55" t="s">
        <v>37</v>
      </c>
      <c r="H755" s="48" t="s">
        <v>1875</v>
      </c>
      <c r="I755" s="558" t="s">
        <v>16</v>
      </c>
      <c r="J755" s="557"/>
      <c r="K755" s="558" t="s">
        <v>747</v>
      </c>
      <c r="L755" s="557" t="s">
        <v>637</v>
      </c>
      <c r="M755" s="543">
        <v>43040</v>
      </c>
      <c r="N755" s="543">
        <v>43084</v>
      </c>
      <c r="O755" s="544" t="s">
        <v>955</v>
      </c>
      <c r="P755" s="553"/>
      <c r="Q755" s="7"/>
      <c r="R755" s="546" t="s">
        <v>1876</v>
      </c>
      <c r="S755" s="319" t="s">
        <v>1176</v>
      </c>
      <c r="T755" s="338"/>
    </row>
    <row r="756" spans="1:20" ht="20.100000000000001" customHeight="1">
      <c r="A756" s="1127" t="s">
        <v>2957</v>
      </c>
      <c r="B756" s="1169" t="s">
        <v>567</v>
      </c>
      <c r="C756" s="1169" t="s">
        <v>213</v>
      </c>
      <c r="D756" s="525">
        <v>840</v>
      </c>
      <c r="E756" s="525">
        <v>1480</v>
      </c>
      <c r="F756" s="525">
        <v>1480</v>
      </c>
      <c r="G756" s="55" t="s">
        <v>28</v>
      </c>
      <c r="H756" s="56" t="s">
        <v>2381</v>
      </c>
      <c r="I756" s="558" t="s">
        <v>16</v>
      </c>
      <c r="J756" s="569"/>
      <c r="K756" s="566" t="s">
        <v>2385</v>
      </c>
      <c r="L756" s="559" t="s">
        <v>2383</v>
      </c>
      <c r="M756" s="549">
        <v>43041</v>
      </c>
      <c r="N756" s="549">
        <v>43089</v>
      </c>
      <c r="O756" s="544" t="s">
        <v>955</v>
      </c>
      <c r="P756" s="553"/>
      <c r="Q756" s="52"/>
      <c r="R756" s="546" t="s">
        <v>2384</v>
      </c>
      <c r="S756" s="319"/>
      <c r="T756" s="338"/>
    </row>
    <row r="757" spans="1:20" ht="20.100000000000001" customHeight="1">
      <c r="A757" s="1127" t="s">
        <v>2957</v>
      </c>
      <c r="B757" s="1169" t="s">
        <v>567</v>
      </c>
      <c r="C757" s="1169" t="s">
        <v>213</v>
      </c>
      <c r="D757" s="730">
        <v>950</v>
      </c>
      <c r="E757" s="730">
        <v>1900</v>
      </c>
      <c r="F757" s="730">
        <v>1900</v>
      </c>
      <c r="G757" s="22" t="s">
        <v>29</v>
      </c>
      <c r="H757" s="36" t="s">
        <v>659</v>
      </c>
      <c r="I757" s="576" t="s">
        <v>23</v>
      </c>
      <c r="J757" s="567"/>
      <c r="K757" s="558">
        <v>15</v>
      </c>
      <c r="L757" s="557" t="s">
        <v>637</v>
      </c>
      <c r="M757" s="547">
        <v>43038</v>
      </c>
      <c r="N757" s="547">
        <v>43072</v>
      </c>
      <c r="O757" s="544" t="s">
        <v>955</v>
      </c>
      <c r="P757" s="544"/>
      <c r="Q757" s="7"/>
      <c r="R757" s="546" t="s">
        <v>191</v>
      </c>
      <c r="S757" s="319" t="s">
        <v>1176</v>
      </c>
      <c r="T757" s="338" t="s">
        <v>1988</v>
      </c>
    </row>
    <row r="758" spans="1:20" ht="20.100000000000001" customHeight="1">
      <c r="A758" s="1127" t="s">
        <v>2957</v>
      </c>
      <c r="B758" s="1169" t="s">
        <v>567</v>
      </c>
      <c r="C758" s="1169" t="s">
        <v>213</v>
      </c>
      <c r="D758" s="526">
        <v>600</v>
      </c>
      <c r="E758" s="526">
        <v>1200</v>
      </c>
      <c r="F758" s="526">
        <v>1200</v>
      </c>
      <c r="G758" s="48" t="s">
        <v>13</v>
      </c>
      <c r="H758" s="48" t="s">
        <v>760</v>
      </c>
      <c r="I758" s="558" t="s">
        <v>16</v>
      </c>
      <c r="J758" s="558"/>
      <c r="K758" s="558">
        <v>24</v>
      </c>
      <c r="L758" s="557" t="s">
        <v>637</v>
      </c>
      <c r="M758" s="6">
        <v>43047</v>
      </c>
      <c r="N758" s="6">
        <v>43100</v>
      </c>
      <c r="O758" s="544" t="s">
        <v>955</v>
      </c>
      <c r="P758" s="553"/>
      <c r="Q758" s="677"/>
      <c r="R758" s="546" t="s">
        <v>1958</v>
      </c>
      <c r="S758" s="319" t="s">
        <v>1176</v>
      </c>
      <c r="T758" s="338" t="s">
        <v>2875</v>
      </c>
    </row>
    <row r="759" spans="1:20" ht="20.100000000000001" customHeight="1">
      <c r="A759" s="1127" t="s">
        <v>2957</v>
      </c>
      <c r="B759" s="1169" t="s">
        <v>567</v>
      </c>
      <c r="C759" s="1169" t="s">
        <v>213</v>
      </c>
      <c r="D759" s="11">
        <v>900</v>
      </c>
      <c r="E759" s="11">
        <v>1800</v>
      </c>
      <c r="F759" s="11">
        <v>1800</v>
      </c>
      <c r="G759" s="224" t="s">
        <v>814</v>
      </c>
      <c r="H759" s="56" t="s">
        <v>681</v>
      </c>
      <c r="I759" s="566" t="s">
        <v>23</v>
      </c>
      <c r="J759" s="569"/>
      <c r="K759" s="566"/>
      <c r="L759" s="542" t="s">
        <v>649</v>
      </c>
      <c r="M759" s="547">
        <v>43038</v>
      </c>
      <c r="N759" s="547">
        <v>43086</v>
      </c>
      <c r="O759" s="544" t="s">
        <v>955</v>
      </c>
      <c r="P759" s="544"/>
      <c r="Q759" s="739" t="s">
        <v>1024</v>
      </c>
      <c r="R759" s="561" t="s">
        <v>778</v>
      </c>
      <c r="S759" s="319" t="s">
        <v>1176</v>
      </c>
      <c r="T759" s="317" t="s">
        <v>2872</v>
      </c>
    </row>
    <row r="760" spans="1:20" ht="20.100000000000001" customHeight="1">
      <c r="A760" s="1127" t="s">
        <v>2957</v>
      </c>
      <c r="B760" s="1169" t="s">
        <v>567</v>
      </c>
      <c r="C760" s="1169" t="s">
        <v>213</v>
      </c>
      <c r="D760" s="11">
        <v>890</v>
      </c>
      <c r="E760" s="11">
        <v>1530</v>
      </c>
      <c r="F760" s="11">
        <v>1530</v>
      </c>
      <c r="G760" s="55" t="s">
        <v>28</v>
      </c>
      <c r="H760" s="56" t="s">
        <v>2377</v>
      </c>
      <c r="I760" s="566" t="s">
        <v>16</v>
      </c>
      <c r="J760" s="569"/>
      <c r="K760" s="566" t="s">
        <v>2385</v>
      </c>
      <c r="L760" s="542" t="s">
        <v>2379</v>
      </c>
      <c r="M760" s="549">
        <v>43041</v>
      </c>
      <c r="N760" s="549">
        <v>43089</v>
      </c>
      <c r="O760" s="544" t="s">
        <v>955</v>
      </c>
      <c r="P760" s="544"/>
      <c r="Q760" s="7"/>
      <c r="R760" s="561" t="s">
        <v>2380</v>
      </c>
      <c r="S760" s="319"/>
      <c r="T760" s="317"/>
    </row>
    <row r="761" spans="1:20" ht="20.100000000000001" customHeight="1">
      <c r="A761" s="1127" t="s">
        <v>2957</v>
      </c>
      <c r="B761" s="1169" t="s">
        <v>567</v>
      </c>
      <c r="C761" s="1169" t="s">
        <v>213</v>
      </c>
      <c r="D761" s="32">
        <v>945</v>
      </c>
      <c r="E761" s="32">
        <v>1740</v>
      </c>
      <c r="F761" s="32">
        <v>1740</v>
      </c>
      <c r="G761" s="56" t="s">
        <v>33</v>
      </c>
      <c r="H761" s="55" t="s">
        <v>721</v>
      </c>
      <c r="I761" s="569" t="s">
        <v>23</v>
      </c>
      <c r="J761" s="569"/>
      <c r="K761" s="569" t="s">
        <v>743</v>
      </c>
      <c r="L761" s="557" t="s">
        <v>637</v>
      </c>
      <c r="M761" s="549">
        <v>43040</v>
      </c>
      <c r="N761" s="549">
        <v>43079</v>
      </c>
      <c r="O761" s="544" t="s">
        <v>955</v>
      </c>
      <c r="P761" s="545"/>
      <c r="Q761" s="683"/>
      <c r="R761" s="546" t="s">
        <v>2299</v>
      </c>
      <c r="S761" s="315" t="s">
        <v>2850</v>
      </c>
      <c r="T761" s="338"/>
    </row>
    <row r="762" spans="1:20" ht="20.100000000000001" customHeight="1">
      <c r="A762" s="732" t="s">
        <v>2957</v>
      </c>
      <c r="B762" s="573" t="s">
        <v>567</v>
      </c>
      <c r="C762" s="573" t="s">
        <v>383</v>
      </c>
      <c r="D762" s="525"/>
      <c r="E762" s="525"/>
      <c r="F762" s="525"/>
      <c r="G762" s="56"/>
      <c r="H762" s="36"/>
      <c r="I762" s="554"/>
      <c r="J762" s="559"/>
      <c r="K762" s="557"/>
      <c r="L762" s="570"/>
      <c r="M762" s="570"/>
      <c r="N762" s="547"/>
      <c r="O762" s="544"/>
      <c r="P762" s="553"/>
      <c r="Q762" s="10"/>
      <c r="R762" s="561"/>
      <c r="S762" s="325"/>
      <c r="T762" s="338"/>
    </row>
    <row r="763" spans="1:20" ht="20.100000000000001" customHeight="1">
      <c r="A763" s="1127" t="s">
        <v>2957</v>
      </c>
      <c r="B763" s="1169" t="s">
        <v>567</v>
      </c>
      <c r="C763" s="1169" t="s">
        <v>0</v>
      </c>
      <c r="D763" s="32">
        <v>945</v>
      </c>
      <c r="E763" s="32">
        <v>1690</v>
      </c>
      <c r="F763" s="32">
        <v>1690</v>
      </c>
      <c r="G763" s="56" t="s">
        <v>33</v>
      </c>
      <c r="H763" s="674" t="s">
        <v>729</v>
      </c>
      <c r="I763" s="569" t="s">
        <v>80</v>
      </c>
      <c r="J763" s="569"/>
      <c r="K763" s="569">
        <v>16</v>
      </c>
      <c r="L763" s="557" t="s">
        <v>637</v>
      </c>
      <c r="M763" s="549">
        <v>43040</v>
      </c>
      <c r="N763" s="549">
        <v>43079</v>
      </c>
      <c r="O763" s="544" t="s">
        <v>955</v>
      </c>
      <c r="P763" s="553"/>
      <c r="Q763" s="52"/>
      <c r="R763" s="546" t="s">
        <v>244</v>
      </c>
      <c r="S763" s="315" t="s">
        <v>2850</v>
      </c>
      <c r="T763" s="338"/>
    </row>
    <row r="764" spans="1:20" ht="20.100000000000001" customHeight="1">
      <c r="A764" s="1127" t="s">
        <v>2957</v>
      </c>
      <c r="B764" s="1169" t="s">
        <v>567</v>
      </c>
      <c r="C764" s="1169" t="s">
        <v>0</v>
      </c>
      <c r="D764" s="32">
        <v>670</v>
      </c>
      <c r="E764" s="32">
        <v>1340</v>
      </c>
      <c r="F764" s="32">
        <v>1340</v>
      </c>
      <c r="G764" s="48" t="s">
        <v>36</v>
      </c>
      <c r="H764" s="18" t="s">
        <v>658</v>
      </c>
      <c r="I764" s="542" t="s">
        <v>854</v>
      </c>
      <c r="J764" s="569"/>
      <c r="K764" s="569" t="s">
        <v>723</v>
      </c>
      <c r="L764" s="559" t="s">
        <v>649</v>
      </c>
      <c r="M764" s="551">
        <v>43070</v>
      </c>
      <c r="N764" s="551">
        <v>43084</v>
      </c>
      <c r="O764" s="544" t="s">
        <v>955</v>
      </c>
      <c r="P764" s="553"/>
      <c r="Q764" s="7"/>
      <c r="R764" s="561"/>
      <c r="S764" s="325"/>
      <c r="T764" s="317">
        <v>14</v>
      </c>
    </row>
    <row r="765" spans="1:20" ht="20.100000000000001" customHeight="1">
      <c r="A765" s="1127" t="s">
        <v>2957</v>
      </c>
      <c r="B765" s="1169" t="s">
        <v>567</v>
      </c>
      <c r="C765" s="1169" t="s">
        <v>0</v>
      </c>
      <c r="D765" s="730">
        <v>900</v>
      </c>
      <c r="E765" s="730">
        <v>1700</v>
      </c>
      <c r="F765" s="730">
        <v>1700</v>
      </c>
      <c r="G765" s="22" t="s">
        <v>29</v>
      </c>
      <c r="H765" s="36" t="s">
        <v>659</v>
      </c>
      <c r="I765" s="576" t="s">
        <v>23</v>
      </c>
      <c r="J765" s="567"/>
      <c r="K765" s="558">
        <v>15</v>
      </c>
      <c r="L765" s="557" t="s">
        <v>637</v>
      </c>
      <c r="M765" s="547">
        <v>43038</v>
      </c>
      <c r="N765" s="547">
        <v>43072</v>
      </c>
      <c r="O765" s="544" t="s">
        <v>955</v>
      </c>
      <c r="P765" s="544"/>
      <c r="Q765" s="7"/>
      <c r="R765" s="546" t="s">
        <v>191</v>
      </c>
      <c r="S765" s="319" t="s">
        <v>1176</v>
      </c>
      <c r="T765" s="338" t="s">
        <v>1988</v>
      </c>
    </row>
    <row r="766" spans="1:20" ht="20.100000000000001" customHeight="1">
      <c r="A766" s="1127" t="s">
        <v>2957</v>
      </c>
      <c r="B766" s="1169" t="s">
        <v>567</v>
      </c>
      <c r="C766" s="1169" t="s">
        <v>0</v>
      </c>
      <c r="D766" s="62">
        <v>1125</v>
      </c>
      <c r="E766" s="62">
        <v>2050</v>
      </c>
      <c r="F766" s="62">
        <v>2050</v>
      </c>
      <c r="G766" s="48" t="s">
        <v>13</v>
      </c>
      <c r="H766" s="48" t="s">
        <v>760</v>
      </c>
      <c r="I766" s="558" t="s">
        <v>16</v>
      </c>
      <c r="J766" s="558"/>
      <c r="K766" s="558">
        <v>26</v>
      </c>
      <c r="L766" s="557" t="s">
        <v>637</v>
      </c>
      <c r="M766" s="6">
        <v>43070</v>
      </c>
      <c r="N766" s="6">
        <v>43100</v>
      </c>
      <c r="O766" s="544" t="s">
        <v>955</v>
      </c>
      <c r="P766" s="553"/>
      <c r="Q766" s="677"/>
      <c r="R766" s="546" t="s">
        <v>1958</v>
      </c>
      <c r="S766" s="319" t="s">
        <v>1176</v>
      </c>
      <c r="T766" s="338" t="s">
        <v>2875</v>
      </c>
    </row>
    <row r="767" spans="1:20" ht="20.100000000000001" customHeight="1">
      <c r="A767" s="1127" t="s">
        <v>2957</v>
      </c>
      <c r="B767" s="1169" t="s">
        <v>567</v>
      </c>
      <c r="C767" s="1169" t="s">
        <v>0</v>
      </c>
      <c r="D767" s="32">
        <v>1000</v>
      </c>
      <c r="E767" s="32">
        <v>1900</v>
      </c>
      <c r="F767" s="32">
        <v>1900</v>
      </c>
      <c r="G767" s="224" t="s">
        <v>814</v>
      </c>
      <c r="H767" s="56" t="s">
        <v>681</v>
      </c>
      <c r="I767" s="566" t="s">
        <v>23</v>
      </c>
      <c r="J767" s="569"/>
      <c r="K767" s="566"/>
      <c r="L767" s="542" t="s">
        <v>649</v>
      </c>
      <c r="M767" s="547">
        <v>43038</v>
      </c>
      <c r="N767" s="547">
        <v>43086</v>
      </c>
      <c r="O767" s="544" t="s">
        <v>955</v>
      </c>
      <c r="P767" s="544"/>
      <c r="Q767" s="739" t="s">
        <v>1024</v>
      </c>
      <c r="R767" s="561" t="s">
        <v>778</v>
      </c>
      <c r="S767" s="319" t="s">
        <v>1176</v>
      </c>
      <c r="T767" s="317" t="s">
        <v>2872</v>
      </c>
    </row>
    <row r="768" spans="1:20" ht="20.100000000000001" customHeight="1">
      <c r="A768" s="1127" t="s">
        <v>2957</v>
      </c>
      <c r="B768" s="1169" t="s">
        <v>567</v>
      </c>
      <c r="C768" s="1169" t="s">
        <v>0</v>
      </c>
      <c r="D768" s="32">
        <v>640</v>
      </c>
      <c r="E768" s="32">
        <v>1280</v>
      </c>
      <c r="F768" s="32">
        <v>1280</v>
      </c>
      <c r="G768" s="36" t="s">
        <v>2376</v>
      </c>
      <c r="H768" s="56" t="s">
        <v>2377</v>
      </c>
      <c r="I768" s="566" t="s">
        <v>23</v>
      </c>
      <c r="J768" s="569"/>
      <c r="K768" s="566" t="s">
        <v>2387</v>
      </c>
      <c r="L768" s="542" t="s">
        <v>2388</v>
      </c>
      <c r="M768" s="549">
        <v>43041</v>
      </c>
      <c r="N768" s="549">
        <v>43089</v>
      </c>
      <c r="O768" s="544" t="s">
        <v>955</v>
      </c>
      <c r="P768" s="544"/>
      <c r="Q768" s="683"/>
      <c r="R768" s="561" t="s">
        <v>2389</v>
      </c>
      <c r="S768" s="319"/>
      <c r="T768" s="317"/>
    </row>
    <row r="769" spans="1:20" ht="20.100000000000001" customHeight="1">
      <c r="A769" s="1127" t="s">
        <v>2957</v>
      </c>
      <c r="B769" s="1169" t="s">
        <v>567</v>
      </c>
      <c r="C769" s="1169" t="s">
        <v>77</v>
      </c>
      <c r="D769" s="273">
        <v>1435</v>
      </c>
      <c r="E769" s="273">
        <v>2620</v>
      </c>
      <c r="F769" s="273">
        <v>2620</v>
      </c>
      <c r="G769" s="55" t="s">
        <v>37</v>
      </c>
      <c r="H769" s="48" t="s">
        <v>1875</v>
      </c>
      <c r="I769" s="558" t="s">
        <v>16</v>
      </c>
      <c r="J769" s="557"/>
      <c r="K769" s="558" t="s">
        <v>680</v>
      </c>
      <c r="L769" s="557" t="s">
        <v>637</v>
      </c>
      <c r="M769" s="543">
        <v>43040</v>
      </c>
      <c r="N769" s="543">
        <v>43084</v>
      </c>
      <c r="O769" s="544" t="s">
        <v>955</v>
      </c>
      <c r="P769" s="553"/>
      <c r="Q769" s="7"/>
      <c r="R769" s="546" t="s">
        <v>1876</v>
      </c>
      <c r="S769" s="319" t="s">
        <v>1176</v>
      </c>
      <c r="T769" s="338"/>
    </row>
    <row r="770" spans="1:20" ht="20.100000000000001" customHeight="1">
      <c r="A770" s="1127" t="s">
        <v>2957</v>
      </c>
      <c r="B770" s="1169" t="s">
        <v>567</v>
      </c>
      <c r="C770" s="1169" t="s">
        <v>77</v>
      </c>
      <c r="D770" s="32">
        <v>670</v>
      </c>
      <c r="E770" s="32">
        <v>1240</v>
      </c>
      <c r="F770" s="32">
        <v>1240</v>
      </c>
      <c r="G770" s="55" t="s">
        <v>36</v>
      </c>
      <c r="H770" s="18" t="s">
        <v>658</v>
      </c>
      <c r="I770" s="542" t="s">
        <v>854</v>
      </c>
      <c r="J770" s="569"/>
      <c r="K770" s="569" t="s">
        <v>723</v>
      </c>
      <c r="L770" s="559" t="s">
        <v>649</v>
      </c>
      <c r="M770" s="551">
        <v>43070</v>
      </c>
      <c r="N770" s="551">
        <v>43084</v>
      </c>
      <c r="O770" s="544" t="s">
        <v>955</v>
      </c>
      <c r="P770" s="553"/>
      <c r="Q770" s="7"/>
      <c r="R770" s="546"/>
      <c r="S770" s="319"/>
      <c r="T770" s="317">
        <v>14</v>
      </c>
    </row>
    <row r="771" spans="1:20" ht="20.100000000000001" customHeight="1">
      <c r="A771" s="1127" t="s">
        <v>2957</v>
      </c>
      <c r="B771" s="1169" t="s">
        <v>567</v>
      </c>
      <c r="C771" s="1169" t="s">
        <v>77</v>
      </c>
      <c r="D771" s="273">
        <v>950</v>
      </c>
      <c r="E771" s="273">
        <v>1800</v>
      </c>
      <c r="F771" s="273">
        <v>1800</v>
      </c>
      <c r="G771" s="22" t="s">
        <v>29</v>
      </c>
      <c r="H771" s="36" t="s">
        <v>659</v>
      </c>
      <c r="I771" s="559" t="s">
        <v>23</v>
      </c>
      <c r="J771" s="559"/>
      <c r="K771" s="557">
        <v>15</v>
      </c>
      <c r="L771" s="557" t="s">
        <v>637</v>
      </c>
      <c r="M771" s="547">
        <v>43038</v>
      </c>
      <c r="N771" s="547">
        <v>43072</v>
      </c>
      <c r="O771" s="544" t="s">
        <v>955</v>
      </c>
      <c r="P771" s="544"/>
      <c r="Q771" s="7"/>
      <c r="R771" s="546" t="s">
        <v>191</v>
      </c>
      <c r="S771" s="319" t="s">
        <v>1176</v>
      </c>
      <c r="T771" s="338" t="s">
        <v>1988</v>
      </c>
    </row>
    <row r="772" spans="1:20" ht="20.100000000000001" customHeight="1">
      <c r="A772" s="1127" t="s">
        <v>2957</v>
      </c>
      <c r="B772" s="1169" t="s">
        <v>567</v>
      </c>
      <c r="C772" s="1169" t="s">
        <v>77</v>
      </c>
      <c r="D772" s="62">
        <v>1125</v>
      </c>
      <c r="E772" s="62">
        <v>2050</v>
      </c>
      <c r="F772" s="62">
        <v>2050</v>
      </c>
      <c r="G772" s="56" t="s">
        <v>13</v>
      </c>
      <c r="H772" s="48" t="s">
        <v>760</v>
      </c>
      <c r="I772" s="558" t="s">
        <v>16</v>
      </c>
      <c r="J772" s="558"/>
      <c r="K772" s="558"/>
      <c r="L772" s="557" t="s">
        <v>637</v>
      </c>
      <c r="M772" s="6">
        <v>43070</v>
      </c>
      <c r="N772" s="6">
        <v>43100</v>
      </c>
      <c r="O772" s="544" t="s">
        <v>955</v>
      </c>
      <c r="P772" s="553"/>
      <c r="Q772" s="677"/>
      <c r="R772" s="546" t="s">
        <v>1958</v>
      </c>
      <c r="S772" s="319" t="s">
        <v>1176</v>
      </c>
      <c r="T772" s="338" t="s">
        <v>2875</v>
      </c>
    </row>
    <row r="773" spans="1:20" ht="20.100000000000001" customHeight="1">
      <c r="A773" s="1127" t="s">
        <v>2957</v>
      </c>
      <c r="B773" s="1169" t="s">
        <v>567</v>
      </c>
      <c r="C773" s="1169" t="s">
        <v>77</v>
      </c>
      <c r="D773" s="525">
        <v>900</v>
      </c>
      <c r="E773" s="525">
        <v>1700</v>
      </c>
      <c r="F773" s="525">
        <v>1700</v>
      </c>
      <c r="G773" s="224" t="s">
        <v>814</v>
      </c>
      <c r="H773" s="56" t="s">
        <v>681</v>
      </c>
      <c r="I773" s="566" t="s">
        <v>23</v>
      </c>
      <c r="J773" s="569"/>
      <c r="K773" s="566"/>
      <c r="L773" s="542" t="s">
        <v>649</v>
      </c>
      <c r="M773" s="547">
        <v>43038</v>
      </c>
      <c r="N773" s="547">
        <v>43086</v>
      </c>
      <c r="O773" s="544" t="s">
        <v>955</v>
      </c>
      <c r="P773" s="544"/>
      <c r="Q773" s="739" t="s">
        <v>1024</v>
      </c>
      <c r="R773" s="561" t="s">
        <v>778</v>
      </c>
      <c r="S773" s="319" t="s">
        <v>1176</v>
      </c>
      <c r="T773" s="317" t="s">
        <v>2872</v>
      </c>
    </row>
    <row r="774" spans="1:20" ht="20.100000000000001" customHeight="1">
      <c r="A774" s="1127" t="s">
        <v>2957</v>
      </c>
      <c r="B774" s="1169" t="s">
        <v>567</v>
      </c>
      <c r="C774" s="1169" t="s">
        <v>77</v>
      </c>
      <c r="D774" s="525">
        <v>1020</v>
      </c>
      <c r="E774" s="525">
        <v>1780</v>
      </c>
      <c r="F774" s="525">
        <v>1780</v>
      </c>
      <c r="G774" s="36" t="s">
        <v>2376</v>
      </c>
      <c r="H774" s="56" t="s">
        <v>2377</v>
      </c>
      <c r="I774" s="566" t="s">
        <v>23</v>
      </c>
      <c r="J774" s="569"/>
      <c r="K774" s="566" t="s">
        <v>2387</v>
      </c>
      <c r="L774" s="542" t="s">
        <v>2388</v>
      </c>
      <c r="M774" s="549">
        <v>43041</v>
      </c>
      <c r="N774" s="549">
        <v>43089</v>
      </c>
      <c r="O774" s="544" t="s">
        <v>955</v>
      </c>
      <c r="P774" s="544"/>
      <c r="Q774" s="683"/>
      <c r="R774" s="561" t="s">
        <v>2389</v>
      </c>
      <c r="S774" s="319"/>
      <c r="T774" s="317"/>
    </row>
    <row r="775" spans="1:20" ht="20.100000000000001" customHeight="1">
      <c r="A775" s="1127" t="s">
        <v>2957</v>
      </c>
      <c r="B775" s="1169" t="s">
        <v>567</v>
      </c>
      <c r="C775" s="1169" t="s">
        <v>77</v>
      </c>
      <c r="D775" s="525">
        <v>995</v>
      </c>
      <c r="E775" s="525">
        <v>1440</v>
      </c>
      <c r="F775" s="525">
        <v>1440</v>
      </c>
      <c r="G775" s="48" t="s">
        <v>33</v>
      </c>
      <c r="H775" s="674" t="s">
        <v>721</v>
      </c>
      <c r="I775" s="542" t="s">
        <v>23</v>
      </c>
      <c r="J775" s="576"/>
      <c r="K775" s="567">
        <v>21</v>
      </c>
      <c r="L775" s="557" t="s">
        <v>637</v>
      </c>
      <c r="M775" s="549">
        <v>43040</v>
      </c>
      <c r="N775" s="549">
        <v>43079</v>
      </c>
      <c r="O775" s="544" t="s">
        <v>955</v>
      </c>
      <c r="P775" s="553"/>
      <c r="Q775" s="683"/>
      <c r="R775" s="561" t="s">
        <v>1655</v>
      </c>
      <c r="S775" s="315" t="s">
        <v>2850</v>
      </c>
      <c r="T775" s="338"/>
    </row>
    <row r="776" spans="1:20" ht="20.100000000000001" customHeight="1">
      <c r="A776" s="1127" t="s">
        <v>2957</v>
      </c>
      <c r="B776" s="1169" t="s">
        <v>567</v>
      </c>
      <c r="C776" s="1169" t="s">
        <v>77</v>
      </c>
      <c r="D776" s="525">
        <v>815</v>
      </c>
      <c r="E776" s="525">
        <v>1520</v>
      </c>
      <c r="F776" s="525">
        <v>1520</v>
      </c>
      <c r="G776" s="48" t="s">
        <v>62</v>
      </c>
      <c r="H776" s="56" t="s">
        <v>706</v>
      </c>
      <c r="I776" s="566" t="s">
        <v>16</v>
      </c>
      <c r="J776" s="569"/>
      <c r="K776" s="566" t="s">
        <v>723</v>
      </c>
      <c r="L776" s="542" t="s">
        <v>639</v>
      </c>
      <c r="M776" s="549">
        <v>43039</v>
      </c>
      <c r="N776" s="549">
        <v>43086</v>
      </c>
      <c r="O776" s="544" t="s">
        <v>955</v>
      </c>
      <c r="P776" s="553"/>
      <c r="Q776" s="7"/>
      <c r="R776" s="546" t="s">
        <v>164</v>
      </c>
      <c r="S776" s="315" t="s">
        <v>2864</v>
      </c>
      <c r="T776" s="338"/>
    </row>
    <row r="777" spans="1:20" ht="20.100000000000001" customHeight="1">
      <c r="A777" s="1127" t="s">
        <v>2958</v>
      </c>
      <c r="B777" s="1169" t="s">
        <v>567</v>
      </c>
      <c r="C777" s="1169" t="s">
        <v>270</v>
      </c>
      <c r="D777" s="11">
        <v>895</v>
      </c>
      <c r="E777" s="11">
        <v>2040</v>
      </c>
      <c r="F777" s="11">
        <v>2040</v>
      </c>
      <c r="G777" s="56" t="s">
        <v>33</v>
      </c>
      <c r="H777" s="674" t="s">
        <v>729</v>
      </c>
      <c r="I777" s="569" t="s">
        <v>80</v>
      </c>
      <c r="J777" s="569"/>
      <c r="K777" s="569">
        <v>16</v>
      </c>
      <c r="L777" s="557" t="s">
        <v>637</v>
      </c>
      <c r="M777" s="549">
        <v>43040</v>
      </c>
      <c r="N777" s="549">
        <v>43079</v>
      </c>
      <c r="O777" s="544" t="s">
        <v>955</v>
      </c>
      <c r="P777" s="553"/>
      <c r="Q777" s="52"/>
      <c r="R777" s="561" t="s">
        <v>244</v>
      </c>
      <c r="S777" s="315" t="s">
        <v>2850</v>
      </c>
      <c r="T777" s="338"/>
    </row>
    <row r="778" spans="1:20" ht="20.100000000000001" customHeight="1">
      <c r="A778" s="1127" t="s">
        <v>2957</v>
      </c>
      <c r="B778" s="1169" t="s">
        <v>567</v>
      </c>
      <c r="C778" s="1169" t="s">
        <v>270</v>
      </c>
      <c r="D778" s="32">
        <v>785</v>
      </c>
      <c r="E778" s="32"/>
      <c r="F778" s="32">
        <v>1570</v>
      </c>
      <c r="G778" s="628" t="s">
        <v>231</v>
      </c>
      <c r="H778" s="56" t="s">
        <v>634</v>
      </c>
      <c r="I778" s="569" t="s">
        <v>23</v>
      </c>
      <c r="J778" s="569"/>
      <c r="K778" s="569" t="s">
        <v>723</v>
      </c>
      <c r="L778" s="557" t="s">
        <v>637</v>
      </c>
      <c r="M778" s="547">
        <v>43040</v>
      </c>
      <c r="N778" s="547">
        <v>43087</v>
      </c>
      <c r="O778" s="544" t="s">
        <v>955</v>
      </c>
      <c r="P778" s="553"/>
      <c r="Q778" s="53"/>
      <c r="R778" s="561" t="s">
        <v>1480</v>
      </c>
      <c r="S778" s="325"/>
      <c r="T778" s="338" t="s">
        <v>1988</v>
      </c>
    </row>
    <row r="779" spans="1:20" ht="20.100000000000001" customHeight="1">
      <c r="A779" s="1127" t="s">
        <v>2958</v>
      </c>
      <c r="B779" s="1169" t="s">
        <v>567</v>
      </c>
      <c r="C779" s="1169" t="s">
        <v>270</v>
      </c>
      <c r="D779" s="11">
        <v>950</v>
      </c>
      <c r="E779" s="11">
        <v>1730</v>
      </c>
      <c r="F779" s="11">
        <v>1730</v>
      </c>
      <c r="G779" s="55" t="s">
        <v>2376</v>
      </c>
      <c r="H779" s="56" t="s">
        <v>2381</v>
      </c>
      <c r="I779" s="558" t="s">
        <v>16</v>
      </c>
      <c r="J779" s="569"/>
      <c r="K779" s="566" t="s">
        <v>2382</v>
      </c>
      <c r="L779" s="559" t="s">
        <v>2383</v>
      </c>
      <c r="M779" s="549">
        <v>43041</v>
      </c>
      <c r="N779" s="549">
        <v>43089</v>
      </c>
      <c r="O779" s="544" t="s">
        <v>955</v>
      </c>
      <c r="P779" s="553"/>
      <c r="Q779" s="52"/>
      <c r="R779" s="546" t="s">
        <v>2384</v>
      </c>
      <c r="S779" s="319"/>
      <c r="T779" s="317"/>
    </row>
    <row r="780" spans="1:20" ht="20.100000000000001" customHeight="1">
      <c r="A780" s="1127" t="s">
        <v>2958</v>
      </c>
      <c r="B780" s="1169" t="s">
        <v>567</v>
      </c>
      <c r="C780" s="1169" t="s">
        <v>270</v>
      </c>
      <c r="D780" s="32">
        <v>670</v>
      </c>
      <c r="E780" s="32">
        <v>1340</v>
      </c>
      <c r="F780" s="32">
        <v>1340</v>
      </c>
      <c r="G780" s="48" t="s">
        <v>36</v>
      </c>
      <c r="H780" s="18" t="s">
        <v>658</v>
      </c>
      <c r="I780" s="542" t="s">
        <v>854</v>
      </c>
      <c r="J780" s="569"/>
      <c r="K780" s="569" t="s">
        <v>723</v>
      </c>
      <c r="L780" s="559" t="s">
        <v>649</v>
      </c>
      <c r="M780" s="551">
        <v>43070</v>
      </c>
      <c r="N780" s="551">
        <v>43084</v>
      </c>
      <c r="O780" s="544" t="s">
        <v>955</v>
      </c>
      <c r="P780" s="553"/>
      <c r="Q780" s="7"/>
      <c r="R780" s="561"/>
      <c r="S780" s="325"/>
      <c r="T780" s="317">
        <v>14</v>
      </c>
    </row>
    <row r="781" spans="1:20" ht="20.100000000000001" customHeight="1">
      <c r="A781" s="1127" t="s">
        <v>2958</v>
      </c>
      <c r="B781" s="1169" t="s">
        <v>567</v>
      </c>
      <c r="C781" s="1169" t="s">
        <v>270</v>
      </c>
      <c r="D781" s="62">
        <v>900</v>
      </c>
      <c r="E781" s="62">
        <v>1900</v>
      </c>
      <c r="F781" s="62">
        <v>1900</v>
      </c>
      <c r="G781" s="48" t="s">
        <v>13</v>
      </c>
      <c r="H781" s="48" t="s">
        <v>760</v>
      </c>
      <c r="I781" s="558" t="s">
        <v>16</v>
      </c>
      <c r="J781" s="558"/>
      <c r="K781" s="558"/>
      <c r="L781" s="557" t="s">
        <v>637</v>
      </c>
      <c r="M781" s="6">
        <v>43047</v>
      </c>
      <c r="N781" s="6">
        <v>43100</v>
      </c>
      <c r="O781" s="544" t="s">
        <v>955</v>
      </c>
      <c r="P781" s="553"/>
      <c r="Q781" s="677"/>
      <c r="R781" s="546" t="s">
        <v>1958</v>
      </c>
      <c r="S781" s="319" t="s">
        <v>1176</v>
      </c>
      <c r="T781" s="338" t="s">
        <v>2875</v>
      </c>
    </row>
    <row r="782" spans="1:20" ht="20.100000000000001" customHeight="1">
      <c r="A782" s="1127" t="s">
        <v>2958</v>
      </c>
      <c r="B782" s="1169" t="s">
        <v>567</v>
      </c>
      <c r="C782" s="1169" t="s">
        <v>270</v>
      </c>
      <c r="D782" s="731">
        <v>850</v>
      </c>
      <c r="E782" s="731">
        <v>1700</v>
      </c>
      <c r="F782" s="731">
        <v>1700</v>
      </c>
      <c r="G782" s="22" t="s">
        <v>29</v>
      </c>
      <c r="H782" s="36" t="s">
        <v>659</v>
      </c>
      <c r="I782" s="576" t="s">
        <v>23</v>
      </c>
      <c r="J782" s="576"/>
      <c r="K782" s="558">
        <v>15</v>
      </c>
      <c r="L782" s="557" t="s">
        <v>637</v>
      </c>
      <c r="M782" s="547">
        <v>43038</v>
      </c>
      <c r="N782" s="547">
        <v>43072</v>
      </c>
      <c r="O782" s="544" t="s">
        <v>955</v>
      </c>
      <c r="P782" s="544"/>
      <c r="Q782" s="7"/>
      <c r="R782" s="546" t="s">
        <v>191</v>
      </c>
      <c r="S782" s="319" t="s">
        <v>1176</v>
      </c>
      <c r="T782" s="338" t="s">
        <v>1988</v>
      </c>
    </row>
    <row r="783" spans="1:20" ht="20.100000000000001" customHeight="1">
      <c r="A783" s="1127" t="s">
        <v>2958</v>
      </c>
      <c r="B783" s="1169" t="s">
        <v>567</v>
      </c>
      <c r="C783" s="1169" t="s">
        <v>270</v>
      </c>
      <c r="D783" s="32">
        <v>825</v>
      </c>
      <c r="E783" s="32">
        <v>1650</v>
      </c>
      <c r="F783" s="32">
        <v>1650</v>
      </c>
      <c r="G783" s="224" t="s">
        <v>814</v>
      </c>
      <c r="H783" s="56" t="s">
        <v>681</v>
      </c>
      <c r="I783" s="566" t="s">
        <v>23</v>
      </c>
      <c r="J783" s="569"/>
      <c r="K783" s="566"/>
      <c r="L783" s="542" t="s">
        <v>649</v>
      </c>
      <c r="M783" s="547">
        <v>43038</v>
      </c>
      <c r="N783" s="547">
        <v>43086</v>
      </c>
      <c r="O783" s="544" t="s">
        <v>955</v>
      </c>
      <c r="P783" s="544"/>
      <c r="Q783" s="739" t="s">
        <v>1024</v>
      </c>
      <c r="R783" s="561" t="s">
        <v>778</v>
      </c>
      <c r="S783" s="319" t="s">
        <v>1176</v>
      </c>
      <c r="T783" s="317" t="s">
        <v>2872</v>
      </c>
    </row>
    <row r="784" spans="1:20" ht="20.100000000000001" customHeight="1">
      <c r="A784" s="1127" t="s">
        <v>2958</v>
      </c>
      <c r="B784" s="1169" t="s">
        <v>567</v>
      </c>
      <c r="C784" s="1169" t="s">
        <v>270</v>
      </c>
      <c r="D784" s="32">
        <v>990</v>
      </c>
      <c r="E784" s="32">
        <v>1830</v>
      </c>
      <c r="F784" s="32">
        <v>1830</v>
      </c>
      <c r="G784" s="55" t="s">
        <v>2376</v>
      </c>
      <c r="H784" s="56" t="s">
        <v>2377</v>
      </c>
      <c r="I784" s="566" t="s">
        <v>16</v>
      </c>
      <c r="J784" s="569"/>
      <c r="K784" s="566" t="s">
        <v>2382</v>
      </c>
      <c r="L784" s="542" t="s">
        <v>2379</v>
      </c>
      <c r="M784" s="549">
        <v>43041</v>
      </c>
      <c r="N784" s="549">
        <v>43089</v>
      </c>
      <c r="O784" s="544" t="s">
        <v>955</v>
      </c>
      <c r="P784" s="544"/>
      <c r="Q784" s="7"/>
      <c r="R784" s="561" t="s">
        <v>2380</v>
      </c>
      <c r="S784" s="319"/>
      <c r="T784" s="317"/>
    </row>
    <row r="785" spans="1:20" ht="20.100000000000001" customHeight="1">
      <c r="A785" s="1127" t="s">
        <v>2958</v>
      </c>
      <c r="B785" s="1169" t="s">
        <v>567</v>
      </c>
      <c r="C785" s="1169" t="s">
        <v>270</v>
      </c>
      <c r="D785" s="525">
        <v>975</v>
      </c>
      <c r="E785" s="525">
        <v>2010</v>
      </c>
      <c r="F785" s="525">
        <v>2010</v>
      </c>
      <c r="G785" s="48" t="s">
        <v>62</v>
      </c>
      <c r="H785" s="56" t="s">
        <v>706</v>
      </c>
      <c r="I785" s="566" t="s">
        <v>16</v>
      </c>
      <c r="J785" s="569"/>
      <c r="K785" s="566" t="s">
        <v>723</v>
      </c>
      <c r="L785" s="542" t="s">
        <v>639</v>
      </c>
      <c r="M785" s="549">
        <v>43039</v>
      </c>
      <c r="N785" s="549">
        <v>43086</v>
      </c>
      <c r="O785" s="544" t="s">
        <v>955</v>
      </c>
      <c r="P785" s="553"/>
      <c r="Q785" s="7"/>
      <c r="R785" s="546" t="s">
        <v>164</v>
      </c>
      <c r="S785" s="315" t="s">
        <v>2864</v>
      </c>
      <c r="T785" s="338"/>
    </row>
    <row r="786" spans="1:20" ht="20.100000000000001" customHeight="1">
      <c r="A786" s="1127" t="s">
        <v>2957</v>
      </c>
      <c r="B786" s="1169" t="s">
        <v>567</v>
      </c>
      <c r="C786" s="1169" t="s">
        <v>380</v>
      </c>
      <c r="D786" s="525">
        <v>1085</v>
      </c>
      <c r="E786" s="525"/>
      <c r="F786" s="525">
        <v>2170</v>
      </c>
      <c r="G786" s="628" t="s">
        <v>231</v>
      </c>
      <c r="H786" s="56" t="s">
        <v>634</v>
      </c>
      <c r="I786" s="569" t="s">
        <v>23</v>
      </c>
      <c r="J786" s="569"/>
      <c r="K786" s="569" t="s">
        <v>723</v>
      </c>
      <c r="L786" s="557" t="s">
        <v>637</v>
      </c>
      <c r="M786" s="547">
        <v>43040</v>
      </c>
      <c r="N786" s="547">
        <v>43087</v>
      </c>
      <c r="O786" s="544" t="s">
        <v>955</v>
      </c>
      <c r="P786" s="553"/>
      <c r="Q786" s="53"/>
      <c r="R786" s="561" t="s">
        <v>1480</v>
      </c>
      <c r="S786" s="325"/>
      <c r="T786" s="338" t="s">
        <v>1988</v>
      </c>
    </row>
    <row r="787" spans="1:20" ht="20.100000000000001" customHeight="1">
      <c r="A787" s="1127" t="s">
        <v>2957</v>
      </c>
      <c r="B787" s="1169" t="s">
        <v>567</v>
      </c>
      <c r="C787" s="1169" t="s">
        <v>380</v>
      </c>
      <c r="D787" s="273">
        <v>1435</v>
      </c>
      <c r="E787" s="273">
        <v>2720</v>
      </c>
      <c r="F787" s="273">
        <v>2720</v>
      </c>
      <c r="G787" s="55" t="s">
        <v>37</v>
      </c>
      <c r="H787" s="48" t="s">
        <v>1875</v>
      </c>
      <c r="I787" s="558" t="s">
        <v>16</v>
      </c>
      <c r="J787" s="557"/>
      <c r="K787" s="558" t="s">
        <v>727</v>
      </c>
      <c r="L787" s="557" t="s">
        <v>637</v>
      </c>
      <c r="M787" s="543">
        <v>43040</v>
      </c>
      <c r="N787" s="543">
        <v>43084</v>
      </c>
      <c r="O787" s="544" t="s">
        <v>955</v>
      </c>
      <c r="P787" s="553"/>
      <c r="Q787" s="7"/>
      <c r="R787" s="546" t="s">
        <v>1876</v>
      </c>
      <c r="S787" s="319" t="s">
        <v>1176</v>
      </c>
      <c r="T787" s="338"/>
    </row>
    <row r="788" spans="1:20" ht="20.100000000000001" customHeight="1">
      <c r="A788" s="1127" t="s">
        <v>2957</v>
      </c>
      <c r="B788" s="1169" t="s">
        <v>567</v>
      </c>
      <c r="C788" s="1169" t="s">
        <v>380</v>
      </c>
      <c r="D788" s="32">
        <v>670</v>
      </c>
      <c r="E788" s="32">
        <v>1240</v>
      </c>
      <c r="F788" s="32">
        <v>1240</v>
      </c>
      <c r="G788" s="55" t="s">
        <v>36</v>
      </c>
      <c r="H788" s="18" t="s">
        <v>658</v>
      </c>
      <c r="I788" s="542" t="s">
        <v>854</v>
      </c>
      <c r="J788" s="569"/>
      <c r="K788" s="569" t="s">
        <v>723</v>
      </c>
      <c r="L788" s="559" t="s">
        <v>649</v>
      </c>
      <c r="M788" s="551">
        <v>43070</v>
      </c>
      <c r="N788" s="551">
        <v>43084</v>
      </c>
      <c r="O788" s="544" t="s">
        <v>955</v>
      </c>
      <c r="P788" s="553"/>
      <c r="Q788" s="7"/>
      <c r="R788" s="546"/>
      <c r="S788" s="319"/>
      <c r="T788" s="317">
        <v>14</v>
      </c>
    </row>
    <row r="789" spans="1:20" ht="20.100000000000001" customHeight="1">
      <c r="A789" s="1127" t="s">
        <v>2957</v>
      </c>
      <c r="B789" s="1169" t="s">
        <v>567</v>
      </c>
      <c r="C789" s="1169" t="s">
        <v>380</v>
      </c>
      <c r="D789" s="525">
        <v>845</v>
      </c>
      <c r="E789" s="525">
        <v>1440</v>
      </c>
      <c r="F789" s="525">
        <v>1440</v>
      </c>
      <c r="G789" s="56" t="s">
        <v>33</v>
      </c>
      <c r="H789" s="674" t="s">
        <v>659</v>
      </c>
      <c r="I789" s="542" t="s">
        <v>27</v>
      </c>
      <c r="J789" s="569"/>
      <c r="K789" s="569">
        <v>16</v>
      </c>
      <c r="L789" s="557" t="s">
        <v>637</v>
      </c>
      <c r="M789" s="549">
        <v>43040</v>
      </c>
      <c r="N789" s="549">
        <v>43079</v>
      </c>
      <c r="O789" s="544" t="s">
        <v>955</v>
      </c>
      <c r="P789" s="553"/>
      <c r="Q789" s="53"/>
      <c r="R789" s="561" t="s">
        <v>243</v>
      </c>
      <c r="S789" s="315" t="s">
        <v>2850</v>
      </c>
      <c r="T789" s="338"/>
    </row>
    <row r="790" spans="1:20" ht="20.100000000000001" customHeight="1">
      <c r="A790" s="1127" t="s">
        <v>2957</v>
      </c>
      <c r="B790" s="1169" t="s">
        <v>567</v>
      </c>
      <c r="C790" s="1169" t="s">
        <v>380</v>
      </c>
      <c r="D790" s="273">
        <v>850</v>
      </c>
      <c r="E790" s="273">
        <v>1500</v>
      </c>
      <c r="F790" s="273">
        <v>1500</v>
      </c>
      <c r="G790" s="22" t="s">
        <v>29</v>
      </c>
      <c r="H790" s="36" t="s">
        <v>659</v>
      </c>
      <c r="I790" s="559" t="s">
        <v>23</v>
      </c>
      <c r="J790" s="559"/>
      <c r="K790" s="557">
        <v>15</v>
      </c>
      <c r="L790" s="557" t="s">
        <v>637</v>
      </c>
      <c r="M790" s="547">
        <v>43038</v>
      </c>
      <c r="N790" s="547">
        <v>43072</v>
      </c>
      <c r="O790" s="544" t="s">
        <v>955</v>
      </c>
      <c r="P790" s="544"/>
      <c r="Q790" s="7"/>
      <c r="R790" s="546" t="s">
        <v>191</v>
      </c>
      <c r="S790" s="319" t="s">
        <v>1176</v>
      </c>
      <c r="T790" s="338" t="s">
        <v>1988</v>
      </c>
    </row>
    <row r="791" spans="1:20" ht="20.100000000000001" customHeight="1">
      <c r="A791" s="1127" t="s">
        <v>2957</v>
      </c>
      <c r="B791" s="1169" t="s">
        <v>567</v>
      </c>
      <c r="C791" s="1169" t="s">
        <v>380</v>
      </c>
      <c r="D791" s="62">
        <v>1125</v>
      </c>
      <c r="E791" s="62">
        <v>2050</v>
      </c>
      <c r="F791" s="62">
        <v>2050</v>
      </c>
      <c r="G791" s="56" t="s">
        <v>13</v>
      </c>
      <c r="H791" s="48" t="s">
        <v>760</v>
      </c>
      <c r="I791" s="558" t="s">
        <v>16</v>
      </c>
      <c r="J791" s="558"/>
      <c r="K791" s="558"/>
      <c r="L791" s="557" t="s">
        <v>637</v>
      </c>
      <c r="M791" s="6">
        <v>43070</v>
      </c>
      <c r="N791" s="6">
        <v>43100</v>
      </c>
      <c r="O791" s="544" t="s">
        <v>955</v>
      </c>
      <c r="P791" s="553"/>
      <c r="Q791" s="677"/>
      <c r="R791" s="546" t="s">
        <v>1958</v>
      </c>
      <c r="S791" s="319" t="s">
        <v>1176</v>
      </c>
      <c r="T791" s="338" t="s">
        <v>2875</v>
      </c>
    </row>
    <row r="792" spans="1:20" ht="20.100000000000001" customHeight="1">
      <c r="A792" s="1127" t="s">
        <v>2957</v>
      </c>
      <c r="B792" s="1169" t="s">
        <v>567</v>
      </c>
      <c r="C792" s="1169" t="s">
        <v>380</v>
      </c>
      <c r="D792" s="526">
        <v>815</v>
      </c>
      <c r="E792" s="526">
        <v>1380</v>
      </c>
      <c r="F792" s="526">
        <v>1380</v>
      </c>
      <c r="G792" s="48" t="s">
        <v>62</v>
      </c>
      <c r="H792" s="56" t="s">
        <v>681</v>
      </c>
      <c r="I792" s="566" t="s">
        <v>1</v>
      </c>
      <c r="J792" s="559"/>
      <c r="K792" s="557" t="s">
        <v>752</v>
      </c>
      <c r="L792" s="559" t="s">
        <v>649</v>
      </c>
      <c r="M792" s="549">
        <v>43039</v>
      </c>
      <c r="N792" s="549">
        <v>43086</v>
      </c>
      <c r="O792" s="544" t="s">
        <v>955</v>
      </c>
      <c r="P792" s="562"/>
      <c r="Q792" s="683"/>
      <c r="R792" s="546" t="s">
        <v>1845</v>
      </c>
      <c r="S792" s="315" t="s">
        <v>2864</v>
      </c>
      <c r="T792" s="338"/>
    </row>
    <row r="793" spans="1:20" ht="20.100000000000001" customHeight="1">
      <c r="A793" s="1127" t="s">
        <v>2957</v>
      </c>
      <c r="B793" s="1169" t="s">
        <v>567</v>
      </c>
      <c r="C793" s="1169" t="s">
        <v>380</v>
      </c>
      <c r="D793" s="525">
        <v>1150</v>
      </c>
      <c r="E793" s="525">
        <v>2150</v>
      </c>
      <c r="F793" s="525">
        <v>2150</v>
      </c>
      <c r="G793" s="224" t="s">
        <v>814</v>
      </c>
      <c r="H793" s="56" t="s">
        <v>681</v>
      </c>
      <c r="I793" s="566" t="s">
        <v>23</v>
      </c>
      <c r="J793" s="569"/>
      <c r="K793" s="566"/>
      <c r="L793" s="542" t="s">
        <v>649</v>
      </c>
      <c r="M793" s="547">
        <v>43038</v>
      </c>
      <c r="N793" s="547">
        <v>43086</v>
      </c>
      <c r="O793" s="544" t="s">
        <v>955</v>
      </c>
      <c r="P793" s="544"/>
      <c r="Q793" s="739" t="s">
        <v>1024</v>
      </c>
      <c r="R793" s="561" t="s">
        <v>778</v>
      </c>
      <c r="S793" s="319" t="s">
        <v>1176</v>
      </c>
      <c r="T793" s="317" t="s">
        <v>2872</v>
      </c>
    </row>
    <row r="794" spans="1:20" ht="20.100000000000001" customHeight="1">
      <c r="A794" s="1127" t="s">
        <v>2957</v>
      </c>
      <c r="B794" s="1169" t="s">
        <v>567</v>
      </c>
      <c r="C794" s="1169" t="s">
        <v>380</v>
      </c>
      <c r="D794" s="525">
        <v>1020</v>
      </c>
      <c r="E794" s="525">
        <v>1830</v>
      </c>
      <c r="F794" s="525">
        <v>1830</v>
      </c>
      <c r="G794" s="36" t="s">
        <v>2376</v>
      </c>
      <c r="H794" s="56" t="s">
        <v>2377</v>
      </c>
      <c r="I794" s="566" t="s">
        <v>23</v>
      </c>
      <c r="J794" s="569"/>
      <c r="K794" s="566" t="s">
        <v>2387</v>
      </c>
      <c r="L794" s="542" t="s">
        <v>2388</v>
      </c>
      <c r="M794" s="549">
        <v>43041</v>
      </c>
      <c r="N794" s="549">
        <v>43089</v>
      </c>
      <c r="O794" s="544" t="s">
        <v>955</v>
      </c>
      <c r="P794" s="544"/>
      <c r="Q794" s="683"/>
      <c r="R794" s="561" t="s">
        <v>2389</v>
      </c>
      <c r="S794" s="319"/>
      <c r="T794" s="317"/>
    </row>
    <row r="795" spans="1:20" ht="20.100000000000001" customHeight="1">
      <c r="A795" s="1127" t="s">
        <v>2958</v>
      </c>
      <c r="B795" s="1169" t="s">
        <v>567</v>
      </c>
      <c r="C795" s="1169" t="s">
        <v>799</v>
      </c>
      <c r="D795" s="526">
        <v>600</v>
      </c>
      <c r="E795" s="526">
        <v>1200</v>
      </c>
      <c r="F795" s="526">
        <v>1200</v>
      </c>
      <c r="G795" s="56" t="s">
        <v>13</v>
      </c>
      <c r="H795" s="48" t="s">
        <v>760</v>
      </c>
      <c r="I795" s="558" t="s">
        <v>16</v>
      </c>
      <c r="J795" s="558"/>
      <c r="K795" s="558"/>
      <c r="L795" s="557" t="s">
        <v>637</v>
      </c>
      <c r="M795" s="6">
        <v>43084</v>
      </c>
      <c r="N795" s="6">
        <v>43100</v>
      </c>
      <c r="O795" s="544" t="s">
        <v>955</v>
      </c>
      <c r="P795" s="553"/>
      <c r="Q795" s="677"/>
      <c r="R795" s="546" t="s">
        <v>1958</v>
      </c>
      <c r="S795" s="319" t="s">
        <v>1176</v>
      </c>
      <c r="T795" s="338" t="s">
        <v>2875</v>
      </c>
    </row>
    <row r="796" spans="1:20" ht="20.100000000000001" customHeight="1">
      <c r="A796" s="1127" t="s">
        <v>2958</v>
      </c>
      <c r="B796" s="1169" t="s">
        <v>567</v>
      </c>
      <c r="C796" s="1169" t="s">
        <v>799</v>
      </c>
      <c r="D796" s="526">
        <f>D1071+550</f>
        <v>800</v>
      </c>
      <c r="E796" s="526">
        <f>E1071+1000</f>
        <v>1500</v>
      </c>
      <c r="F796" s="526">
        <f>F1071+1000</f>
        <v>1500</v>
      </c>
      <c r="G796" s="225" t="s">
        <v>51</v>
      </c>
      <c r="H796" s="36" t="s">
        <v>2370</v>
      </c>
      <c r="I796" s="557" t="s">
        <v>16</v>
      </c>
      <c r="J796" s="558"/>
      <c r="K796" s="558">
        <v>14</v>
      </c>
      <c r="L796" s="542" t="s">
        <v>637</v>
      </c>
      <c r="M796" s="381">
        <v>43040</v>
      </c>
      <c r="N796" s="381">
        <v>43088</v>
      </c>
      <c r="O796" s="544" t="s">
        <v>955</v>
      </c>
      <c r="P796" s="545"/>
      <c r="Q796" s="52"/>
      <c r="R796" s="575" t="s">
        <v>2371</v>
      </c>
      <c r="S796" s="319"/>
      <c r="T796" s="317">
        <v>12</v>
      </c>
    </row>
    <row r="797" spans="1:20" ht="20.100000000000001" customHeight="1">
      <c r="A797" s="1170" t="s">
        <v>2957</v>
      </c>
      <c r="B797" s="1170" t="s">
        <v>384</v>
      </c>
      <c r="C797" s="1170" t="s">
        <v>3447</v>
      </c>
      <c r="D797" s="320">
        <v>230</v>
      </c>
      <c r="E797" s="320">
        <v>460</v>
      </c>
      <c r="F797" s="320">
        <v>460</v>
      </c>
      <c r="G797" s="224" t="s">
        <v>2297</v>
      </c>
      <c r="H797" s="22" t="s">
        <v>729</v>
      </c>
      <c r="I797" s="566" t="s">
        <v>17</v>
      </c>
      <c r="J797" s="542"/>
      <c r="K797" s="566" t="s">
        <v>746</v>
      </c>
      <c r="L797" s="557" t="s">
        <v>2296</v>
      </c>
      <c r="M797" s="547">
        <v>43087</v>
      </c>
      <c r="N797" s="547">
        <v>43090</v>
      </c>
      <c r="O797" s="544" t="s">
        <v>955</v>
      </c>
      <c r="P797" s="553"/>
      <c r="Q797" s="744"/>
      <c r="R797" s="546" t="s">
        <v>2355</v>
      </c>
      <c r="S797" s="325" t="s">
        <v>1176</v>
      </c>
      <c r="T797" s="338" t="s">
        <v>723</v>
      </c>
    </row>
    <row r="798" spans="1:20" ht="20.100000000000001" customHeight="1">
      <c r="A798" s="1171" t="s">
        <v>2957</v>
      </c>
      <c r="B798" s="1171" t="s">
        <v>384</v>
      </c>
      <c r="C798" s="1171" t="s">
        <v>3447</v>
      </c>
      <c r="D798" s="885">
        <v>255</v>
      </c>
      <c r="E798" s="885">
        <v>510</v>
      </c>
      <c r="F798" s="885">
        <v>510</v>
      </c>
      <c r="G798" s="66" t="s">
        <v>6</v>
      </c>
      <c r="H798" s="22" t="s">
        <v>729</v>
      </c>
      <c r="I798" s="542" t="s">
        <v>17</v>
      </c>
      <c r="J798" s="542"/>
      <c r="K798" s="19" t="s">
        <v>3050</v>
      </c>
      <c r="L798" s="559" t="s">
        <v>649</v>
      </c>
      <c r="M798" s="549">
        <v>43087</v>
      </c>
      <c r="N798" s="549">
        <v>43087</v>
      </c>
      <c r="O798" s="544" t="s">
        <v>955</v>
      </c>
      <c r="P798" s="572"/>
      <c r="Q798" s="7"/>
      <c r="R798" s="17" t="s">
        <v>3442</v>
      </c>
      <c r="S798" s="325"/>
      <c r="T798" s="338" t="s">
        <v>2874</v>
      </c>
    </row>
    <row r="799" spans="1:20" ht="20.100000000000001" customHeight="1">
      <c r="A799" s="1171" t="s">
        <v>2957</v>
      </c>
      <c r="B799" s="1171" t="s">
        <v>384</v>
      </c>
      <c r="C799" s="1171" t="s">
        <v>3447</v>
      </c>
      <c r="D799" s="525">
        <v>225</v>
      </c>
      <c r="E799" s="525">
        <v>450</v>
      </c>
      <c r="F799" s="525">
        <v>450</v>
      </c>
      <c r="G799" s="224" t="s">
        <v>3439</v>
      </c>
      <c r="H799" s="22" t="s">
        <v>3440</v>
      </c>
      <c r="I799" s="542" t="s">
        <v>17</v>
      </c>
      <c r="J799" s="542"/>
      <c r="K799" s="19" t="s">
        <v>3446</v>
      </c>
      <c r="L799" s="559" t="s">
        <v>649</v>
      </c>
      <c r="M799" s="547">
        <v>43073</v>
      </c>
      <c r="N799" s="547">
        <v>43086</v>
      </c>
      <c r="O799" s="544" t="s">
        <v>955</v>
      </c>
      <c r="P799" s="572"/>
      <c r="Q799" s="7"/>
      <c r="R799" s="17" t="s">
        <v>3442</v>
      </c>
      <c r="S799" s="319" t="s">
        <v>1176</v>
      </c>
      <c r="T799" s="317" t="s">
        <v>2872</v>
      </c>
    </row>
    <row r="800" spans="1:20" ht="20.100000000000001" customHeight="1">
      <c r="A800" s="1171" t="s">
        <v>2957</v>
      </c>
      <c r="B800" s="1171" t="s">
        <v>384</v>
      </c>
      <c r="C800" s="1171" t="s">
        <v>3447</v>
      </c>
      <c r="D800" s="32">
        <v>220</v>
      </c>
      <c r="E800" s="32">
        <v>440</v>
      </c>
      <c r="F800" s="32">
        <v>440</v>
      </c>
      <c r="G800" s="36" t="s">
        <v>33</v>
      </c>
      <c r="H800" s="36" t="s">
        <v>2498</v>
      </c>
      <c r="I800" s="542" t="s">
        <v>17</v>
      </c>
      <c r="J800" s="554"/>
      <c r="K800" s="554" t="s">
        <v>2499</v>
      </c>
      <c r="L800" s="542" t="s">
        <v>636</v>
      </c>
      <c r="M800" s="549">
        <v>43078</v>
      </c>
      <c r="N800" s="549">
        <v>43082</v>
      </c>
      <c r="O800" s="544" t="s">
        <v>955</v>
      </c>
      <c r="P800" s="553"/>
      <c r="Q800" s="683"/>
      <c r="R800" s="561" t="s">
        <v>1686</v>
      </c>
      <c r="S800" s="315" t="s">
        <v>2850</v>
      </c>
      <c r="T800" s="338"/>
    </row>
    <row r="801" spans="1:20" ht="20.100000000000001" customHeight="1">
      <c r="A801" s="1171" t="s">
        <v>2957</v>
      </c>
      <c r="B801" s="1171" t="s">
        <v>384</v>
      </c>
      <c r="C801" s="1171" t="s">
        <v>3447</v>
      </c>
      <c r="D801" s="525">
        <v>230</v>
      </c>
      <c r="E801" s="525">
        <v>460</v>
      </c>
      <c r="F801" s="525">
        <v>460</v>
      </c>
      <c r="G801" s="36" t="s">
        <v>36</v>
      </c>
      <c r="H801" s="36" t="s">
        <v>2498</v>
      </c>
      <c r="I801" s="542" t="s">
        <v>17</v>
      </c>
      <c r="J801" s="554"/>
      <c r="K801" s="554" t="s">
        <v>2499</v>
      </c>
      <c r="L801" s="542" t="s">
        <v>636</v>
      </c>
      <c r="M801" s="551">
        <v>43080</v>
      </c>
      <c r="N801" s="551">
        <v>43085</v>
      </c>
      <c r="O801" s="544" t="s">
        <v>955</v>
      </c>
      <c r="P801" s="553"/>
      <c r="Q801" s="683"/>
      <c r="R801" s="561" t="s">
        <v>1686</v>
      </c>
      <c r="S801" s="315" t="s">
        <v>2852</v>
      </c>
      <c r="T801" s="317">
        <v>14</v>
      </c>
    </row>
    <row r="802" spans="1:20" ht="20.100000000000001" customHeight="1">
      <c r="A802" s="1171" t="s">
        <v>2957</v>
      </c>
      <c r="B802" s="1171" t="s">
        <v>384</v>
      </c>
      <c r="C802" s="1171" t="s">
        <v>3447</v>
      </c>
      <c r="D802" s="526">
        <v>235</v>
      </c>
      <c r="E802" s="526">
        <v>470</v>
      </c>
      <c r="F802" s="526">
        <v>470</v>
      </c>
      <c r="G802" s="224" t="s">
        <v>814</v>
      </c>
      <c r="H802" s="56" t="s">
        <v>725</v>
      </c>
      <c r="I802" s="542" t="s">
        <v>17</v>
      </c>
      <c r="J802" s="558"/>
      <c r="K802" s="558" t="s">
        <v>732</v>
      </c>
      <c r="L802" s="542" t="s">
        <v>649</v>
      </c>
      <c r="M802" s="547">
        <v>43080</v>
      </c>
      <c r="N802" s="547">
        <v>43086</v>
      </c>
      <c r="O802" s="544" t="s">
        <v>955</v>
      </c>
      <c r="P802" s="553"/>
      <c r="Q802" s="7"/>
      <c r="R802" s="546" t="s">
        <v>1492</v>
      </c>
      <c r="S802" s="319" t="s">
        <v>1176</v>
      </c>
      <c r="T802" s="317" t="s">
        <v>2872</v>
      </c>
    </row>
    <row r="803" spans="1:20" ht="20.100000000000001" customHeight="1">
      <c r="A803" s="1171" t="s">
        <v>2957</v>
      </c>
      <c r="B803" s="1171" t="s">
        <v>384</v>
      </c>
      <c r="C803" s="1171" t="s">
        <v>3447</v>
      </c>
      <c r="D803" s="525"/>
      <c r="E803" s="525"/>
      <c r="F803" s="525"/>
      <c r="G803" s="36" t="s">
        <v>33</v>
      </c>
      <c r="H803" s="56" t="s">
        <v>725</v>
      </c>
      <c r="I803" s="542" t="s">
        <v>17</v>
      </c>
      <c r="J803" s="558"/>
      <c r="K803" s="558" t="s">
        <v>732</v>
      </c>
      <c r="L803" s="542" t="s">
        <v>649</v>
      </c>
      <c r="M803" s="549">
        <v>43078</v>
      </c>
      <c r="N803" s="549">
        <v>43082</v>
      </c>
      <c r="O803" s="544" t="s">
        <v>955</v>
      </c>
      <c r="P803" s="553"/>
      <c r="Q803" s="683"/>
      <c r="R803" s="546" t="s">
        <v>1492</v>
      </c>
      <c r="S803" s="315" t="s">
        <v>2850</v>
      </c>
      <c r="T803" s="317"/>
    </row>
    <row r="804" spans="1:20" ht="20.100000000000001" customHeight="1">
      <c r="A804" s="1171" t="s">
        <v>2957</v>
      </c>
      <c r="B804" s="1171" t="s">
        <v>384</v>
      </c>
      <c r="C804" s="1171" t="s">
        <v>3447</v>
      </c>
      <c r="D804" s="525">
        <v>230</v>
      </c>
      <c r="E804" s="525">
        <v>460</v>
      </c>
      <c r="F804" s="525">
        <v>460</v>
      </c>
      <c r="G804" s="56" t="s">
        <v>36</v>
      </c>
      <c r="H804" s="56" t="s">
        <v>725</v>
      </c>
      <c r="I804" s="542" t="s">
        <v>17</v>
      </c>
      <c r="J804" s="558"/>
      <c r="K804" s="558" t="s">
        <v>732</v>
      </c>
      <c r="L804" s="542" t="s">
        <v>649</v>
      </c>
      <c r="M804" s="551">
        <v>43083</v>
      </c>
      <c r="N804" s="551">
        <v>43085</v>
      </c>
      <c r="O804" s="544" t="s">
        <v>955</v>
      </c>
      <c r="P804" s="553"/>
      <c r="Q804" s="7"/>
      <c r="R804" s="546" t="s">
        <v>1492</v>
      </c>
      <c r="S804" s="315" t="s">
        <v>2852</v>
      </c>
      <c r="T804" s="317">
        <v>14</v>
      </c>
    </row>
    <row r="805" spans="1:20" ht="20.100000000000001" customHeight="1">
      <c r="A805" s="1171" t="s">
        <v>2957</v>
      </c>
      <c r="B805" s="1171" t="s">
        <v>384</v>
      </c>
      <c r="C805" s="1171" t="s">
        <v>3447</v>
      </c>
      <c r="D805" s="2">
        <v>270</v>
      </c>
      <c r="E805" s="2">
        <v>460</v>
      </c>
      <c r="F805" s="2">
        <v>460</v>
      </c>
      <c r="G805" s="69" t="s">
        <v>2986</v>
      </c>
      <c r="H805" s="56" t="s">
        <v>681</v>
      </c>
      <c r="I805" s="542" t="s">
        <v>17</v>
      </c>
      <c r="J805" s="567"/>
      <c r="K805" s="569" t="s">
        <v>20</v>
      </c>
      <c r="L805" s="542" t="s">
        <v>649</v>
      </c>
      <c r="M805" s="549">
        <v>43084</v>
      </c>
      <c r="N805" s="549">
        <v>43086</v>
      </c>
      <c r="O805" s="544" t="s">
        <v>955</v>
      </c>
      <c r="P805" s="553"/>
      <c r="Q805" s="683"/>
      <c r="R805" s="546" t="s">
        <v>1845</v>
      </c>
      <c r="S805" s="315" t="s">
        <v>2848</v>
      </c>
      <c r="T805" s="317">
        <v>14</v>
      </c>
    </row>
    <row r="806" spans="1:20" ht="20.100000000000001" customHeight="1">
      <c r="A806" s="1171" t="s">
        <v>2957</v>
      </c>
      <c r="B806" s="1171" t="s">
        <v>384</v>
      </c>
      <c r="C806" s="1171" t="s">
        <v>3447</v>
      </c>
      <c r="D806" s="525">
        <v>300</v>
      </c>
      <c r="E806" s="525">
        <v>600</v>
      </c>
      <c r="F806" s="525">
        <v>600</v>
      </c>
      <c r="G806" s="224" t="s">
        <v>51</v>
      </c>
      <c r="H806" s="56" t="s">
        <v>1098</v>
      </c>
      <c r="I806" s="566" t="s">
        <v>17</v>
      </c>
      <c r="J806" s="542"/>
      <c r="K806" s="19" t="s">
        <v>2997</v>
      </c>
      <c r="L806" s="37" t="s">
        <v>2999</v>
      </c>
      <c r="M806" s="381">
        <v>43084</v>
      </c>
      <c r="N806" s="381">
        <v>43088</v>
      </c>
      <c r="O806" s="544" t="s">
        <v>955</v>
      </c>
      <c r="P806" s="581"/>
      <c r="Q806" s="683"/>
      <c r="R806" s="546" t="s">
        <v>202</v>
      </c>
      <c r="S806" s="319"/>
      <c r="T806" s="317">
        <v>12</v>
      </c>
    </row>
    <row r="807" spans="1:20" ht="20.100000000000001" customHeight="1">
      <c r="A807" s="1171" t="s">
        <v>2957</v>
      </c>
      <c r="B807" s="1171" t="s">
        <v>384</v>
      </c>
      <c r="C807" s="1171" t="s">
        <v>3447</v>
      </c>
      <c r="D807" s="525">
        <v>260</v>
      </c>
      <c r="E807" s="525">
        <v>520</v>
      </c>
      <c r="F807" s="525">
        <v>520</v>
      </c>
      <c r="G807" s="224" t="s">
        <v>491</v>
      </c>
      <c r="H807" s="48">
        <v>6</v>
      </c>
      <c r="I807" s="566" t="s">
        <v>17</v>
      </c>
      <c r="J807" s="576"/>
      <c r="K807" s="577" t="s">
        <v>732</v>
      </c>
      <c r="L807" s="570" t="s">
        <v>641</v>
      </c>
      <c r="M807" s="547">
        <v>43085</v>
      </c>
      <c r="N807" s="547">
        <v>43086</v>
      </c>
      <c r="O807" s="544" t="s">
        <v>955</v>
      </c>
      <c r="P807" s="545"/>
      <c r="Q807" s="683"/>
      <c r="R807" s="561" t="s">
        <v>201</v>
      </c>
      <c r="S807" s="315" t="s">
        <v>2865</v>
      </c>
      <c r="T807" s="317" t="s">
        <v>1678</v>
      </c>
    </row>
    <row r="808" spans="1:20" ht="20.100000000000001" customHeight="1">
      <c r="A808" s="1171" t="s">
        <v>2957</v>
      </c>
      <c r="B808" s="1171" t="s">
        <v>384</v>
      </c>
      <c r="C808" s="1171" t="s">
        <v>3447</v>
      </c>
      <c r="D808" s="526">
        <v>270</v>
      </c>
      <c r="E808" s="526">
        <v>540</v>
      </c>
      <c r="F808" s="526">
        <v>540</v>
      </c>
      <c r="G808" s="36" t="s">
        <v>232</v>
      </c>
      <c r="H808" s="48">
        <v>6</v>
      </c>
      <c r="I808" s="566" t="s">
        <v>17</v>
      </c>
      <c r="J808" s="576"/>
      <c r="K808" s="577" t="s">
        <v>732</v>
      </c>
      <c r="L808" s="570" t="s">
        <v>641</v>
      </c>
      <c r="M808" s="551">
        <v>43078</v>
      </c>
      <c r="N808" s="551">
        <v>43086</v>
      </c>
      <c r="O808" s="544" t="s">
        <v>955</v>
      </c>
      <c r="P808" s="545"/>
      <c r="Q808" s="683"/>
      <c r="R808" s="561" t="s">
        <v>201</v>
      </c>
      <c r="S808" s="325"/>
      <c r="T808" s="317" t="s">
        <v>1678</v>
      </c>
    </row>
    <row r="809" spans="1:20" ht="20.100000000000001" customHeight="1">
      <c r="A809" s="1171" t="s">
        <v>2957</v>
      </c>
      <c r="B809" s="1171" t="s">
        <v>384</v>
      </c>
      <c r="C809" s="1171" t="s">
        <v>3447</v>
      </c>
      <c r="D809" s="935">
        <v>245</v>
      </c>
      <c r="E809" s="935">
        <v>490</v>
      </c>
      <c r="F809" s="935">
        <v>490</v>
      </c>
      <c r="G809" s="224" t="s">
        <v>434</v>
      </c>
      <c r="H809" s="48">
        <v>6</v>
      </c>
      <c r="I809" s="566" t="s">
        <v>17</v>
      </c>
      <c r="J809" s="576"/>
      <c r="K809" s="577" t="s">
        <v>732</v>
      </c>
      <c r="L809" s="570" t="s">
        <v>641</v>
      </c>
      <c r="M809" s="549">
        <v>43085</v>
      </c>
      <c r="N809" s="549">
        <v>43093</v>
      </c>
      <c r="O809" s="544" t="s">
        <v>955</v>
      </c>
      <c r="P809" s="545"/>
      <c r="Q809" s="683"/>
      <c r="R809" s="561" t="s">
        <v>201</v>
      </c>
      <c r="S809" s="321" t="s">
        <v>1176</v>
      </c>
      <c r="T809" s="317" t="s">
        <v>2404</v>
      </c>
    </row>
    <row r="810" spans="1:20" ht="20.100000000000001" customHeight="1">
      <c r="A810" s="1171" t="s">
        <v>2957</v>
      </c>
      <c r="B810" s="1171" t="s">
        <v>384</v>
      </c>
      <c r="C810" s="1171" t="s">
        <v>3447</v>
      </c>
      <c r="D810" s="525">
        <v>290</v>
      </c>
      <c r="E810" s="525">
        <v>580</v>
      </c>
      <c r="F810" s="525">
        <v>580</v>
      </c>
      <c r="G810" s="56" t="s">
        <v>87</v>
      </c>
      <c r="H810" s="48">
        <v>6</v>
      </c>
      <c r="I810" s="566" t="s">
        <v>17</v>
      </c>
      <c r="J810" s="576"/>
      <c r="K810" s="577" t="s">
        <v>732</v>
      </c>
      <c r="L810" s="570" t="s">
        <v>641</v>
      </c>
      <c r="M810" s="551">
        <v>43078</v>
      </c>
      <c r="N810" s="551">
        <v>43089</v>
      </c>
      <c r="O810" s="544" t="s">
        <v>955</v>
      </c>
      <c r="P810" s="545" t="s">
        <v>2038</v>
      </c>
      <c r="Q810" s="683"/>
      <c r="R810" s="561" t="s">
        <v>201</v>
      </c>
      <c r="S810" s="315" t="s">
        <v>2849</v>
      </c>
      <c r="T810" s="317" t="s">
        <v>2876</v>
      </c>
    </row>
    <row r="811" spans="1:20" ht="20.100000000000001" customHeight="1">
      <c r="A811" s="1171" t="s">
        <v>2957</v>
      </c>
      <c r="B811" s="1171" t="s">
        <v>384</v>
      </c>
      <c r="C811" s="1171" t="s">
        <v>3447</v>
      </c>
      <c r="D811" s="320">
        <v>260</v>
      </c>
      <c r="E811" s="320">
        <v>520</v>
      </c>
      <c r="F811" s="320">
        <v>520</v>
      </c>
      <c r="G811" s="69" t="s">
        <v>278</v>
      </c>
      <c r="H811" s="48">
        <v>6</v>
      </c>
      <c r="I811" s="566" t="s">
        <v>17</v>
      </c>
      <c r="J811" s="576"/>
      <c r="K811" s="577" t="s">
        <v>732</v>
      </c>
      <c r="L811" s="570" t="s">
        <v>641</v>
      </c>
      <c r="M811" s="391">
        <v>43087</v>
      </c>
      <c r="N811" s="391">
        <v>43093</v>
      </c>
      <c r="O811" s="544" t="s">
        <v>955</v>
      </c>
      <c r="P811" s="545"/>
      <c r="Q811" s="683"/>
      <c r="R811" s="561" t="s">
        <v>201</v>
      </c>
      <c r="S811" s="325"/>
      <c r="T811" s="317" t="s">
        <v>2876</v>
      </c>
    </row>
    <row r="812" spans="1:20" ht="20.100000000000001" customHeight="1">
      <c r="A812" s="1171" t="s">
        <v>2957</v>
      </c>
      <c r="B812" s="1171" t="s">
        <v>384</v>
      </c>
      <c r="C812" s="1171" t="s">
        <v>3447</v>
      </c>
      <c r="D812" s="320">
        <v>260</v>
      </c>
      <c r="E812" s="320">
        <v>520</v>
      </c>
      <c r="F812" s="320">
        <v>520</v>
      </c>
      <c r="G812" s="56" t="s">
        <v>36</v>
      </c>
      <c r="H812" s="48">
        <v>6</v>
      </c>
      <c r="I812" s="566" t="s">
        <v>17</v>
      </c>
      <c r="J812" s="576"/>
      <c r="K812" s="577" t="s">
        <v>732</v>
      </c>
      <c r="L812" s="570" t="s">
        <v>641</v>
      </c>
      <c r="M812" s="551">
        <v>43085</v>
      </c>
      <c r="N812" s="551">
        <v>43085</v>
      </c>
      <c r="O812" s="544" t="s">
        <v>955</v>
      </c>
      <c r="P812" s="545"/>
      <c r="Q812" s="683"/>
      <c r="R812" s="561" t="s">
        <v>201</v>
      </c>
      <c r="S812" s="315" t="s">
        <v>2852</v>
      </c>
      <c r="T812" s="317">
        <v>14</v>
      </c>
    </row>
    <row r="813" spans="1:20" ht="20.100000000000001" customHeight="1">
      <c r="A813" s="1171" t="s">
        <v>2957</v>
      </c>
      <c r="B813" s="1171" t="s">
        <v>384</v>
      </c>
      <c r="C813" s="1171" t="s">
        <v>3447</v>
      </c>
      <c r="D813" s="529">
        <v>260</v>
      </c>
      <c r="E813" s="529">
        <v>400</v>
      </c>
      <c r="F813" s="529">
        <v>400</v>
      </c>
      <c r="G813" s="224" t="s">
        <v>147</v>
      </c>
      <c r="H813" s="48">
        <v>6</v>
      </c>
      <c r="I813" s="557" t="s">
        <v>17</v>
      </c>
      <c r="J813" s="566" t="s">
        <v>1515</v>
      </c>
      <c r="K813" s="564">
        <v>14</v>
      </c>
      <c r="L813" s="542" t="s">
        <v>649</v>
      </c>
      <c r="M813" s="547">
        <v>43085</v>
      </c>
      <c r="N813" s="547">
        <v>43086</v>
      </c>
      <c r="O813" s="544" t="s">
        <v>955</v>
      </c>
      <c r="P813" s="553"/>
      <c r="Q813" s="683"/>
      <c r="R813" s="546" t="s">
        <v>263</v>
      </c>
      <c r="S813" s="319"/>
      <c r="T813" s="317">
        <v>14</v>
      </c>
    </row>
    <row r="814" spans="1:20" ht="20.100000000000001" customHeight="1">
      <c r="A814" s="1171" t="s">
        <v>2957</v>
      </c>
      <c r="B814" s="1171" t="s">
        <v>384</v>
      </c>
      <c r="C814" s="1171" t="s">
        <v>3447</v>
      </c>
      <c r="D814" s="525">
        <v>225</v>
      </c>
      <c r="E814" s="525">
        <v>450</v>
      </c>
      <c r="F814" s="525">
        <v>450</v>
      </c>
      <c r="G814" s="628" t="s">
        <v>814</v>
      </c>
      <c r="H814" s="48">
        <v>6</v>
      </c>
      <c r="I814" s="566" t="s">
        <v>17</v>
      </c>
      <c r="J814" s="566" t="s">
        <v>1515</v>
      </c>
      <c r="K814" s="566">
        <v>14</v>
      </c>
      <c r="L814" s="542" t="s">
        <v>649</v>
      </c>
      <c r="M814" s="547">
        <v>43078</v>
      </c>
      <c r="N814" s="547">
        <v>43086</v>
      </c>
      <c r="O814" s="544" t="s">
        <v>955</v>
      </c>
      <c r="P814" s="553"/>
      <c r="Q814" s="683"/>
      <c r="R814" s="546" t="s">
        <v>194</v>
      </c>
      <c r="S814" s="319" t="s">
        <v>1176</v>
      </c>
      <c r="T814" s="317" t="s">
        <v>2872</v>
      </c>
    </row>
    <row r="815" spans="1:20" ht="20.100000000000001" customHeight="1">
      <c r="A815" s="1171" t="s">
        <v>2957</v>
      </c>
      <c r="B815" s="1171" t="s">
        <v>384</v>
      </c>
      <c r="C815" s="1171" t="s">
        <v>3447</v>
      </c>
      <c r="D815" s="320">
        <v>210</v>
      </c>
      <c r="E815" s="320">
        <v>420</v>
      </c>
      <c r="F815" s="320">
        <v>420</v>
      </c>
      <c r="G815" s="56" t="s">
        <v>87</v>
      </c>
      <c r="H815" s="48">
        <v>6</v>
      </c>
      <c r="I815" s="557" t="s">
        <v>17</v>
      </c>
      <c r="J815" s="566" t="s">
        <v>1515</v>
      </c>
      <c r="K815" s="566">
        <v>14</v>
      </c>
      <c r="L815" s="542" t="s">
        <v>649</v>
      </c>
      <c r="M815" s="551">
        <v>43085</v>
      </c>
      <c r="N815" s="551">
        <v>43089</v>
      </c>
      <c r="O815" s="544" t="s">
        <v>955</v>
      </c>
      <c r="P815" s="545" t="s">
        <v>2038</v>
      </c>
      <c r="Q815" s="683"/>
      <c r="R815" s="546" t="s">
        <v>263</v>
      </c>
      <c r="S815" s="315" t="s">
        <v>2849</v>
      </c>
      <c r="T815" s="317" t="s">
        <v>2876</v>
      </c>
    </row>
    <row r="816" spans="1:20" ht="20.100000000000001" customHeight="1">
      <c r="A816" s="1171" t="s">
        <v>2957</v>
      </c>
      <c r="B816" s="1171" t="s">
        <v>384</v>
      </c>
      <c r="C816" s="1171" t="s">
        <v>3447</v>
      </c>
      <c r="D816" s="525">
        <v>300</v>
      </c>
      <c r="E816" s="525">
        <v>600</v>
      </c>
      <c r="F816" s="525">
        <v>600</v>
      </c>
      <c r="G816" s="224" t="s">
        <v>51</v>
      </c>
      <c r="H816" s="48">
        <v>6</v>
      </c>
      <c r="I816" s="566" t="s">
        <v>17</v>
      </c>
      <c r="J816" s="569"/>
      <c r="K816" s="566" t="s">
        <v>2304</v>
      </c>
      <c r="L816" s="559" t="s">
        <v>639</v>
      </c>
      <c r="M816" s="381">
        <v>43084</v>
      </c>
      <c r="N816" s="381">
        <v>43088</v>
      </c>
      <c r="O816" s="544" t="s">
        <v>955</v>
      </c>
      <c r="P816" s="545"/>
      <c r="Q816" s="683"/>
      <c r="R816" s="561" t="s">
        <v>190</v>
      </c>
      <c r="S816" s="325"/>
      <c r="T816" s="317">
        <v>12</v>
      </c>
    </row>
    <row r="817" spans="1:20" ht="20.100000000000001" customHeight="1">
      <c r="A817" s="1171" t="s">
        <v>2957</v>
      </c>
      <c r="B817" s="1171" t="s">
        <v>384</v>
      </c>
      <c r="C817" s="1171" t="s">
        <v>3447</v>
      </c>
      <c r="D817" s="526">
        <v>230</v>
      </c>
      <c r="E817" s="526">
        <v>460</v>
      </c>
      <c r="F817" s="526">
        <v>460</v>
      </c>
      <c r="G817" s="36" t="s">
        <v>232</v>
      </c>
      <c r="H817" s="48">
        <v>6</v>
      </c>
      <c r="I817" s="566" t="s">
        <v>17</v>
      </c>
      <c r="J817" s="569"/>
      <c r="K817" s="566" t="s">
        <v>771</v>
      </c>
      <c r="L817" s="559" t="s">
        <v>639</v>
      </c>
      <c r="M817" s="551">
        <v>43078</v>
      </c>
      <c r="N817" s="551">
        <v>43086</v>
      </c>
      <c r="O817" s="544" t="s">
        <v>955</v>
      </c>
      <c r="P817" s="545"/>
      <c r="Q817" s="683"/>
      <c r="R817" s="561" t="s">
        <v>190</v>
      </c>
      <c r="S817" s="704"/>
      <c r="T817" s="317" t="s">
        <v>1678</v>
      </c>
    </row>
    <row r="818" spans="1:20" ht="20.100000000000001" customHeight="1">
      <c r="A818" s="1171" t="s">
        <v>2957</v>
      </c>
      <c r="B818" s="1171" t="s">
        <v>384</v>
      </c>
      <c r="C818" s="1171" t="s">
        <v>3447</v>
      </c>
      <c r="D818" s="320">
        <v>210</v>
      </c>
      <c r="E818" s="320">
        <v>420</v>
      </c>
      <c r="F818" s="320">
        <v>420</v>
      </c>
      <c r="G818" s="56" t="s">
        <v>87</v>
      </c>
      <c r="H818" s="48">
        <v>6</v>
      </c>
      <c r="I818" s="566" t="s">
        <v>17</v>
      </c>
      <c r="J818" s="569"/>
      <c r="K818" s="566" t="s">
        <v>771</v>
      </c>
      <c r="L818" s="559" t="s">
        <v>639</v>
      </c>
      <c r="M818" s="551">
        <v>43085</v>
      </c>
      <c r="N818" s="551">
        <v>43089</v>
      </c>
      <c r="O818" s="544" t="s">
        <v>955</v>
      </c>
      <c r="P818" s="545" t="s">
        <v>2038</v>
      </c>
      <c r="Q818" s="683"/>
      <c r="R818" s="561" t="s">
        <v>190</v>
      </c>
      <c r="S818" s="315" t="s">
        <v>2849</v>
      </c>
      <c r="T818" s="317" t="s">
        <v>2876</v>
      </c>
    </row>
    <row r="819" spans="1:20" ht="20.100000000000001" customHeight="1">
      <c r="A819" s="1171" t="s">
        <v>2957</v>
      </c>
      <c r="B819" s="1171" t="s">
        <v>384</v>
      </c>
      <c r="C819" s="1171" t="s">
        <v>3447</v>
      </c>
      <c r="D819" s="525">
        <v>210</v>
      </c>
      <c r="E819" s="525">
        <v>420</v>
      </c>
      <c r="F819" s="525">
        <v>420</v>
      </c>
      <c r="G819" s="56" t="s">
        <v>432</v>
      </c>
      <c r="H819" s="48">
        <v>6</v>
      </c>
      <c r="I819" s="566" t="s">
        <v>17</v>
      </c>
      <c r="J819" s="569"/>
      <c r="K819" s="566" t="s">
        <v>771</v>
      </c>
      <c r="L819" s="559" t="s">
        <v>639</v>
      </c>
      <c r="M819" s="549">
        <v>43085</v>
      </c>
      <c r="N819" s="549">
        <v>43089</v>
      </c>
      <c r="O819" s="544" t="s">
        <v>955</v>
      </c>
      <c r="P819" s="545"/>
      <c r="Q819" s="683"/>
      <c r="R819" s="561" t="s">
        <v>190</v>
      </c>
      <c r="S819" s="704" t="s">
        <v>1176</v>
      </c>
      <c r="T819" s="338" t="s">
        <v>723</v>
      </c>
    </row>
    <row r="820" spans="1:20" ht="20.100000000000001" customHeight="1">
      <c r="A820" s="1171" t="s">
        <v>2957</v>
      </c>
      <c r="B820" s="1171" t="s">
        <v>384</v>
      </c>
      <c r="C820" s="1171" t="s">
        <v>3447</v>
      </c>
      <c r="D820" s="525">
        <v>300</v>
      </c>
      <c r="E820" s="525">
        <v>600</v>
      </c>
      <c r="F820" s="525">
        <v>600</v>
      </c>
      <c r="G820" s="224" t="s">
        <v>51</v>
      </c>
      <c r="H820" s="36">
        <v>7</v>
      </c>
      <c r="I820" s="557" t="s">
        <v>17</v>
      </c>
      <c r="J820" s="559"/>
      <c r="K820" s="51" t="s">
        <v>3007</v>
      </c>
      <c r="L820" s="542" t="s">
        <v>649</v>
      </c>
      <c r="M820" s="381">
        <v>43084</v>
      </c>
      <c r="N820" s="381">
        <v>43088</v>
      </c>
      <c r="O820" s="544" t="s">
        <v>955</v>
      </c>
      <c r="P820" s="545"/>
      <c r="Q820" s="60"/>
      <c r="R820" s="546" t="s">
        <v>1999</v>
      </c>
      <c r="S820" s="319"/>
      <c r="T820" s="317">
        <v>12</v>
      </c>
    </row>
    <row r="821" spans="1:20" ht="20.100000000000001" customHeight="1">
      <c r="A821" s="1171" t="s">
        <v>2957</v>
      </c>
      <c r="B821" s="1171" t="s">
        <v>384</v>
      </c>
      <c r="C821" s="1171" t="s">
        <v>3447</v>
      </c>
      <c r="D821" s="525">
        <v>240</v>
      </c>
      <c r="E821" s="525">
        <v>480</v>
      </c>
      <c r="F821" s="525">
        <v>480</v>
      </c>
      <c r="G821" s="48" t="s">
        <v>28</v>
      </c>
      <c r="H821" s="36">
        <v>7</v>
      </c>
      <c r="I821" s="557" t="s">
        <v>17</v>
      </c>
      <c r="J821" s="559"/>
      <c r="K821" s="51" t="s">
        <v>3007</v>
      </c>
      <c r="L821" s="542" t="s">
        <v>649</v>
      </c>
      <c r="M821" s="549">
        <v>43083</v>
      </c>
      <c r="N821" s="549">
        <v>43089</v>
      </c>
      <c r="O821" s="544" t="s">
        <v>955</v>
      </c>
      <c r="P821" s="553"/>
      <c r="Q821" s="60"/>
      <c r="R821" s="546" t="s">
        <v>189</v>
      </c>
      <c r="S821" s="315" t="s">
        <v>2866</v>
      </c>
      <c r="T821" s="338"/>
    </row>
    <row r="822" spans="1:20" ht="20.100000000000001" customHeight="1">
      <c r="A822" s="1171" t="s">
        <v>2957</v>
      </c>
      <c r="B822" s="1171" t="s">
        <v>384</v>
      </c>
      <c r="C822" s="1171" t="s">
        <v>3447</v>
      </c>
      <c r="D822" s="62">
        <v>260</v>
      </c>
      <c r="E822" s="62">
        <v>520</v>
      </c>
      <c r="F822" s="62">
        <v>520</v>
      </c>
      <c r="G822" s="696" t="s">
        <v>558</v>
      </c>
      <c r="H822" s="36">
        <v>7</v>
      </c>
      <c r="I822" s="557" t="s">
        <v>17</v>
      </c>
      <c r="J822" s="559" t="s">
        <v>1184</v>
      </c>
      <c r="K822" s="51" t="s">
        <v>3007</v>
      </c>
      <c r="L822" s="542" t="s">
        <v>649</v>
      </c>
      <c r="M822" s="549">
        <v>43086</v>
      </c>
      <c r="N822" s="549">
        <v>43086</v>
      </c>
      <c r="O822" s="544" t="s">
        <v>955</v>
      </c>
      <c r="P822" s="553"/>
      <c r="Q822" s="60"/>
      <c r="R822" s="546" t="s">
        <v>189</v>
      </c>
      <c r="S822" s="319"/>
      <c r="T822" s="338"/>
    </row>
    <row r="823" spans="1:20" ht="20.100000000000001" customHeight="1">
      <c r="A823" s="1171" t="s">
        <v>2957</v>
      </c>
      <c r="B823" s="1171" t="s">
        <v>384</v>
      </c>
      <c r="C823" s="1171" t="s">
        <v>3447</v>
      </c>
      <c r="D823" s="525">
        <v>250</v>
      </c>
      <c r="E823" s="525">
        <v>500</v>
      </c>
      <c r="F823" s="525">
        <v>500</v>
      </c>
      <c r="G823" s="696" t="s">
        <v>432</v>
      </c>
      <c r="H823" s="36">
        <v>7</v>
      </c>
      <c r="I823" s="557" t="s">
        <v>17</v>
      </c>
      <c r="J823" s="559"/>
      <c r="K823" s="51" t="s">
        <v>3007</v>
      </c>
      <c r="L823" s="542" t="s">
        <v>649</v>
      </c>
      <c r="M823" s="549">
        <v>43086</v>
      </c>
      <c r="N823" s="549">
        <v>43089</v>
      </c>
      <c r="O823" s="544" t="s">
        <v>955</v>
      </c>
      <c r="P823" s="553"/>
      <c r="Q823" s="60"/>
      <c r="R823" s="546" t="s">
        <v>189</v>
      </c>
      <c r="S823" s="704" t="s">
        <v>1176</v>
      </c>
      <c r="T823" s="338" t="s">
        <v>723</v>
      </c>
    </row>
    <row r="824" spans="1:20" ht="20.100000000000001" customHeight="1">
      <c r="A824" s="1172" t="s">
        <v>2957</v>
      </c>
      <c r="B824" s="1172" t="s">
        <v>384</v>
      </c>
      <c r="C824" s="1172" t="s">
        <v>3447</v>
      </c>
      <c r="D824" s="886">
        <v>295</v>
      </c>
      <c r="E824" s="886">
        <v>480</v>
      </c>
      <c r="F824" s="886">
        <v>480</v>
      </c>
      <c r="G824" s="696" t="s">
        <v>12</v>
      </c>
      <c r="H824" s="36">
        <v>7</v>
      </c>
      <c r="I824" s="557" t="s">
        <v>17</v>
      </c>
      <c r="J824" s="559"/>
      <c r="K824" s="51" t="s">
        <v>3007</v>
      </c>
      <c r="L824" s="542" t="s">
        <v>649</v>
      </c>
      <c r="M824" s="551">
        <v>43086</v>
      </c>
      <c r="N824" s="551">
        <v>43086</v>
      </c>
      <c r="O824" s="544" t="s">
        <v>955</v>
      </c>
      <c r="P824" s="553"/>
      <c r="Q824" s="60"/>
      <c r="R824" s="546" t="s">
        <v>2795</v>
      </c>
      <c r="S824" s="319"/>
      <c r="T824" s="338" t="s">
        <v>1994</v>
      </c>
    </row>
    <row r="825" spans="1:20" ht="20.100000000000001" customHeight="1">
      <c r="A825" s="1127" t="s">
        <v>2957</v>
      </c>
      <c r="B825" s="1169" t="s">
        <v>384</v>
      </c>
      <c r="C825" s="1169" t="s">
        <v>509</v>
      </c>
      <c r="D825" s="62">
        <v>440</v>
      </c>
      <c r="E825" s="62">
        <v>680</v>
      </c>
      <c r="F825" s="62">
        <v>680</v>
      </c>
      <c r="G825" s="70" t="s">
        <v>29</v>
      </c>
      <c r="H825" s="56" t="s">
        <v>2102</v>
      </c>
      <c r="I825" s="559" t="s">
        <v>80</v>
      </c>
      <c r="J825" s="559"/>
      <c r="K825" s="557">
        <v>14</v>
      </c>
      <c r="L825" s="557" t="s">
        <v>637</v>
      </c>
      <c r="M825" s="547">
        <v>43038</v>
      </c>
      <c r="N825" s="547">
        <v>43072</v>
      </c>
      <c r="O825" s="544" t="s">
        <v>955</v>
      </c>
      <c r="P825" s="544"/>
      <c r="Q825" s="677"/>
      <c r="R825" s="546" t="s">
        <v>2103</v>
      </c>
      <c r="S825" s="319" t="s">
        <v>1176</v>
      </c>
      <c r="T825" s="338" t="s">
        <v>1988</v>
      </c>
    </row>
    <row r="826" spans="1:20" ht="20.100000000000001" customHeight="1">
      <c r="A826" s="1127" t="s">
        <v>2957</v>
      </c>
      <c r="B826" s="1169" t="s">
        <v>384</v>
      </c>
      <c r="C826" s="1169" t="s">
        <v>509</v>
      </c>
      <c r="D826" s="32">
        <v>450</v>
      </c>
      <c r="E826" s="32">
        <v>800</v>
      </c>
      <c r="F826" s="11">
        <v>800</v>
      </c>
      <c r="G826" s="48" t="s">
        <v>37</v>
      </c>
      <c r="H826" s="48" t="s">
        <v>1653</v>
      </c>
      <c r="I826" s="558" t="s">
        <v>16</v>
      </c>
      <c r="J826" s="557"/>
      <c r="K826" s="558">
        <v>15</v>
      </c>
      <c r="L826" s="557" t="s">
        <v>637</v>
      </c>
      <c r="M826" s="543">
        <v>43040</v>
      </c>
      <c r="N826" s="543">
        <v>43084</v>
      </c>
      <c r="O826" s="544" t="s">
        <v>955</v>
      </c>
      <c r="P826" s="553"/>
      <c r="Q826" s="7"/>
      <c r="R826" s="548" t="s">
        <v>1877</v>
      </c>
      <c r="S826" s="319" t="s">
        <v>1176</v>
      </c>
      <c r="T826" s="338"/>
    </row>
    <row r="827" spans="1:20" ht="20.100000000000001" customHeight="1">
      <c r="A827" s="1127" t="s">
        <v>2957</v>
      </c>
      <c r="B827" s="1169" t="s">
        <v>384</v>
      </c>
      <c r="C827" s="1169" t="s">
        <v>509</v>
      </c>
      <c r="D827" s="529">
        <v>563</v>
      </c>
      <c r="E827" s="529">
        <v>1113</v>
      </c>
      <c r="F827" s="2">
        <v>1113</v>
      </c>
      <c r="G827" s="48" t="s">
        <v>19</v>
      </c>
      <c r="H827" s="56" t="s">
        <v>742</v>
      </c>
      <c r="I827" s="558" t="s">
        <v>16</v>
      </c>
      <c r="J827" s="557"/>
      <c r="K827" s="558" t="s">
        <v>151</v>
      </c>
      <c r="L827" s="559" t="s">
        <v>639</v>
      </c>
      <c r="M827" s="559"/>
      <c r="N827" s="549">
        <v>42825</v>
      </c>
      <c r="O827" s="544" t="s">
        <v>955</v>
      </c>
      <c r="P827" s="553"/>
      <c r="Q827" s="52"/>
      <c r="R827" s="546" t="s">
        <v>187</v>
      </c>
      <c r="S827" s="316"/>
      <c r="T827" s="338"/>
    </row>
    <row r="828" spans="1:20" ht="20.100000000000001" customHeight="1">
      <c r="A828" s="1127" t="s">
        <v>2957</v>
      </c>
      <c r="B828" s="1169" t="s">
        <v>384</v>
      </c>
      <c r="C828" s="1169" t="s">
        <v>509</v>
      </c>
      <c r="D828" s="525">
        <v>545</v>
      </c>
      <c r="E828" s="525">
        <v>990</v>
      </c>
      <c r="F828" s="525">
        <v>590</v>
      </c>
      <c r="G828" s="48" t="s">
        <v>568</v>
      </c>
      <c r="H828" s="36" t="s">
        <v>742</v>
      </c>
      <c r="I828" s="558" t="s">
        <v>16</v>
      </c>
      <c r="J828" s="559"/>
      <c r="K828" s="567" t="s">
        <v>723</v>
      </c>
      <c r="L828" s="559" t="s">
        <v>639</v>
      </c>
      <c r="M828" s="551">
        <v>43022</v>
      </c>
      <c r="N828" s="551">
        <v>43083</v>
      </c>
      <c r="O828" s="544" t="s">
        <v>955</v>
      </c>
      <c r="P828" s="553"/>
      <c r="Q828" s="52"/>
      <c r="R828" s="546" t="s">
        <v>171</v>
      </c>
      <c r="S828" s="321"/>
      <c r="T828" s="338"/>
    </row>
    <row r="829" spans="1:20" ht="20.100000000000001" customHeight="1">
      <c r="A829" s="1127" t="s">
        <v>2957</v>
      </c>
      <c r="B829" s="1169" t="s">
        <v>384</v>
      </c>
      <c r="C829" s="1169" t="s">
        <v>509</v>
      </c>
      <c r="D829" s="32">
        <v>445</v>
      </c>
      <c r="E829" s="32">
        <v>880</v>
      </c>
      <c r="F829" s="32">
        <v>880</v>
      </c>
      <c r="G829" s="63" t="s">
        <v>30</v>
      </c>
      <c r="H829" s="56" t="s">
        <v>742</v>
      </c>
      <c r="I829" s="558" t="s">
        <v>16</v>
      </c>
      <c r="J829" s="567"/>
      <c r="K829" s="564">
        <v>14</v>
      </c>
      <c r="L829" s="559" t="s">
        <v>637</v>
      </c>
      <c r="M829" s="568">
        <v>43040</v>
      </c>
      <c r="N829" s="568">
        <v>43100</v>
      </c>
      <c r="O829" s="544" t="s">
        <v>955</v>
      </c>
      <c r="P829" s="544"/>
      <c r="Q829" s="677"/>
      <c r="R829" s="546" t="s">
        <v>1977</v>
      </c>
      <c r="S829" s="319"/>
      <c r="T829" s="317">
        <v>14</v>
      </c>
    </row>
    <row r="830" spans="1:20" ht="20.100000000000001" customHeight="1">
      <c r="A830" s="1127" t="s">
        <v>2957</v>
      </c>
      <c r="B830" s="1169" t="s">
        <v>384</v>
      </c>
      <c r="C830" s="1169" t="s">
        <v>509</v>
      </c>
      <c r="D830" s="62">
        <v>450</v>
      </c>
      <c r="E830" s="62">
        <v>700</v>
      </c>
      <c r="F830" s="62">
        <v>700</v>
      </c>
      <c r="G830" s="48" t="s">
        <v>13</v>
      </c>
      <c r="H830" s="48" t="s">
        <v>760</v>
      </c>
      <c r="I830" s="558" t="s">
        <v>16</v>
      </c>
      <c r="J830" s="558"/>
      <c r="K830" s="558">
        <v>16</v>
      </c>
      <c r="L830" s="557" t="s">
        <v>637</v>
      </c>
      <c r="M830" s="6">
        <v>43070</v>
      </c>
      <c r="N830" s="6">
        <v>43100</v>
      </c>
      <c r="O830" s="544" t="s">
        <v>955</v>
      </c>
      <c r="P830" s="553"/>
      <c r="Q830" s="677"/>
      <c r="R830" s="546" t="s">
        <v>1958</v>
      </c>
      <c r="S830" s="319" t="s">
        <v>1176</v>
      </c>
      <c r="T830" s="338" t="s">
        <v>2875</v>
      </c>
    </row>
    <row r="831" spans="1:20" ht="20.100000000000001" customHeight="1">
      <c r="A831" s="1127" t="s">
        <v>2957</v>
      </c>
      <c r="B831" s="1169" t="s">
        <v>384</v>
      </c>
      <c r="C831" s="1169" t="s">
        <v>509</v>
      </c>
      <c r="D831" s="2">
        <v>350</v>
      </c>
      <c r="E831" s="2">
        <v>700</v>
      </c>
      <c r="F831" s="2">
        <v>700</v>
      </c>
      <c r="G831" s="224" t="s">
        <v>22</v>
      </c>
      <c r="H831" s="56" t="s">
        <v>706</v>
      </c>
      <c r="I831" s="558" t="s">
        <v>16</v>
      </c>
      <c r="J831" s="559"/>
      <c r="K831" s="554">
        <v>13</v>
      </c>
      <c r="L831" s="559" t="s">
        <v>643</v>
      </c>
      <c r="M831" s="547">
        <v>43009</v>
      </c>
      <c r="N831" s="547">
        <v>43069</v>
      </c>
      <c r="O831" s="544" t="s">
        <v>955</v>
      </c>
      <c r="P831" s="553"/>
      <c r="Q831" s="60"/>
      <c r="R831" s="546" t="s">
        <v>1783</v>
      </c>
      <c r="S831" s="316" t="s">
        <v>1176</v>
      </c>
      <c r="T831" s="317">
        <v>14</v>
      </c>
    </row>
    <row r="832" spans="1:20" ht="20.100000000000001" customHeight="1">
      <c r="A832" s="1170" t="s">
        <v>2957</v>
      </c>
      <c r="B832" s="1170" t="s">
        <v>384</v>
      </c>
      <c r="C832" s="1170" t="s">
        <v>454</v>
      </c>
      <c r="D832" s="320">
        <v>230</v>
      </c>
      <c r="E832" s="320">
        <v>460</v>
      </c>
      <c r="F832" s="320">
        <v>460</v>
      </c>
      <c r="G832" s="224" t="s">
        <v>2297</v>
      </c>
      <c r="H832" s="22" t="s">
        <v>729</v>
      </c>
      <c r="I832" s="558" t="s">
        <v>17</v>
      </c>
      <c r="J832" s="557" t="s">
        <v>78</v>
      </c>
      <c r="K832" s="566" t="s">
        <v>732</v>
      </c>
      <c r="L832" s="559" t="s">
        <v>2296</v>
      </c>
      <c r="M832" s="547">
        <v>43087</v>
      </c>
      <c r="N832" s="547">
        <v>43090</v>
      </c>
      <c r="O832" s="544" t="s">
        <v>955</v>
      </c>
      <c r="P832" s="545"/>
      <c r="Q832" s="744"/>
      <c r="R832" s="546" t="s">
        <v>2355</v>
      </c>
      <c r="S832" s="325" t="s">
        <v>1176</v>
      </c>
      <c r="T832" s="338" t="s">
        <v>723</v>
      </c>
    </row>
    <row r="833" spans="1:20" ht="20.100000000000001" customHeight="1">
      <c r="A833" s="1171" t="s">
        <v>2957</v>
      </c>
      <c r="B833" s="1171" t="s">
        <v>384</v>
      </c>
      <c r="C833" s="1171" t="s">
        <v>454</v>
      </c>
      <c r="D833" s="885">
        <v>255</v>
      </c>
      <c r="E833" s="885">
        <v>510</v>
      </c>
      <c r="F833" s="885">
        <v>510</v>
      </c>
      <c r="G833" s="66" t="s">
        <v>6</v>
      </c>
      <c r="H833" s="22" t="s">
        <v>729</v>
      </c>
      <c r="I833" s="566" t="s">
        <v>17</v>
      </c>
      <c r="J833" s="557" t="s">
        <v>78</v>
      </c>
      <c r="K833" s="19" t="s">
        <v>3445</v>
      </c>
      <c r="L833" s="559" t="s">
        <v>649</v>
      </c>
      <c r="M833" s="549">
        <v>43087</v>
      </c>
      <c r="N833" s="549">
        <v>43087</v>
      </c>
      <c r="O833" s="544" t="s">
        <v>955</v>
      </c>
      <c r="P833" s="572"/>
      <c r="Q833" s="7"/>
      <c r="R833" s="17" t="s">
        <v>3442</v>
      </c>
      <c r="S833" s="325"/>
      <c r="T833" s="338" t="s">
        <v>2874</v>
      </c>
    </row>
    <row r="834" spans="1:20" ht="20.100000000000001" customHeight="1">
      <c r="A834" s="1171" t="s">
        <v>2957</v>
      </c>
      <c r="B834" s="1171" t="s">
        <v>384</v>
      </c>
      <c r="C834" s="1171" t="s">
        <v>454</v>
      </c>
      <c r="D834" s="525">
        <v>225</v>
      </c>
      <c r="E834" s="525">
        <v>450</v>
      </c>
      <c r="F834" s="525">
        <v>450</v>
      </c>
      <c r="G834" s="224" t="s">
        <v>3439</v>
      </c>
      <c r="H834" s="22" t="s">
        <v>3440</v>
      </c>
      <c r="I834" s="566" t="s">
        <v>17</v>
      </c>
      <c r="J834" s="557" t="s">
        <v>78</v>
      </c>
      <c r="K834" s="19" t="s">
        <v>3445</v>
      </c>
      <c r="L834" s="559" t="s">
        <v>649</v>
      </c>
      <c r="M834" s="547">
        <v>43073</v>
      </c>
      <c r="N834" s="547">
        <v>43086</v>
      </c>
      <c r="O834" s="544" t="s">
        <v>955</v>
      </c>
      <c r="P834" s="572"/>
      <c r="Q834" s="7"/>
      <c r="R834" s="17" t="s">
        <v>3442</v>
      </c>
      <c r="S834" s="319" t="s">
        <v>1176</v>
      </c>
      <c r="T834" s="317" t="s">
        <v>2872</v>
      </c>
    </row>
    <row r="835" spans="1:20" ht="20.100000000000001" customHeight="1">
      <c r="A835" s="1171" t="s">
        <v>2957</v>
      </c>
      <c r="B835" s="1171" t="s">
        <v>384</v>
      </c>
      <c r="C835" s="1171" t="s">
        <v>454</v>
      </c>
      <c r="D835" s="32">
        <v>260</v>
      </c>
      <c r="E835" s="32">
        <v>440</v>
      </c>
      <c r="F835" s="32">
        <v>440</v>
      </c>
      <c r="G835" s="56" t="s">
        <v>33</v>
      </c>
      <c r="H835" s="36" t="s">
        <v>2498</v>
      </c>
      <c r="I835" s="542" t="s">
        <v>17</v>
      </c>
      <c r="J835" s="569" t="s">
        <v>78</v>
      </c>
      <c r="K835" s="569" t="s">
        <v>771</v>
      </c>
      <c r="L835" s="542" t="s">
        <v>636</v>
      </c>
      <c r="M835" s="549">
        <v>43078</v>
      </c>
      <c r="N835" s="549">
        <v>43083</v>
      </c>
      <c r="O835" s="544" t="s">
        <v>955</v>
      </c>
      <c r="P835" s="553"/>
      <c r="Q835" s="683"/>
      <c r="R835" s="561" t="s">
        <v>1686</v>
      </c>
      <c r="S835" s="315" t="s">
        <v>2850</v>
      </c>
      <c r="T835" s="338"/>
    </row>
    <row r="836" spans="1:20" ht="20.100000000000001" customHeight="1">
      <c r="A836" s="1171" t="s">
        <v>2957</v>
      </c>
      <c r="B836" s="1171" t="s">
        <v>384</v>
      </c>
      <c r="C836" s="1171" t="s">
        <v>454</v>
      </c>
      <c r="D836" s="525">
        <v>230</v>
      </c>
      <c r="E836" s="525">
        <v>460</v>
      </c>
      <c r="F836" s="525">
        <v>460</v>
      </c>
      <c r="G836" s="56" t="s">
        <v>36</v>
      </c>
      <c r="H836" s="36" t="s">
        <v>2498</v>
      </c>
      <c r="I836" s="542" t="s">
        <v>17</v>
      </c>
      <c r="J836" s="569" t="s">
        <v>78</v>
      </c>
      <c r="K836" s="569" t="s">
        <v>771</v>
      </c>
      <c r="L836" s="542" t="s">
        <v>636</v>
      </c>
      <c r="M836" s="551">
        <v>43080</v>
      </c>
      <c r="N836" s="551">
        <v>43085</v>
      </c>
      <c r="O836" s="544" t="s">
        <v>955</v>
      </c>
      <c r="P836" s="553"/>
      <c r="Q836" s="683"/>
      <c r="R836" s="561" t="s">
        <v>1686</v>
      </c>
      <c r="S836" s="315" t="s">
        <v>2852</v>
      </c>
      <c r="T836" s="317">
        <v>14</v>
      </c>
    </row>
    <row r="837" spans="1:20" ht="20.100000000000001" customHeight="1">
      <c r="A837" s="1171" t="s">
        <v>2957</v>
      </c>
      <c r="B837" s="1171" t="s">
        <v>384</v>
      </c>
      <c r="C837" s="1171" t="s">
        <v>454</v>
      </c>
      <c r="D837" s="526">
        <v>280</v>
      </c>
      <c r="E837" s="526">
        <v>560</v>
      </c>
      <c r="F837" s="526">
        <v>560</v>
      </c>
      <c r="G837" s="69" t="s">
        <v>232</v>
      </c>
      <c r="H837" s="48">
        <v>3</v>
      </c>
      <c r="I837" s="557" t="s">
        <v>17</v>
      </c>
      <c r="J837" s="567" t="s">
        <v>120</v>
      </c>
      <c r="K837" s="566" t="s">
        <v>732</v>
      </c>
      <c r="L837" s="559" t="s">
        <v>639</v>
      </c>
      <c r="M837" s="551">
        <v>43078</v>
      </c>
      <c r="N837" s="551">
        <v>43086</v>
      </c>
      <c r="O837" s="544" t="s">
        <v>955</v>
      </c>
      <c r="P837" s="553"/>
      <c r="Q837" s="52"/>
      <c r="R837" s="546" t="s">
        <v>165</v>
      </c>
      <c r="S837" s="319"/>
      <c r="T837" s="317" t="s">
        <v>1678</v>
      </c>
    </row>
    <row r="838" spans="1:20" ht="20.100000000000001" customHeight="1">
      <c r="A838" s="1171" t="s">
        <v>2957</v>
      </c>
      <c r="B838" s="1171" t="s">
        <v>384</v>
      </c>
      <c r="C838" s="1171" t="s">
        <v>454</v>
      </c>
      <c r="D838" s="320">
        <v>210</v>
      </c>
      <c r="E838" s="320">
        <v>420</v>
      </c>
      <c r="F838" s="320">
        <v>420</v>
      </c>
      <c r="G838" s="56" t="s">
        <v>87</v>
      </c>
      <c r="H838" s="48">
        <v>3</v>
      </c>
      <c r="I838" s="557" t="s">
        <v>17</v>
      </c>
      <c r="J838" s="567" t="s">
        <v>120</v>
      </c>
      <c r="K838" s="566" t="s">
        <v>732</v>
      </c>
      <c r="L838" s="559" t="s">
        <v>639</v>
      </c>
      <c r="M838" s="551">
        <v>43085</v>
      </c>
      <c r="N838" s="551">
        <v>43089</v>
      </c>
      <c r="O838" s="544" t="s">
        <v>955</v>
      </c>
      <c r="P838" s="553"/>
      <c r="Q838" s="52"/>
      <c r="R838" s="555" t="s">
        <v>165</v>
      </c>
      <c r="S838" s="315" t="s">
        <v>2849</v>
      </c>
      <c r="T838" s="317" t="s">
        <v>2876</v>
      </c>
    </row>
    <row r="839" spans="1:20" ht="20.100000000000001" customHeight="1">
      <c r="A839" s="1171" t="s">
        <v>2957</v>
      </c>
      <c r="B839" s="1171" t="s">
        <v>384</v>
      </c>
      <c r="C839" s="1171" t="s">
        <v>454</v>
      </c>
      <c r="D839" s="320">
        <v>260</v>
      </c>
      <c r="E839" s="320">
        <v>520</v>
      </c>
      <c r="F839" s="320">
        <v>520</v>
      </c>
      <c r="G839" s="69" t="s">
        <v>278</v>
      </c>
      <c r="H839" s="48">
        <v>3</v>
      </c>
      <c r="I839" s="557" t="s">
        <v>17</v>
      </c>
      <c r="J839" s="567" t="s">
        <v>120</v>
      </c>
      <c r="K839" s="566" t="s">
        <v>732</v>
      </c>
      <c r="L839" s="559" t="s">
        <v>639</v>
      </c>
      <c r="M839" s="391">
        <v>43087</v>
      </c>
      <c r="N839" s="391">
        <v>43093</v>
      </c>
      <c r="O839" s="544" t="s">
        <v>955</v>
      </c>
      <c r="P839" s="553"/>
      <c r="Q839" s="52"/>
      <c r="R839" s="555" t="s">
        <v>165</v>
      </c>
      <c r="S839" s="321"/>
      <c r="T839" s="317" t="s">
        <v>2876</v>
      </c>
    </row>
    <row r="840" spans="1:20" ht="20.100000000000001" customHeight="1">
      <c r="A840" s="1171" t="s">
        <v>2957</v>
      </c>
      <c r="B840" s="1171" t="s">
        <v>384</v>
      </c>
      <c r="C840" s="1171" t="s">
        <v>454</v>
      </c>
      <c r="D840" s="525">
        <v>250</v>
      </c>
      <c r="E840" s="525">
        <v>500</v>
      </c>
      <c r="F840" s="525">
        <v>500</v>
      </c>
      <c r="G840" s="69" t="s">
        <v>432</v>
      </c>
      <c r="H840" s="48">
        <v>3</v>
      </c>
      <c r="I840" s="557" t="s">
        <v>17</v>
      </c>
      <c r="J840" s="567" t="s">
        <v>120</v>
      </c>
      <c r="K840" s="566" t="s">
        <v>732</v>
      </c>
      <c r="L840" s="559" t="s">
        <v>639</v>
      </c>
      <c r="M840" s="549">
        <v>43082</v>
      </c>
      <c r="N840" s="549">
        <v>43089</v>
      </c>
      <c r="O840" s="544" t="s">
        <v>955</v>
      </c>
      <c r="P840" s="553"/>
      <c r="Q840" s="52"/>
      <c r="R840" s="555" t="s">
        <v>165</v>
      </c>
      <c r="S840" s="704" t="s">
        <v>1176</v>
      </c>
      <c r="T840" s="338" t="s">
        <v>723</v>
      </c>
    </row>
    <row r="841" spans="1:20" ht="20.100000000000001" customHeight="1">
      <c r="A841" s="1171" t="s">
        <v>2957</v>
      </c>
      <c r="B841" s="1171" t="s">
        <v>384</v>
      </c>
      <c r="C841" s="1171" t="s">
        <v>454</v>
      </c>
      <c r="D841" s="526">
        <v>235</v>
      </c>
      <c r="E841" s="526">
        <v>470</v>
      </c>
      <c r="F841" s="526">
        <v>470</v>
      </c>
      <c r="G841" s="628" t="s">
        <v>814</v>
      </c>
      <c r="H841" s="56" t="s">
        <v>725</v>
      </c>
      <c r="I841" s="542" t="s">
        <v>17</v>
      </c>
      <c r="J841" s="558" t="s">
        <v>78</v>
      </c>
      <c r="K841" s="558" t="s">
        <v>732</v>
      </c>
      <c r="L841" s="542" t="s">
        <v>649</v>
      </c>
      <c r="M841" s="547">
        <v>43080</v>
      </c>
      <c r="N841" s="547">
        <v>43086</v>
      </c>
      <c r="O841" s="544" t="s">
        <v>955</v>
      </c>
      <c r="P841" s="553"/>
      <c r="Q841" s="7"/>
      <c r="R841" s="546" t="s">
        <v>1492</v>
      </c>
      <c r="S841" s="319" t="s">
        <v>1176</v>
      </c>
      <c r="T841" s="317" t="s">
        <v>2872</v>
      </c>
    </row>
    <row r="842" spans="1:20" ht="20.100000000000001" customHeight="1">
      <c r="A842" s="1171" t="s">
        <v>2957</v>
      </c>
      <c r="B842" s="1171" t="s">
        <v>384</v>
      </c>
      <c r="C842" s="1171" t="s">
        <v>454</v>
      </c>
      <c r="D842" s="32">
        <v>260</v>
      </c>
      <c r="E842" s="32">
        <v>440</v>
      </c>
      <c r="F842" s="32">
        <v>440</v>
      </c>
      <c r="G842" s="69" t="s">
        <v>33</v>
      </c>
      <c r="H842" s="56" t="s">
        <v>725</v>
      </c>
      <c r="I842" s="542" t="s">
        <v>17</v>
      </c>
      <c r="J842" s="558" t="s">
        <v>78</v>
      </c>
      <c r="K842" s="558" t="s">
        <v>732</v>
      </c>
      <c r="L842" s="542" t="s">
        <v>649</v>
      </c>
      <c r="M842" s="549">
        <v>43078</v>
      </c>
      <c r="N842" s="549">
        <v>43083</v>
      </c>
      <c r="O842" s="544" t="s">
        <v>955</v>
      </c>
      <c r="P842" s="553"/>
      <c r="Q842" s="52"/>
      <c r="R842" s="546" t="s">
        <v>1492</v>
      </c>
      <c r="S842" s="315" t="s">
        <v>2850</v>
      </c>
      <c r="T842" s="338"/>
    </row>
    <row r="843" spans="1:20" ht="20.100000000000001" customHeight="1">
      <c r="A843" s="1171" t="s">
        <v>2957</v>
      </c>
      <c r="B843" s="1171" t="s">
        <v>384</v>
      </c>
      <c r="C843" s="1171" t="s">
        <v>454</v>
      </c>
      <c r="D843" s="525">
        <v>230</v>
      </c>
      <c r="E843" s="525">
        <v>460</v>
      </c>
      <c r="F843" s="525">
        <v>460</v>
      </c>
      <c r="G843" s="56" t="s">
        <v>36</v>
      </c>
      <c r="H843" s="56" t="s">
        <v>725</v>
      </c>
      <c r="I843" s="542" t="s">
        <v>17</v>
      </c>
      <c r="J843" s="558" t="s">
        <v>78</v>
      </c>
      <c r="K843" s="558" t="s">
        <v>732</v>
      </c>
      <c r="L843" s="542" t="s">
        <v>649</v>
      </c>
      <c r="M843" s="551">
        <v>43083</v>
      </c>
      <c r="N843" s="551">
        <v>43085</v>
      </c>
      <c r="O843" s="544" t="s">
        <v>955</v>
      </c>
      <c r="P843" s="553"/>
      <c r="Q843" s="7"/>
      <c r="R843" s="546" t="s">
        <v>1492</v>
      </c>
      <c r="S843" s="315" t="s">
        <v>2852</v>
      </c>
      <c r="T843" s="317">
        <v>14</v>
      </c>
    </row>
    <row r="844" spans="1:20" ht="20.100000000000001" customHeight="1">
      <c r="A844" s="1171" t="s">
        <v>2957</v>
      </c>
      <c r="B844" s="1171" t="s">
        <v>384</v>
      </c>
      <c r="C844" s="1171" t="s">
        <v>454</v>
      </c>
      <c r="D844" s="2">
        <v>270</v>
      </c>
      <c r="E844" s="2">
        <v>460</v>
      </c>
      <c r="F844" s="2">
        <v>460</v>
      </c>
      <c r="G844" s="69" t="s">
        <v>62</v>
      </c>
      <c r="H844" s="56" t="s">
        <v>681</v>
      </c>
      <c r="I844" s="542" t="s">
        <v>17</v>
      </c>
      <c r="J844" s="567" t="s">
        <v>2422</v>
      </c>
      <c r="K844" s="554" t="s">
        <v>732</v>
      </c>
      <c r="L844" s="542" t="s">
        <v>649</v>
      </c>
      <c r="M844" s="549">
        <v>43084</v>
      </c>
      <c r="N844" s="549">
        <v>43086</v>
      </c>
      <c r="O844" s="544" t="s">
        <v>955</v>
      </c>
      <c r="P844" s="553"/>
      <c r="Q844" s="683"/>
      <c r="R844" s="546" t="s">
        <v>1845</v>
      </c>
      <c r="S844" s="315" t="s">
        <v>2832</v>
      </c>
      <c r="T844" s="317">
        <v>14</v>
      </c>
    </row>
    <row r="845" spans="1:20" ht="20.100000000000001" customHeight="1">
      <c r="A845" s="1171" t="s">
        <v>2957</v>
      </c>
      <c r="B845" s="1171" t="s">
        <v>384</v>
      </c>
      <c r="C845" s="1171" t="s">
        <v>454</v>
      </c>
      <c r="D845" s="525">
        <v>300</v>
      </c>
      <c r="E845" s="525">
        <v>600</v>
      </c>
      <c r="F845" s="525">
        <v>600</v>
      </c>
      <c r="G845" s="224" t="s">
        <v>51</v>
      </c>
      <c r="H845" s="210" t="s">
        <v>681</v>
      </c>
      <c r="I845" s="558" t="s">
        <v>17</v>
      </c>
      <c r="J845" s="557" t="s">
        <v>78</v>
      </c>
      <c r="K845" s="566" t="s">
        <v>682</v>
      </c>
      <c r="L845" s="559" t="s">
        <v>636</v>
      </c>
      <c r="M845" s="381">
        <v>43084</v>
      </c>
      <c r="N845" s="381">
        <v>43088</v>
      </c>
      <c r="O845" s="544" t="s">
        <v>955</v>
      </c>
      <c r="P845" s="545"/>
      <c r="Q845" s="7"/>
      <c r="R845" s="546" t="s">
        <v>1207</v>
      </c>
      <c r="S845" s="319"/>
      <c r="T845" s="317">
        <v>12</v>
      </c>
    </row>
    <row r="846" spans="1:20" ht="20.100000000000001" customHeight="1">
      <c r="A846" s="1171" t="s">
        <v>2957</v>
      </c>
      <c r="B846" s="1171" t="s">
        <v>384</v>
      </c>
      <c r="C846" s="1171" t="s">
        <v>454</v>
      </c>
      <c r="D846" s="525">
        <v>300</v>
      </c>
      <c r="E846" s="525">
        <v>600</v>
      </c>
      <c r="F846" s="525">
        <v>600</v>
      </c>
      <c r="G846" s="224" t="s">
        <v>51</v>
      </c>
      <c r="H846" s="56" t="s">
        <v>1098</v>
      </c>
      <c r="I846" s="566" t="s">
        <v>17</v>
      </c>
      <c r="J846" s="542" t="s">
        <v>78</v>
      </c>
      <c r="K846" s="19" t="s">
        <v>2996</v>
      </c>
      <c r="L846" s="37" t="s">
        <v>2999</v>
      </c>
      <c r="M846" s="381">
        <v>43084</v>
      </c>
      <c r="N846" s="381">
        <v>43088</v>
      </c>
      <c r="O846" s="544" t="s">
        <v>955</v>
      </c>
      <c r="P846" s="581"/>
      <c r="Q846" s="52"/>
      <c r="R846" s="546" t="s">
        <v>202</v>
      </c>
      <c r="S846" s="319"/>
      <c r="T846" s="317">
        <v>12</v>
      </c>
    </row>
    <row r="847" spans="1:20" ht="20.100000000000001" customHeight="1">
      <c r="A847" s="1171" t="s">
        <v>2957</v>
      </c>
      <c r="B847" s="1171" t="s">
        <v>384</v>
      </c>
      <c r="C847" s="1171" t="s">
        <v>454</v>
      </c>
      <c r="D847" s="525">
        <v>260</v>
      </c>
      <c r="E847" s="525">
        <v>520</v>
      </c>
      <c r="F847" s="525">
        <v>520</v>
      </c>
      <c r="G847" s="218" t="s">
        <v>491</v>
      </c>
      <c r="H847" s="48">
        <v>6</v>
      </c>
      <c r="I847" s="566" t="s">
        <v>17</v>
      </c>
      <c r="J847" s="569" t="s">
        <v>78</v>
      </c>
      <c r="K847" s="558">
        <v>8</v>
      </c>
      <c r="L847" s="570" t="s">
        <v>641</v>
      </c>
      <c r="M847" s="547">
        <v>43085</v>
      </c>
      <c r="N847" s="547">
        <v>43086</v>
      </c>
      <c r="O847" s="544" t="s">
        <v>955</v>
      </c>
      <c r="P847" s="553"/>
      <c r="Q847" s="683"/>
      <c r="R847" s="546" t="s">
        <v>201</v>
      </c>
      <c r="S847" s="315" t="s">
        <v>2865</v>
      </c>
      <c r="T847" s="317" t="s">
        <v>1678</v>
      </c>
    </row>
    <row r="848" spans="1:20" ht="20.100000000000001" customHeight="1">
      <c r="A848" s="1171" t="s">
        <v>2957</v>
      </c>
      <c r="B848" s="1171" t="s">
        <v>384</v>
      </c>
      <c r="C848" s="1171" t="s">
        <v>454</v>
      </c>
      <c r="D848" s="320">
        <v>260</v>
      </c>
      <c r="E848" s="320">
        <v>520</v>
      </c>
      <c r="F848" s="320">
        <v>520</v>
      </c>
      <c r="G848" s="56" t="s">
        <v>36</v>
      </c>
      <c r="H848" s="48">
        <v>6</v>
      </c>
      <c r="I848" s="566" t="s">
        <v>17</v>
      </c>
      <c r="J848" s="569" t="s">
        <v>78</v>
      </c>
      <c r="K848" s="558">
        <v>8</v>
      </c>
      <c r="L848" s="570" t="s">
        <v>641</v>
      </c>
      <c r="M848" s="551">
        <v>43085</v>
      </c>
      <c r="N848" s="551">
        <v>43085</v>
      </c>
      <c r="O848" s="544" t="s">
        <v>955</v>
      </c>
      <c r="P848" s="553"/>
      <c r="Q848" s="683"/>
      <c r="R848" s="561" t="s">
        <v>201</v>
      </c>
      <c r="S848" s="315" t="s">
        <v>2852</v>
      </c>
      <c r="T848" s="317">
        <v>14</v>
      </c>
    </row>
    <row r="849" spans="1:20" ht="20.100000000000001" customHeight="1">
      <c r="A849" s="1171" t="s">
        <v>2957</v>
      </c>
      <c r="B849" s="1171" t="s">
        <v>384</v>
      </c>
      <c r="C849" s="1171" t="s">
        <v>454</v>
      </c>
      <c r="D849" s="526">
        <v>270</v>
      </c>
      <c r="E849" s="526">
        <v>540</v>
      </c>
      <c r="F849" s="526">
        <v>540</v>
      </c>
      <c r="G849" s="36" t="s">
        <v>232</v>
      </c>
      <c r="H849" s="48">
        <v>6</v>
      </c>
      <c r="I849" s="557" t="s">
        <v>17</v>
      </c>
      <c r="J849" s="569" t="s">
        <v>78</v>
      </c>
      <c r="K849" s="558">
        <v>8</v>
      </c>
      <c r="L849" s="570" t="s">
        <v>641</v>
      </c>
      <c r="M849" s="551">
        <v>43078</v>
      </c>
      <c r="N849" s="551">
        <v>43086</v>
      </c>
      <c r="O849" s="544" t="s">
        <v>955</v>
      </c>
      <c r="P849" s="544"/>
      <c r="Q849" s="683"/>
      <c r="R849" s="561" t="s">
        <v>201</v>
      </c>
      <c r="S849" s="325"/>
      <c r="T849" s="317" t="s">
        <v>1678</v>
      </c>
    </row>
    <row r="850" spans="1:20" ht="20.100000000000001" customHeight="1">
      <c r="A850" s="1171" t="s">
        <v>2957</v>
      </c>
      <c r="B850" s="1171" t="s">
        <v>384</v>
      </c>
      <c r="C850" s="1171" t="s">
        <v>454</v>
      </c>
      <c r="D850" s="935">
        <v>245</v>
      </c>
      <c r="E850" s="935">
        <v>490</v>
      </c>
      <c r="F850" s="935">
        <v>490</v>
      </c>
      <c r="G850" s="224" t="s">
        <v>434</v>
      </c>
      <c r="H850" s="48">
        <v>6</v>
      </c>
      <c r="I850" s="566" t="s">
        <v>17</v>
      </c>
      <c r="J850" s="569" t="s">
        <v>78</v>
      </c>
      <c r="K850" s="566">
        <v>8</v>
      </c>
      <c r="L850" s="570" t="s">
        <v>641</v>
      </c>
      <c r="M850" s="549">
        <v>43085</v>
      </c>
      <c r="N850" s="549">
        <v>43093</v>
      </c>
      <c r="O850" s="544" t="s">
        <v>955</v>
      </c>
      <c r="P850" s="545"/>
      <c r="Q850" s="683"/>
      <c r="R850" s="561" t="s">
        <v>201</v>
      </c>
      <c r="S850" s="321" t="s">
        <v>1176</v>
      </c>
      <c r="T850" s="317" t="s">
        <v>2404</v>
      </c>
    </row>
    <row r="851" spans="1:20" ht="20.100000000000001" customHeight="1">
      <c r="A851" s="1171" t="s">
        <v>2957</v>
      </c>
      <c r="B851" s="1171" t="s">
        <v>384</v>
      </c>
      <c r="C851" s="1171" t="s">
        <v>454</v>
      </c>
      <c r="D851" s="525">
        <v>290</v>
      </c>
      <c r="E851" s="525">
        <v>580</v>
      </c>
      <c r="F851" s="525">
        <v>580</v>
      </c>
      <c r="G851" s="56" t="s">
        <v>87</v>
      </c>
      <c r="H851" s="48">
        <v>6</v>
      </c>
      <c r="I851" s="566" t="s">
        <v>17</v>
      </c>
      <c r="J851" s="569" t="s">
        <v>78</v>
      </c>
      <c r="K851" s="566">
        <v>8</v>
      </c>
      <c r="L851" s="570" t="s">
        <v>641</v>
      </c>
      <c r="M851" s="551">
        <v>43078</v>
      </c>
      <c r="N851" s="551">
        <v>43089</v>
      </c>
      <c r="O851" s="544" t="s">
        <v>955</v>
      </c>
      <c r="P851" s="545"/>
      <c r="Q851" s="683"/>
      <c r="R851" s="561" t="s">
        <v>201</v>
      </c>
      <c r="S851" s="315" t="s">
        <v>2849</v>
      </c>
      <c r="T851" s="317" t="s">
        <v>2876</v>
      </c>
    </row>
    <row r="852" spans="1:20" ht="20.100000000000001" customHeight="1">
      <c r="A852" s="1171" t="s">
        <v>2957</v>
      </c>
      <c r="B852" s="1171" t="s">
        <v>384</v>
      </c>
      <c r="C852" s="1171" t="s">
        <v>454</v>
      </c>
      <c r="D852" s="320">
        <v>260</v>
      </c>
      <c r="E852" s="320">
        <v>520</v>
      </c>
      <c r="F852" s="320">
        <v>520</v>
      </c>
      <c r="G852" s="69" t="s">
        <v>278</v>
      </c>
      <c r="H852" s="48">
        <v>6</v>
      </c>
      <c r="I852" s="566" t="s">
        <v>17</v>
      </c>
      <c r="J852" s="569" t="s">
        <v>78</v>
      </c>
      <c r="K852" s="566">
        <v>8</v>
      </c>
      <c r="L852" s="570" t="s">
        <v>641</v>
      </c>
      <c r="M852" s="391">
        <v>43087</v>
      </c>
      <c r="N852" s="391">
        <v>43093</v>
      </c>
      <c r="O852" s="544" t="s">
        <v>955</v>
      </c>
      <c r="P852" s="545"/>
      <c r="Q852" s="683"/>
      <c r="R852" s="561" t="s">
        <v>201</v>
      </c>
      <c r="S852" s="325"/>
      <c r="T852" s="317" t="s">
        <v>2876</v>
      </c>
    </row>
    <row r="853" spans="1:20" ht="20.100000000000001" customHeight="1">
      <c r="A853" s="1171" t="s">
        <v>2957</v>
      </c>
      <c r="B853" s="1171" t="s">
        <v>384</v>
      </c>
      <c r="C853" s="1171" t="s">
        <v>454</v>
      </c>
      <c r="D853" s="525">
        <v>300</v>
      </c>
      <c r="E853" s="525">
        <v>600</v>
      </c>
      <c r="F853" s="525">
        <v>600</v>
      </c>
      <c r="G853" s="224" t="s">
        <v>51</v>
      </c>
      <c r="H853" s="48">
        <v>6</v>
      </c>
      <c r="I853" s="566" t="s">
        <v>17</v>
      </c>
      <c r="J853" s="569" t="s">
        <v>78</v>
      </c>
      <c r="K853" s="566">
        <v>9</v>
      </c>
      <c r="L853" s="559" t="s">
        <v>639</v>
      </c>
      <c r="M853" s="381">
        <v>43084</v>
      </c>
      <c r="N853" s="381">
        <v>43088</v>
      </c>
      <c r="O853" s="544" t="s">
        <v>955</v>
      </c>
      <c r="P853" s="545"/>
      <c r="Q853" s="683"/>
      <c r="R853" s="561" t="s">
        <v>190</v>
      </c>
      <c r="S853" s="325"/>
      <c r="T853" s="317">
        <v>12</v>
      </c>
    </row>
    <row r="854" spans="1:20" ht="20.100000000000001" customHeight="1">
      <c r="A854" s="1171" t="s">
        <v>2957</v>
      </c>
      <c r="B854" s="1171" t="s">
        <v>384</v>
      </c>
      <c r="C854" s="1171" t="s">
        <v>454</v>
      </c>
      <c r="D854" s="525">
        <v>210</v>
      </c>
      <c r="E854" s="525">
        <v>420</v>
      </c>
      <c r="F854" s="525">
        <v>420</v>
      </c>
      <c r="G854" s="56" t="s">
        <v>432</v>
      </c>
      <c r="H854" s="48">
        <v>6</v>
      </c>
      <c r="I854" s="566" t="s">
        <v>17</v>
      </c>
      <c r="J854" s="569" t="s">
        <v>78</v>
      </c>
      <c r="K854" s="566">
        <v>9</v>
      </c>
      <c r="L854" s="559" t="s">
        <v>639</v>
      </c>
      <c r="M854" s="549">
        <v>43085</v>
      </c>
      <c r="N854" s="549">
        <v>43089</v>
      </c>
      <c r="O854" s="544" t="s">
        <v>955</v>
      </c>
      <c r="P854" s="553"/>
      <c r="Q854" s="683"/>
      <c r="R854" s="561" t="s">
        <v>190</v>
      </c>
      <c r="S854" s="704" t="s">
        <v>1176</v>
      </c>
      <c r="T854" s="338" t="s">
        <v>723</v>
      </c>
    </row>
    <row r="855" spans="1:20" ht="20.100000000000001" customHeight="1">
      <c r="A855" s="1171" t="s">
        <v>2957</v>
      </c>
      <c r="B855" s="1171" t="s">
        <v>384</v>
      </c>
      <c r="C855" s="1171" t="s">
        <v>454</v>
      </c>
      <c r="D855" s="526">
        <v>230</v>
      </c>
      <c r="E855" s="526">
        <v>460</v>
      </c>
      <c r="F855" s="526">
        <v>460</v>
      </c>
      <c r="G855" s="56" t="s">
        <v>232</v>
      </c>
      <c r="H855" s="48">
        <v>6</v>
      </c>
      <c r="I855" s="566" t="s">
        <v>17</v>
      </c>
      <c r="J855" s="569" t="s">
        <v>78</v>
      </c>
      <c r="K855" s="566">
        <v>9</v>
      </c>
      <c r="L855" s="559" t="s">
        <v>639</v>
      </c>
      <c r="M855" s="551">
        <v>43078</v>
      </c>
      <c r="N855" s="551">
        <v>43086</v>
      </c>
      <c r="O855" s="544" t="s">
        <v>955</v>
      </c>
      <c r="P855" s="553"/>
      <c r="Q855" s="683"/>
      <c r="R855" s="561" t="s">
        <v>190</v>
      </c>
      <c r="S855" s="704"/>
      <c r="T855" s="317" t="s">
        <v>1678</v>
      </c>
    </row>
    <row r="856" spans="1:20" ht="20.100000000000001" customHeight="1">
      <c r="A856" s="1171" t="s">
        <v>2957</v>
      </c>
      <c r="B856" s="1171" t="s">
        <v>384</v>
      </c>
      <c r="C856" s="1171" t="s">
        <v>454</v>
      </c>
      <c r="D856" s="320">
        <v>210</v>
      </c>
      <c r="E856" s="320">
        <v>420</v>
      </c>
      <c r="F856" s="320">
        <v>420</v>
      </c>
      <c r="G856" s="48" t="s">
        <v>87</v>
      </c>
      <c r="H856" s="48">
        <v>6</v>
      </c>
      <c r="I856" s="557" t="s">
        <v>17</v>
      </c>
      <c r="J856" s="567" t="s">
        <v>78</v>
      </c>
      <c r="K856" s="566">
        <v>9</v>
      </c>
      <c r="L856" s="559" t="s">
        <v>639</v>
      </c>
      <c r="M856" s="551">
        <v>43085</v>
      </c>
      <c r="N856" s="551">
        <v>43089</v>
      </c>
      <c r="O856" s="544" t="s">
        <v>955</v>
      </c>
      <c r="P856" s="553"/>
      <c r="Q856" s="683"/>
      <c r="R856" s="555" t="s">
        <v>190</v>
      </c>
      <c r="S856" s="315" t="s">
        <v>2849</v>
      </c>
      <c r="T856" s="317" t="s">
        <v>2876</v>
      </c>
    </row>
    <row r="857" spans="1:20" ht="20.100000000000001" customHeight="1">
      <c r="A857" s="1171" t="s">
        <v>2957</v>
      </c>
      <c r="B857" s="1171" t="s">
        <v>384</v>
      </c>
      <c r="C857" s="1171" t="s">
        <v>454</v>
      </c>
      <c r="D857" s="529">
        <v>260</v>
      </c>
      <c r="E857" s="529">
        <v>400</v>
      </c>
      <c r="F857" s="529">
        <v>400</v>
      </c>
      <c r="G857" s="628" t="s">
        <v>147</v>
      </c>
      <c r="H857" s="48">
        <v>6</v>
      </c>
      <c r="I857" s="566" t="s">
        <v>17</v>
      </c>
      <c r="J857" s="566" t="s">
        <v>78</v>
      </c>
      <c r="K857" s="566">
        <v>12</v>
      </c>
      <c r="L857" s="542" t="s">
        <v>649</v>
      </c>
      <c r="M857" s="547">
        <v>43085</v>
      </c>
      <c r="N857" s="547">
        <v>43086</v>
      </c>
      <c r="O857" s="544" t="s">
        <v>955</v>
      </c>
      <c r="P857" s="544"/>
      <c r="Q857" s="683"/>
      <c r="R857" s="546" t="s">
        <v>263</v>
      </c>
      <c r="S857" s="319"/>
      <c r="T857" s="317">
        <v>14</v>
      </c>
    </row>
    <row r="858" spans="1:20" ht="20.100000000000001" customHeight="1">
      <c r="A858" s="1171" t="s">
        <v>2957</v>
      </c>
      <c r="B858" s="1171" t="s">
        <v>384</v>
      </c>
      <c r="C858" s="1171" t="s">
        <v>454</v>
      </c>
      <c r="D858" s="525">
        <v>225</v>
      </c>
      <c r="E858" s="525">
        <v>450</v>
      </c>
      <c r="F858" s="525">
        <v>450</v>
      </c>
      <c r="G858" s="628" t="s">
        <v>814</v>
      </c>
      <c r="H858" s="48">
        <v>6</v>
      </c>
      <c r="I858" s="566" t="s">
        <v>17</v>
      </c>
      <c r="J858" s="566" t="s">
        <v>78</v>
      </c>
      <c r="K858" s="566">
        <v>12</v>
      </c>
      <c r="L858" s="542" t="s">
        <v>649</v>
      </c>
      <c r="M858" s="547">
        <v>43078</v>
      </c>
      <c r="N858" s="547">
        <v>43086</v>
      </c>
      <c r="O858" s="544" t="s">
        <v>955</v>
      </c>
      <c r="P858" s="553"/>
      <c r="Q858" s="683"/>
      <c r="R858" s="546" t="s">
        <v>194</v>
      </c>
      <c r="S858" s="319" t="s">
        <v>1176</v>
      </c>
      <c r="T858" s="317" t="s">
        <v>2872</v>
      </c>
    </row>
    <row r="859" spans="1:20" ht="20.100000000000001" customHeight="1">
      <c r="A859" s="1171" t="s">
        <v>2957</v>
      </c>
      <c r="B859" s="1171" t="s">
        <v>384</v>
      </c>
      <c r="C859" s="1171" t="s">
        <v>454</v>
      </c>
      <c r="D859" s="320">
        <v>210</v>
      </c>
      <c r="E859" s="320">
        <v>420</v>
      </c>
      <c r="F859" s="320">
        <v>420</v>
      </c>
      <c r="G859" s="48" t="s">
        <v>87</v>
      </c>
      <c r="H859" s="48">
        <v>6</v>
      </c>
      <c r="I859" s="557" t="s">
        <v>17</v>
      </c>
      <c r="J859" s="567" t="s">
        <v>78</v>
      </c>
      <c r="K859" s="566">
        <v>12</v>
      </c>
      <c r="L859" s="542" t="s">
        <v>649</v>
      </c>
      <c r="M859" s="551">
        <v>43085</v>
      </c>
      <c r="N859" s="551">
        <v>43089</v>
      </c>
      <c r="O859" s="544" t="s">
        <v>955</v>
      </c>
      <c r="P859" s="553"/>
      <c r="Q859" s="683"/>
      <c r="R859" s="546" t="s">
        <v>263</v>
      </c>
      <c r="S859" s="315" t="s">
        <v>2849</v>
      </c>
      <c r="T859" s="317" t="s">
        <v>2876</v>
      </c>
    </row>
    <row r="860" spans="1:20" ht="20.100000000000001" customHeight="1">
      <c r="A860" s="1171" t="s">
        <v>2957</v>
      </c>
      <c r="B860" s="1171" t="s">
        <v>384</v>
      </c>
      <c r="C860" s="1171" t="s">
        <v>454</v>
      </c>
      <c r="D860" s="525">
        <v>300</v>
      </c>
      <c r="E860" s="525">
        <v>600</v>
      </c>
      <c r="F860" s="525">
        <v>600</v>
      </c>
      <c r="G860" s="224" t="s">
        <v>51</v>
      </c>
      <c r="H860" s="36">
        <v>7</v>
      </c>
      <c r="I860" s="557" t="s">
        <v>17</v>
      </c>
      <c r="J860" s="567" t="s">
        <v>78</v>
      </c>
      <c r="K860" s="34" t="s">
        <v>3005</v>
      </c>
      <c r="L860" s="542" t="s">
        <v>649</v>
      </c>
      <c r="M860" s="381">
        <v>43084</v>
      </c>
      <c r="N860" s="381">
        <v>43088</v>
      </c>
      <c r="O860" s="544" t="s">
        <v>955</v>
      </c>
      <c r="P860" s="553"/>
      <c r="Q860" s="60"/>
      <c r="R860" s="546" t="s">
        <v>1999</v>
      </c>
      <c r="S860" s="319"/>
      <c r="T860" s="317">
        <v>12</v>
      </c>
    </row>
    <row r="861" spans="1:20" ht="20.100000000000001" customHeight="1">
      <c r="A861" s="1171" t="s">
        <v>2957</v>
      </c>
      <c r="B861" s="1171" t="s">
        <v>384</v>
      </c>
      <c r="C861" s="1171" t="s">
        <v>454</v>
      </c>
      <c r="D861" s="525">
        <v>240</v>
      </c>
      <c r="E861" s="525">
        <v>480</v>
      </c>
      <c r="F861" s="525">
        <v>480</v>
      </c>
      <c r="G861" s="48" t="s">
        <v>28</v>
      </c>
      <c r="H861" s="36">
        <v>7</v>
      </c>
      <c r="I861" s="557" t="s">
        <v>17</v>
      </c>
      <c r="J861" s="567" t="s">
        <v>78</v>
      </c>
      <c r="K861" s="34" t="s">
        <v>3005</v>
      </c>
      <c r="L861" s="542" t="s">
        <v>649</v>
      </c>
      <c r="M861" s="549">
        <v>43083</v>
      </c>
      <c r="N861" s="549">
        <v>43089</v>
      </c>
      <c r="O861" s="544" t="s">
        <v>955</v>
      </c>
      <c r="P861" s="553"/>
      <c r="Q861" s="60"/>
      <c r="R861" s="546" t="s">
        <v>189</v>
      </c>
      <c r="S861" s="316" t="s">
        <v>1176</v>
      </c>
      <c r="T861" s="338"/>
    </row>
    <row r="862" spans="1:20" ht="20.100000000000001" customHeight="1">
      <c r="A862" s="1171" t="s">
        <v>2957</v>
      </c>
      <c r="B862" s="1171" t="s">
        <v>384</v>
      </c>
      <c r="C862" s="1171" t="s">
        <v>454</v>
      </c>
      <c r="D862" s="62">
        <v>260</v>
      </c>
      <c r="E862" s="62">
        <v>520</v>
      </c>
      <c r="F862" s="62">
        <v>520</v>
      </c>
      <c r="G862" s="696" t="s">
        <v>558</v>
      </c>
      <c r="H862" s="36">
        <v>7</v>
      </c>
      <c r="I862" s="557" t="s">
        <v>17</v>
      </c>
      <c r="J862" s="567" t="s">
        <v>78</v>
      </c>
      <c r="K862" s="34" t="s">
        <v>3005</v>
      </c>
      <c r="L862" s="542" t="s">
        <v>649</v>
      </c>
      <c r="M862" s="549">
        <v>43086</v>
      </c>
      <c r="N862" s="549">
        <v>43086</v>
      </c>
      <c r="O862" s="544" t="s">
        <v>955</v>
      </c>
      <c r="P862" s="553"/>
      <c r="Q862" s="60"/>
      <c r="R862" s="546" t="s">
        <v>189</v>
      </c>
      <c r="S862" s="319"/>
      <c r="T862" s="338"/>
    </row>
    <row r="863" spans="1:20" ht="20.100000000000001" customHeight="1">
      <c r="A863" s="1171" t="s">
        <v>2957</v>
      </c>
      <c r="B863" s="1171" t="s">
        <v>384</v>
      </c>
      <c r="C863" s="1171" t="s">
        <v>454</v>
      </c>
      <c r="D863" s="525">
        <v>250</v>
      </c>
      <c r="E863" s="525">
        <v>500</v>
      </c>
      <c r="F863" s="525">
        <v>500</v>
      </c>
      <c r="G863" s="696" t="s">
        <v>432</v>
      </c>
      <c r="H863" s="36">
        <v>7</v>
      </c>
      <c r="I863" s="557" t="s">
        <v>17</v>
      </c>
      <c r="J863" s="567" t="s">
        <v>78</v>
      </c>
      <c r="K863" s="34" t="s">
        <v>2265</v>
      </c>
      <c r="L863" s="542" t="s">
        <v>649</v>
      </c>
      <c r="M863" s="549">
        <v>43086</v>
      </c>
      <c r="N863" s="549">
        <v>43089</v>
      </c>
      <c r="O863" s="544" t="s">
        <v>955</v>
      </c>
      <c r="P863" s="553"/>
      <c r="Q863" s="60"/>
      <c r="R863" s="546" t="s">
        <v>189</v>
      </c>
      <c r="S863" s="704" t="s">
        <v>1176</v>
      </c>
      <c r="T863" s="338" t="s">
        <v>723</v>
      </c>
    </row>
    <row r="864" spans="1:20" ht="20.100000000000001" customHeight="1">
      <c r="A864" s="1172" t="s">
        <v>2957</v>
      </c>
      <c r="B864" s="1172" t="s">
        <v>384</v>
      </c>
      <c r="C864" s="1172" t="s">
        <v>454</v>
      </c>
      <c r="D864" s="886">
        <v>295</v>
      </c>
      <c r="E864" s="886">
        <v>480</v>
      </c>
      <c r="F864" s="886">
        <v>480</v>
      </c>
      <c r="G864" s="696" t="s">
        <v>12</v>
      </c>
      <c r="H864" s="36">
        <v>7</v>
      </c>
      <c r="I864" s="557" t="s">
        <v>17</v>
      </c>
      <c r="J864" s="567" t="s">
        <v>78</v>
      </c>
      <c r="K864" s="34" t="s">
        <v>3005</v>
      </c>
      <c r="L864" s="542" t="s">
        <v>649</v>
      </c>
      <c r="M864" s="551">
        <v>43086</v>
      </c>
      <c r="N864" s="551">
        <v>43086</v>
      </c>
      <c r="O864" s="544" t="s">
        <v>955</v>
      </c>
      <c r="P864" s="553"/>
      <c r="Q864" s="60"/>
      <c r="R864" s="546" t="s">
        <v>2795</v>
      </c>
      <c r="S864" s="319"/>
      <c r="T864" s="338" t="s">
        <v>1994</v>
      </c>
    </row>
    <row r="865" spans="1:20" ht="20.100000000000001" customHeight="1">
      <c r="A865" s="1169" t="s">
        <v>2957</v>
      </c>
      <c r="B865" s="1169" t="s">
        <v>384</v>
      </c>
      <c r="C865" s="1169" t="s">
        <v>3012</v>
      </c>
      <c r="D865" s="62">
        <v>440</v>
      </c>
      <c r="E865" s="62">
        <v>680</v>
      </c>
      <c r="F865" s="62">
        <v>680</v>
      </c>
      <c r="G865" s="70" t="s">
        <v>29</v>
      </c>
      <c r="H865" s="56" t="s">
        <v>2102</v>
      </c>
      <c r="I865" s="559" t="s">
        <v>80</v>
      </c>
      <c r="J865" s="567" t="s">
        <v>78</v>
      </c>
      <c r="K865" s="557">
        <v>17</v>
      </c>
      <c r="L865" s="557" t="s">
        <v>637</v>
      </c>
      <c r="M865" s="547">
        <v>43038</v>
      </c>
      <c r="N865" s="547">
        <v>43072</v>
      </c>
      <c r="O865" s="544" t="s">
        <v>955</v>
      </c>
      <c r="P865" s="544"/>
      <c r="Q865" s="677"/>
      <c r="R865" s="546" t="s">
        <v>2103</v>
      </c>
      <c r="S865" s="319" t="s">
        <v>1176</v>
      </c>
      <c r="T865" s="338" t="s">
        <v>1988</v>
      </c>
    </row>
    <row r="866" spans="1:20" ht="20.100000000000001" customHeight="1">
      <c r="A866" s="1169" t="s">
        <v>2957</v>
      </c>
      <c r="B866" s="1169" t="s">
        <v>384</v>
      </c>
      <c r="C866" s="1169" t="s">
        <v>3012</v>
      </c>
      <c r="D866" s="11">
        <v>400</v>
      </c>
      <c r="E866" s="11">
        <v>550</v>
      </c>
      <c r="F866" s="11">
        <v>550</v>
      </c>
      <c r="G866" s="48" t="s">
        <v>37</v>
      </c>
      <c r="H866" s="48" t="s">
        <v>1653</v>
      </c>
      <c r="I866" s="558" t="s">
        <v>16</v>
      </c>
      <c r="J866" s="558" t="s">
        <v>121</v>
      </c>
      <c r="K866" s="558">
        <v>13</v>
      </c>
      <c r="L866" s="557" t="s">
        <v>637</v>
      </c>
      <c r="M866" s="543">
        <v>43040</v>
      </c>
      <c r="N866" s="543">
        <v>43084</v>
      </c>
      <c r="O866" s="544" t="s">
        <v>955</v>
      </c>
      <c r="P866" s="553"/>
      <c r="Q866" s="7"/>
      <c r="R866" s="548" t="s">
        <v>1877</v>
      </c>
      <c r="S866" s="319" t="s">
        <v>1176</v>
      </c>
      <c r="T866" s="338"/>
    </row>
    <row r="867" spans="1:20" ht="20.100000000000001" customHeight="1">
      <c r="A867" s="1169" t="s">
        <v>2957</v>
      </c>
      <c r="B867" s="1169" t="s">
        <v>384</v>
      </c>
      <c r="C867" s="1169" t="s">
        <v>3012</v>
      </c>
      <c r="D867" s="62">
        <v>713</v>
      </c>
      <c r="E867" s="62">
        <v>813</v>
      </c>
      <c r="F867" s="62">
        <v>813</v>
      </c>
      <c r="G867" s="66" t="s">
        <v>19</v>
      </c>
      <c r="H867" s="56" t="s">
        <v>742</v>
      </c>
      <c r="I867" s="558" t="s">
        <v>16</v>
      </c>
      <c r="J867" s="557"/>
      <c r="K867" s="558" t="s">
        <v>736</v>
      </c>
      <c r="L867" s="559" t="s">
        <v>639</v>
      </c>
      <c r="M867" s="559"/>
      <c r="N867" s="549">
        <v>42825</v>
      </c>
      <c r="O867" s="544" t="s">
        <v>955</v>
      </c>
      <c r="P867" s="553"/>
      <c r="Q867" s="52"/>
      <c r="R867" s="546" t="s">
        <v>187</v>
      </c>
      <c r="S867" s="316"/>
      <c r="T867" s="338"/>
    </row>
    <row r="868" spans="1:20" ht="20.100000000000001" customHeight="1">
      <c r="A868" s="1169" t="s">
        <v>2957</v>
      </c>
      <c r="B868" s="1169" t="s">
        <v>384</v>
      </c>
      <c r="C868" s="1169" t="s">
        <v>454</v>
      </c>
      <c r="D868" s="525">
        <v>350</v>
      </c>
      <c r="E868" s="525">
        <v>600</v>
      </c>
      <c r="F868" s="525">
        <v>600</v>
      </c>
      <c r="G868" s="56" t="s">
        <v>30</v>
      </c>
      <c r="H868" s="56" t="s">
        <v>742</v>
      </c>
      <c r="I868" s="558" t="s">
        <v>16</v>
      </c>
      <c r="J868" s="558" t="s">
        <v>78</v>
      </c>
      <c r="K868" s="39" t="s">
        <v>3050</v>
      </c>
      <c r="L868" s="559" t="s">
        <v>637</v>
      </c>
      <c r="M868" s="568">
        <v>43040</v>
      </c>
      <c r="N868" s="568">
        <v>43100</v>
      </c>
      <c r="O868" s="544" t="s">
        <v>955</v>
      </c>
      <c r="P868" s="553"/>
      <c r="Q868" s="7"/>
      <c r="R868" s="546" t="s">
        <v>1977</v>
      </c>
      <c r="S868" s="325"/>
      <c r="T868" s="317">
        <v>14</v>
      </c>
    </row>
    <row r="869" spans="1:20" ht="20.100000000000001" customHeight="1">
      <c r="A869" s="1169" t="s">
        <v>2957</v>
      </c>
      <c r="B869" s="1169" t="s">
        <v>384</v>
      </c>
      <c r="C869" s="1169" t="s">
        <v>3012</v>
      </c>
      <c r="D869" s="525">
        <v>495</v>
      </c>
      <c r="E869" s="525">
        <v>690</v>
      </c>
      <c r="F869" s="525">
        <v>690</v>
      </c>
      <c r="G869" s="48" t="s">
        <v>568</v>
      </c>
      <c r="H869" s="36" t="s">
        <v>742</v>
      </c>
      <c r="I869" s="558" t="s">
        <v>16</v>
      </c>
      <c r="J869" s="567" t="s">
        <v>78</v>
      </c>
      <c r="K869" s="567" t="s">
        <v>723</v>
      </c>
      <c r="L869" s="559" t="s">
        <v>639</v>
      </c>
      <c r="M869" s="551">
        <v>43070</v>
      </c>
      <c r="N869" s="551">
        <v>43083</v>
      </c>
      <c r="O869" s="544" t="s">
        <v>955</v>
      </c>
      <c r="P869" s="572"/>
      <c r="Q869" s="52"/>
      <c r="R869" s="546" t="s">
        <v>171</v>
      </c>
      <c r="S869" s="321"/>
      <c r="T869" s="338"/>
    </row>
    <row r="870" spans="1:20" ht="20.100000000000001" customHeight="1">
      <c r="A870" s="1169" t="s">
        <v>2957</v>
      </c>
      <c r="B870" s="1169" t="s">
        <v>384</v>
      </c>
      <c r="C870" s="1169" t="s">
        <v>3012</v>
      </c>
      <c r="D870" s="62">
        <v>450</v>
      </c>
      <c r="E870" s="62">
        <v>800</v>
      </c>
      <c r="F870" s="62">
        <v>800</v>
      </c>
      <c r="G870" s="48" t="s">
        <v>13</v>
      </c>
      <c r="H870" s="48" t="s">
        <v>760</v>
      </c>
      <c r="I870" s="558" t="s">
        <v>16</v>
      </c>
      <c r="J870" s="567" t="s">
        <v>78</v>
      </c>
      <c r="K870" s="558">
        <v>12</v>
      </c>
      <c r="L870" s="557" t="s">
        <v>637</v>
      </c>
      <c r="M870" s="6">
        <v>43070</v>
      </c>
      <c r="N870" s="6">
        <v>43100</v>
      </c>
      <c r="O870" s="544" t="s">
        <v>955</v>
      </c>
      <c r="P870" s="553"/>
      <c r="Q870" s="677"/>
      <c r="R870" s="546" t="s">
        <v>1958</v>
      </c>
      <c r="S870" s="319" t="s">
        <v>1176</v>
      </c>
      <c r="T870" s="338" t="s">
        <v>2875</v>
      </c>
    </row>
    <row r="871" spans="1:20" ht="20.100000000000001" customHeight="1">
      <c r="A871" s="1169" t="s">
        <v>2957</v>
      </c>
      <c r="B871" s="1169" t="s">
        <v>384</v>
      </c>
      <c r="C871" s="1169" t="s">
        <v>3012</v>
      </c>
      <c r="D871" s="2">
        <v>380</v>
      </c>
      <c r="E871" s="2">
        <v>600</v>
      </c>
      <c r="F871" s="2">
        <v>600</v>
      </c>
      <c r="G871" s="224" t="s">
        <v>22</v>
      </c>
      <c r="H871" s="56" t="s">
        <v>706</v>
      </c>
      <c r="I871" s="558" t="s">
        <v>16</v>
      </c>
      <c r="J871" s="576" t="s">
        <v>440</v>
      </c>
      <c r="K871" s="554">
        <v>13</v>
      </c>
      <c r="L871" s="559" t="s">
        <v>643</v>
      </c>
      <c r="M871" s="547">
        <v>43009</v>
      </c>
      <c r="N871" s="547">
        <v>43069</v>
      </c>
      <c r="O871" s="544" t="s">
        <v>955</v>
      </c>
      <c r="P871" s="553"/>
      <c r="Q871" s="60"/>
      <c r="R871" s="546" t="s">
        <v>1783</v>
      </c>
      <c r="S871" s="316" t="s">
        <v>1176</v>
      </c>
      <c r="T871" s="317">
        <v>14</v>
      </c>
    </row>
    <row r="872" spans="1:20" ht="20.100000000000001" customHeight="1">
      <c r="A872" s="1170" t="s">
        <v>2957</v>
      </c>
      <c r="B872" s="1170" t="s">
        <v>384</v>
      </c>
      <c r="C872" s="1170" t="s">
        <v>268</v>
      </c>
      <c r="D872" s="32">
        <v>305</v>
      </c>
      <c r="E872" s="32">
        <v>610</v>
      </c>
      <c r="F872" s="32">
        <v>610</v>
      </c>
      <c r="G872" s="56" t="s">
        <v>33</v>
      </c>
      <c r="H872" s="36" t="s">
        <v>2498</v>
      </c>
      <c r="I872" s="542" t="s">
        <v>17</v>
      </c>
      <c r="J872" s="569"/>
      <c r="K872" s="554" t="s">
        <v>2500</v>
      </c>
      <c r="L872" s="542" t="s">
        <v>636</v>
      </c>
      <c r="M872" s="549">
        <v>43071</v>
      </c>
      <c r="N872" s="549">
        <v>43079</v>
      </c>
      <c r="O872" s="544" t="s">
        <v>955</v>
      </c>
      <c r="P872" s="553"/>
      <c r="Q872" s="683"/>
      <c r="R872" s="561" t="s">
        <v>1686</v>
      </c>
      <c r="S872" s="315" t="s">
        <v>2850</v>
      </c>
      <c r="T872" s="338"/>
    </row>
    <row r="873" spans="1:20" ht="20.100000000000001" customHeight="1">
      <c r="A873" s="1171" t="s">
        <v>2957</v>
      </c>
      <c r="B873" s="1171" t="s">
        <v>384</v>
      </c>
      <c r="C873" s="1171" t="s">
        <v>268</v>
      </c>
      <c r="D873" s="320">
        <v>320</v>
      </c>
      <c r="E873" s="320">
        <v>640</v>
      </c>
      <c r="F873" s="320">
        <v>640</v>
      </c>
      <c r="G873" s="56" t="s">
        <v>36</v>
      </c>
      <c r="H873" s="36" t="s">
        <v>2498</v>
      </c>
      <c r="I873" s="542" t="s">
        <v>17</v>
      </c>
      <c r="J873" s="569"/>
      <c r="K873" s="554" t="s">
        <v>2500</v>
      </c>
      <c r="L873" s="542" t="s">
        <v>636</v>
      </c>
      <c r="M873" s="551">
        <v>43087</v>
      </c>
      <c r="N873" s="551">
        <v>43087</v>
      </c>
      <c r="O873" s="544" t="s">
        <v>955</v>
      </c>
      <c r="P873" s="553"/>
      <c r="Q873" s="683"/>
      <c r="R873" s="561" t="s">
        <v>1686</v>
      </c>
      <c r="S873" s="315" t="s">
        <v>2852</v>
      </c>
      <c r="T873" s="317">
        <v>14</v>
      </c>
    </row>
    <row r="874" spans="1:20" ht="20.100000000000001" customHeight="1">
      <c r="A874" s="1171" t="s">
        <v>2957</v>
      </c>
      <c r="B874" s="1171" t="s">
        <v>384</v>
      </c>
      <c r="C874" s="1171" t="s">
        <v>268</v>
      </c>
      <c r="D874" s="525">
        <v>305</v>
      </c>
      <c r="E874" s="525">
        <v>610</v>
      </c>
      <c r="F874" s="525">
        <v>610</v>
      </c>
      <c r="G874" s="628" t="s">
        <v>814</v>
      </c>
      <c r="H874" s="56" t="s">
        <v>725</v>
      </c>
      <c r="I874" s="542" t="s">
        <v>17</v>
      </c>
      <c r="J874" s="576"/>
      <c r="K874" s="554" t="s">
        <v>20</v>
      </c>
      <c r="L874" s="542" t="s">
        <v>649</v>
      </c>
      <c r="M874" s="549">
        <v>43055</v>
      </c>
      <c r="N874" s="547">
        <v>43086</v>
      </c>
      <c r="O874" s="544" t="s">
        <v>955</v>
      </c>
      <c r="P874" s="553"/>
      <c r="Q874" s="7"/>
      <c r="R874" s="546" t="s">
        <v>1492</v>
      </c>
      <c r="S874" s="319" t="s">
        <v>1176</v>
      </c>
      <c r="T874" s="317" t="s">
        <v>2872</v>
      </c>
    </row>
    <row r="875" spans="1:20" ht="20.100000000000001" customHeight="1">
      <c r="A875" s="1171" t="s">
        <v>2957</v>
      </c>
      <c r="B875" s="1171" t="s">
        <v>384</v>
      </c>
      <c r="C875" s="1171" t="s">
        <v>268</v>
      </c>
      <c r="D875" s="32">
        <v>305</v>
      </c>
      <c r="E875" s="32">
        <v>610</v>
      </c>
      <c r="F875" s="32">
        <v>610</v>
      </c>
      <c r="G875" s="56" t="s">
        <v>33</v>
      </c>
      <c r="H875" s="56" t="s">
        <v>725</v>
      </c>
      <c r="I875" s="542" t="s">
        <v>17</v>
      </c>
      <c r="J875" s="576"/>
      <c r="K875" s="554" t="s">
        <v>20</v>
      </c>
      <c r="L875" s="542" t="s">
        <v>649</v>
      </c>
      <c r="M875" s="549">
        <v>43071</v>
      </c>
      <c r="N875" s="549">
        <v>43079</v>
      </c>
      <c r="O875" s="544" t="s">
        <v>955</v>
      </c>
      <c r="P875" s="553"/>
      <c r="Q875" s="7"/>
      <c r="R875" s="546" t="s">
        <v>1492</v>
      </c>
      <c r="S875" s="315" t="s">
        <v>2850</v>
      </c>
      <c r="T875" s="317"/>
    </row>
    <row r="876" spans="1:20" ht="20.100000000000001" customHeight="1">
      <c r="A876" s="1171" t="s">
        <v>2957</v>
      </c>
      <c r="B876" s="1171" t="s">
        <v>384</v>
      </c>
      <c r="C876" s="1171" t="s">
        <v>268</v>
      </c>
      <c r="D876" s="525">
        <v>320</v>
      </c>
      <c r="E876" s="525">
        <v>640</v>
      </c>
      <c r="F876" s="525">
        <v>640</v>
      </c>
      <c r="G876" s="56" t="s">
        <v>36</v>
      </c>
      <c r="H876" s="56" t="s">
        <v>725</v>
      </c>
      <c r="I876" s="542" t="s">
        <v>17</v>
      </c>
      <c r="J876" s="576"/>
      <c r="K876" s="554" t="s">
        <v>20</v>
      </c>
      <c r="L876" s="542" t="s">
        <v>649</v>
      </c>
      <c r="M876" s="551">
        <v>43055</v>
      </c>
      <c r="N876" s="551">
        <v>43087</v>
      </c>
      <c r="O876" s="544" t="s">
        <v>955</v>
      </c>
      <c r="P876" s="553"/>
      <c r="Q876" s="7"/>
      <c r="R876" s="546" t="s">
        <v>1492</v>
      </c>
      <c r="S876" s="315" t="s">
        <v>2852</v>
      </c>
      <c r="T876" s="317">
        <v>14</v>
      </c>
    </row>
    <row r="877" spans="1:20" ht="20.100000000000001" customHeight="1">
      <c r="A877" s="1171" t="s">
        <v>2957</v>
      </c>
      <c r="B877" s="1171" t="s">
        <v>384</v>
      </c>
      <c r="C877" s="1171" t="s">
        <v>268</v>
      </c>
      <c r="D877" s="525">
        <v>300</v>
      </c>
      <c r="E877" s="525">
        <v>600</v>
      </c>
      <c r="F877" s="525">
        <v>600</v>
      </c>
      <c r="G877" s="224" t="s">
        <v>51</v>
      </c>
      <c r="H877" s="36">
        <v>7</v>
      </c>
      <c r="I877" s="557" t="s">
        <v>17</v>
      </c>
      <c r="J877" s="567" t="s">
        <v>1185</v>
      </c>
      <c r="K877" s="51" t="s">
        <v>3006</v>
      </c>
      <c r="L877" s="542" t="s">
        <v>649</v>
      </c>
      <c r="M877" s="381">
        <v>43084</v>
      </c>
      <c r="N877" s="381">
        <v>43088</v>
      </c>
      <c r="O877" s="544" t="s">
        <v>955</v>
      </c>
      <c r="P877" s="544"/>
      <c r="Q877" s="60"/>
      <c r="R877" s="546" t="s">
        <v>1999</v>
      </c>
      <c r="S877" s="319"/>
      <c r="T877" s="317">
        <v>12</v>
      </c>
    </row>
    <row r="878" spans="1:20" ht="20.100000000000001" customHeight="1">
      <c r="A878" s="1171" t="s">
        <v>2957</v>
      </c>
      <c r="B878" s="1171" t="s">
        <v>384</v>
      </c>
      <c r="C878" s="1171" t="s">
        <v>268</v>
      </c>
      <c r="D878" s="525">
        <v>340</v>
      </c>
      <c r="E878" s="525">
        <v>680</v>
      </c>
      <c r="F878" s="525">
        <v>680</v>
      </c>
      <c r="G878" s="48" t="s">
        <v>28</v>
      </c>
      <c r="H878" s="36">
        <v>7</v>
      </c>
      <c r="I878" s="557" t="s">
        <v>17</v>
      </c>
      <c r="J878" s="567" t="s">
        <v>1185</v>
      </c>
      <c r="K878" s="51" t="s">
        <v>3006</v>
      </c>
      <c r="L878" s="542" t="s">
        <v>649</v>
      </c>
      <c r="M878" s="549">
        <v>43083</v>
      </c>
      <c r="N878" s="549">
        <v>43089</v>
      </c>
      <c r="O878" s="544" t="s">
        <v>955</v>
      </c>
      <c r="P878" s="553"/>
      <c r="Q878" s="60"/>
      <c r="R878" s="546" t="s">
        <v>189</v>
      </c>
      <c r="S878" s="315" t="s">
        <v>2866</v>
      </c>
      <c r="T878" s="338"/>
    </row>
    <row r="879" spans="1:20" ht="20.100000000000001" customHeight="1">
      <c r="A879" s="1171" t="s">
        <v>2957</v>
      </c>
      <c r="B879" s="1171" t="s">
        <v>384</v>
      </c>
      <c r="C879" s="1171" t="s">
        <v>268</v>
      </c>
      <c r="D879" s="62">
        <v>340</v>
      </c>
      <c r="E879" s="62">
        <v>680</v>
      </c>
      <c r="F879" s="62">
        <v>680</v>
      </c>
      <c r="G879" s="696" t="s">
        <v>558</v>
      </c>
      <c r="H879" s="36">
        <v>7</v>
      </c>
      <c r="I879" s="557" t="s">
        <v>17</v>
      </c>
      <c r="J879" s="567" t="s">
        <v>1185</v>
      </c>
      <c r="K879" s="51" t="s">
        <v>3006</v>
      </c>
      <c r="L879" s="542" t="s">
        <v>649</v>
      </c>
      <c r="M879" s="549">
        <v>43086</v>
      </c>
      <c r="N879" s="549">
        <v>43086</v>
      </c>
      <c r="O879" s="544" t="s">
        <v>955</v>
      </c>
      <c r="P879" s="553"/>
      <c r="Q879" s="60"/>
      <c r="R879" s="546" t="s">
        <v>189</v>
      </c>
      <c r="S879" s="319"/>
      <c r="T879" s="338"/>
    </row>
    <row r="880" spans="1:20" ht="20.100000000000001" customHeight="1">
      <c r="A880" s="1171" t="s">
        <v>2957</v>
      </c>
      <c r="B880" s="1171" t="s">
        <v>384</v>
      </c>
      <c r="C880" s="1171" t="s">
        <v>268</v>
      </c>
      <c r="D880" s="62">
        <v>340</v>
      </c>
      <c r="E880" s="62">
        <v>680</v>
      </c>
      <c r="F880" s="62">
        <v>680</v>
      </c>
      <c r="G880" s="696" t="s">
        <v>432</v>
      </c>
      <c r="H880" s="36">
        <v>7</v>
      </c>
      <c r="I880" s="557" t="s">
        <v>17</v>
      </c>
      <c r="J880" s="567" t="s">
        <v>1185</v>
      </c>
      <c r="K880" s="51" t="s">
        <v>3006</v>
      </c>
      <c r="L880" s="542" t="s">
        <v>649</v>
      </c>
      <c r="M880" s="549">
        <v>43086</v>
      </c>
      <c r="N880" s="549">
        <v>43089</v>
      </c>
      <c r="O880" s="544" t="s">
        <v>955</v>
      </c>
      <c r="P880" s="553"/>
      <c r="Q880" s="60"/>
      <c r="R880" s="546" t="s">
        <v>189</v>
      </c>
      <c r="S880" s="704" t="s">
        <v>1176</v>
      </c>
      <c r="T880" s="338" t="s">
        <v>723</v>
      </c>
    </row>
    <row r="881" spans="1:20" ht="20.100000000000001" customHeight="1">
      <c r="A881" s="1171" t="s">
        <v>2957</v>
      </c>
      <c r="B881" s="1171" t="s">
        <v>384</v>
      </c>
      <c r="C881" s="1171" t="s">
        <v>268</v>
      </c>
      <c r="D881" s="886">
        <v>345</v>
      </c>
      <c r="E881" s="886">
        <v>580</v>
      </c>
      <c r="F881" s="886">
        <v>580</v>
      </c>
      <c r="G881" s="56" t="s">
        <v>12</v>
      </c>
      <c r="H881" s="36">
        <v>7</v>
      </c>
      <c r="I881" s="557" t="s">
        <v>17</v>
      </c>
      <c r="J881" s="567" t="s">
        <v>1185</v>
      </c>
      <c r="K881" s="51" t="s">
        <v>3006</v>
      </c>
      <c r="L881" s="542" t="s">
        <v>649</v>
      </c>
      <c r="M881" s="551">
        <v>43086</v>
      </c>
      <c r="N881" s="551">
        <v>43086</v>
      </c>
      <c r="O881" s="544" t="s">
        <v>955</v>
      </c>
      <c r="P881" s="553"/>
      <c r="Q881" s="60"/>
      <c r="R881" s="546" t="s">
        <v>2795</v>
      </c>
      <c r="S881" s="319"/>
      <c r="T881" s="338" t="s">
        <v>1994</v>
      </c>
    </row>
    <row r="882" spans="1:20" ht="20.100000000000001" customHeight="1">
      <c r="A882" s="1171" t="s">
        <v>2957</v>
      </c>
      <c r="B882" s="1171" t="s">
        <v>384</v>
      </c>
      <c r="C882" s="1171" t="s">
        <v>268</v>
      </c>
      <c r="D882" s="32">
        <v>475</v>
      </c>
      <c r="E882" s="32">
        <v>700</v>
      </c>
      <c r="F882" s="11">
        <v>550</v>
      </c>
      <c r="G882" s="48" t="s">
        <v>37</v>
      </c>
      <c r="H882" s="48" t="s">
        <v>1653</v>
      </c>
      <c r="I882" s="558" t="s">
        <v>16</v>
      </c>
      <c r="J882" s="557"/>
      <c r="K882" s="558">
        <v>13</v>
      </c>
      <c r="L882" s="557" t="s">
        <v>637</v>
      </c>
      <c r="M882" s="543">
        <v>43040</v>
      </c>
      <c r="N882" s="543">
        <v>43084</v>
      </c>
      <c r="O882" s="544" t="s">
        <v>955</v>
      </c>
      <c r="P882" s="553"/>
      <c r="Q882" s="7"/>
      <c r="R882" s="548" t="s">
        <v>1877</v>
      </c>
      <c r="S882" s="319" t="s">
        <v>1176</v>
      </c>
      <c r="T882" s="338"/>
    </row>
    <row r="883" spans="1:20" ht="20.100000000000001" customHeight="1">
      <c r="A883" s="1171" t="s">
        <v>2957</v>
      </c>
      <c r="B883" s="1171" t="s">
        <v>384</v>
      </c>
      <c r="C883" s="1171" t="s">
        <v>268</v>
      </c>
      <c r="D883" s="62">
        <v>440</v>
      </c>
      <c r="E883" s="62">
        <v>680</v>
      </c>
      <c r="F883" s="62">
        <v>680</v>
      </c>
      <c r="G883" s="56" t="s">
        <v>29</v>
      </c>
      <c r="H883" s="56" t="s">
        <v>2102</v>
      </c>
      <c r="I883" s="559" t="s">
        <v>80</v>
      </c>
      <c r="J883" s="559"/>
      <c r="K883" s="557">
        <v>17</v>
      </c>
      <c r="L883" s="557" t="s">
        <v>637</v>
      </c>
      <c r="M883" s="547">
        <v>43038</v>
      </c>
      <c r="N883" s="547">
        <v>43072</v>
      </c>
      <c r="O883" s="544" t="s">
        <v>955</v>
      </c>
      <c r="P883" s="544"/>
      <c r="Q883" s="677"/>
      <c r="R883" s="546" t="s">
        <v>2103</v>
      </c>
      <c r="S883" s="319" t="s">
        <v>1176</v>
      </c>
      <c r="T883" s="338" t="s">
        <v>1988</v>
      </c>
    </row>
    <row r="884" spans="1:20" ht="20.100000000000001" customHeight="1">
      <c r="A884" s="1171" t="s">
        <v>2957</v>
      </c>
      <c r="B884" s="1171" t="s">
        <v>384</v>
      </c>
      <c r="C884" s="1171" t="s">
        <v>268</v>
      </c>
      <c r="D884" s="32"/>
      <c r="E884" s="525"/>
      <c r="F884" s="525"/>
      <c r="G884" s="699" t="s">
        <v>76</v>
      </c>
      <c r="H884" s="674" t="s">
        <v>742</v>
      </c>
      <c r="I884" s="558" t="s">
        <v>23</v>
      </c>
      <c r="J884" s="557"/>
      <c r="K884" s="558">
        <v>14</v>
      </c>
      <c r="L884" s="557" t="s">
        <v>637</v>
      </c>
      <c r="M884" s="6">
        <v>43045</v>
      </c>
      <c r="N884" s="6">
        <v>43093</v>
      </c>
      <c r="O884" s="544" t="s">
        <v>955</v>
      </c>
      <c r="P884" s="565"/>
      <c r="Q884" s="52"/>
      <c r="R884" s="546" t="s">
        <v>171</v>
      </c>
      <c r="S884" s="315" t="s">
        <v>2863</v>
      </c>
      <c r="T884" s="338"/>
    </row>
    <row r="885" spans="1:20" ht="20.100000000000001" customHeight="1">
      <c r="A885" s="1171" t="s">
        <v>2957</v>
      </c>
      <c r="B885" s="1171" t="s">
        <v>384</v>
      </c>
      <c r="C885" s="1171" t="s">
        <v>268</v>
      </c>
      <c r="D885" s="529">
        <v>663</v>
      </c>
      <c r="E885" s="2">
        <v>913</v>
      </c>
      <c r="F885" s="2">
        <v>913</v>
      </c>
      <c r="G885" s="48" t="s">
        <v>19</v>
      </c>
      <c r="H885" s="56" t="s">
        <v>742</v>
      </c>
      <c r="I885" s="558" t="s">
        <v>16</v>
      </c>
      <c r="J885" s="557"/>
      <c r="K885" s="558" t="s">
        <v>746</v>
      </c>
      <c r="L885" s="559" t="s">
        <v>639</v>
      </c>
      <c r="M885" s="559"/>
      <c r="N885" s="549">
        <v>42825</v>
      </c>
      <c r="O885" s="544" t="s">
        <v>955</v>
      </c>
      <c r="P885" s="553"/>
      <c r="Q885" s="52"/>
      <c r="R885" s="546" t="s">
        <v>187</v>
      </c>
      <c r="S885" s="316"/>
      <c r="T885" s="338"/>
    </row>
    <row r="886" spans="1:20" ht="20.100000000000001" customHeight="1">
      <c r="A886" s="1171" t="s">
        <v>2957</v>
      </c>
      <c r="B886" s="1171" t="s">
        <v>384</v>
      </c>
      <c r="C886" s="1171" t="s">
        <v>268</v>
      </c>
      <c r="D886" s="525">
        <v>350</v>
      </c>
      <c r="E886" s="525">
        <v>600</v>
      </c>
      <c r="F886" s="525">
        <v>600</v>
      </c>
      <c r="G886" s="56" t="s">
        <v>30</v>
      </c>
      <c r="H886" s="56" t="s">
        <v>742</v>
      </c>
      <c r="I886" s="558" t="s">
        <v>16</v>
      </c>
      <c r="J886" s="576"/>
      <c r="K886" s="51" t="s">
        <v>3051</v>
      </c>
      <c r="L886" s="559" t="s">
        <v>637</v>
      </c>
      <c r="M886" s="568">
        <v>43040</v>
      </c>
      <c r="N886" s="568">
        <v>43100</v>
      </c>
      <c r="O886" s="544" t="s">
        <v>955</v>
      </c>
      <c r="P886" s="553"/>
      <c r="Q886" s="7"/>
      <c r="R886" s="546" t="s">
        <v>1977</v>
      </c>
      <c r="S886" s="316"/>
      <c r="T886" s="317">
        <v>14</v>
      </c>
    </row>
    <row r="887" spans="1:20" ht="20.100000000000001" customHeight="1">
      <c r="A887" s="1171" t="s">
        <v>2957</v>
      </c>
      <c r="B887" s="1171" t="s">
        <v>384</v>
      </c>
      <c r="C887" s="1171" t="s">
        <v>268</v>
      </c>
      <c r="D887" s="32">
        <v>645</v>
      </c>
      <c r="E887" s="32">
        <v>590</v>
      </c>
      <c r="F887" s="32">
        <v>590</v>
      </c>
      <c r="G887" s="48" t="s">
        <v>568</v>
      </c>
      <c r="H887" s="36" t="s">
        <v>742</v>
      </c>
      <c r="I887" s="558" t="s">
        <v>16</v>
      </c>
      <c r="J887" s="567"/>
      <c r="K887" s="559" t="s">
        <v>723</v>
      </c>
      <c r="L887" s="559" t="s">
        <v>639</v>
      </c>
      <c r="M887" s="551">
        <v>43070</v>
      </c>
      <c r="N887" s="551">
        <v>43083</v>
      </c>
      <c r="O887" s="544" t="s">
        <v>955</v>
      </c>
      <c r="P887" s="544"/>
      <c r="Q887" s="52"/>
      <c r="R887" s="546" t="s">
        <v>171</v>
      </c>
      <c r="S887" s="319"/>
      <c r="T887" s="338"/>
    </row>
    <row r="888" spans="1:20" ht="20.100000000000001" customHeight="1">
      <c r="A888" s="1171" t="s">
        <v>2957</v>
      </c>
      <c r="B888" s="1171" t="s">
        <v>384</v>
      </c>
      <c r="C888" s="1171" t="s">
        <v>268</v>
      </c>
      <c r="D888" s="525">
        <v>465</v>
      </c>
      <c r="E888" s="525">
        <v>560</v>
      </c>
      <c r="F888" s="525">
        <v>560</v>
      </c>
      <c r="G888" s="66" t="s">
        <v>6</v>
      </c>
      <c r="H888" s="22" t="s">
        <v>2037</v>
      </c>
      <c r="I888" s="558" t="s">
        <v>16</v>
      </c>
      <c r="J888" s="564"/>
      <c r="K888" s="564">
        <v>15</v>
      </c>
      <c r="L888" s="559" t="s">
        <v>637</v>
      </c>
      <c r="M888" s="549">
        <v>43070</v>
      </c>
      <c r="N888" s="549">
        <v>43074</v>
      </c>
      <c r="O888" s="544" t="s">
        <v>955</v>
      </c>
      <c r="P888" s="572"/>
      <c r="Q888" s="683"/>
      <c r="R888" s="546" t="s">
        <v>1951</v>
      </c>
      <c r="S888" s="316" t="s">
        <v>2867</v>
      </c>
      <c r="T888" s="338" t="s">
        <v>2874</v>
      </c>
    </row>
    <row r="889" spans="1:20" ht="20.100000000000001" customHeight="1">
      <c r="A889" s="1171" t="s">
        <v>2957</v>
      </c>
      <c r="B889" s="1171" t="s">
        <v>384</v>
      </c>
      <c r="C889" s="1171" t="s">
        <v>268</v>
      </c>
      <c r="D889" s="62">
        <v>400</v>
      </c>
      <c r="E889" s="62">
        <v>680</v>
      </c>
      <c r="F889" s="62">
        <v>680</v>
      </c>
      <c r="G889" s="628" t="s">
        <v>14</v>
      </c>
      <c r="H889" s="56" t="s">
        <v>742</v>
      </c>
      <c r="I889" s="557" t="s">
        <v>16</v>
      </c>
      <c r="J889" s="558"/>
      <c r="K889" s="558">
        <v>14</v>
      </c>
      <c r="L889" s="559" t="s">
        <v>639</v>
      </c>
      <c r="M889" s="547">
        <v>43086</v>
      </c>
      <c r="N889" s="547">
        <v>43092</v>
      </c>
      <c r="O889" s="544" t="s">
        <v>955</v>
      </c>
      <c r="P889" s="545"/>
      <c r="Q889" s="7"/>
      <c r="R889" s="17" t="s">
        <v>449</v>
      </c>
      <c r="S889" s="319"/>
      <c r="T889" s="338"/>
    </row>
    <row r="890" spans="1:20" ht="20.100000000000001" customHeight="1">
      <c r="A890" s="1171" t="s">
        <v>2957</v>
      </c>
      <c r="B890" s="1171" t="s">
        <v>384</v>
      </c>
      <c r="C890" s="1171" t="s">
        <v>268</v>
      </c>
      <c r="D890" s="62">
        <v>550</v>
      </c>
      <c r="E890" s="62">
        <v>850</v>
      </c>
      <c r="F890" s="62">
        <v>850</v>
      </c>
      <c r="G890" s="48" t="s">
        <v>13</v>
      </c>
      <c r="H890" s="48" t="s">
        <v>760</v>
      </c>
      <c r="I890" s="558" t="s">
        <v>16</v>
      </c>
      <c r="J890" s="558"/>
      <c r="K890" s="558">
        <v>15</v>
      </c>
      <c r="L890" s="557" t="s">
        <v>637</v>
      </c>
      <c r="M890" s="6">
        <v>43070</v>
      </c>
      <c r="N890" s="6">
        <v>43100</v>
      </c>
      <c r="O890" s="544" t="s">
        <v>955</v>
      </c>
      <c r="P890" s="553"/>
      <c r="Q890" s="677"/>
      <c r="R890" s="546" t="s">
        <v>1958</v>
      </c>
      <c r="S890" s="319" t="s">
        <v>1176</v>
      </c>
      <c r="T890" s="338" t="s">
        <v>2875</v>
      </c>
    </row>
    <row r="891" spans="1:20" ht="20.100000000000001" customHeight="1">
      <c r="A891" s="1171" t="s">
        <v>2957</v>
      </c>
      <c r="B891" s="1171" t="s">
        <v>384</v>
      </c>
      <c r="C891" s="1171" t="s">
        <v>268</v>
      </c>
      <c r="D891" s="32">
        <v>440</v>
      </c>
      <c r="E891" s="32">
        <v>880</v>
      </c>
      <c r="F891" s="32">
        <v>880</v>
      </c>
      <c r="G891" s="56" t="s">
        <v>87</v>
      </c>
      <c r="H891" s="36" t="s">
        <v>631</v>
      </c>
      <c r="I891" s="566" t="s">
        <v>16</v>
      </c>
      <c r="J891" s="566"/>
      <c r="K891" s="566">
        <v>16</v>
      </c>
      <c r="L891" s="557" t="s">
        <v>637</v>
      </c>
      <c r="M891" s="551">
        <v>43046</v>
      </c>
      <c r="N891" s="551">
        <v>43086</v>
      </c>
      <c r="O891" s="544" t="s">
        <v>955</v>
      </c>
      <c r="P891" s="545"/>
      <c r="Q891" s="746"/>
      <c r="R891" s="556" t="s">
        <v>849</v>
      </c>
      <c r="S891" s="315" t="s">
        <v>2849</v>
      </c>
      <c r="T891" s="317" t="s">
        <v>2876</v>
      </c>
    </row>
    <row r="892" spans="1:20" ht="20.100000000000001" customHeight="1">
      <c r="A892" s="1171" t="s">
        <v>2957</v>
      </c>
      <c r="B892" s="1171" t="s">
        <v>384</v>
      </c>
      <c r="C892" s="1171" t="s">
        <v>268</v>
      </c>
      <c r="D892" s="2">
        <v>435</v>
      </c>
      <c r="E892" s="2">
        <v>780</v>
      </c>
      <c r="F892" s="2">
        <v>780</v>
      </c>
      <c r="G892" s="66" t="s">
        <v>62</v>
      </c>
      <c r="H892" s="56" t="s">
        <v>681</v>
      </c>
      <c r="I892" s="566" t="s">
        <v>1</v>
      </c>
      <c r="J892" s="559"/>
      <c r="K892" s="559" t="s">
        <v>743</v>
      </c>
      <c r="L892" s="542" t="s">
        <v>649</v>
      </c>
      <c r="M892" s="549">
        <v>43039</v>
      </c>
      <c r="N892" s="549">
        <v>43086</v>
      </c>
      <c r="O892" s="544" t="s">
        <v>955</v>
      </c>
      <c r="P892" s="562"/>
      <c r="Q892" s="683"/>
      <c r="R892" s="546" t="s">
        <v>1845</v>
      </c>
      <c r="S892" s="315" t="s">
        <v>2832</v>
      </c>
      <c r="T892" s="317">
        <v>14</v>
      </c>
    </row>
    <row r="893" spans="1:20" ht="20.100000000000001" customHeight="1">
      <c r="A893" s="1172" t="s">
        <v>2957</v>
      </c>
      <c r="B893" s="1172" t="s">
        <v>384</v>
      </c>
      <c r="C893" s="1172" t="s">
        <v>268</v>
      </c>
      <c r="D893" s="2">
        <v>450</v>
      </c>
      <c r="E893" s="2">
        <v>650</v>
      </c>
      <c r="F893" s="2">
        <v>650</v>
      </c>
      <c r="G893" s="224" t="s">
        <v>22</v>
      </c>
      <c r="H893" s="56" t="s">
        <v>706</v>
      </c>
      <c r="I893" s="558" t="s">
        <v>16</v>
      </c>
      <c r="J893" s="571"/>
      <c r="K893" s="569">
        <v>15</v>
      </c>
      <c r="L893" s="559" t="s">
        <v>643</v>
      </c>
      <c r="M893" s="547">
        <v>43009</v>
      </c>
      <c r="N893" s="547">
        <v>43069</v>
      </c>
      <c r="O893" s="544" t="s">
        <v>955</v>
      </c>
      <c r="P893" s="553"/>
      <c r="Q893" s="60"/>
      <c r="R893" s="546" t="s">
        <v>1783</v>
      </c>
      <c r="S893" s="316" t="s">
        <v>1176</v>
      </c>
      <c r="T893" s="317">
        <v>14</v>
      </c>
    </row>
    <row r="894" spans="1:20" ht="20.100000000000001" customHeight="1">
      <c r="A894" s="1127" t="s">
        <v>2957</v>
      </c>
      <c r="B894" s="1169" t="s">
        <v>384</v>
      </c>
      <c r="C894" s="1169" t="s">
        <v>254</v>
      </c>
      <c r="D894" s="525"/>
      <c r="E894" s="527"/>
      <c r="F894" s="527">
        <v>850</v>
      </c>
      <c r="G894" s="56" t="s">
        <v>12</v>
      </c>
      <c r="H894" s="56" t="s">
        <v>729</v>
      </c>
      <c r="I894" s="569" t="s">
        <v>23</v>
      </c>
      <c r="J894" s="542"/>
      <c r="K894" s="566">
        <v>14</v>
      </c>
      <c r="L894" s="566" t="s">
        <v>636</v>
      </c>
      <c r="M894" s="551">
        <v>43049</v>
      </c>
      <c r="N894" s="551">
        <v>43058</v>
      </c>
      <c r="O894" s="544" t="s">
        <v>955</v>
      </c>
      <c r="P894" s="545"/>
      <c r="Q894" s="7"/>
      <c r="R894" s="561" t="s">
        <v>168</v>
      </c>
      <c r="S894" s="325"/>
      <c r="T894" s="338" t="s">
        <v>1994</v>
      </c>
    </row>
    <row r="895" spans="1:20" ht="20.100000000000001" customHeight="1">
      <c r="A895" s="1127" t="s">
        <v>2957</v>
      </c>
      <c r="B895" s="1169" t="s">
        <v>384</v>
      </c>
      <c r="C895" s="1169" t="s">
        <v>254</v>
      </c>
      <c r="D895" s="32">
        <v>415</v>
      </c>
      <c r="E895" s="32">
        <v>830</v>
      </c>
      <c r="F895" s="11">
        <v>830</v>
      </c>
      <c r="G895" s="628" t="s">
        <v>231</v>
      </c>
      <c r="H895" s="56" t="s">
        <v>634</v>
      </c>
      <c r="I895" s="569" t="s">
        <v>23</v>
      </c>
      <c r="J895" s="569"/>
      <c r="K895" s="569" t="s">
        <v>723</v>
      </c>
      <c r="L895" s="557" t="s">
        <v>637</v>
      </c>
      <c r="M895" s="547">
        <v>43040</v>
      </c>
      <c r="N895" s="547">
        <v>43087</v>
      </c>
      <c r="O895" s="544" t="s">
        <v>955</v>
      </c>
      <c r="P895" s="553"/>
      <c r="Q895" s="53"/>
      <c r="R895" s="561" t="s">
        <v>1480</v>
      </c>
      <c r="S895" s="325"/>
      <c r="T895" s="338" t="s">
        <v>1988</v>
      </c>
    </row>
    <row r="896" spans="1:20" ht="20.100000000000001" customHeight="1">
      <c r="A896" s="1127" t="s">
        <v>2957</v>
      </c>
      <c r="B896" s="1169" t="s">
        <v>384</v>
      </c>
      <c r="C896" s="1169" t="s">
        <v>254</v>
      </c>
      <c r="D896" s="62">
        <v>370</v>
      </c>
      <c r="E896" s="62">
        <v>740</v>
      </c>
      <c r="F896" s="62">
        <v>740</v>
      </c>
      <c r="G896" s="628" t="s">
        <v>10</v>
      </c>
      <c r="H896" s="36" t="s">
        <v>633</v>
      </c>
      <c r="I896" s="558" t="s">
        <v>16</v>
      </c>
      <c r="J896" s="558"/>
      <c r="K896" s="558">
        <v>12</v>
      </c>
      <c r="L896" s="557" t="s">
        <v>637</v>
      </c>
      <c r="M896" s="547">
        <v>43040</v>
      </c>
      <c r="N896" s="547">
        <v>43084</v>
      </c>
      <c r="O896" s="544" t="s">
        <v>955</v>
      </c>
      <c r="P896" s="553"/>
      <c r="Q896" s="677"/>
      <c r="R896" s="548" t="s">
        <v>1015</v>
      </c>
      <c r="S896" s="316" t="s">
        <v>1176</v>
      </c>
      <c r="T896" s="317">
        <v>14</v>
      </c>
    </row>
    <row r="897" spans="1:20" ht="20.100000000000001" customHeight="1">
      <c r="A897" s="1127" t="s">
        <v>2957</v>
      </c>
      <c r="B897" s="1169" t="s">
        <v>384</v>
      </c>
      <c r="C897" s="1169" t="s">
        <v>254</v>
      </c>
      <c r="D897" s="32">
        <v>410</v>
      </c>
      <c r="E897" s="32">
        <v>770</v>
      </c>
      <c r="F897" s="11">
        <v>770</v>
      </c>
      <c r="G897" s="48" t="s">
        <v>37</v>
      </c>
      <c r="H897" s="48" t="s">
        <v>1653</v>
      </c>
      <c r="I897" s="558" t="s">
        <v>16</v>
      </c>
      <c r="J897" s="557"/>
      <c r="K897" s="558">
        <v>15</v>
      </c>
      <c r="L897" s="557" t="s">
        <v>637</v>
      </c>
      <c r="M897" s="543">
        <v>43040</v>
      </c>
      <c r="N897" s="543">
        <v>43084</v>
      </c>
      <c r="O897" s="544" t="s">
        <v>955</v>
      </c>
      <c r="P897" s="553"/>
      <c r="Q897" s="7"/>
      <c r="R897" s="548" t="s">
        <v>1877</v>
      </c>
      <c r="S897" s="319" t="s">
        <v>1176</v>
      </c>
      <c r="T897" s="338"/>
    </row>
    <row r="898" spans="1:20" ht="20.100000000000001" customHeight="1">
      <c r="A898" s="1127" t="s">
        <v>2957</v>
      </c>
      <c r="B898" s="1169" t="s">
        <v>384</v>
      </c>
      <c r="C898" s="1169" t="s">
        <v>254</v>
      </c>
      <c r="D898" s="529">
        <v>370</v>
      </c>
      <c r="E898" s="529">
        <v>740</v>
      </c>
      <c r="F898" s="2">
        <v>740</v>
      </c>
      <c r="G898" s="56" t="s">
        <v>29</v>
      </c>
      <c r="H898" s="56" t="s">
        <v>886</v>
      </c>
      <c r="I898" s="559" t="s">
        <v>80</v>
      </c>
      <c r="J898" s="557"/>
      <c r="K898" s="557">
        <v>17</v>
      </c>
      <c r="L898" s="557" t="s">
        <v>637</v>
      </c>
      <c r="M898" s="547">
        <v>43038</v>
      </c>
      <c r="N898" s="547">
        <v>43072</v>
      </c>
      <c r="O898" s="544" t="s">
        <v>955</v>
      </c>
      <c r="P898" s="544"/>
      <c r="Q898" s="677"/>
      <c r="R898" s="546" t="s">
        <v>2104</v>
      </c>
      <c r="S898" s="319" t="s">
        <v>1176</v>
      </c>
      <c r="T898" s="338" t="s">
        <v>1988</v>
      </c>
    </row>
    <row r="899" spans="1:20" ht="20.100000000000001" customHeight="1">
      <c r="A899" s="1127" t="s">
        <v>2957</v>
      </c>
      <c r="B899" s="1169" t="s">
        <v>384</v>
      </c>
      <c r="C899" s="1169" t="s">
        <v>254</v>
      </c>
      <c r="D899" s="32"/>
      <c r="E899" s="32"/>
      <c r="F899" s="32"/>
      <c r="G899" s="699" t="s">
        <v>76</v>
      </c>
      <c r="H899" s="674" t="s">
        <v>742</v>
      </c>
      <c r="I899" s="558" t="s">
        <v>23</v>
      </c>
      <c r="J899" s="557"/>
      <c r="K899" s="558">
        <v>15</v>
      </c>
      <c r="L899" s="557" t="s">
        <v>637</v>
      </c>
      <c r="M899" s="6">
        <v>43045</v>
      </c>
      <c r="N899" s="6">
        <v>43093</v>
      </c>
      <c r="O899" s="544" t="s">
        <v>955</v>
      </c>
      <c r="P899" s="565"/>
      <c r="Q899" s="52"/>
      <c r="R899" s="546" t="s">
        <v>171</v>
      </c>
      <c r="S899" s="315" t="s">
        <v>2863</v>
      </c>
      <c r="T899" s="338"/>
    </row>
    <row r="900" spans="1:20" ht="20.100000000000001" customHeight="1">
      <c r="A900" s="1127" t="s">
        <v>2957</v>
      </c>
      <c r="B900" s="1169" t="s">
        <v>384</v>
      </c>
      <c r="C900" s="1169" t="s">
        <v>254</v>
      </c>
      <c r="D900" s="11">
        <v>545</v>
      </c>
      <c r="E900" s="11">
        <v>890</v>
      </c>
      <c r="F900" s="11">
        <v>890</v>
      </c>
      <c r="G900" s="56" t="s">
        <v>33</v>
      </c>
      <c r="H900" s="674" t="s">
        <v>721</v>
      </c>
      <c r="I900" s="569" t="s">
        <v>23</v>
      </c>
      <c r="J900" s="569"/>
      <c r="K900" s="569">
        <v>15</v>
      </c>
      <c r="L900" s="557" t="s">
        <v>637</v>
      </c>
      <c r="M900" s="549">
        <v>43040</v>
      </c>
      <c r="N900" s="549">
        <v>43079</v>
      </c>
      <c r="O900" s="544" t="s">
        <v>955</v>
      </c>
      <c r="P900" s="553"/>
      <c r="Q900" s="683"/>
      <c r="R900" s="561" t="s">
        <v>1655</v>
      </c>
      <c r="S900" s="315" t="s">
        <v>2850</v>
      </c>
      <c r="T900" s="338"/>
    </row>
    <row r="901" spans="1:20" ht="20.100000000000001" customHeight="1">
      <c r="A901" s="1127" t="s">
        <v>2957</v>
      </c>
      <c r="B901" s="1169" t="s">
        <v>384</v>
      </c>
      <c r="C901" s="1169" t="s">
        <v>254</v>
      </c>
      <c r="D901" s="529">
        <v>588</v>
      </c>
      <c r="E901" s="529">
        <v>1013</v>
      </c>
      <c r="F901" s="529">
        <v>1013</v>
      </c>
      <c r="G901" s="48" t="s">
        <v>19</v>
      </c>
      <c r="H901" s="56" t="s">
        <v>742</v>
      </c>
      <c r="I901" s="558" t="s">
        <v>16</v>
      </c>
      <c r="J901" s="569"/>
      <c r="K901" s="558" t="s">
        <v>746</v>
      </c>
      <c r="L901" s="559" t="s">
        <v>639</v>
      </c>
      <c r="M901" s="559"/>
      <c r="N901" s="549">
        <v>42825</v>
      </c>
      <c r="O901" s="544" t="s">
        <v>955</v>
      </c>
      <c r="P901" s="553"/>
      <c r="Q901" s="52"/>
      <c r="R901" s="546" t="s">
        <v>187</v>
      </c>
      <c r="S901" s="316"/>
      <c r="T901" s="338"/>
    </row>
    <row r="902" spans="1:20" ht="20.100000000000001" customHeight="1">
      <c r="A902" s="1127" t="s">
        <v>2957</v>
      </c>
      <c r="B902" s="1169" t="s">
        <v>384</v>
      </c>
      <c r="C902" s="1169" t="s">
        <v>254</v>
      </c>
      <c r="D902" s="529">
        <v>395</v>
      </c>
      <c r="E902" s="529">
        <v>640</v>
      </c>
      <c r="F902" s="529">
        <v>690</v>
      </c>
      <c r="G902" s="48" t="s">
        <v>568</v>
      </c>
      <c r="H902" s="56" t="s">
        <v>742</v>
      </c>
      <c r="I902" s="558" t="s">
        <v>16</v>
      </c>
      <c r="J902" s="569"/>
      <c r="K902" s="558"/>
      <c r="L902" s="559" t="s">
        <v>639</v>
      </c>
      <c r="M902" s="551">
        <v>43022</v>
      </c>
      <c r="N902" s="551">
        <v>43083</v>
      </c>
      <c r="O902" s="544" t="s">
        <v>955</v>
      </c>
      <c r="P902" s="572"/>
      <c r="Q902" s="52"/>
      <c r="R902" s="546" t="s">
        <v>171</v>
      </c>
      <c r="S902" s="316"/>
      <c r="T902" s="338"/>
    </row>
    <row r="903" spans="1:20" ht="20.100000000000001" customHeight="1">
      <c r="A903" s="1127" t="s">
        <v>2957</v>
      </c>
      <c r="B903" s="1169" t="s">
        <v>384</v>
      </c>
      <c r="C903" s="1169" t="s">
        <v>254</v>
      </c>
      <c r="D903" s="32">
        <f>D1071+240</f>
        <v>490</v>
      </c>
      <c r="E903" s="32">
        <f>E1071+440</f>
        <v>940</v>
      </c>
      <c r="F903" s="32">
        <f>F1071+440</f>
        <v>940</v>
      </c>
      <c r="G903" s="225" t="s">
        <v>51</v>
      </c>
      <c r="H903" s="36" t="s">
        <v>2370</v>
      </c>
      <c r="I903" s="557" t="s">
        <v>16</v>
      </c>
      <c r="J903" s="558"/>
      <c r="K903" s="558">
        <v>14</v>
      </c>
      <c r="L903" s="542" t="s">
        <v>637</v>
      </c>
      <c r="M903" s="381">
        <v>43040</v>
      </c>
      <c r="N903" s="381">
        <v>43088</v>
      </c>
      <c r="O903" s="544" t="s">
        <v>955</v>
      </c>
      <c r="P903" s="545"/>
      <c r="Q903" s="52"/>
      <c r="R903" s="575" t="s">
        <v>2371</v>
      </c>
      <c r="S903" s="319"/>
      <c r="T903" s="317">
        <v>12</v>
      </c>
    </row>
    <row r="904" spans="1:20" ht="20.100000000000001" customHeight="1">
      <c r="A904" s="1127" t="s">
        <v>2957</v>
      </c>
      <c r="B904" s="1169" t="s">
        <v>384</v>
      </c>
      <c r="C904" s="1169" t="s">
        <v>254</v>
      </c>
      <c r="D904" s="32">
        <v>340</v>
      </c>
      <c r="E904" s="32">
        <v>580</v>
      </c>
      <c r="F904" s="32">
        <v>580</v>
      </c>
      <c r="G904" s="48" t="s">
        <v>30</v>
      </c>
      <c r="H904" s="56" t="s">
        <v>742</v>
      </c>
      <c r="I904" s="558" t="s">
        <v>16</v>
      </c>
      <c r="J904" s="557"/>
      <c r="K904" s="557">
        <v>11</v>
      </c>
      <c r="L904" s="559" t="s">
        <v>637</v>
      </c>
      <c r="M904" s="568">
        <v>43040</v>
      </c>
      <c r="N904" s="568">
        <v>43100</v>
      </c>
      <c r="O904" s="544" t="s">
        <v>955</v>
      </c>
      <c r="P904" s="544"/>
      <c r="Q904" s="677"/>
      <c r="R904" s="546" t="s">
        <v>1977</v>
      </c>
      <c r="S904" s="319"/>
      <c r="T904" s="317">
        <v>14</v>
      </c>
    </row>
    <row r="905" spans="1:20" ht="20.100000000000001" customHeight="1">
      <c r="A905" s="1127" t="s">
        <v>2957</v>
      </c>
      <c r="B905" s="1169" t="s">
        <v>384</v>
      </c>
      <c r="C905" s="1169" t="s">
        <v>254</v>
      </c>
      <c r="D905" s="62">
        <v>350</v>
      </c>
      <c r="E905" s="62">
        <v>700</v>
      </c>
      <c r="F905" s="62">
        <v>700</v>
      </c>
      <c r="G905" s="628" t="s">
        <v>14</v>
      </c>
      <c r="H905" s="56" t="s">
        <v>742</v>
      </c>
      <c r="I905" s="557" t="s">
        <v>16</v>
      </c>
      <c r="J905" s="558"/>
      <c r="K905" s="558">
        <v>13</v>
      </c>
      <c r="L905" s="559" t="s">
        <v>639</v>
      </c>
      <c r="M905" s="547">
        <v>43086</v>
      </c>
      <c r="N905" s="547">
        <v>43092</v>
      </c>
      <c r="O905" s="544" t="s">
        <v>955</v>
      </c>
      <c r="P905" s="545"/>
      <c r="Q905" s="7"/>
      <c r="R905" s="17" t="s">
        <v>449</v>
      </c>
      <c r="S905" s="319"/>
      <c r="T905" s="338"/>
    </row>
    <row r="906" spans="1:20" ht="20.100000000000001" customHeight="1">
      <c r="A906" s="1127" t="s">
        <v>2957</v>
      </c>
      <c r="B906" s="1169" t="s">
        <v>384</v>
      </c>
      <c r="C906" s="1169" t="s">
        <v>254</v>
      </c>
      <c r="D906" s="525">
        <v>405</v>
      </c>
      <c r="E906" s="529">
        <v>560</v>
      </c>
      <c r="F906" s="529">
        <v>560</v>
      </c>
      <c r="G906" s="66" t="s">
        <v>6</v>
      </c>
      <c r="H906" s="22" t="s">
        <v>2037</v>
      </c>
      <c r="I906" s="558" t="s">
        <v>16</v>
      </c>
      <c r="J906" s="564"/>
      <c r="K906" s="564">
        <v>13</v>
      </c>
      <c r="L906" s="559" t="s">
        <v>637</v>
      </c>
      <c r="M906" s="549">
        <v>43070</v>
      </c>
      <c r="N906" s="549">
        <v>43074</v>
      </c>
      <c r="O906" s="544" t="s">
        <v>955</v>
      </c>
      <c r="P906" s="572"/>
      <c r="Q906" s="683"/>
      <c r="R906" s="546" t="s">
        <v>1951</v>
      </c>
      <c r="S906" s="316" t="s">
        <v>2860</v>
      </c>
      <c r="T906" s="338" t="s">
        <v>2874</v>
      </c>
    </row>
    <row r="907" spans="1:20" ht="20.100000000000001" customHeight="1">
      <c r="A907" s="1127" t="s">
        <v>2957</v>
      </c>
      <c r="B907" s="1169" t="s">
        <v>384</v>
      </c>
      <c r="C907" s="1169" t="s">
        <v>254</v>
      </c>
      <c r="D907" s="62">
        <v>500</v>
      </c>
      <c r="E907" s="62">
        <v>1200</v>
      </c>
      <c r="F907" s="62">
        <v>1200</v>
      </c>
      <c r="G907" s="48" t="s">
        <v>13</v>
      </c>
      <c r="H907" s="48" t="s">
        <v>760</v>
      </c>
      <c r="I907" s="558" t="s">
        <v>16</v>
      </c>
      <c r="J907" s="558"/>
      <c r="K907" s="558">
        <v>13</v>
      </c>
      <c r="L907" s="557" t="s">
        <v>637</v>
      </c>
      <c r="M907" s="6">
        <v>43070</v>
      </c>
      <c r="N907" s="6">
        <v>43100</v>
      </c>
      <c r="O907" s="544" t="s">
        <v>955</v>
      </c>
      <c r="P907" s="553"/>
      <c r="Q907" s="677"/>
      <c r="R907" s="546" t="s">
        <v>1958</v>
      </c>
      <c r="S907" s="319" t="s">
        <v>1176</v>
      </c>
      <c r="T907" s="338" t="s">
        <v>2875</v>
      </c>
    </row>
    <row r="908" spans="1:20" ht="20.100000000000001" customHeight="1">
      <c r="A908" s="1127" t="s">
        <v>2957</v>
      </c>
      <c r="B908" s="1169" t="s">
        <v>384</v>
      </c>
      <c r="C908" s="1169" t="s">
        <v>254</v>
      </c>
      <c r="D908" s="32">
        <v>440</v>
      </c>
      <c r="E908" s="32">
        <v>880</v>
      </c>
      <c r="F908" s="32">
        <v>880</v>
      </c>
      <c r="G908" s="56" t="s">
        <v>87</v>
      </c>
      <c r="H908" s="36" t="s">
        <v>631</v>
      </c>
      <c r="I908" s="566" t="s">
        <v>16</v>
      </c>
      <c r="J908" s="566"/>
      <c r="K908" s="566">
        <v>18</v>
      </c>
      <c r="L908" s="557" t="s">
        <v>637</v>
      </c>
      <c r="M908" s="551">
        <v>43046</v>
      </c>
      <c r="N908" s="551">
        <v>43086</v>
      </c>
      <c r="O908" s="544" t="s">
        <v>955</v>
      </c>
      <c r="P908" s="545"/>
      <c r="Q908" s="746"/>
      <c r="R908" s="556" t="s">
        <v>849</v>
      </c>
      <c r="S908" s="315" t="s">
        <v>2849</v>
      </c>
      <c r="T908" s="317" t="s">
        <v>2876</v>
      </c>
    </row>
    <row r="909" spans="1:20" ht="20.100000000000001" customHeight="1">
      <c r="A909" s="1127" t="s">
        <v>2957</v>
      </c>
      <c r="B909" s="1169" t="s">
        <v>384</v>
      </c>
      <c r="C909" s="1169" t="s">
        <v>254</v>
      </c>
      <c r="D909" s="2">
        <v>490</v>
      </c>
      <c r="E909" s="2">
        <v>870</v>
      </c>
      <c r="F909" s="2">
        <v>870</v>
      </c>
      <c r="G909" s="69" t="s">
        <v>62</v>
      </c>
      <c r="H909" s="56" t="s">
        <v>681</v>
      </c>
      <c r="I909" s="566" t="s">
        <v>1</v>
      </c>
      <c r="J909" s="559"/>
      <c r="K909" s="559">
        <v>18</v>
      </c>
      <c r="L909" s="542" t="s">
        <v>649</v>
      </c>
      <c r="M909" s="549">
        <v>43039</v>
      </c>
      <c r="N909" s="549">
        <v>43086</v>
      </c>
      <c r="O909" s="544" t="s">
        <v>955</v>
      </c>
      <c r="P909" s="562"/>
      <c r="Q909" s="683"/>
      <c r="R909" s="546" t="s">
        <v>1845</v>
      </c>
      <c r="S909" s="315" t="s">
        <v>2832</v>
      </c>
      <c r="T909" s="317">
        <v>14</v>
      </c>
    </row>
    <row r="910" spans="1:20" ht="20.100000000000001" customHeight="1">
      <c r="A910" s="1127" t="s">
        <v>2957</v>
      </c>
      <c r="B910" s="1169" t="s">
        <v>384</v>
      </c>
      <c r="C910" s="1169" t="s">
        <v>254</v>
      </c>
      <c r="D910" s="529">
        <v>390</v>
      </c>
      <c r="E910" s="529">
        <v>780</v>
      </c>
      <c r="F910" s="2">
        <v>780</v>
      </c>
      <c r="G910" s="48" t="s">
        <v>28</v>
      </c>
      <c r="H910" s="55" t="s">
        <v>681</v>
      </c>
      <c r="I910" s="558" t="s">
        <v>23</v>
      </c>
      <c r="J910" s="557"/>
      <c r="K910" s="557">
        <v>12</v>
      </c>
      <c r="L910" s="557" t="s">
        <v>641</v>
      </c>
      <c r="M910" s="549">
        <v>43041</v>
      </c>
      <c r="N910" s="549">
        <v>43089</v>
      </c>
      <c r="O910" s="544" t="s">
        <v>955</v>
      </c>
      <c r="P910" s="553"/>
      <c r="Q910" s="683"/>
      <c r="R910" s="546" t="s">
        <v>186</v>
      </c>
      <c r="S910" s="316" t="s">
        <v>1176</v>
      </c>
      <c r="T910" s="338"/>
    </row>
    <row r="911" spans="1:20" ht="20.100000000000001" customHeight="1">
      <c r="A911" s="1127" t="s">
        <v>2957</v>
      </c>
      <c r="B911" s="1169" t="s">
        <v>384</v>
      </c>
      <c r="C911" s="1169" t="s">
        <v>254</v>
      </c>
      <c r="D911" s="2">
        <v>380</v>
      </c>
      <c r="E911" s="2">
        <v>700</v>
      </c>
      <c r="F911" s="2">
        <v>700</v>
      </c>
      <c r="G911" s="224" t="s">
        <v>22</v>
      </c>
      <c r="H911" s="56" t="s">
        <v>706</v>
      </c>
      <c r="I911" s="558" t="s">
        <v>16</v>
      </c>
      <c r="J911" s="571"/>
      <c r="K911" s="569">
        <v>14</v>
      </c>
      <c r="L911" s="559" t="s">
        <v>643</v>
      </c>
      <c r="M911" s="547">
        <v>43009</v>
      </c>
      <c r="N911" s="547">
        <v>43069</v>
      </c>
      <c r="O911" s="544" t="s">
        <v>955</v>
      </c>
      <c r="P911" s="553"/>
      <c r="Q911" s="60"/>
      <c r="R911" s="546" t="s">
        <v>1783</v>
      </c>
      <c r="S911" s="316" t="s">
        <v>1176</v>
      </c>
      <c r="T911" s="317">
        <v>14</v>
      </c>
    </row>
    <row r="912" spans="1:20" ht="32.25" customHeight="1">
      <c r="A912" s="1127" t="s">
        <v>2957</v>
      </c>
      <c r="B912" s="1169" t="s">
        <v>384</v>
      </c>
      <c r="C912" s="1169" t="s">
        <v>385</v>
      </c>
      <c r="D912" s="731">
        <v>950</v>
      </c>
      <c r="E912" s="731">
        <v>1550</v>
      </c>
      <c r="F912" s="731">
        <v>1550</v>
      </c>
      <c r="G912" s="69" t="s">
        <v>37</v>
      </c>
      <c r="H912" s="48" t="s">
        <v>1653</v>
      </c>
      <c r="I912" s="558" t="s">
        <v>16</v>
      </c>
      <c r="J912" s="557"/>
      <c r="K912" s="558">
        <v>14</v>
      </c>
      <c r="L912" s="557" t="s">
        <v>637</v>
      </c>
      <c r="M912" s="543">
        <v>43040</v>
      </c>
      <c r="N912" s="543">
        <v>43084</v>
      </c>
      <c r="O912" s="544" t="s">
        <v>955</v>
      </c>
      <c r="P912" s="562" t="s">
        <v>591</v>
      </c>
      <c r="Q912" s="7" t="s">
        <v>2981</v>
      </c>
      <c r="R912" s="548" t="s">
        <v>1877</v>
      </c>
      <c r="S912" s="319" t="s">
        <v>1176</v>
      </c>
      <c r="T912" s="338"/>
    </row>
    <row r="913" spans="1:20" ht="31.5" customHeight="1">
      <c r="A913" s="1127" t="s">
        <v>2957</v>
      </c>
      <c r="B913" s="1169" t="s">
        <v>384</v>
      </c>
      <c r="C913" s="1169" t="s">
        <v>385</v>
      </c>
      <c r="D913" s="2">
        <v>963</v>
      </c>
      <c r="E913" s="2">
        <v>1563</v>
      </c>
      <c r="F913" s="2">
        <v>1563</v>
      </c>
      <c r="G913" s="69" t="s">
        <v>19</v>
      </c>
      <c r="H913" s="56" t="s">
        <v>742</v>
      </c>
      <c r="I913" s="558" t="s">
        <v>16</v>
      </c>
      <c r="J913" s="569"/>
      <c r="K913" s="566" t="s">
        <v>726</v>
      </c>
      <c r="L913" s="559" t="s">
        <v>639</v>
      </c>
      <c r="M913" s="559"/>
      <c r="N913" s="549">
        <v>42825</v>
      </c>
      <c r="O913" s="544" t="s">
        <v>955</v>
      </c>
      <c r="P913" s="553" t="s">
        <v>1137</v>
      </c>
      <c r="Q913" s="52"/>
      <c r="R913" s="546" t="s">
        <v>187</v>
      </c>
      <c r="S913" s="316"/>
      <c r="T913" s="338"/>
    </row>
    <row r="914" spans="1:20" ht="20.100000000000001" customHeight="1">
      <c r="A914" s="1127" t="s">
        <v>2957</v>
      </c>
      <c r="B914" s="1169" t="s">
        <v>384</v>
      </c>
      <c r="C914" s="1169" t="s">
        <v>385</v>
      </c>
      <c r="D914" s="2">
        <v>1000</v>
      </c>
      <c r="E914" s="2">
        <v>1600</v>
      </c>
      <c r="F914" s="2">
        <v>1600</v>
      </c>
      <c r="G914" s="224" t="s">
        <v>14</v>
      </c>
      <c r="H914" s="56" t="s">
        <v>742</v>
      </c>
      <c r="I914" s="557" t="s">
        <v>16</v>
      </c>
      <c r="J914" s="557"/>
      <c r="K914" s="558">
        <v>18</v>
      </c>
      <c r="L914" s="559" t="s">
        <v>639</v>
      </c>
      <c r="M914" s="547">
        <v>43044</v>
      </c>
      <c r="N914" s="547">
        <v>43092</v>
      </c>
      <c r="O914" s="544" t="s">
        <v>955</v>
      </c>
      <c r="P914" s="545"/>
      <c r="Q914" s="7"/>
      <c r="R914" s="17" t="s">
        <v>449</v>
      </c>
      <c r="S914" s="319"/>
      <c r="T914" s="338"/>
    </row>
    <row r="915" spans="1:20" ht="20.100000000000001" customHeight="1">
      <c r="A915" s="1127" t="s">
        <v>2957</v>
      </c>
      <c r="B915" s="1169" t="s">
        <v>384</v>
      </c>
      <c r="C915" s="1169" t="s">
        <v>385</v>
      </c>
      <c r="D915" s="11">
        <f>D1071+800</f>
        <v>1050</v>
      </c>
      <c r="E915" s="11">
        <f>E1071+1200</f>
        <v>1700</v>
      </c>
      <c r="F915" s="11">
        <f>F1071+1200</f>
        <v>1700</v>
      </c>
      <c r="G915" s="225" t="s">
        <v>51</v>
      </c>
      <c r="H915" s="36" t="s">
        <v>2370</v>
      </c>
      <c r="I915" s="557" t="s">
        <v>16</v>
      </c>
      <c r="J915" s="558"/>
      <c r="K915" s="558">
        <v>12</v>
      </c>
      <c r="L915" s="542" t="s">
        <v>637</v>
      </c>
      <c r="M915" s="381">
        <v>43040</v>
      </c>
      <c r="N915" s="381">
        <v>43088</v>
      </c>
      <c r="O915" s="544" t="s">
        <v>955</v>
      </c>
      <c r="P915" s="545" t="s">
        <v>1532</v>
      </c>
      <c r="Q915" s="52"/>
      <c r="R915" s="575" t="s">
        <v>2371</v>
      </c>
      <c r="S915" s="319"/>
      <c r="T915" s="317">
        <v>12</v>
      </c>
    </row>
    <row r="916" spans="1:20" ht="20.100000000000001" customHeight="1">
      <c r="A916" s="1127" t="s">
        <v>2957</v>
      </c>
      <c r="B916" s="1169" t="s">
        <v>384</v>
      </c>
      <c r="C916" s="1169" t="s">
        <v>385</v>
      </c>
      <c r="D916" s="11">
        <v>945</v>
      </c>
      <c r="E916" s="11">
        <v>1840</v>
      </c>
      <c r="F916" s="11">
        <v>1840</v>
      </c>
      <c r="G916" s="48" t="s">
        <v>28</v>
      </c>
      <c r="H916" s="36" t="s">
        <v>681</v>
      </c>
      <c r="I916" s="557" t="s">
        <v>16</v>
      </c>
      <c r="J916" s="567"/>
      <c r="K916" s="567" t="s">
        <v>743</v>
      </c>
      <c r="L916" s="542" t="s">
        <v>649</v>
      </c>
      <c r="M916" s="549">
        <v>43041</v>
      </c>
      <c r="N916" s="549">
        <v>43089</v>
      </c>
      <c r="O916" s="544" t="s">
        <v>955</v>
      </c>
      <c r="P916" s="553"/>
      <c r="Q916" s="7"/>
      <c r="R916" s="546" t="s">
        <v>179</v>
      </c>
      <c r="S916" s="316" t="s">
        <v>1176</v>
      </c>
      <c r="T916" s="338"/>
    </row>
    <row r="917" spans="1:20" ht="20.100000000000001" customHeight="1">
      <c r="A917" s="1127" t="s">
        <v>2957</v>
      </c>
      <c r="B917" s="1169" t="s">
        <v>384</v>
      </c>
      <c r="C917" s="1169" t="s">
        <v>385</v>
      </c>
      <c r="D917" s="2">
        <v>1025</v>
      </c>
      <c r="E917" s="2">
        <v>1580</v>
      </c>
      <c r="F917" s="2">
        <v>1580</v>
      </c>
      <c r="G917" s="69" t="s">
        <v>62</v>
      </c>
      <c r="H917" s="56" t="s">
        <v>706</v>
      </c>
      <c r="I917" s="566" t="s">
        <v>16</v>
      </c>
      <c r="J917" s="559"/>
      <c r="K917" s="559" t="s">
        <v>732</v>
      </c>
      <c r="L917" s="542" t="s">
        <v>639</v>
      </c>
      <c r="M917" s="549">
        <v>43039</v>
      </c>
      <c r="N917" s="549">
        <v>43086</v>
      </c>
      <c r="O917" s="544" t="s">
        <v>955</v>
      </c>
      <c r="P917" s="562" t="s">
        <v>1913</v>
      </c>
      <c r="Q917" s="14" t="s">
        <v>100</v>
      </c>
      <c r="R917" s="546" t="s">
        <v>164</v>
      </c>
      <c r="S917" s="315" t="s">
        <v>2832</v>
      </c>
      <c r="T917" s="317"/>
    </row>
    <row r="918" spans="1:20" ht="20.100000000000001" customHeight="1">
      <c r="A918" s="1127" t="s">
        <v>2957</v>
      </c>
      <c r="B918" s="1169" t="s">
        <v>384</v>
      </c>
      <c r="C918" s="1169" t="s">
        <v>505</v>
      </c>
      <c r="D918" s="273">
        <v>950</v>
      </c>
      <c r="E918" s="273">
        <v>1800</v>
      </c>
      <c r="F918" s="273">
        <v>1800</v>
      </c>
      <c r="G918" s="22" t="s">
        <v>29</v>
      </c>
      <c r="H918" s="56" t="s">
        <v>1362</v>
      </c>
      <c r="I918" s="559" t="s">
        <v>54</v>
      </c>
      <c r="J918" s="567"/>
      <c r="K918" s="567">
        <v>19</v>
      </c>
      <c r="L918" s="557" t="s">
        <v>637</v>
      </c>
      <c r="M918" s="547">
        <v>43038</v>
      </c>
      <c r="N918" s="547">
        <v>43072</v>
      </c>
      <c r="O918" s="544" t="s">
        <v>955</v>
      </c>
      <c r="P918" s="544"/>
      <c r="Q918" s="53"/>
      <c r="R918" s="546" t="s">
        <v>1363</v>
      </c>
      <c r="S918" s="319" t="s">
        <v>1176</v>
      </c>
      <c r="T918" s="338" t="s">
        <v>1988</v>
      </c>
    </row>
    <row r="919" spans="1:20" ht="20.100000000000001" customHeight="1">
      <c r="A919" s="1127" t="s">
        <v>2957</v>
      </c>
      <c r="B919" s="1169" t="s">
        <v>384</v>
      </c>
      <c r="C919" s="1169" t="s">
        <v>505</v>
      </c>
      <c r="D919" s="526">
        <v>1650</v>
      </c>
      <c r="E919" s="526">
        <v>2800</v>
      </c>
      <c r="F919" s="526">
        <v>2800</v>
      </c>
      <c r="G919" s="218" t="s">
        <v>14</v>
      </c>
      <c r="H919" s="56" t="s">
        <v>742</v>
      </c>
      <c r="I919" s="557" t="s">
        <v>16</v>
      </c>
      <c r="J919" s="576"/>
      <c r="K919" s="558">
        <v>18</v>
      </c>
      <c r="L919" s="559" t="s">
        <v>639</v>
      </c>
      <c r="M919" s="547">
        <v>43044</v>
      </c>
      <c r="N919" s="547">
        <v>43092</v>
      </c>
      <c r="O919" s="544" t="s">
        <v>955</v>
      </c>
      <c r="P919" s="545"/>
      <c r="Q919" s="7"/>
      <c r="R919" s="17" t="s">
        <v>449</v>
      </c>
      <c r="S919" s="319"/>
      <c r="T919" s="338"/>
    </row>
    <row r="920" spans="1:20" ht="20.100000000000001" customHeight="1">
      <c r="A920" s="1127" t="s">
        <v>2957</v>
      </c>
      <c r="B920" s="1169" t="s">
        <v>384</v>
      </c>
      <c r="C920" s="1169" t="s">
        <v>505</v>
      </c>
      <c r="D920" s="525">
        <v>1220</v>
      </c>
      <c r="E920" s="525">
        <v>2440</v>
      </c>
      <c r="F920" s="525">
        <v>2440</v>
      </c>
      <c r="G920" s="56" t="s">
        <v>36</v>
      </c>
      <c r="H920" s="56" t="s">
        <v>2497</v>
      </c>
      <c r="I920" s="557" t="s">
        <v>54</v>
      </c>
      <c r="J920" s="558"/>
      <c r="K920" s="558" t="s">
        <v>1154</v>
      </c>
      <c r="L920" s="557" t="s">
        <v>637</v>
      </c>
      <c r="M920" s="551">
        <v>42866</v>
      </c>
      <c r="N920" s="551">
        <v>43084</v>
      </c>
      <c r="O920" s="544" t="s">
        <v>955</v>
      </c>
      <c r="P920" s="553"/>
      <c r="Q920" s="7"/>
      <c r="R920" s="546" t="s">
        <v>2501</v>
      </c>
      <c r="S920" s="315" t="s">
        <v>2852</v>
      </c>
      <c r="T920" s="317">
        <v>14</v>
      </c>
    </row>
    <row r="921" spans="1:20" ht="20.100000000000001" customHeight="1">
      <c r="A921" s="1127" t="s">
        <v>2957</v>
      </c>
      <c r="B921" s="1169" t="s">
        <v>384</v>
      </c>
      <c r="C921" s="1169" t="s">
        <v>505</v>
      </c>
      <c r="D921" s="526">
        <v>1250</v>
      </c>
      <c r="E921" s="526">
        <v>2400</v>
      </c>
      <c r="F921" s="526">
        <v>2400</v>
      </c>
      <c r="G921" s="63" t="s">
        <v>87</v>
      </c>
      <c r="H921" s="36" t="s">
        <v>721</v>
      </c>
      <c r="I921" s="566" t="s">
        <v>54</v>
      </c>
      <c r="J921" s="584"/>
      <c r="K921" s="584">
        <v>15</v>
      </c>
      <c r="L921" s="557" t="s">
        <v>819</v>
      </c>
      <c r="M921" s="551">
        <v>43046</v>
      </c>
      <c r="N921" s="551">
        <v>43086</v>
      </c>
      <c r="O921" s="544" t="s">
        <v>955</v>
      </c>
      <c r="P921" s="553"/>
      <c r="Q921" s="747"/>
      <c r="R921" s="555" t="s">
        <v>820</v>
      </c>
      <c r="S921" s="315" t="s">
        <v>2849</v>
      </c>
      <c r="T921" s="317" t="s">
        <v>2876</v>
      </c>
    </row>
    <row r="922" spans="1:20" ht="20.100000000000001" customHeight="1">
      <c r="A922" s="1127" t="s">
        <v>2957</v>
      </c>
      <c r="B922" s="1169" t="s">
        <v>384</v>
      </c>
      <c r="C922" s="1169" t="s">
        <v>505</v>
      </c>
      <c r="D922" s="11">
        <v>1350</v>
      </c>
      <c r="E922" s="11">
        <v>2600</v>
      </c>
      <c r="F922" s="11">
        <v>2600</v>
      </c>
      <c r="G922" s="628" t="s">
        <v>814</v>
      </c>
      <c r="H922" s="56">
        <v>6</v>
      </c>
      <c r="I922" s="566" t="s">
        <v>54</v>
      </c>
      <c r="J922" s="569"/>
      <c r="K922" s="566">
        <v>17</v>
      </c>
      <c r="L922" s="542" t="s">
        <v>649</v>
      </c>
      <c r="M922" s="547">
        <v>43038</v>
      </c>
      <c r="N922" s="547">
        <v>43086</v>
      </c>
      <c r="O922" s="544" t="s">
        <v>955</v>
      </c>
      <c r="P922" s="553"/>
      <c r="Q922" s="683"/>
      <c r="R922" s="546" t="s">
        <v>194</v>
      </c>
      <c r="S922" s="319" t="s">
        <v>1176</v>
      </c>
      <c r="T922" s="317" t="s">
        <v>2872</v>
      </c>
    </row>
    <row r="923" spans="1:20" ht="20.100000000000001" customHeight="1">
      <c r="A923" s="732" t="s">
        <v>2957</v>
      </c>
      <c r="B923" s="573" t="s">
        <v>384</v>
      </c>
      <c r="C923" s="573" t="s">
        <v>15</v>
      </c>
      <c r="D923" s="2">
        <v>1550</v>
      </c>
      <c r="E923" s="2">
        <v>3100</v>
      </c>
      <c r="F923" s="2">
        <v>3100</v>
      </c>
      <c r="G923" s="218" t="s">
        <v>14</v>
      </c>
      <c r="H923" s="56" t="s">
        <v>742</v>
      </c>
      <c r="I923" s="557" t="s">
        <v>16</v>
      </c>
      <c r="J923" s="576"/>
      <c r="K923" s="558">
        <v>18</v>
      </c>
      <c r="L923" s="559" t="s">
        <v>639</v>
      </c>
      <c r="M923" s="547">
        <v>43044</v>
      </c>
      <c r="N923" s="547">
        <v>43092</v>
      </c>
      <c r="O923" s="544" t="s">
        <v>955</v>
      </c>
      <c r="P923" s="545"/>
      <c r="Q923" s="7"/>
      <c r="R923" s="17" t="s">
        <v>449</v>
      </c>
      <c r="S923" s="319"/>
      <c r="T923" s="338"/>
    </row>
    <row r="924" spans="1:20" ht="20.100000000000001" customHeight="1">
      <c r="A924" s="1127" t="s">
        <v>2957</v>
      </c>
      <c r="B924" s="1169" t="s">
        <v>384</v>
      </c>
      <c r="C924" s="1169" t="s">
        <v>386</v>
      </c>
      <c r="D924" s="525">
        <v>1720</v>
      </c>
      <c r="E924" s="525">
        <v>3040</v>
      </c>
      <c r="F924" s="525">
        <v>3040</v>
      </c>
      <c r="G924" s="56" t="s">
        <v>36</v>
      </c>
      <c r="H924" s="56" t="s">
        <v>2497</v>
      </c>
      <c r="I924" s="557" t="s">
        <v>54</v>
      </c>
      <c r="J924" s="558"/>
      <c r="K924" s="558" t="s">
        <v>1154</v>
      </c>
      <c r="L924" s="557" t="s">
        <v>637</v>
      </c>
      <c r="M924" s="551">
        <v>42866</v>
      </c>
      <c r="N924" s="551">
        <v>43084</v>
      </c>
      <c r="O924" s="544" t="s">
        <v>955</v>
      </c>
      <c r="P924" s="553"/>
      <c r="Q924" s="7"/>
      <c r="R924" s="546" t="s">
        <v>2501</v>
      </c>
      <c r="S924" s="315" t="s">
        <v>2852</v>
      </c>
      <c r="T924" s="317">
        <v>14</v>
      </c>
    </row>
    <row r="925" spans="1:20" ht="20.100000000000001" customHeight="1">
      <c r="A925" s="1127" t="s">
        <v>2957</v>
      </c>
      <c r="B925" s="1169" t="s">
        <v>384</v>
      </c>
      <c r="C925" s="1169" t="s">
        <v>386</v>
      </c>
      <c r="D925" s="525">
        <v>970</v>
      </c>
      <c r="E925" s="525">
        <v>1780</v>
      </c>
      <c r="F925" s="525">
        <v>1880</v>
      </c>
      <c r="G925" s="18" t="s">
        <v>62</v>
      </c>
      <c r="H925" s="56" t="s">
        <v>681</v>
      </c>
      <c r="I925" s="566" t="s">
        <v>54</v>
      </c>
      <c r="J925" s="569"/>
      <c r="K925" s="566" t="s">
        <v>685</v>
      </c>
      <c r="L925" s="542" t="s">
        <v>649</v>
      </c>
      <c r="M925" s="549">
        <v>43039</v>
      </c>
      <c r="N925" s="549">
        <v>43086</v>
      </c>
      <c r="O925" s="544" t="s">
        <v>955</v>
      </c>
      <c r="P925" s="553"/>
      <c r="Q925" s="683"/>
      <c r="R925" s="546" t="s">
        <v>1845</v>
      </c>
      <c r="S925" s="315" t="s">
        <v>2832</v>
      </c>
      <c r="T925" s="317"/>
    </row>
    <row r="926" spans="1:20" ht="20.100000000000001" customHeight="1">
      <c r="A926" s="1127" t="s">
        <v>2957</v>
      </c>
      <c r="B926" s="1169" t="s">
        <v>384</v>
      </c>
      <c r="C926" s="1169" t="s">
        <v>386</v>
      </c>
      <c r="D926" s="11">
        <v>1850</v>
      </c>
      <c r="E926" s="11">
        <v>3100</v>
      </c>
      <c r="F926" s="11">
        <v>3100</v>
      </c>
      <c r="G926" s="628" t="s">
        <v>814</v>
      </c>
      <c r="H926" s="48">
        <v>6</v>
      </c>
      <c r="I926" s="566" t="s">
        <v>54</v>
      </c>
      <c r="J926" s="569"/>
      <c r="K926" s="566">
        <v>17</v>
      </c>
      <c r="L926" s="542" t="s">
        <v>649</v>
      </c>
      <c r="M926" s="547">
        <v>43038</v>
      </c>
      <c r="N926" s="547">
        <v>43086</v>
      </c>
      <c r="O926" s="544" t="s">
        <v>955</v>
      </c>
      <c r="P926" s="553"/>
      <c r="Q926" s="683"/>
      <c r="R926" s="546" t="s">
        <v>194</v>
      </c>
      <c r="S926" s="319" t="s">
        <v>1176</v>
      </c>
      <c r="T926" s="317" t="s">
        <v>2872</v>
      </c>
    </row>
    <row r="927" spans="1:20" ht="20.100000000000001" customHeight="1">
      <c r="A927" s="1127" t="s">
        <v>2957</v>
      </c>
      <c r="B927" s="1169" t="s">
        <v>384</v>
      </c>
      <c r="C927" s="1169" t="s">
        <v>542</v>
      </c>
      <c r="D927" s="11">
        <v>1040</v>
      </c>
      <c r="E927" s="11">
        <v>1920</v>
      </c>
      <c r="F927" s="11">
        <v>1920</v>
      </c>
      <c r="G927" s="18" t="s">
        <v>62</v>
      </c>
      <c r="H927" s="56" t="s">
        <v>681</v>
      </c>
      <c r="I927" s="566" t="s">
        <v>136</v>
      </c>
      <c r="J927" s="569"/>
      <c r="K927" s="566" t="s">
        <v>684</v>
      </c>
      <c r="L927" s="542" t="s">
        <v>649</v>
      </c>
      <c r="M927" s="549">
        <v>43070</v>
      </c>
      <c r="N927" s="549">
        <v>43086</v>
      </c>
      <c r="O927" s="544" t="s">
        <v>955</v>
      </c>
      <c r="P927" s="553"/>
      <c r="Q927" s="683"/>
      <c r="R927" s="546" t="s">
        <v>1845</v>
      </c>
      <c r="S927" s="315" t="s">
        <v>2832</v>
      </c>
      <c r="T927" s="338"/>
    </row>
    <row r="928" spans="1:20" ht="20.100000000000001" customHeight="1">
      <c r="A928" s="1127" t="s">
        <v>2957</v>
      </c>
      <c r="B928" s="1169" t="s">
        <v>384</v>
      </c>
      <c r="C928" s="1169" t="s">
        <v>542</v>
      </c>
      <c r="D928" s="11">
        <v>1300</v>
      </c>
      <c r="E928" s="11">
        <v>2300</v>
      </c>
      <c r="F928" s="11">
        <v>2300</v>
      </c>
      <c r="G928" s="628" t="s">
        <v>814</v>
      </c>
      <c r="H928" s="48">
        <v>6</v>
      </c>
      <c r="I928" s="566" t="s">
        <v>136</v>
      </c>
      <c r="J928" s="569"/>
      <c r="K928" s="566">
        <v>17</v>
      </c>
      <c r="L928" s="542" t="s">
        <v>649</v>
      </c>
      <c r="M928" s="547">
        <v>43038</v>
      </c>
      <c r="N928" s="547">
        <v>43086</v>
      </c>
      <c r="O928" s="544" t="s">
        <v>955</v>
      </c>
      <c r="P928" s="553"/>
      <c r="Q928" s="683"/>
      <c r="R928" s="546" t="s">
        <v>194</v>
      </c>
      <c r="S928" s="319" t="s">
        <v>1176</v>
      </c>
      <c r="T928" s="317" t="s">
        <v>2872</v>
      </c>
    </row>
    <row r="929" spans="1:20" ht="20.100000000000001" customHeight="1">
      <c r="A929" s="1127" t="s">
        <v>2957</v>
      </c>
      <c r="B929" s="1169" t="s">
        <v>384</v>
      </c>
      <c r="C929" s="1169" t="s">
        <v>387</v>
      </c>
      <c r="D929" s="11">
        <v>1320</v>
      </c>
      <c r="E929" s="11">
        <v>2440</v>
      </c>
      <c r="F929" s="11">
        <v>2440</v>
      </c>
      <c r="G929" s="48" t="s">
        <v>36</v>
      </c>
      <c r="H929" s="48" t="s">
        <v>725</v>
      </c>
      <c r="I929" s="566" t="s">
        <v>1919</v>
      </c>
      <c r="J929" s="569"/>
      <c r="K929" s="558" t="s">
        <v>682</v>
      </c>
      <c r="L929" s="542" t="s">
        <v>649</v>
      </c>
      <c r="M929" s="551">
        <v>42866</v>
      </c>
      <c r="N929" s="551">
        <v>43084</v>
      </c>
      <c r="O929" s="544" t="s">
        <v>955</v>
      </c>
      <c r="P929" s="553"/>
      <c r="Q929" s="7"/>
      <c r="R929" s="546" t="s">
        <v>1492</v>
      </c>
      <c r="S929" s="315" t="s">
        <v>2852</v>
      </c>
      <c r="T929" s="317">
        <v>14</v>
      </c>
    </row>
    <row r="930" spans="1:20" ht="20.100000000000001" customHeight="1">
      <c r="A930" s="1127" t="s">
        <v>2957</v>
      </c>
      <c r="B930" s="1169" t="s">
        <v>384</v>
      </c>
      <c r="C930" s="1169" t="s">
        <v>387</v>
      </c>
      <c r="D930" s="11">
        <v>1495</v>
      </c>
      <c r="E930" s="11">
        <v>6020</v>
      </c>
      <c r="F930" s="11">
        <v>3230</v>
      </c>
      <c r="G930" s="18" t="s">
        <v>62</v>
      </c>
      <c r="H930" s="56" t="s">
        <v>681</v>
      </c>
      <c r="I930" s="566" t="s">
        <v>1</v>
      </c>
      <c r="J930" s="569"/>
      <c r="K930" s="566" t="s">
        <v>738</v>
      </c>
      <c r="L930" s="542" t="s">
        <v>649</v>
      </c>
      <c r="M930" s="549">
        <v>43070</v>
      </c>
      <c r="N930" s="549">
        <v>43086</v>
      </c>
      <c r="O930" s="544" t="s">
        <v>955</v>
      </c>
      <c r="P930" s="553"/>
      <c r="Q930" s="683"/>
      <c r="R930" s="546" t="s">
        <v>1845</v>
      </c>
      <c r="S930" s="315" t="s">
        <v>2832</v>
      </c>
      <c r="T930" s="338"/>
    </row>
    <row r="931" spans="1:20" ht="20.100000000000001" customHeight="1">
      <c r="A931" s="1127" t="s">
        <v>2957</v>
      </c>
      <c r="B931" s="1169" t="s">
        <v>384</v>
      </c>
      <c r="C931" s="1169" t="s">
        <v>387</v>
      </c>
      <c r="D931" s="11">
        <v>1400</v>
      </c>
      <c r="E931" s="11">
        <v>2400</v>
      </c>
      <c r="F931" s="11">
        <v>2400</v>
      </c>
      <c r="G931" s="628" t="s">
        <v>814</v>
      </c>
      <c r="H931" s="48">
        <v>6</v>
      </c>
      <c r="I931" s="566" t="s">
        <v>54</v>
      </c>
      <c r="J931" s="569"/>
      <c r="K931" s="566">
        <v>17</v>
      </c>
      <c r="L931" s="542" t="s">
        <v>649</v>
      </c>
      <c r="M931" s="547">
        <v>43038</v>
      </c>
      <c r="N931" s="547">
        <v>43086</v>
      </c>
      <c r="O931" s="544" t="s">
        <v>955</v>
      </c>
      <c r="P931" s="553"/>
      <c r="Q931" s="683"/>
      <c r="R931" s="546" t="s">
        <v>194</v>
      </c>
      <c r="S931" s="319" t="s">
        <v>1176</v>
      </c>
      <c r="T931" s="317" t="s">
        <v>2872</v>
      </c>
    </row>
    <row r="932" spans="1:20" ht="20.100000000000001" customHeight="1">
      <c r="A932" s="1127" t="s">
        <v>2957</v>
      </c>
      <c r="B932" s="1169" t="s">
        <v>384</v>
      </c>
      <c r="C932" s="1169" t="s">
        <v>557</v>
      </c>
      <c r="D932" s="11">
        <f>D853+190+25</f>
        <v>515</v>
      </c>
      <c r="E932" s="11">
        <f>E853+240+50</f>
        <v>890</v>
      </c>
      <c r="F932" s="11">
        <f>F853+240+50</f>
        <v>890</v>
      </c>
      <c r="G932" s="225" t="s">
        <v>51</v>
      </c>
      <c r="H932" s="56" t="s">
        <v>3000</v>
      </c>
      <c r="I932" s="566" t="s">
        <v>54</v>
      </c>
      <c r="J932" s="542"/>
      <c r="K932" s="566" t="s">
        <v>2305</v>
      </c>
      <c r="L932" s="557" t="s">
        <v>637</v>
      </c>
      <c r="M932" s="381">
        <v>43084</v>
      </c>
      <c r="N932" s="381">
        <v>43088</v>
      </c>
      <c r="O932" s="544" t="s">
        <v>955</v>
      </c>
      <c r="P932" s="553"/>
      <c r="Q932" s="7"/>
      <c r="R932" s="546" t="s">
        <v>2306</v>
      </c>
      <c r="S932" s="319"/>
      <c r="T932" s="317">
        <v>12</v>
      </c>
    </row>
    <row r="933" spans="1:20" ht="20.100000000000001" customHeight="1">
      <c r="A933" s="1127" t="s">
        <v>2957</v>
      </c>
      <c r="B933" s="1169" t="s">
        <v>384</v>
      </c>
      <c r="C933" s="1169" t="s">
        <v>557</v>
      </c>
      <c r="D933" s="11">
        <v>700</v>
      </c>
      <c r="E933" s="11">
        <v>1350</v>
      </c>
      <c r="F933" s="11">
        <v>1350</v>
      </c>
      <c r="G933" s="56" t="s">
        <v>33</v>
      </c>
      <c r="H933" s="48" t="s">
        <v>886</v>
      </c>
      <c r="I933" s="569" t="s">
        <v>54</v>
      </c>
      <c r="J933" s="569"/>
      <c r="K933" s="569" t="s">
        <v>747</v>
      </c>
      <c r="L933" s="557" t="s">
        <v>637</v>
      </c>
      <c r="M933" s="549">
        <v>43040</v>
      </c>
      <c r="N933" s="549">
        <v>43079</v>
      </c>
      <c r="O933" s="544" t="s">
        <v>955</v>
      </c>
      <c r="P933" s="553"/>
      <c r="Q933" s="53"/>
      <c r="R933" s="561" t="s">
        <v>1074</v>
      </c>
      <c r="S933" s="315" t="s">
        <v>2850</v>
      </c>
      <c r="T933" s="338"/>
    </row>
    <row r="934" spans="1:20" ht="20.100000000000001" customHeight="1">
      <c r="A934" s="1127" t="s">
        <v>2957</v>
      </c>
      <c r="B934" s="1169" t="s">
        <v>384</v>
      </c>
      <c r="C934" s="1169" t="s">
        <v>557</v>
      </c>
      <c r="D934" s="11">
        <v>470</v>
      </c>
      <c r="E934" s="11">
        <v>840</v>
      </c>
      <c r="F934" s="11">
        <v>840</v>
      </c>
      <c r="G934" s="48" t="s">
        <v>36</v>
      </c>
      <c r="H934" s="56" t="s">
        <v>2497</v>
      </c>
      <c r="I934" s="557" t="s">
        <v>54</v>
      </c>
      <c r="J934" s="558"/>
      <c r="K934" s="558" t="s">
        <v>1153</v>
      </c>
      <c r="L934" s="557" t="s">
        <v>637</v>
      </c>
      <c r="M934" s="551">
        <v>43073</v>
      </c>
      <c r="N934" s="551">
        <v>43084</v>
      </c>
      <c r="O934" s="544" t="s">
        <v>955</v>
      </c>
      <c r="P934" s="553"/>
      <c r="Q934" s="7"/>
      <c r="R934" s="546" t="s">
        <v>2501</v>
      </c>
      <c r="S934" s="315" t="s">
        <v>2852</v>
      </c>
      <c r="T934" s="317">
        <v>14</v>
      </c>
    </row>
    <row r="935" spans="1:20" ht="20.100000000000001" customHeight="1">
      <c r="A935" s="1127" t="s">
        <v>2957</v>
      </c>
      <c r="B935" s="1169" t="s">
        <v>384</v>
      </c>
      <c r="C935" s="1169" t="s">
        <v>557</v>
      </c>
      <c r="D935" s="2">
        <v>675</v>
      </c>
      <c r="E935" s="2">
        <v>1180</v>
      </c>
      <c r="F935" s="2">
        <v>1180</v>
      </c>
      <c r="G935" s="659" t="s">
        <v>62</v>
      </c>
      <c r="H935" s="56" t="s">
        <v>681</v>
      </c>
      <c r="I935" s="566" t="s">
        <v>54</v>
      </c>
      <c r="J935" s="567"/>
      <c r="K935" s="558" t="s">
        <v>743</v>
      </c>
      <c r="L935" s="542" t="s">
        <v>649</v>
      </c>
      <c r="M935" s="549">
        <v>43039</v>
      </c>
      <c r="N935" s="549">
        <v>43086</v>
      </c>
      <c r="O935" s="544" t="s">
        <v>955</v>
      </c>
      <c r="P935" s="553"/>
      <c r="Q935" s="683"/>
      <c r="R935" s="546" t="s">
        <v>1845</v>
      </c>
      <c r="S935" s="315" t="s">
        <v>2832</v>
      </c>
      <c r="T935" s="338"/>
    </row>
    <row r="936" spans="1:20" ht="20.100000000000001" customHeight="1">
      <c r="A936" s="1127" t="s">
        <v>2957</v>
      </c>
      <c r="B936" s="1169" t="s">
        <v>384</v>
      </c>
      <c r="C936" s="1169" t="s">
        <v>557</v>
      </c>
      <c r="D936" s="11">
        <v>650</v>
      </c>
      <c r="E936" s="11">
        <v>1200</v>
      </c>
      <c r="F936" s="11">
        <v>1200</v>
      </c>
      <c r="G936" s="628" t="s">
        <v>814</v>
      </c>
      <c r="H936" s="48">
        <v>6</v>
      </c>
      <c r="I936" s="566" t="s">
        <v>54</v>
      </c>
      <c r="J936" s="569"/>
      <c r="K936" s="566">
        <v>17</v>
      </c>
      <c r="L936" s="542" t="s">
        <v>649</v>
      </c>
      <c r="M936" s="547">
        <v>43038</v>
      </c>
      <c r="N936" s="547">
        <v>43086</v>
      </c>
      <c r="O936" s="544" t="s">
        <v>955</v>
      </c>
      <c r="P936" s="553"/>
      <c r="Q936" s="683"/>
      <c r="R936" s="546" t="s">
        <v>194</v>
      </c>
      <c r="S936" s="319" t="s">
        <v>1176</v>
      </c>
      <c r="T936" s="317" t="s">
        <v>2872</v>
      </c>
    </row>
    <row r="937" spans="1:20" ht="20.100000000000001" customHeight="1">
      <c r="A937" s="1127" t="s">
        <v>2957</v>
      </c>
      <c r="B937" s="1169" t="s">
        <v>384</v>
      </c>
      <c r="C937" s="1169" t="s">
        <v>557</v>
      </c>
      <c r="D937" s="11">
        <v>750</v>
      </c>
      <c r="E937" s="11">
        <v>1400</v>
      </c>
      <c r="F937" s="11">
        <v>1400</v>
      </c>
      <c r="G937" s="56" t="s">
        <v>33</v>
      </c>
      <c r="H937" s="36" t="s">
        <v>2498</v>
      </c>
      <c r="I937" s="569" t="s">
        <v>54</v>
      </c>
      <c r="J937" s="569"/>
      <c r="K937" s="558" t="s">
        <v>723</v>
      </c>
      <c r="L937" s="542" t="s">
        <v>636</v>
      </c>
      <c r="M937" s="549">
        <v>43040</v>
      </c>
      <c r="N937" s="549">
        <v>43079</v>
      </c>
      <c r="O937" s="544" t="s">
        <v>955</v>
      </c>
      <c r="P937" s="553"/>
      <c r="Q937" s="683"/>
      <c r="R937" s="561" t="s">
        <v>1686</v>
      </c>
      <c r="S937" s="315" t="s">
        <v>2850</v>
      </c>
      <c r="T937" s="338"/>
    </row>
    <row r="938" spans="1:20" ht="20.100000000000001" customHeight="1">
      <c r="A938" s="1127" t="s">
        <v>2957</v>
      </c>
      <c r="B938" s="1169" t="s">
        <v>384</v>
      </c>
      <c r="C938" s="1169" t="s">
        <v>557</v>
      </c>
      <c r="D938" s="888">
        <f>D850+190+25</f>
        <v>460</v>
      </c>
      <c r="E938" s="888">
        <f>E850+220+50</f>
        <v>760</v>
      </c>
      <c r="F938" s="888">
        <f>F850+220+50</f>
        <v>760</v>
      </c>
      <c r="G938" s="225" t="s">
        <v>434</v>
      </c>
      <c r="H938" s="48" t="s">
        <v>721</v>
      </c>
      <c r="I938" s="569" t="s">
        <v>54</v>
      </c>
      <c r="J938" s="569"/>
      <c r="K938" s="558" t="s">
        <v>736</v>
      </c>
      <c r="L938" s="570" t="s">
        <v>641</v>
      </c>
      <c r="M938" s="549">
        <v>43085</v>
      </c>
      <c r="N938" s="549">
        <v>43093</v>
      </c>
      <c r="O938" s="544" t="s">
        <v>955</v>
      </c>
      <c r="P938" s="545"/>
      <c r="Q938" s="683"/>
      <c r="R938" s="561" t="s">
        <v>201</v>
      </c>
      <c r="S938" s="321" t="s">
        <v>1176</v>
      </c>
      <c r="T938" s="317" t="s">
        <v>2404</v>
      </c>
    </row>
    <row r="939" spans="1:20" ht="20.100000000000001" customHeight="1">
      <c r="A939" s="1127" t="s">
        <v>2957</v>
      </c>
      <c r="B939" s="1169" t="s">
        <v>384</v>
      </c>
      <c r="C939" s="1169" t="s">
        <v>557</v>
      </c>
      <c r="D939" s="888">
        <f>D852+180+25+80</f>
        <v>545</v>
      </c>
      <c r="E939" s="888">
        <f>E852+230+50+120</f>
        <v>920</v>
      </c>
      <c r="F939" s="888">
        <f>F852+230+50+120</f>
        <v>920</v>
      </c>
      <c r="G939" s="702" t="s">
        <v>278</v>
      </c>
      <c r="H939" s="48">
        <v>6</v>
      </c>
      <c r="I939" s="566" t="s">
        <v>54</v>
      </c>
      <c r="J939" s="569"/>
      <c r="K939" s="566" t="s">
        <v>732</v>
      </c>
      <c r="L939" s="570" t="s">
        <v>641</v>
      </c>
      <c r="M939" s="391">
        <v>43087</v>
      </c>
      <c r="N939" s="391">
        <v>43093</v>
      </c>
      <c r="O939" s="544" t="s">
        <v>955</v>
      </c>
      <c r="P939" s="545"/>
      <c r="Q939" s="683"/>
      <c r="R939" s="561" t="s">
        <v>201</v>
      </c>
      <c r="S939" s="325"/>
      <c r="T939" s="317" t="s">
        <v>2876</v>
      </c>
    </row>
    <row r="940" spans="1:20" ht="20.100000000000001" customHeight="1">
      <c r="A940" s="1127" t="s">
        <v>2957</v>
      </c>
      <c r="B940" s="1169" t="s">
        <v>384</v>
      </c>
      <c r="C940" s="1169" t="s">
        <v>779</v>
      </c>
      <c r="D940" s="273">
        <v>1485</v>
      </c>
      <c r="E940" s="273">
        <v>2970</v>
      </c>
      <c r="F940" s="273">
        <v>2970</v>
      </c>
      <c r="G940" s="55" t="s">
        <v>37</v>
      </c>
      <c r="H940" s="48" t="s">
        <v>1875</v>
      </c>
      <c r="I940" s="558" t="s">
        <v>16</v>
      </c>
      <c r="J940" s="557"/>
      <c r="K940" s="558" t="s">
        <v>682</v>
      </c>
      <c r="L940" s="557" t="s">
        <v>637</v>
      </c>
      <c r="M940" s="543">
        <v>43040</v>
      </c>
      <c r="N940" s="543">
        <v>43084</v>
      </c>
      <c r="O940" s="544" t="s">
        <v>955</v>
      </c>
      <c r="P940" s="553"/>
      <c r="Q940" s="7"/>
      <c r="R940" s="546" t="s">
        <v>1876</v>
      </c>
      <c r="S940" s="319" t="s">
        <v>1176</v>
      </c>
      <c r="T940" s="338"/>
    </row>
    <row r="941" spans="1:20" ht="20.100000000000001" customHeight="1">
      <c r="A941" s="1127" t="s">
        <v>2957</v>
      </c>
      <c r="B941" s="1169" t="s">
        <v>384</v>
      </c>
      <c r="C941" s="1169" t="s">
        <v>779</v>
      </c>
      <c r="D941" s="11">
        <v>1155</v>
      </c>
      <c r="E941" s="11">
        <v>2020</v>
      </c>
      <c r="F941" s="11">
        <v>2020</v>
      </c>
      <c r="G941" s="18" t="s">
        <v>62</v>
      </c>
      <c r="H941" s="56" t="s">
        <v>706</v>
      </c>
      <c r="I941" s="566" t="s">
        <v>16</v>
      </c>
      <c r="J941" s="569"/>
      <c r="K941" s="566" t="s">
        <v>747</v>
      </c>
      <c r="L941" s="542" t="s">
        <v>639</v>
      </c>
      <c r="M941" s="549">
        <v>43039</v>
      </c>
      <c r="N941" s="549">
        <v>43086</v>
      </c>
      <c r="O941" s="544" t="s">
        <v>955</v>
      </c>
      <c r="P941" s="553"/>
      <c r="Q941" s="7"/>
      <c r="R941" s="546" t="s">
        <v>164</v>
      </c>
      <c r="S941" s="315" t="s">
        <v>2832</v>
      </c>
      <c r="T941" s="338"/>
    </row>
    <row r="942" spans="1:20" ht="20.100000000000001" customHeight="1">
      <c r="A942" s="732" t="s">
        <v>2957</v>
      </c>
      <c r="B942" s="573" t="s">
        <v>384</v>
      </c>
      <c r="C942" s="573" t="s">
        <v>2393</v>
      </c>
      <c r="D942" s="11">
        <v>715</v>
      </c>
      <c r="E942" s="11">
        <v>1030</v>
      </c>
      <c r="F942" s="11">
        <v>1030</v>
      </c>
      <c r="G942" s="18" t="s">
        <v>62</v>
      </c>
      <c r="H942" s="56" t="s">
        <v>706</v>
      </c>
      <c r="I942" s="566" t="s">
        <v>16</v>
      </c>
      <c r="J942" s="569"/>
      <c r="K942" s="566" t="s">
        <v>747</v>
      </c>
      <c r="L942" s="542" t="s">
        <v>639</v>
      </c>
      <c r="M942" s="549">
        <v>43039</v>
      </c>
      <c r="N942" s="549">
        <v>43086</v>
      </c>
      <c r="O942" s="544" t="s">
        <v>955</v>
      </c>
      <c r="P942" s="553"/>
      <c r="Q942" s="7"/>
      <c r="R942" s="546" t="s">
        <v>164</v>
      </c>
      <c r="S942" s="315" t="s">
        <v>2832</v>
      </c>
      <c r="T942" s="338"/>
    </row>
    <row r="943" spans="1:20" ht="20.100000000000001" customHeight="1">
      <c r="A943" s="732" t="s">
        <v>2957</v>
      </c>
      <c r="B943" s="573" t="s">
        <v>384</v>
      </c>
      <c r="C943" s="573" t="s">
        <v>946</v>
      </c>
      <c r="D943" s="11">
        <v>1750</v>
      </c>
      <c r="E943" s="11">
        <v>2800</v>
      </c>
      <c r="F943" s="11">
        <v>2800</v>
      </c>
      <c r="G943" s="628" t="s">
        <v>814</v>
      </c>
      <c r="H943" s="48">
        <v>6</v>
      </c>
      <c r="I943" s="566" t="s">
        <v>54</v>
      </c>
      <c r="J943" s="569"/>
      <c r="K943" s="566">
        <v>17</v>
      </c>
      <c r="L943" s="542" t="s">
        <v>649</v>
      </c>
      <c r="M943" s="547">
        <v>43038</v>
      </c>
      <c r="N943" s="547">
        <v>43086</v>
      </c>
      <c r="O943" s="544" t="s">
        <v>955</v>
      </c>
      <c r="P943" s="553"/>
      <c r="Q943" s="683"/>
      <c r="R943" s="546" t="s">
        <v>194</v>
      </c>
      <c r="S943" s="319" t="s">
        <v>1176</v>
      </c>
      <c r="T943" s="317" t="s">
        <v>2872</v>
      </c>
    </row>
    <row r="944" spans="1:20" ht="20.100000000000001" customHeight="1">
      <c r="A944" s="1127" t="s">
        <v>2957</v>
      </c>
      <c r="B944" s="1169" t="s">
        <v>384</v>
      </c>
      <c r="C944" s="1169" t="s">
        <v>206</v>
      </c>
      <c r="D944" s="731">
        <v>1100</v>
      </c>
      <c r="E944" s="731">
        <v>2200</v>
      </c>
      <c r="F944" s="731">
        <v>2200</v>
      </c>
      <c r="G944" s="48" t="s">
        <v>37</v>
      </c>
      <c r="H944" s="48" t="s">
        <v>1653</v>
      </c>
      <c r="I944" s="558" t="s">
        <v>16</v>
      </c>
      <c r="J944" s="557"/>
      <c r="K944" s="558">
        <v>10</v>
      </c>
      <c r="L944" s="557" t="s">
        <v>637</v>
      </c>
      <c r="M944" s="543">
        <v>43040</v>
      </c>
      <c r="N944" s="543">
        <v>43084</v>
      </c>
      <c r="O944" s="544" t="s">
        <v>955</v>
      </c>
      <c r="P944" s="553"/>
      <c r="Q944" s="7"/>
      <c r="R944" s="548" t="s">
        <v>1877</v>
      </c>
      <c r="S944" s="319" t="s">
        <v>1176</v>
      </c>
      <c r="T944" s="317"/>
    </row>
    <row r="945" spans="1:20" ht="20.100000000000001" customHeight="1">
      <c r="A945" s="1127" t="s">
        <v>2957</v>
      </c>
      <c r="B945" s="1169" t="s">
        <v>384</v>
      </c>
      <c r="C945" s="1169" t="s">
        <v>206</v>
      </c>
      <c r="D945" s="526">
        <v>925</v>
      </c>
      <c r="E945" s="526">
        <v>1580</v>
      </c>
      <c r="F945" s="526">
        <v>1580</v>
      </c>
      <c r="G945" s="18" t="s">
        <v>62</v>
      </c>
      <c r="H945" s="56" t="s">
        <v>681</v>
      </c>
      <c r="I945" s="566" t="s">
        <v>1</v>
      </c>
      <c r="J945" s="557"/>
      <c r="K945" s="558" t="s">
        <v>682</v>
      </c>
      <c r="L945" s="542" t="s">
        <v>649</v>
      </c>
      <c r="M945" s="549">
        <v>43039</v>
      </c>
      <c r="N945" s="549">
        <v>43086</v>
      </c>
      <c r="O945" s="544" t="s">
        <v>955</v>
      </c>
      <c r="P945" s="562"/>
      <c r="Q945" s="683"/>
      <c r="R945" s="546" t="s">
        <v>1845</v>
      </c>
      <c r="S945" s="315" t="s">
        <v>2832</v>
      </c>
      <c r="T945" s="317"/>
    </row>
    <row r="946" spans="1:20" ht="20.100000000000001" customHeight="1">
      <c r="A946" s="1127" t="s">
        <v>2957</v>
      </c>
      <c r="B946" s="1169" t="s">
        <v>384</v>
      </c>
      <c r="C946" s="1169" t="s">
        <v>135</v>
      </c>
      <c r="D946" s="526">
        <v>1650</v>
      </c>
      <c r="E946" s="526">
        <v>2800</v>
      </c>
      <c r="F946" s="526">
        <v>2800</v>
      </c>
      <c r="G946" s="628" t="s">
        <v>14</v>
      </c>
      <c r="H946" s="56" t="s">
        <v>742</v>
      </c>
      <c r="I946" s="557" t="s">
        <v>16</v>
      </c>
      <c r="J946" s="567"/>
      <c r="K946" s="558">
        <v>18</v>
      </c>
      <c r="L946" s="559" t="s">
        <v>639</v>
      </c>
      <c r="M946" s="547">
        <v>43044</v>
      </c>
      <c r="N946" s="547">
        <v>43092</v>
      </c>
      <c r="O946" s="544" t="s">
        <v>955</v>
      </c>
      <c r="P946" s="545"/>
      <c r="Q946" s="7"/>
      <c r="R946" s="17" t="s">
        <v>449</v>
      </c>
      <c r="S946" s="319"/>
      <c r="T946" s="338"/>
    </row>
    <row r="947" spans="1:20" ht="20.100000000000001" customHeight="1">
      <c r="A947" s="1127" t="s">
        <v>2957</v>
      </c>
      <c r="B947" s="1169" t="s">
        <v>384</v>
      </c>
      <c r="C947" s="1169" t="s">
        <v>135</v>
      </c>
      <c r="D947" s="525">
        <v>820</v>
      </c>
      <c r="E947" s="525">
        <v>1540</v>
      </c>
      <c r="F947" s="525">
        <v>1540</v>
      </c>
      <c r="G947" s="48" t="s">
        <v>36</v>
      </c>
      <c r="H947" s="56" t="s">
        <v>725</v>
      </c>
      <c r="I947" s="542" t="s">
        <v>17</v>
      </c>
      <c r="J947" s="558"/>
      <c r="K947" s="558" t="s">
        <v>151</v>
      </c>
      <c r="L947" s="542" t="s">
        <v>649</v>
      </c>
      <c r="M947" s="551">
        <v>42733</v>
      </c>
      <c r="N947" s="551">
        <v>43084</v>
      </c>
      <c r="O947" s="544" t="s">
        <v>955</v>
      </c>
      <c r="P947" s="553"/>
      <c r="Q947" s="7"/>
      <c r="R947" s="546" t="s">
        <v>1492</v>
      </c>
      <c r="S947" s="315" t="s">
        <v>2852</v>
      </c>
      <c r="T947" s="317">
        <v>14</v>
      </c>
    </row>
    <row r="948" spans="1:20" ht="20.100000000000001" customHeight="1">
      <c r="A948" s="1127" t="s">
        <v>2957</v>
      </c>
      <c r="B948" s="1169" t="s">
        <v>384</v>
      </c>
      <c r="C948" s="1169" t="s">
        <v>135</v>
      </c>
      <c r="D948" s="11">
        <v>1210</v>
      </c>
      <c r="E948" s="11">
        <v>2220</v>
      </c>
      <c r="F948" s="11">
        <v>2220</v>
      </c>
      <c r="G948" s="18" t="s">
        <v>62</v>
      </c>
      <c r="H948" s="56" t="s">
        <v>681</v>
      </c>
      <c r="I948" s="566" t="s">
        <v>136</v>
      </c>
      <c r="J948" s="557"/>
      <c r="K948" s="558" t="s">
        <v>680</v>
      </c>
      <c r="L948" s="542" t="s">
        <v>649</v>
      </c>
      <c r="M948" s="549">
        <v>43039</v>
      </c>
      <c r="N948" s="549">
        <v>43086</v>
      </c>
      <c r="O948" s="544" t="s">
        <v>955</v>
      </c>
      <c r="P948" s="562"/>
      <c r="Q948" s="683"/>
      <c r="R948" s="546" t="s">
        <v>1845</v>
      </c>
      <c r="S948" s="315" t="s">
        <v>2832</v>
      </c>
      <c r="T948" s="338"/>
    </row>
    <row r="949" spans="1:20" ht="20.100000000000001" customHeight="1">
      <c r="A949" s="1127" t="s">
        <v>2957</v>
      </c>
      <c r="B949" s="1169" t="s">
        <v>384</v>
      </c>
      <c r="C949" s="1169" t="s">
        <v>135</v>
      </c>
      <c r="D949" s="11">
        <v>1250</v>
      </c>
      <c r="E949" s="11">
        <v>2200</v>
      </c>
      <c r="F949" s="11">
        <v>2200</v>
      </c>
      <c r="G949" s="628" t="s">
        <v>814</v>
      </c>
      <c r="H949" s="48">
        <v>6</v>
      </c>
      <c r="I949" s="566" t="s">
        <v>54</v>
      </c>
      <c r="J949" s="542"/>
      <c r="K949" s="566">
        <v>17</v>
      </c>
      <c r="L949" s="542" t="s">
        <v>649</v>
      </c>
      <c r="M949" s="547">
        <v>43038</v>
      </c>
      <c r="N949" s="547">
        <v>43086</v>
      </c>
      <c r="O949" s="544" t="s">
        <v>955</v>
      </c>
      <c r="P949" s="553"/>
      <c r="Q949" s="683"/>
      <c r="R949" s="546" t="s">
        <v>194</v>
      </c>
      <c r="S949" s="319" t="s">
        <v>1176</v>
      </c>
      <c r="T949" s="317" t="s">
        <v>2872</v>
      </c>
    </row>
    <row r="950" spans="1:20" ht="20.100000000000001" customHeight="1">
      <c r="A950" s="1127" t="s">
        <v>2957</v>
      </c>
      <c r="B950" s="1169" t="s">
        <v>384</v>
      </c>
      <c r="C950" s="1169" t="s">
        <v>135</v>
      </c>
      <c r="D950" s="11">
        <v>840</v>
      </c>
      <c r="E950" s="11">
        <v>1680</v>
      </c>
      <c r="F950" s="11">
        <v>1680</v>
      </c>
      <c r="G950" s="56" t="s">
        <v>28</v>
      </c>
      <c r="H950" s="36">
        <v>7</v>
      </c>
      <c r="I950" s="557" t="s">
        <v>54</v>
      </c>
      <c r="J950" s="567"/>
      <c r="K950" s="567">
        <v>15</v>
      </c>
      <c r="L950" s="542" t="s">
        <v>649</v>
      </c>
      <c r="M950" s="549">
        <v>43041</v>
      </c>
      <c r="N950" s="549">
        <v>43089</v>
      </c>
      <c r="O950" s="544" t="s">
        <v>955</v>
      </c>
      <c r="P950" s="553"/>
      <c r="Q950" s="60"/>
      <c r="R950" s="546" t="s">
        <v>189</v>
      </c>
      <c r="S950" s="316" t="s">
        <v>1176</v>
      </c>
      <c r="T950" s="338"/>
    </row>
    <row r="951" spans="1:20" ht="20.100000000000001" customHeight="1">
      <c r="A951" s="1127" t="s">
        <v>2957</v>
      </c>
      <c r="B951" s="1169" t="s">
        <v>384</v>
      </c>
      <c r="C951" s="1169" t="s">
        <v>536</v>
      </c>
      <c r="D951" s="273">
        <v>785</v>
      </c>
      <c r="E951" s="273">
        <v>1570</v>
      </c>
      <c r="F951" s="273">
        <v>1570</v>
      </c>
      <c r="G951" s="55" t="s">
        <v>37</v>
      </c>
      <c r="H951" s="48" t="s">
        <v>1875</v>
      </c>
      <c r="I951" s="558" t="s">
        <v>16</v>
      </c>
      <c r="J951" s="557"/>
      <c r="K951" s="558" t="s">
        <v>747</v>
      </c>
      <c r="L951" s="557" t="s">
        <v>637</v>
      </c>
      <c r="M951" s="543">
        <v>43040</v>
      </c>
      <c r="N951" s="543">
        <v>43084</v>
      </c>
      <c r="O951" s="544" t="s">
        <v>955</v>
      </c>
      <c r="P951" s="553"/>
      <c r="Q951" s="7"/>
      <c r="R951" s="546" t="s">
        <v>1876</v>
      </c>
      <c r="S951" s="319" t="s">
        <v>1176</v>
      </c>
      <c r="T951" s="338"/>
    </row>
    <row r="952" spans="1:20" ht="20.100000000000001" customHeight="1">
      <c r="A952" s="1127" t="s">
        <v>2957</v>
      </c>
      <c r="B952" s="1169" t="s">
        <v>384</v>
      </c>
      <c r="C952" s="1169" t="s">
        <v>536</v>
      </c>
      <c r="D952" s="11">
        <v>770</v>
      </c>
      <c r="E952" s="11">
        <v>1540</v>
      </c>
      <c r="F952" s="11">
        <v>1540</v>
      </c>
      <c r="G952" s="56" t="s">
        <v>33</v>
      </c>
      <c r="H952" s="674" t="s">
        <v>721</v>
      </c>
      <c r="I952" s="569" t="s">
        <v>16</v>
      </c>
      <c r="J952" s="554"/>
      <c r="K952" s="569" t="s">
        <v>151</v>
      </c>
      <c r="L952" s="557" t="s">
        <v>637</v>
      </c>
      <c r="M952" s="549">
        <v>43040</v>
      </c>
      <c r="N952" s="549">
        <v>43079</v>
      </c>
      <c r="O952" s="544" t="s">
        <v>955</v>
      </c>
      <c r="P952" s="553"/>
      <c r="Q952" s="745"/>
      <c r="R952" s="546" t="s">
        <v>2300</v>
      </c>
      <c r="S952" s="315" t="s">
        <v>2850</v>
      </c>
      <c r="T952" s="338"/>
    </row>
    <row r="953" spans="1:20" ht="20.100000000000001" customHeight="1">
      <c r="A953" s="1127" t="s">
        <v>2957</v>
      </c>
      <c r="B953" s="1169" t="s">
        <v>384</v>
      </c>
      <c r="C953" s="1169" t="s">
        <v>536</v>
      </c>
      <c r="D953" s="11">
        <v>613</v>
      </c>
      <c r="E953" s="11">
        <v>1213</v>
      </c>
      <c r="F953" s="11">
        <v>1213</v>
      </c>
      <c r="G953" s="56" t="s">
        <v>19</v>
      </c>
      <c r="H953" s="56" t="s">
        <v>742</v>
      </c>
      <c r="I953" s="558" t="s">
        <v>16</v>
      </c>
      <c r="J953" s="554"/>
      <c r="K953" s="569" t="s">
        <v>151</v>
      </c>
      <c r="L953" s="559" t="s">
        <v>639</v>
      </c>
      <c r="M953" s="559"/>
      <c r="N953" s="549">
        <v>42825</v>
      </c>
      <c r="O953" s="544" t="s">
        <v>955</v>
      </c>
      <c r="P953" s="553"/>
      <c r="Q953" s="52"/>
      <c r="R953" s="546" t="s">
        <v>187</v>
      </c>
      <c r="S953" s="316"/>
      <c r="T953" s="338"/>
    </row>
    <row r="954" spans="1:20" ht="20.100000000000001" customHeight="1">
      <c r="A954" s="1127" t="s">
        <v>2957</v>
      </c>
      <c r="B954" s="1169" t="s">
        <v>384</v>
      </c>
      <c r="C954" s="1169" t="s">
        <v>536</v>
      </c>
      <c r="D954" s="32">
        <f>D1071+510</f>
        <v>760</v>
      </c>
      <c r="E954" s="32">
        <f>E1071+910</f>
        <v>1410</v>
      </c>
      <c r="F954" s="32">
        <f>F1071+910</f>
        <v>1410</v>
      </c>
      <c r="G954" s="225" t="s">
        <v>51</v>
      </c>
      <c r="H954" s="36" t="s">
        <v>2370</v>
      </c>
      <c r="I954" s="557" t="s">
        <v>16</v>
      </c>
      <c r="J954" s="558"/>
      <c r="K954" s="558">
        <v>17</v>
      </c>
      <c r="L954" s="542" t="s">
        <v>637</v>
      </c>
      <c r="M954" s="381">
        <v>43040</v>
      </c>
      <c r="N954" s="381">
        <v>43088</v>
      </c>
      <c r="O954" s="544" t="s">
        <v>955</v>
      </c>
      <c r="P954" s="545"/>
      <c r="Q954" s="52"/>
      <c r="R954" s="575" t="s">
        <v>2371</v>
      </c>
      <c r="S954" s="319"/>
      <c r="T954" s="317">
        <v>12</v>
      </c>
    </row>
    <row r="955" spans="1:20" ht="20.100000000000001" customHeight="1">
      <c r="A955" s="1127" t="s">
        <v>2957</v>
      </c>
      <c r="B955" s="1169" t="s">
        <v>384</v>
      </c>
      <c r="C955" s="1169" t="s">
        <v>536</v>
      </c>
      <c r="D955" s="526">
        <v>900</v>
      </c>
      <c r="E955" s="526">
        <v>1700</v>
      </c>
      <c r="F955" s="526">
        <v>1700</v>
      </c>
      <c r="G955" s="48" t="s">
        <v>13</v>
      </c>
      <c r="H955" s="48" t="s">
        <v>760</v>
      </c>
      <c r="I955" s="558" t="s">
        <v>16</v>
      </c>
      <c r="J955" s="558"/>
      <c r="K955" s="558">
        <v>15</v>
      </c>
      <c r="L955" s="557" t="s">
        <v>637</v>
      </c>
      <c r="M955" s="6">
        <v>43070</v>
      </c>
      <c r="N955" s="6">
        <v>43100</v>
      </c>
      <c r="O955" s="544" t="s">
        <v>955</v>
      </c>
      <c r="P955" s="553"/>
      <c r="Q955" s="677"/>
      <c r="R955" s="546" t="s">
        <v>1958</v>
      </c>
      <c r="S955" s="319" t="s">
        <v>1176</v>
      </c>
      <c r="T955" s="338" t="s">
        <v>2875</v>
      </c>
    </row>
    <row r="956" spans="1:20" ht="20.100000000000001" customHeight="1">
      <c r="A956" s="1127" t="s">
        <v>2957</v>
      </c>
      <c r="B956" s="1169" t="s">
        <v>384</v>
      </c>
      <c r="C956" s="1169" t="s">
        <v>536</v>
      </c>
      <c r="D956" s="273">
        <v>800</v>
      </c>
      <c r="E956" s="273">
        <v>1600</v>
      </c>
      <c r="F956" s="273">
        <v>1600</v>
      </c>
      <c r="G956" s="65" t="s">
        <v>29</v>
      </c>
      <c r="H956" s="36" t="s">
        <v>659</v>
      </c>
      <c r="I956" s="576" t="s">
        <v>16</v>
      </c>
      <c r="J956" s="576"/>
      <c r="K956" s="558">
        <v>13</v>
      </c>
      <c r="L956" s="557" t="s">
        <v>637</v>
      </c>
      <c r="M956" s="547">
        <v>43038</v>
      </c>
      <c r="N956" s="547">
        <v>43072</v>
      </c>
      <c r="O956" s="544" t="s">
        <v>955</v>
      </c>
      <c r="P956" s="544"/>
      <c r="Q956" s="7"/>
      <c r="R956" s="546" t="s">
        <v>191</v>
      </c>
      <c r="S956" s="319" t="s">
        <v>1176</v>
      </c>
      <c r="T956" s="338" t="s">
        <v>1988</v>
      </c>
    </row>
    <row r="957" spans="1:20" ht="20.100000000000001" customHeight="1">
      <c r="A957" s="1127" t="s">
        <v>2957</v>
      </c>
      <c r="B957" s="1169" t="s">
        <v>384</v>
      </c>
      <c r="C957" s="1169" t="s">
        <v>536</v>
      </c>
      <c r="D957" s="11">
        <v>805</v>
      </c>
      <c r="E957" s="11">
        <v>1610</v>
      </c>
      <c r="F957" s="11">
        <v>1610</v>
      </c>
      <c r="G957" s="673" t="s">
        <v>87</v>
      </c>
      <c r="H957" s="36" t="s">
        <v>631</v>
      </c>
      <c r="I957" s="566" t="s">
        <v>16</v>
      </c>
      <c r="J957" s="584"/>
      <c r="K957" s="584">
        <v>15</v>
      </c>
      <c r="L957" s="557" t="s">
        <v>637</v>
      </c>
      <c r="M957" s="551">
        <v>43046</v>
      </c>
      <c r="N957" s="551">
        <v>43086</v>
      </c>
      <c r="O957" s="544" t="s">
        <v>955</v>
      </c>
      <c r="P957" s="545"/>
      <c r="Q957" s="747"/>
      <c r="R957" s="556" t="s">
        <v>849</v>
      </c>
      <c r="S957" s="315" t="s">
        <v>2849</v>
      </c>
      <c r="T957" s="317" t="s">
        <v>2876</v>
      </c>
    </row>
    <row r="958" spans="1:20" ht="20.100000000000001" customHeight="1">
      <c r="A958" s="1127" t="s">
        <v>2957</v>
      </c>
      <c r="B958" s="1169" t="s">
        <v>384</v>
      </c>
      <c r="C958" s="1169" t="s">
        <v>536</v>
      </c>
      <c r="D958" s="525">
        <v>820</v>
      </c>
      <c r="E958" s="525">
        <v>1640</v>
      </c>
      <c r="F958" s="525">
        <v>1640</v>
      </c>
      <c r="G958" s="56" t="s">
        <v>36</v>
      </c>
      <c r="H958" s="56" t="s">
        <v>2497</v>
      </c>
      <c r="I958" s="557" t="s">
        <v>54</v>
      </c>
      <c r="J958" s="558"/>
      <c r="K958" s="558" t="s">
        <v>1154</v>
      </c>
      <c r="L958" s="557" t="s">
        <v>637</v>
      </c>
      <c r="M958" s="551">
        <v>42866</v>
      </c>
      <c r="N958" s="551">
        <v>43084</v>
      </c>
      <c r="O958" s="544" t="s">
        <v>955</v>
      </c>
      <c r="P958" s="553"/>
      <c r="Q958" s="7"/>
      <c r="R958" s="546" t="s">
        <v>2501</v>
      </c>
      <c r="S958" s="315" t="s">
        <v>2852</v>
      </c>
      <c r="T958" s="317">
        <v>14</v>
      </c>
    </row>
    <row r="959" spans="1:20" ht="20.100000000000001" customHeight="1">
      <c r="A959" s="1127" t="s">
        <v>2957</v>
      </c>
      <c r="B959" s="1169" t="s">
        <v>384</v>
      </c>
      <c r="C959" s="1169" t="s">
        <v>536</v>
      </c>
      <c r="D959" s="526">
        <v>775</v>
      </c>
      <c r="E959" s="526">
        <v>1380</v>
      </c>
      <c r="F959" s="526">
        <v>1380</v>
      </c>
      <c r="G959" s="659" t="s">
        <v>62</v>
      </c>
      <c r="H959" s="56" t="s">
        <v>681</v>
      </c>
      <c r="I959" s="566" t="s">
        <v>1</v>
      </c>
      <c r="J959" s="557"/>
      <c r="K959" s="559" t="s">
        <v>727</v>
      </c>
      <c r="L959" s="542" t="s">
        <v>649</v>
      </c>
      <c r="M959" s="549">
        <v>43039</v>
      </c>
      <c r="N959" s="549">
        <v>43086</v>
      </c>
      <c r="O959" s="544" t="s">
        <v>955</v>
      </c>
      <c r="P959" s="562"/>
      <c r="Q959" s="683"/>
      <c r="R959" s="546" t="s">
        <v>1845</v>
      </c>
      <c r="S959" s="315" t="s">
        <v>2832</v>
      </c>
      <c r="T959" s="338"/>
    </row>
    <row r="960" spans="1:20" ht="20.100000000000001" customHeight="1">
      <c r="A960" s="1127" t="s">
        <v>2957</v>
      </c>
      <c r="B960" s="1169" t="s">
        <v>384</v>
      </c>
      <c r="C960" s="1169" t="s">
        <v>536</v>
      </c>
      <c r="D960" s="11">
        <v>740</v>
      </c>
      <c r="E960" s="11">
        <v>1480</v>
      </c>
      <c r="F960" s="11">
        <v>1480</v>
      </c>
      <c r="G960" s="56" t="s">
        <v>28</v>
      </c>
      <c r="H960" s="36" t="s">
        <v>681</v>
      </c>
      <c r="I960" s="557" t="s">
        <v>16</v>
      </c>
      <c r="J960" s="567"/>
      <c r="K960" s="567">
        <v>15</v>
      </c>
      <c r="L960" s="542" t="s">
        <v>649</v>
      </c>
      <c r="M960" s="549">
        <v>43041</v>
      </c>
      <c r="N960" s="549">
        <v>43089</v>
      </c>
      <c r="O960" s="544" t="s">
        <v>955</v>
      </c>
      <c r="P960" s="553"/>
      <c r="Q960" s="7"/>
      <c r="R960" s="546" t="s">
        <v>179</v>
      </c>
      <c r="S960" s="316" t="s">
        <v>1176</v>
      </c>
      <c r="T960" s="338"/>
    </row>
    <row r="961" spans="1:20" ht="20.100000000000001" customHeight="1">
      <c r="A961" s="1127" t="s">
        <v>2957</v>
      </c>
      <c r="B961" s="1169" t="s">
        <v>384</v>
      </c>
      <c r="C961" s="1169" t="s">
        <v>536</v>
      </c>
      <c r="D961" s="11">
        <v>1050</v>
      </c>
      <c r="E961" s="11">
        <v>1950</v>
      </c>
      <c r="F961" s="11">
        <v>1950</v>
      </c>
      <c r="G961" s="628" t="s">
        <v>814</v>
      </c>
      <c r="H961" s="48">
        <v>6</v>
      </c>
      <c r="I961" s="566" t="s">
        <v>54</v>
      </c>
      <c r="J961" s="569"/>
      <c r="K961" s="566">
        <v>17</v>
      </c>
      <c r="L961" s="542" t="s">
        <v>649</v>
      </c>
      <c r="M961" s="547">
        <v>43038</v>
      </c>
      <c r="N961" s="547">
        <v>43086</v>
      </c>
      <c r="O961" s="544" t="s">
        <v>955</v>
      </c>
      <c r="P961" s="545"/>
      <c r="Q961" s="683"/>
      <c r="R961" s="546" t="s">
        <v>194</v>
      </c>
      <c r="S961" s="319" t="s">
        <v>1176</v>
      </c>
      <c r="T961" s="317" t="s">
        <v>2872</v>
      </c>
    </row>
    <row r="962" spans="1:20" ht="20.100000000000001" customHeight="1">
      <c r="A962" s="1127" t="s">
        <v>2957</v>
      </c>
      <c r="B962" s="1169" t="s">
        <v>384</v>
      </c>
      <c r="C962" s="1169" t="s">
        <v>536</v>
      </c>
      <c r="D962" s="32">
        <v>700</v>
      </c>
      <c r="E962" s="32">
        <v>1300</v>
      </c>
      <c r="F962" s="32">
        <v>1300</v>
      </c>
      <c r="G962" s="224" t="s">
        <v>22</v>
      </c>
      <c r="H962" s="56" t="s">
        <v>706</v>
      </c>
      <c r="I962" s="558" t="s">
        <v>16</v>
      </c>
      <c r="J962" s="571"/>
      <c r="K962" s="569">
        <v>14</v>
      </c>
      <c r="L962" s="559" t="s">
        <v>643</v>
      </c>
      <c r="M962" s="547">
        <v>43009</v>
      </c>
      <c r="N962" s="547">
        <v>43069</v>
      </c>
      <c r="O962" s="544" t="s">
        <v>955</v>
      </c>
      <c r="P962" s="553"/>
      <c r="Q962" s="60"/>
      <c r="R962" s="546" t="s">
        <v>1783</v>
      </c>
      <c r="S962" s="316" t="s">
        <v>1176</v>
      </c>
      <c r="T962" s="317">
        <v>14</v>
      </c>
    </row>
    <row r="963" spans="1:20" ht="20.100000000000001" customHeight="1">
      <c r="A963" s="1127" t="s">
        <v>2957</v>
      </c>
      <c r="B963" s="1169" t="s">
        <v>384</v>
      </c>
      <c r="C963" s="1169" t="s">
        <v>388</v>
      </c>
      <c r="D963" s="273">
        <v>985</v>
      </c>
      <c r="E963" s="273">
        <v>1870</v>
      </c>
      <c r="F963" s="273">
        <v>1870</v>
      </c>
      <c r="G963" s="55" t="s">
        <v>37</v>
      </c>
      <c r="H963" s="48" t="s">
        <v>1875</v>
      </c>
      <c r="I963" s="558" t="s">
        <v>16</v>
      </c>
      <c r="J963" s="557"/>
      <c r="K963" s="558" t="s">
        <v>151</v>
      </c>
      <c r="L963" s="557" t="s">
        <v>637</v>
      </c>
      <c r="M963" s="543">
        <v>43040</v>
      </c>
      <c r="N963" s="543">
        <v>43084</v>
      </c>
      <c r="O963" s="544" t="s">
        <v>955</v>
      </c>
      <c r="P963" s="553"/>
      <c r="Q963" s="7"/>
      <c r="R963" s="546" t="s">
        <v>1876</v>
      </c>
      <c r="S963" s="319" t="s">
        <v>1176</v>
      </c>
      <c r="T963" s="338"/>
    </row>
    <row r="964" spans="1:20" ht="20.100000000000001" customHeight="1">
      <c r="A964" s="1127" t="s">
        <v>2957</v>
      </c>
      <c r="B964" s="1169" t="s">
        <v>384</v>
      </c>
      <c r="C964" s="1169" t="s">
        <v>388</v>
      </c>
      <c r="D964" s="526">
        <v>1000</v>
      </c>
      <c r="E964" s="526">
        <v>1900</v>
      </c>
      <c r="F964" s="526">
        <v>1900</v>
      </c>
      <c r="G964" s="48" t="s">
        <v>13</v>
      </c>
      <c r="H964" s="48" t="s">
        <v>760</v>
      </c>
      <c r="I964" s="558" t="s">
        <v>16</v>
      </c>
      <c r="J964" s="558"/>
      <c r="K964" s="558">
        <v>15</v>
      </c>
      <c r="L964" s="557" t="s">
        <v>637</v>
      </c>
      <c r="M964" s="6">
        <v>43070</v>
      </c>
      <c r="N964" s="6">
        <v>43100</v>
      </c>
      <c r="O964" s="544" t="s">
        <v>955</v>
      </c>
      <c r="P964" s="553"/>
      <c r="Q964" s="677"/>
      <c r="R964" s="546" t="s">
        <v>1958</v>
      </c>
      <c r="S964" s="319" t="s">
        <v>1176</v>
      </c>
      <c r="T964" s="338" t="s">
        <v>2875</v>
      </c>
    </row>
    <row r="965" spans="1:20" ht="20.100000000000001" customHeight="1">
      <c r="A965" s="1127" t="s">
        <v>2957</v>
      </c>
      <c r="B965" s="1169" t="s">
        <v>384</v>
      </c>
      <c r="C965" s="1169" t="s">
        <v>388</v>
      </c>
      <c r="D965" s="11">
        <v>963</v>
      </c>
      <c r="E965" s="11">
        <v>1813</v>
      </c>
      <c r="F965" s="11">
        <v>1813</v>
      </c>
      <c r="G965" s="673" t="s">
        <v>19</v>
      </c>
      <c r="H965" s="56" t="s">
        <v>742</v>
      </c>
      <c r="I965" s="558" t="s">
        <v>16</v>
      </c>
      <c r="J965" s="569"/>
      <c r="K965" s="566" t="s">
        <v>732</v>
      </c>
      <c r="L965" s="559" t="s">
        <v>639</v>
      </c>
      <c r="M965" s="559"/>
      <c r="N965" s="549">
        <v>42825</v>
      </c>
      <c r="O965" s="544" t="s">
        <v>955</v>
      </c>
      <c r="P965" s="553"/>
      <c r="Q965" s="52"/>
      <c r="R965" s="546" t="s">
        <v>187</v>
      </c>
      <c r="S965" s="316"/>
      <c r="T965" s="338"/>
    </row>
    <row r="966" spans="1:20" ht="20.100000000000001" customHeight="1">
      <c r="A966" s="1127" t="s">
        <v>2957</v>
      </c>
      <c r="B966" s="1169" t="s">
        <v>384</v>
      </c>
      <c r="C966" s="1169" t="s">
        <v>388</v>
      </c>
      <c r="D966" s="2">
        <v>550</v>
      </c>
      <c r="E966" s="526">
        <v>1350</v>
      </c>
      <c r="F966" s="526">
        <v>1350</v>
      </c>
      <c r="G966" s="628" t="s">
        <v>14</v>
      </c>
      <c r="H966" s="56" t="s">
        <v>742</v>
      </c>
      <c r="I966" s="557" t="s">
        <v>16</v>
      </c>
      <c r="J966" s="558"/>
      <c r="K966" s="558">
        <v>18</v>
      </c>
      <c r="L966" s="559" t="s">
        <v>639</v>
      </c>
      <c r="M966" s="547">
        <v>43044</v>
      </c>
      <c r="N966" s="547">
        <v>43092</v>
      </c>
      <c r="O966" s="544" t="s">
        <v>955</v>
      </c>
      <c r="P966" s="545"/>
      <c r="Q966" s="7"/>
      <c r="R966" s="17" t="s">
        <v>449</v>
      </c>
      <c r="S966" s="319"/>
      <c r="T966" s="338"/>
    </row>
    <row r="967" spans="1:20" ht="20.100000000000001" customHeight="1">
      <c r="A967" s="1127" t="s">
        <v>2957</v>
      </c>
      <c r="B967" s="1169" t="s">
        <v>384</v>
      </c>
      <c r="C967" s="1169" t="s">
        <v>388</v>
      </c>
      <c r="D967" s="11">
        <v>840</v>
      </c>
      <c r="E967" s="11">
        <v>1680</v>
      </c>
      <c r="F967" s="11">
        <v>1680</v>
      </c>
      <c r="G967" s="48" t="s">
        <v>28</v>
      </c>
      <c r="H967" s="36" t="s">
        <v>681</v>
      </c>
      <c r="I967" s="557" t="s">
        <v>16</v>
      </c>
      <c r="J967" s="558"/>
      <c r="K967" s="558" t="s">
        <v>743</v>
      </c>
      <c r="L967" s="542" t="s">
        <v>649</v>
      </c>
      <c r="M967" s="549">
        <v>43041</v>
      </c>
      <c r="N967" s="549">
        <v>43089</v>
      </c>
      <c r="O967" s="544" t="s">
        <v>955</v>
      </c>
      <c r="P967" s="553"/>
      <c r="Q967" s="7"/>
      <c r="R967" s="546" t="s">
        <v>179</v>
      </c>
      <c r="S967" s="316" t="s">
        <v>1176</v>
      </c>
      <c r="T967" s="338"/>
    </row>
    <row r="968" spans="1:20" ht="20.100000000000001" customHeight="1">
      <c r="A968" s="1127" t="s">
        <v>2957</v>
      </c>
      <c r="B968" s="1169" t="s">
        <v>384</v>
      </c>
      <c r="C968" s="1169" t="s">
        <v>388</v>
      </c>
      <c r="D968" s="11">
        <f>D1071+500</f>
        <v>750</v>
      </c>
      <c r="E968" s="11">
        <f>E1071+900</f>
        <v>1400</v>
      </c>
      <c r="F968" s="11">
        <f>F1071+900</f>
        <v>1400</v>
      </c>
      <c r="G968" s="225" t="s">
        <v>51</v>
      </c>
      <c r="H968" s="36" t="s">
        <v>2370</v>
      </c>
      <c r="I968" s="557" t="s">
        <v>16</v>
      </c>
      <c r="J968" s="558"/>
      <c r="K968" s="558">
        <v>13</v>
      </c>
      <c r="L968" s="542" t="s">
        <v>637</v>
      </c>
      <c r="M968" s="381">
        <v>43040</v>
      </c>
      <c r="N968" s="381">
        <v>43088</v>
      </c>
      <c r="O968" s="544" t="s">
        <v>955</v>
      </c>
      <c r="P968" s="545"/>
      <c r="Q968" s="52"/>
      <c r="R968" s="575" t="s">
        <v>2371</v>
      </c>
      <c r="S968" s="319"/>
      <c r="T968" s="317">
        <v>12</v>
      </c>
    </row>
    <row r="969" spans="1:20" ht="20.100000000000001" customHeight="1">
      <c r="A969" s="1127" t="s">
        <v>2957</v>
      </c>
      <c r="B969" s="1169" t="s">
        <v>384</v>
      </c>
      <c r="C969" s="1169" t="s">
        <v>388</v>
      </c>
      <c r="D969" s="526">
        <v>555</v>
      </c>
      <c r="E969" s="526">
        <v>1360</v>
      </c>
      <c r="F969" s="526">
        <v>1360</v>
      </c>
      <c r="G969" s="56" t="s">
        <v>6</v>
      </c>
      <c r="H969" s="22" t="s">
        <v>721</v>
      </c>
      <c r="I969" s="558" t="s">
        <v>16</v>
      </c>
      <c r="J969" s="564"/>
      <c r="K969" s="564" t="s">
        <v>743</v>
      </c>
      <c r="L969" s="559" t="s">
        <v>637</v>
      </c>
      <c r="M969" s="549">
        <v>43070</v>
      </c>
      <c r="N969" s="549">
        <v>43074</v>
      </c>
      <c r="O969" s="544" t="s">
        <v>955</v>
      </c>
      <c r="P969" s="572"/>
      <c r="Q969" s="683"/>
      <c r="R969" s="546" t="s">
        <v>1950</v>
      </c>
      <c r="S969" s="316" t="s">
        <v>2868</v>
      </c>
      <c r="T969" s="338" t="s">
        <v>2874</v>
      </c>
    </row>
    <row r="970" spans="1:20" ht="20.100000000000001" customHeight="1">
      <c r="A970" s="1127" t="s">
        <v>2957</v>
      </c>
      <c r="B970" s="1169" t="s">
        <v>384</v>
      </c>
      <c r="C970" s="1169" t="s">
        <v>388</v>
      </c>
      <c r="D970" s="273">
        <v>950</v>
      </c>
      <c r="E970" s="273">
        <v>1800</v>
      </c>
      <c r="F970" s="273">
        <v>1800</v>
      </c>
      <c r="G970" s="22" t="s">
        <v>29</v>
      </c>
      <c r="H970" s="36" t="s">
        <v>659</v>
      </c>
      <c r="I970" s="576" t="s">
        <v>16</v>
      </c>
      <c r="J970" s="567"/>
      <c r="K970" s="567">
        <v>15</v>
      </c>
      <c r="L970" s="557" t="s">
        <v>637</v>
      </c>
      <c r="M970" s="547">
        <v>43038</v>
      </c>
      <c r="N970" s="547">
        <v>43072</v>
      </c>
      <c r="O970" s="544" t="s">
        <v>955</v>
      </c>
      <c r="P970" s="544"/>
      <c r="Q970" s="7"/>
      <c r="R970" s="546" t="s">
        <v>191</v>
      </c>
      <c r="S970" s="319" t="s">
        <v>1176</v>
      </c>
      <c r="T970" s="338" t="s">
        <v>1988</v>
      </c>
    </row>
    <row r="971" spans="1:20" ht="20.100000000000001" customHeight="1">
      <c r="A971" s="1127" t="s">
        <v>2957</v>
      </c>
      <c r="B971" s="1169" t="s">
        <v>384</v>
      </c>
      <c r="C971" s="1169" t="s">
        <v>388</v>
      </c>
      <c r="D971" s="11">
        <v>1050</v>
      </c>
      <c r="E971" s="11">
        <v>2100</v>
      </c>
      <c r="F971" s="11">
        <v>2100</v>
      </c>
      <c r="G971" s="56" t="s">
        <v>87</v>
      </c>
      <c r="H971" s="36" t="s">
        <v>631</v>
      </c>
      <c r="I971" s="566" t="s">
        <v>16</v>
      </c>
      <c r="J971" s="566"/>
      <c r="K971" s="566">
        <v>15</v>
      </c>
      <c r="L971" s="557" t="s">
        <v>637</v>
      </c>
      <c r="M971" s="551">
        <v>43046</v>
      </c>
      <c r="N971" s="551">
        <v>43086</v>
      </c>
      <c r="O971" s="544" t="s">
        <v>955</v>
      </c>
      <c r="P971" s="545"/>
      <c r="Q971" s="52"/>
      <c r="R971" s="58" t="s">
        <v>3478</v>
      </c>
      <c r="S971" s="315" t="s">
        <v>2849</v>
      </c>
      <c r="T971" s="338" t="s">
        <v>2874</v>
      </c>
    </row>
    <row r="972" spans="1:20" ht="20.100000000000001" customHeight="1">
      <c r="A972" s="1127" t="s">
        <v>2957</v>
      </c>
      <c r="B972" s="1169" t="s">
        <v>384</v>
      </c>
      <c r="C972" s="1169" t="s">
        <v>388</v>
      </c>
      <c r="D972" s="525">
        <v>820</v>
      </c>
      <c r="E972" s="525">
        <v>1540</v>
      </c>
      <c r="F972" s="525">
        <v>1540</v>
      </c>
      <c r="G972" s="56" t="s">
        <v>36</v>
      </c>
      <c r="H972" s="56" t="s">
        <v>2497</v>
      </c>
      <c r="I972" s="557" t="s">
        <v>54</v>
      </c>
      <c r="J972" s="558"/>
      <c r="K972" s="558" t="s">
        <v>1154</v>
      </c>
      <c r="L972" s="557" t="s">
        <v>637</v>
      </c>
      <c r="M972" s="551">
        <v>42992</v>
      </c>
      <c r="N972" s="551">
        <v>43084</v>
      </c>
      <c r="O972" s="544" t="s">
        <v>955</v>
      </c>
      <c r="P972" s="553"/>
      <c r="Q972" s="7"/>
      <c r="R972" s="546" t="s">
        <v>2501</v>
      </c>
      <c r="S972" s="315" t="s">
        <v>2852</v>
      </c>
      <c r="T972" s="317">
        <v>14</v>
      </c>
    </row>
    <row r="973" spans="1:20" ht="20.100000000000001" customHeight="1">
      <c r="A973" s="1127" t="s">
        <v>2957</v>
      </c>
      <c r="B973" s="1169" t="s">
        <v>384</v>
      </c>
      <c r="C973" s="1169" t="s">
        <v>388</v>
      </c>
      <c r="D973" s="11">
        <f>D853+350</f>
        <v>650</v>
      </c>
      <c r="E973" s="11">
        <f>E853+600</f>
        <v>1200</v>
      </c>
      <c r="F973" s="11">
        <f>F853+600</f>
        <v>1200</v>
      </c>
      <c r="G973" s="225" t="s">
        <v>51</v>
      </c>
      <c r="H973" s="56" t="s">
        <v>3000</v>
      </c>
      <c r="I973" s="558" t="s">
        <v>54</v>
      </c>
      <c r="J973" s="557"/>
      <c r="K973" s="566" t="s">
        <v>2307</v>
      </c>
      <c r="L973" s="557" t="s">
        <v>637</v>
      </c>
      <c r="M973" s="381">
        <v>43084</v>
      </c>
      <c r="N973" s="381">
        <v>43088</v>
      </c>
      <c r="O973" s="544" t="s">
        <v>955</v>
      </c>
      <c r="P973" s="545"/>
      <c r="Q973" s="683"/>
      <c r="R973" s="546" t="s">
        <v>2306</v>
      </c>
      <c r="S973" s="319"/>
      <c r="T973" s="317">
        <v>12</v>
      </c>
    </row>
    <row r="974" spans="1:20" ht="20.100000000000001" customHeight="1">
      <c r="A974" s="1127" t="s">
        <v>2957</v>
      </c>
      <c r="B974" s="1169" t="s">
        <v>384</v>
      </c>
      <c r="C974" s="1169" t="s">
        <v>388</v>
      </c>
      <c r="D974" s="11">
        <v>1050</v>
      </c>
      <c r="E974" s="11">
        <v>2100</v>
      </c>
      <c r="F974" s="11">
        <v>2100</v>
      </c>
      <c r="G974" s="628" t="s">
        <v>814</v>
      </c>
      <c r="H974" s="48">
        <v>6</v>
      </c>
      <c r="I974" s="566" t="s">
        <v>54</v>
      </c>
      <c r="J974" s="569"/>
      <c r="K974" s="566">
        <v>17</v>
      </c>
      <c r="L974" s="542" t="s">
        <v>649</v>
      </c>
      <c r="M974" s="547">
        <v>43038</v>
      </c>
      <c r="N974" s="547">
        <v>43086</v>
      </c>
      <c r="O974" s="544" t="s">
        <v>955</v>
      </c>
      <c r="P974" s="553"/>
      <c r="Q974" s="683"/>
      <c r="R974" s="546" t="s">
        <v>194</v>
      </c>
      <c r="S974" s="319" t="s">
        <v>1176</v>
      </c>
      <c r="T974" s="317" t="s">
        <v>2872</v>
      </c>
    </row>
    <row r="975" spans="1:20" ht="20.100000000000001" customHeight="1">
      <c r="A975" s="1127" t="s">
        <v>2957</v>
      </c>
      <c r="B975" s="1169" t="s">
        <v>384</v>
      </c>
      <c r="C975" s="1169" t="s">
        <v>388</v>
      </c>
      <c r="D975" s="526">
        <v>945</v>
      </c>
      <c r="E975" s="526">
        <v>1760</v>
      </c>
      <c r="F975" s="526">
        <v>1760</v>
      </c>
      <c r="G975" s="48" t="s">
        <v>62</v>
      </c>
      <c r="H975" s="56" t="s">
        <v>706</v>
      </c>
      <c r="I975" s="558" t="s">
        <v>16</v>
      </c>
      <c r="J975" s="567"/>
      <c r="K975" s="558" t="s">
        <v>723</v>
      </c>
      <c r="L975" s="542" t="s">
        <v>639</v>
      </c>
      <c r="M975" s="549">
        <v>43039</v>
      </c>
      <c r="N975" s="549">
        <v>43086</v>
      </c>
      <c r="O975" s="544" t="s">
        <v>955</v>
      </c>
      <c r="P975" s="562"/>
      <c r="Q975" s="7"/>
      <c r="R975" s="546" t="s">
        <v>164</v>
      </c>
      <c r="S975" s="315" t="s">
        <v>2832</v>
      </c>
      <c r="T975" s="338"/>
    </row>
    <row r="976" spans="1:20" ht="20.100000000000001" customHeight="1">
      <c r="A976" s="732" t="s">
        <v>2954</v>
      </c>
      <c r="B976" s="573" t="s">
        <v>384</v>
      </c>
      <c r="C976" s="573" t="s">
        <v>1918</v>
      </c>
      <c r="D976" s="11">
        <v>1320</v>
      </c>
      <c r="E976" s="11">
        <v>2440</v>
      </c>
      <c r="F976" s="11">
        <v>2440</v>
      </c>
      <c r="G976" s="48" t="s">
        <v>36</v>
      </c>
      <c r="H976" s="48" t="s">
        <v>725</v>
      </c>
      <c r="I976" s="566" t="s">
        <v>1919</v>
      </c>
      <c r="J976" s="569"/>
      <c r="K976" s="558" t="s">
        <v>682</v>
      </c>
      <c r="L976" s="542" t="s">
        <v>649</v>
      </c>
      <c r="M976" s="551">
        <v>42866</v>
      </c>
      <c r="N976" s="551">
        <v>43084</v>
      </c>
      <c r="O976" s="544" t="s">
        <v>955</v>
      </c>
      <c r="P976" s="553"/>
      <c r="Q976" s="7"/>
      <c r="R976" s="546" t="s">
        <v>1492</v>
      </c>
      <c r="S976" s="315" t="s">
        <v>2852</v>
      </c>
      <c r="T976" s="317">
        <v>14</v>
      </c>
    </row>
    <row r="977" spans="1:20" ht="20.100000000000001" customHeight="1">
      <c r="A977" s="1127" t="s">
        <v>2957</v>
      </c>
      <c r="B977" s="1169" t="s">
        <v>384</v>
      </c>
      <c r="C977" s="1169" t="s">
        <v>2</v>
      </c>
      <c r="D977" s="525">
        <f>D1071+715</f>
        <v>965</v>
      </c>
      <c r="E977" s="525">
        <f>E1071+1330</f>
        <v>1830</v>
      </c>
      <c r="F977" s="525">
        <f>F1071+1330</f>
        <v>1830</v>
      </c>
      <c r="G977" s="225" t="s">
        <v>51</v>
      </c>
      <c r="H977" s="36" t="s">
        <v>2370</v>
      </c>
      <c r="I977" s="557" t="s">
        <v>16</v>
      </c>
      <c r="J977" s="558"/>
      <c r="K977" s="558">
        <v>14</v>
      </c>
      <c r="L977" s="542" t="s">
        <v>637</v>
      </c>
      <c r="M977" s="381">
        <v>43040</v>
      </c>
      <c r="N977" s="381">
        <v>43088</v>
      </c>
      <c r="O977" s="544" t="s">
        <v>955</v>
      </c>
      <c r="P977" s="545"/>
      <c r="Q977" s="52"/>
      <c r="R977" s="575" t="s">
        <v>2371</v>
      </c>
      <c r="S977" s="319"/>
      <c r="T977" s="317">
        <v>12</v>
      </c>
    </row>
    <row r="978" spans="1:20" ht="20.100000000000001" customHeight="1">
      <c r="A978" s="1127" t="s">
        <v>2957</v>
      </c>
      <c r="B978" s="1169" t="s">
        <v>384</v>
      </c>
      <c r="C978" s="1169" t="s">
        <v>2</v>
      </c>
      <c r="D978" s="2">
        <v>950</v>
      </c>
      <c r="E978" s="2">
        <v>1800</v>
      </c>
      <c r="F978" s="2">
        <v>1800</v>
      </c>
      <c r="G978" s="628" t="s">
        <v>14</v>
      </c>
      <c r="H978" s="56" t="s">
        <v>742</v>
      </c>
      <c r="I978" s="557" t="s">
        <v>16</v>
      </c>
      <c r="J978" s="558"/>
      <c r="K978" s="558">
        <v>18</v>
      </c>
      <c r="L978" s="559" t="s">
        <v>639</v>
      </c>
      <c r="M978" s="547">
        <v>43044</v>
      </c>
      <c r="N978" s="547">
        <v>43092</v>
      </c>
      <c r="O978" s="544" t="s">
        <v>955</v>
      </c>
      <c r="P978" s="545"/>
      <c r="Q978" s="7"/>
      <c r="R978" s="17" t="s">
        <v>449</v>
      </c>
      <c r="S978" s="319"/>
      <c r="T978" s="338"/>
    </row>
    <row r="979" spans="1:20" ht="20.100000000000001" customHeight="1">
      <c r="A979" s="1127" t="s">
        <v>2957</v>
      </c>
      <c r="B979" s="1169" t="s">
        <v>384</v>
      </c>
      <c r="C979" s="1169" t="s">
        <v>2</v>
      </c>
      <c r="D979" s="11">
        <v>963</v>
      </c>
      <c r="E979" s="11">
        <v>1813</v>
      </c>
      <c r="F979" s="11">
        <v>1813</v>
      </c>
      <c r="G979" s="56" t="s">
        <v>19</v>
      </c>
      <c r="H979" s="48" t="s">
        <v>742</v>
      </c>
      <c r="I979" s="558" t="s">
        <v>16</v>
      </c>
      <c r="J979" s="554"/>
      <c r="K979" s="569" t="s">
        <v>151</v>
      </c>
      <c r="L979" s="559" t="s">
        <v>639</v>
      </c>
      <c r="M979" s="559"/>
      <c r="N979" s="549">
        <v>42825</v>
      </c>
      <c r="O979" s="544" t="s">
        <v>955</v>
      </c>
      <c r="P979" s="553"/>
      <c r="Q979" s="52"/>
      <c r="R979" s="546" t="s">
        <v>187</v>
      </c>
      <c r="S979" s="316"/>
      <c r="T979" s="338"/>
    </row>
    <row r="980" spans="1:20" ht="20.100000000000001" customHeight="1">
      <c r="A980" s="1127" t="s">
        <v>2957</v>
      </c>
      <c r="B980" s="1169" t="s">
        <v>384</v>
      </c>
      <c r="C980" s="1169" t="s">
        <v>2</v>
      </c>
      <c r="D980" s="273">
        <v>1000</v>
      </c>
      <c r="E980" s="273">
        <v>1900</v>
      </c>
      <c r="F980" s="273">
        <v>1900</v>
      </c>
      <c r="G980" s="22" t="s">
        <v>29</v>
      </c>
      <c r="H980" s="36" t="s">
        <v>659</v>
      </c>
      <c r="I980" s="576" t="s">
        <v>16</v>
      </c>
      <c r="J980" s="567"/>
      <c r="K980" s="567">
        <v>15</v>
      </c>
      <c r="L980" s="557" t="s">
        <v>637</v>
      </c>
      <c r="M980" s="547">
        <v>43038</v>
      </c>
      <c r="N980" s="547">
        <v>43072</v>
      </c>
      <c r="O980" s="544" t="s">
        <v>955</v>
      </c>
      <c r="P980" s="544"/>
      <c r="Q980" s="7"/>
      <c r="R980" s="546" t="s">
        <v>191</v>
      </c>
      <c r="S980" s="319" t="s">
        <v>1176</v>
      </c>
      <c r="T980" s="338" t="s">
        <v>1988</v>
      </c>
    </row>
    <row r="981" spans="1:20" ht="20.100000000000001" customHeight="1">
      <c r="A981" s="1127" t="s">
        <v>1070</v>
      </c>
      <c r="B981" s="1169" t="s">
        <v>384</v>
      </c>
      <c r="C981" s="1169" t="s">
        <v>2</v>
      </c>
      <c r="D981" s="526">
        <v>1500</v>
      </c>
      <c r="E981" s="525"/>
      <c r="F981" s="525"/>
      <c r="G981" s="48" t="s">
        <v>13</v>
      </c>
      <c r="H981" s="48" t="s">
        <v>760</v>
      </c>
      <c r="I981" s="558" t="s">
        <v>16</v>
      </c>
      <c r="J981" s="558"/>
      <c r="K981" s="558">
        <v>15</v>
      </c>
      <c r="L981" s="557" t="s">
        <v>637</v>
      </c>
      <c r="M981" s="6">
        <v>43070</v>
      </c>
      <c r="N981" s="6">
        <v>43100</v>
      </c>
      <c r="O981" s="544" t="s">
        <v>955</v>
      </c>
      <c r="P981" s="553"/>
      <c r="Q981" s="677"/>
      <c r="R981" s="546" t="s">
        <v>1958</v>
      </c>
      <c r="S981" s="319" t="s">
        <v>1176</v>
      </c>
      <c r="T981" s="338" t="s">
        <v>2875</v>
      </c>
    </row>
    <row r="982" spans="1:20" ht="20.100000000000001" customHeight="1">
      <c r="A982" s="1127" t="s">
        <v>2957</v>
      </c>
      <c r="B982" s="1169" t="s">
        <v>384</v>
      </c>
      <c r="C982" s="1169" t="s">
        <v>2</v>
      </c>
      <c r="D982" s="11">
        <v>950</v>
      </c>
      <c r="E982" s="11">
        <v>1800</v>
      </c>
      <c r="F982" s="11">
        <v>1800</v>
      </c>
      <c r="G982" s="673" t="s">
        <v>87</v>
      </c>
      <c r="H982" s="69" t="s">
        <v>3147</v>
      </c>
      <c r="I982" s="566" t="s">
        <v>16</v>
      </c>
      <c r="J982" s="584"/>
      <c r="K982" s="584">
        <v>15</v>
      </c>
      <c r="L982" s="557" t="s">
        <v>637</v>
      </c>
      <c r="M982" s="551">
        <v>43063</v>
      </c>
      <c r="N982" s="551">
        <v>43086</v>
      </c>
      <c r="O982" s="544" t="s">
        <v>955</v>
      </c>
      <c r="P982" s="553"/>
      <c r="Q982" s="747"/>
      <c r="R982" s="556" t="s">
        <v>849</v>
      </c>
      <c r="S982" s="315" t="s">
        <v>2849</v>
      </c>
      <c r="T982" s="317" t="s">
        <v>2876</v>
      </c>
    </row>
    <row r="983" spans="1:20" ht="20.100000000000001" customHeight="1">
      <c r="A983" s="1127" t="s">
        <v>2957</v>
      </c>
      <c r="B983" s="1169" t="s">
        <v>384</v>
      </c>
      <c r="C983" s="1169" t="s">
        <v>2</v>
      </c>
      <c r="D983" s="525">
        <v>1120</v>
      </c>
      <c r="E983" s="525">
        <v>2240</v>
      </c>
      <c r="F983" s="525">
        <v>2240</v>
      </c>
      <c r="G983" s="56" t="s">
        <v>36</v>
      </c>
      <c r="H983" s="56" t="s">
        <v>2497</v>
      </c>
      <c r="I983" s="557" t="s">
        <v>54</v>
      </c>
      <c r="J983" s="558"/>
      <c r="K983" s="558" t="s">
        <v>1154</v>
      </c>
      <c r="L983" s="557" t="s">
        <v>637</v>
      </c>
      <c r="M983" s="551">
        <v>42866</v>
      </c>
      <c r="N983" s="551">
        <v>43084</v>
      </c>
      <c r="O983" s="544" t="s">
        <v>955</v>
      </c>
      <c r="P983" s="553"/>
      <c r="Q983" s="7"/>
      <c r="R983" s="546" t="s">
        <v>2501</v>
      </c>
      <c r="S983" s="315" t="s">
        <v>2852</v>
      </c>
      <c r="T983" s="317">
        <v>14</v>
      </c>
    </row>
    <row r="984" spans="1:20" ht="20.100000000000001" customHeight="1">
      <c r="A984" s="1127" t="s">
        <v>2957</v>
      </c>
      <c r="B984" s="1169" t="s">
        <v>384</v>
      </c>
      <c r="C984" s="1169" t="s">
        <v>2</v>
      </c>
      <c r="D984" s="11">
        <v>940</v>
      </c>
      <c r="E984" s="11">
        <v>1880</v>
      </c>
      <c r="F984" s="11">
        <v>1880</v>
      </c>
      <c r="G984" s="56" t="s">
        <v>28</v>
      </c>
      <c r="H984" s="36" t="s">
        <v>681</v>
      </c>
      <c r="I984" s="557" t="s">
        <v>16</v>
      </c>
      <c r="J984" s="567"/>
      <c r="K984" s="567" t="s">
        <v>743</v>
      </c>
      <c r="L984" s="542" t="s">
        <v>649</v>
      </c>
      <c r="M984" s="549">
        <v>43041</v>
      </c>
      <c r="N984" s="549">
        <v>43089</v>
      </c>
      <c r="O984" s="544" t="s">
        <v>955</v>
      </c>
      <c r="P984" s="553"/>
      <c r="Q984" s="7"/>
      <c r="R984" s="546" t="s">
        <v>179</v>
      </c>
      <c r="S984" s="316" t="s">
        <v>1176</v>
      </c>
      <c r="T984" s="338"/>
    </row>
    <row r="985" spans="1:20" ht="20.100000000000001" customHeight="1">
      <c r="A985" s="1127" t="s">
        <v>2957</v>
      </c>
      <c r="B985" s="1169" t="s">
        <v>384</v>
      </c>
      <c r="C985" s="1169" t="s">
        <v>2</v>
      </c>
      <c r="D985" s="11">
        <v>1350</v>
      </c>
      <c r="E985" s="11">
        <v>2600</v>
      </c>
      <c r="F985" s="11">
        <v>2600</v>
      </c>
      <c r="G985" s="628" t="s">
        <v>814</v>
      </c>
      <c r="H985" s="48">
        <v>6</v>
      </c>
      <c r="I985" s="566" t="s">
        <v>54</v>
      </c>
      <c r="J985" s="569"/>
      <c r="K985" s="566">
        <v>17</v>
      </c>
      <c r="L985" s="542" t="s">
        <v>649</v>
      </c>
      <c r="M985" s="547">
        <v>43038</v>
      </c>
      <c r="N985" s="547">
        <v>43086</v>
      </c>
      <c r="O985" s="544" t="s">
        <v>955</v>
      </c>
      <c r="P985" s="553"/>
      <c r="Q985" s="683"/>
      <c r="R985" s="546" t="s">
        <v>194</v>
      </c>
      <c r="S985" s="319" t="s">
        <v>1176</v>
      </c>
      <c r="T985" s="317" t="s">
        <v>2872</v>
      </c>
    </row>
    <row r="986" spans="1:20" ht="20.100000000000001" customHeight="1">
      <c r="A986" s="1127" t="s">
        <v>2957</v>
      </c>
      <c r="B986" s="1169" t="s">
        <v>384</v>
      </c>
      <c r="C986" s="1169" t="s">
        <v>2</v>
      </c>
      <c r="D986" s="11">
        <v>2875</v>
      </c>
      <c r="E986" s="11">
        <v>2890</v>
      </c>
      <c r="F986" s="11">
        <v>2890</v>
      </c>
      <c r="G986" s="48" t="s">
        <v>62</v>
      </c>
      <c r="H986" s="56" t="s">
        <v>706</v>
      </c>
      <c r="I986" s="558" t="s">
        <v>16</v>
      </c>
      <c r="J986" s="567"/>
      <c r="K986" s="558" t="s">
        <v>747</v>
      </c>
      <c r="L986" s="542" t="s">
        <v>639</v>
      </c>
      <c r="M986" s="549">
        <v>43039</v>
      </c>
      <c r="N986" s="549">
        <v>43086</v>
      </c>
      <c r="O986" s="544" t="s">
        <v>955</v>
      </c>
      <c r="P986" s="562"/>
      <c r="Q986" s="7"/>
      <c r="R986" s="546" t="s">
        <v>164</v>
      </c>
      <c r="S986" s="315" t="s">
        <v>2832</v>
      </c>
      <c r="T986" s="317"/>
    </row>
    <row r="987" spans="1:20" ht="20.100000000000001" customHeight="1">
      <c r="A987" s="1127" t="s">
        <v>2957</v>
      </c>
      <c r="B987" s="1169" t="s">
        <v>384</v>
      </c>
      <c r="C987" s="1169" t="s">
        <v>205</v>
      </c>
      <c r="D987" s="525">
        <v>1220</v>
      </c>
      <c r="E987" s="525">
        <v>2440</v>
      </c>
      <c r="F987" s="525">
        <v>2440</v>
      </c>
      <c r="G987" s="56" t="s">
        <v>36</v>
      </c>
      <c r="H987" s="56" t="s">
        <v>2497</v>
      </c>
      <c r="I987" s="557" t="s">
        <v>54</v>
      </c>
      <c r="J987" s="558"/>
      <c r="K987" s="558" t="s">
        <v>1154</v>
      </c>
      <c r="L987" s="557" t="s">
        <v>637</v>
      </c>
      <c r="M987" s="551">
        <v>42866</v>
      </c>
      <c r="N987" s="551">
        <v>43084</v>
      </c>
      <c r="O987" s="544" t="s">
        <v>955</v>
      </c>
      <c r="P987" s="553"/>
      <c r="Q987" s="7"/>
      <c r="R987" s="546" t="s">
        <v>2501</v>
      </c>
      <c r="S987" s="315" t="s">
        <v>2852</v>
      </c>
      <c r="T987" s="317">
        <v>14</v>
      </c>
    </row>
    <row r="988" spans="1:20" ht="20.100000000000001" customHeight="1">
      <c r="A988" s="1127" t="s">
        <v>2957</v>
      </c>
      <c r="B988" s="1169" t="s">
        <v>384</v>
      </c>
      <c r="C988" s="1169" t="s">
        <v>205</v>
      </c>
      <c r="D988" s="525">
        <v>1200</v>
      </c>
      <c r="E988" s="525">
        <v>2005</v>
      </c>
      <c r="F988" s="525">
        <v>2195</v>
      </c>
      <c r="G988" s="659" t="s">
        <v>62</v>
      </c>
      <c r="H988" s="56" t="s">
        <v>681</v>
      </c>
      <c r="I988" s="566" t="s">
        <v>54</v>
      </c>
      <c r="J988" s="567"/>
      <c r="K988" s="558" t="s">
        <v>680</v>
      </c>
      <c r="L988" s="542" t="s">
        <v>649</v>
      </c>
      <c r="M988" s="549">
        <v>43039</v>
      </c>
      <c r="N988" s="549">
        <v>43086</v>
      </c>
      <c r="O988" s="544" t="s">
        <v>955</v>
      </c>
      <c r="P988" s="562"/>
      <c r="Q988" s="683"/>
      <c r="R988" s="546" t="s">
        <v>1845</v>
      </c>
      <c r="S988" s="315" t="s">
        <v>2832</v>
      </c>
      <c r="T988" s="338"/>
    </row>
    <row r="989" spans="1:20" ht="20.100000000000001" customHeight="1">
      <c r="A989" s="1127" t="s">
        <v>2957</v>
      </c>
      <c r="B989" s="1169" t="s">
        <v>384</v>
      </c>
      <c r="C989" s="1169" t="s">
        <v>205</v>
      </c>
      <c r="D989" s="11">
        <v>1300</v>
      </c>
      <c r="E989" s="11">
        <v>2100</v>
      </c>
      <c r="F989" s="11">
        <v>2100</v>
      </c>
      <c r="G989" s="628" t="s">
        <v>814</v>
      </c>
      <c r="H989" s="56">
        <v>6</v>
      </c>
      <c r="I989" s="566" t="s">
        <v>54</v>
      </c>
      <c r="J989" s="569"/>
      <c r="K989" s="566">
        <v>17</v>
      </c>
      <c r="L989" s="542" t="s">
        <v>649</v>
      </c>
      <c r="M989" s="547">
        <v>43038</v>
      </c>
      <c r="N989" s="547">
        <v>43086</v>
      </c>
      <c r="O989" s="544" t="s">
        <v>955</v>
      </c>
      <c r="P989" s="585"/>
      <c r="Q989" s="683"/>
      <c r="R989" s="546" t="s">
        <v>194</v>
      </c>
      <c r="S989" s="319" t="s">
        <v>1176</v>
      </c>
      <c r="T989" s="317" t="s">
        <v>2872</v>
      </c>
    </row>
    <row r="990" spans="1:20" ht="20.100000000000001" customHeight="1">
      <c r="A990" s="1127" t="s">
        <v>2957</v>
      </c>
      <c r="B990" s="1169" t="s">
        <v>384</v>
      </c>
      <c r="C990" s="1169" t="s">
        <v>891</v>
      </c>
      <c r="D990" s="273">
        <v>1085</v>
      </c>
      <c r="E990" s="273">
        <v>1770</v>
      </c>
      <c r="F990" s="273">
        <v>1770</v>
      </c>
      <c r="G990" s="55" t="s">
        <v>37</v>
      </c>
      <c r="H990" s="48" t="s">
        <v>1875</v>
      </c>
      <c r="I990" s="558" t="s">
        <v>16</v>
      </c>
      <c r="J990" s="557"/>
      <c r="K990" s="558" t="s">
        <v>747</v>
      </c>
      <c r="L990" s="557" t="s">
        <v>637</v>
      </c>
      <c r="M990" s="543">
        <v>43040</v>
      </c>
      <c r="N990" s="543">
        <v>43084</v>
      </c>
      <c r="O990" s="544" t="s">
        <v>955</v>
      </c>
      <c r="P990" s="553"/>
      <c r="Q990" s="7"/>
      <c r="R990" s="546" t="s">
        <v>1876</v>
      </c>
      <c r="S990" s="319" t="s">
        <v>1176</v>
      </c>
      <c r="T990" s="338"/>
    </row>
    <row r="991" spans="1:20" ht="20.100000000000001" customHeight="1">
      <c r="A991" s="1127" t="s">
        <v>2957</v>
      </c>
      <c r="B991" s="1169" t="s">
        <v>384</v>
      </c>
      <c r="C991" s="1169" t="s">
        <v>891</v>
      </c>
      <c r="D991" s="11">
        <v>875</v>
      </c>
      <c r="E991" s="11">
        <v>1630</v>
      </c>
      <c r="F991" s="11">
        <v>1630</v>
      </c>
      <c r="G991" s="659" t="s">
        <v>62</v>
      </c>
      <c r="H991" s="56">
        <v>7</v>
      </c>
      <c r="I991" s="542" t="s">
        <v>16</v>
      </c>
      <c r="J991" s="558"/>
      <c r="K991" s="559" t="s">
        <v>151</v>
      </c>
      <c r="L991" s="542" t="s">
        <v>639</v>
      </c>
      <c r="M991" s="549">
        <v>43039</v>
      </c>
      <c r="N991" s="549">
        <v>43086</v>
      </c>
      <c r="O991" s="544" t="s">
        <v>955</v>
      </c>
      <c r="P991" s="572"/>
      <c r="Q991" s="7"/>
      <c r="R991" s="546" t="s">
        <v>164</v>
      </c>
      <c r="S991" s="315" t="s">
        <v>2832</v>
      </c>
      <c r="T991" s="338"/>
    </row>
    <row r="992" spans="1:20" ht="20.100000000000001" customHeight="1">
      <c r="A992" s="1127" t="s">
        <v>2957</v>
      </c>
      <c r="B992" s="1169" t="s">
        <v>384</v>
      </c>
      <c r="C992" s="1169" t="s">
        <v>143</v>
      </c>
      <c r="D992" s="273">
        <v>985</v>
      </c>
      <c r="E992" s="273">
        <v>1870</v>
      </c>
      <c r="F992" s="273">
        <v>1870</v>
      </c>
      <c r="G992" s="55" t="s">
        <v>37</v>
      </c>
      <c r="H992" s="48" t="s">
        <v>1875</v>
      </c>
      <c r="I992" s="558" t="s">
        <v>16</v>
      </c>
      <c r="J992" s="557"/>
      <c r="K992" s="558" t="s">
        <v>743</v>
      </c>
      <c r="L992" s="557" t="s">
        <v>637</v>
      </c>
      <c r="M992" s="543">
        <v>43040</v>
      </c>
      <c r="N992" s="543">
        <v>43084</v>
      </c>
      <c r="O992" s="544" t="s">
        <v>955</v>
      </c>
      <c r="P992" s="553"/>
      <c r="Q992" s="7"/>
      <c r="R992" s="546" t="s">
        <v>1876</v>
      </c>
      <c r="S992" s="319" t="s">
        <v>1176</v>
      </c>
      <c r="T992" s="338"/>
    </row>
    <row r="993" spans="1:20" ht="20.100000000000001" customHeight="1">
      <c r="A993" s="1127" t="s">
        <v>2957</v>
      </c>
      <c r="B993" s="1169" t="s">
        <v>384</v>
      </c>
      <c r="C993" s="1169" t="s">
        <v>143</v>
      </c>
      <c r="D993" s="525">
        <f>D628+350</f>
        <v>675</v>
      </c>
      <c r="E993" s="525">
        <f>E628+550</f>
        <v>1200</v>
      </c>
      <c r="F993" s="525">
        <f>F628+550</f>
        <v>1200</v>
      </c>
      <c r="G993" s="225" t="s">
        <v>51</v>
      </c>
      <c r="H993" s="48" t="s">
        <v>681</v>
      </c>
      <c r="I993" s="557" t="s">
        <v>23</v>
      </c>
      <c r="J993" s="567"/>
      <c r="K993" s="567" t="s">
        <v>746</v>
      </c>
      <c r="L993" s="542" t="s">
        <v>637</v>
      </c>
      <c r="M993" s="381">
        <v>43040</v>
      </c>
      <c r="N993" s="381">
        <v>43088</v>
      </c>
      <c r="O993" s="544" t="s">
        <v>955</v>
      </c>
      <c r="P993" s="553"/>
      <c r="Q993" s="683"/>
      <c r="R993" s="561" t="s">
        <v>778</v>
      </c>
      <c r="S993" s="319"/>
      <c r="T993" s="317">
        <v>12</v>
      </c>
    </row>
    <row r="994" spans="1:20" ht="20.25" customHeight="1">
      <c r="A994" s="1127" t="s">
        <v>2957</v>
      </c>
      <c r="B994" s="1169" t="s">
        <v>384</v>
      </c>
      <c r="C994" s="1169" t="s">
        <v>143</v>
      </c>
      <c r="D994" s="526">
        <v>615</v>
      </c>
      <c r="E994" s="526">
        <v>1030</v>
      </c>
      <c r="F994" s="526">
        <v>1030</v>
      </c>
      <c r="G994" s="659" t="s">
        <v>62</v>
      </c>
      <c r="H994" s="56" t="s">
        <v>681</v>
      </c>
      <c r="I994" s="566" t="s">
        <v>1</v>
      </c>
      <c r="J994" s="557"/>
      <c r="K994" s="558" t="s">
        <v>727</v>
      </c>
      <c r="L994" s="542" t="s">
        <v>649</v>
      </c>
      <c r="M994" s="549">
        <v>43039</v>
      </c>
      <c r="N994" s="549">
        <v>43086</v>
      </c>
      <c r="O994" s="544" t="s">
        <v>955</v>
      </c>
      <c r="P994" s="562"/>
      <c r="Q994" s="683"/>
      <c r="R994" s="546" t="s">
        <v>1845</v>
      </c>
      <c r="S994" s="315" t="s">
        <v>2832</v>
      </c>
      <c r="T994" s="317"/>
    </row>
    <row r="995" spans="1:20" ht="20.100000000000001" customHeight="1">
      <c r="A995" s="732" t="s">
        <v>2957</v>
      </c>
      <c r="B995" s="573" t="s">
        <v>384</v>
      </c>
      <c r="C995" s="573" t="s">
        <v>56</v>
      </c>
      <c r="D995" s="11">
        <v>1550</v>
      </c>
      <c r="E995" s="11">
        <v>2700</v>
      </c>
      <c r="F995" s="11">
        <v>2700</v>
      </c>
      <c r="G995" s="628" t="s">
        <v>814</v>
      </c>
      <c r="H995" s="48">
        <v>6</v>
      </c>
      <c r="I995" s="566" t="s">
        <v>136</v>
      </c>
      <c r="J995" s="569"/>
      <c r="K995" s="566">
        <v>17</v>
      </c>
      <c r="L995" s="542" t="s">
        <v>649</v>
      </c>
      <c r="M995" s="547">
        <v>43038</v>
      </c>
      <c r="N995" s="547">
        <v>43086</v>
      </c>
      <c r="O995" s="544" t="s">
        <v>955</v>
      </c>
      <c r="P995" s="553"/>
      <c r="Q995" s="683"/>
      <c r="R995" s="546" t="s">
        <v>194</v>
      </c>
      <c r="S995" s="319" t="s">
        <v>1176</v>
      </c>
      <c r="T995" s="317" t="s">
        <v>2872</v>
      </c>
    </row>
    <row r="996" spans="1:20" ht="20.100000000000001" customHeight="1">
      <c r="A996" s="1127" t="s">
        <v>2957</v>
      </c>
      <c r="B996" s="1169" t="s">
        <v>384</v>
      </c>
      <c r="C996" s="1169" t="s">
        <v>389</v>
      </c>
      <c r="D996" s="525">
        <v>1620</v>
      </c>
      <c r="E996" s="525">
        <v>2840</v>
      </c>
      <c r="F996" s="525">
        <v>2840</v>
      </c>
      <c r="G996" s="56" t="s">
        <v>36</v>
      </c>
      <c r="H996" s="56" t="s">
        <v>2497</v>
      </c>
      <c r="I996" s="557" t="s">
        <v>54</v>
      </c>
      <c r="J996" s="558"/>
      <c r="K996" s="558" t="s">
        <v>1154</v>
      </c>
      <c r="L996" s="557" t="s">
        <v>637</v>
      </c>
      <c r="M996" s="551">
        <v>42866</v>
      </c>
      <c r="N996" s="551">
        <v>43084</v>
      </c>
      <c r="O996" s="544" t="s">
        <v>955</v>
      </c>
      <c r="P996" s="553"/>
      <c r="Q996" s="7"/>
      <c r="R996" s="546" t="s">
        <v>2501</v>
      </c>
      <c r="S996" s="315" t="s">
        <v>2852</v>
      </c>
      <c r="T996" s="317">
        <v>14</v>
      </c>
    </row>
    <row r="997" spans="1:20" ht="20.100000000000001" customHeight="1">
      <c r="A997" s="1127" t="s">
        <v>2957</v>
      </c>
      <c r="B997" s="1169" t="s">
        <v>384</v>
      </c>
      <c r="C997" s="1169" t="s">
        <v>389</v>
      </c>
      <c r="D997" s="11">
        <v>1500</v>
      </c>
      <c r="E997" s="11">
        <v>2500</v>
      </c>
      <c r="F997" s="11">
        <v>2500</v>
      </c>
      <c r="G997" s="628" t="s">
        <v>814</v>
      </c>
      <c r="H997" s="48">
        <v>6</v>
      </c>
      <c r="I997" s="566" t="s">
        <v>136</v>
      </c>
      <c r="J997" s="569"/>
      <c r="K997" s="566">
        <v>17</v>
      </c>
      <c r="L997" s="542" t="s">
        <v>649</v>
      </c>
      <c r="M997" s="547">
        <v>43038</v>
      </c>
      <c r="N997" s="547">
        <v>43086</v>
      </c>
      <c r="O997" s="544" t="s">
        <v>955</v>
      </c>
      <c r="P997" s="553"/>
      <c r="Q997" s="683"/>
      <c r="R997" s="546" t="s">
        <v>194</v>
      </c>
      <c r="S997" s="319" t="s">
        <v>1176</v>
      </c>
      <c r="T997" s="317" t="s">
        <v>2872</v>
      </c>
    </row>
    <row r="998" spans="1:20" ht="20.100000000000001" customHeight="1">
      <c r="A998" s="1127" t="s">
        <v>2957</v>
      </c>
      <c r="B998" s="1169" t="s">
        <v>384</v>
      </c>
      <c r="C998" s="1169" t="s">
        <v>68</v>
      </c>
      <c r="D998" s="273">
        <v>1300</v>
      </c>
      <c r="E998" s="273">
        <v>2000</v>
      </c>
      <c r="F998" s="273">
        <v>2000</v>
      </c>
      <c r="G998" s="22" t="s">
        <v>29</v>
      </c>
      <c r="H998" s="68" t="s">
        <v>152</v>
      </c>
      <c r="I998" s="559" t="s">
        <v>136</v>
      </c>
      <c r="J998" s="559"/>
      <c r="K998" s="564">
        <v>19</v>
      </c>
      <c r="L998" s="557" t="s">
        <v>637</v>
      </c>
      <c r="M998" s="547">
        <v>43038</v>
      </c>
      <c r="N998" s="547">
        <v>43072</v>
      </c>
      <c r="O998" s="544" t="s">
        <v>955</v>
      </c>
      <c r="P998" s="544"/>
      <c r="Q998" s="53"/>
      <c r="R998" s="546" t="s">
        <v>741</v>
      </c>
      <c r="S998" s="319" t="s">
        <v>1176</v>
      </c>
      <c r="T998" s="338" t="s">
        <v>1988</v>
      </c>
    </row>
    <row r="999" spans="1:20" ht="20.100000000000001" customHeight="1">
      <c r="A999" s="1127" t="s">
        <v>2957</v>
      </c>
      <c r="B999" s="1169" t="s">
        <v>384</v>
      </c>
      <c r="C999" s="1169" t="s">
        <v>68</v>
      </c>
      <c r="D999" s="526">
        <v>1650</v>
      </c>
      <c r="E999" s="526">
        <v>2800</v>
      </c>
      <c r="F999" s="526">
        <v>2800</v>
      </c>
      <c r="G999" s="628" t="s">
        <v>14</v>
      </c>
      <c r="H999" s="56" t="s">
        <v>742</v>
      </c>
      <c r="I999" s="557" t="s">
        <v>16</v>
      </c>
      <c r="J999" s="567"/>
      <c r="K999" s="558">
        <v>18</v>
      </c>
      <c r="L999" s="559" t="s">
        <v>639</v>
      </c>
      <c r="M999" s="547">
        <v>43044</v>
      </c>
      <c r="N999" s="547">
        <v>43092</v>
      </c>
      <c r="O999" s="544" t="s">
        <v>955</v>
      </c>
      <c r="P999" s="545"/>
      <c r="Q999" s="7"/>
      <c r="R999" s="17" t="s">
        <v>449</v>
      </c>
      <c r="S999" s="319"/>
      <c r="T999" s="338"/>
    </row>
    <row r="1000" spans="1:20" ht="20.100000000000001" customHeight="1">
      <c r="A1000" s="1127" t="s">
        <v>2957</v>
      </c>
      <c r="B1000" s="1127" t="s">
        <v>3443</v>
      </c>
      <c r="C1000" s="1127" t="s">
        <v>3443</v>
      </c>
      <c r="D1000" s="320">
        <v>135</v>
      </c>
      <c r="E1000" s="320">
        <v>270</v>
      </c>
      <c r="F1000" s="320">
        <v>270</v>
      </c>
      <c r="G1000" s="628" t="s">
        <v>51</v>
      </c>
      <c r="H1000" s="48" t="s">
        <v>729</v>
      </c>
      <c r="I1000" s="567" t="s">
        <v>17</v>
      </c>
      <c r="J1000" s="557"/>
      <c r="K1000" s="567" t="s">
        <v>736</v>
      </c>
      <c r="L1000" s="559" t="s">
        <v>649</v>
      </c>
      <c r="M1000" s="381">
        <v>43084</v>
      </c>
      <c r="N1000" s="381">
        <v>43100</v>
      </c>
      <c r="O1000" s="544" t="s">
        <v>955</v>
      </c>
      <c r="P1000" s="572"/>
      <c r="Q1000" s="7"/>
      <c r="R1000" s="548" t="s">
        <v>251</v>
      </c>
      <c r="S1000" s="316"/>
      <c r="T1000" s="317">
        <v>12</v>
      </c>
    </row>
    <row r="1001" spans="1:20" ht="20.100000000000001" customHeight="1">
      <c r="A1001" s="1127" t="s">
        <v>2957</v>
      </c>
      <c r="B1001" s="1127" t="s">
        <v>3443</v>
      </c>
      <c r="C1001" s="1127" t="s">
        <v>3443</v>
      </c>
      <c r="D1001" s="525">
        <v>90</v>
      </c>
      <c r="E1001" s="526"/>
      <c r="F1001" s="526"/>
      <c r="G1001" s="628" t="s">
        <v>76</v>
      </c>
      <c r="H1001" s="48" t="s">
        <v>729</v>
      </c>
      <c r="I1001" s="567" t="s">
        <v>17</v>
      </c>
      <c r="J1001" s="557"/>
      <c r="K1001" s="567" t="s">
        <v>736</v>
      </c>
      <c r="L1001" s="559" t="s">
        <v>649</v>
      </c>
      <c r="M1001" s="6">
        <v>43087</v>
      </c>
      <c r="N1001" s="6">
        <v>43093</v>
      </c>
      <c r="O1001" s="544" t="s">
        <v>955</v>
      </c>
      <c r="P1001" s="572"/>
      <c r="Q1001" s="7"/>
      <c r="R1001" s="548" t="s">
        <v>251</v>
      </c>
      <c r="S1001" s="322" t="s">
        <v>1176</v>
      </c>
      <c r="T1001" s="317"/>
    </row>
    <row r="1002" spans="1:20" ht="20.100000000000001" customHeight="1">
      <c r="A1002" s="1127" t="s">
        <v>2957</v>
      </c>
      <c r="B1002" s="1127" t="s">
        <v>3443</v>
      </c>
      <c r="C1002" s="1127" t="s">
        <v>3443</v>
      </c>
      <c r="D1002" s="525">
        <v>135</v>
      </c>
      <c r="E1002" s="525">
        <v>270</v>
      </c>
      <c r="F1002" s="525">
        <v>270</v>
      </c>
      <c r="G1002" s="628" t="s">
        <v>231</v>
      </c>
      <c r="H1002" s="48" t="s">
        <v>729</v>
      </c>
      <c r="I1002" s="567" t="s">
        <v>17</v>
      </c>
      <c r="J1002" s="557"/>
      <c r="K1002" s="567" t="s">
        <v>736</v>
      </c>
      <c r="L1002" s="559" t="s">
        <v>649</v>
      </c>
      <c r="M1002" s="547">
        <v>43087</v>
      </c>
      <c r="N1002" s="547">
        <v>43087</v>
      </c>
      <c r="O1002" s="544" t="s">
        <v>955</v>
      </c>
      <c r="P1002" s="572"/>
      <c r="Q1002" s="7"/>
      <c r="R1002" s="546" t="s">
        <v>1113</v>
      </c>
      <c r="S1002" s="319"/>
      <c r="T1002" s="338" t="s">
        <v>1995</v>
      </c>
    </row>
    <row r="1003" spans="1:20" ht="20.100000000000001" customHeight="1">
      <c r="A1003" s="1127" t="s">
        <v>2957</v>
      </c>
      <c r="B1003" s="1127" t="s">
        <v>3443</v>
      </c>
      <c r="C1003" s="1127" t="s">
        <v>392</v>
      </c>
      <c r="D1003" s="525">
        <v>145</v>
      </c>
      <c r="E1003" s="525">
        <v>290</v>
      </c>
      <c r="F1003" s="525">
        <v>290</v>
      </c>
      <c r="G1003" s="673" t="s">
        <v>87</v>
      </c>
      <c r="H1003" s="48" t="s">
        <v>729</v>
      </c>
      <c r="I1003" s="567" t="s">
        <v>17</v>
      </c>
      <c r="J1003" s="557"/>
      <c r="K1003" s="567" t="s">
        <v>736</v>
      </c>
      <c r="L1003" s="559" t="s">
        <v>649</v>
      </c>
      <c r="M1003" s="551">
        <v>43081</v>
      </c>
      <c r="N1003" s="551">
        <v>43087</v>
      </c>
      <c r="O1003" s="544" t="s">
        <v>955</v>
      </c>
      <c r="P1003" s="572"/>
      <c r="Q1003" s="7"/>
      <c r="R1003" s="546" t="s">
        <v>251</v>
      </c>
      <c r="S1003" s="315" t="s">
        <v>2849</v>
      </c>
      <c r="T1003" s="317" t="s">
        <v>2876</v>
      </c>
    </row>
    <row r="1004" spans="1:20" ht="20.100000000000001" customHeight="1">
      <c r="A1004" s="1127" t="s">
        <v>2957</v>
      </c>
      <c r="B1004" s="1127" t="s">
        <v>3443</v>
      </c>
      <c r="C1004" s="1127" t="s">
        <v>3443</v>
      </c>
      <c r="D1004" s="526"/>
      <c r="E1004" s="526"/>
      <c r="F1004" s="526"/>
      <c r="G1004" s="36" t="s">
        <v>29</v>
      </c>
      <c r="H1004" s="48" t="s">
        <v>729</v>
      </c>
      <c r="I1004" s="567" t="s">
        <v>17</v>
      </c>
      <c r="J1004" s="557"/>
      <c r="K1004" s="567" t="s">
        <v>736</v>
      </c>
      <c r="L1004" s="559" t="s">
        <v>649</v>
      </c>
      <c r="M1004" s="547">
        <v>43038</v>
      </c>
      <c r="N1004" s="547">
        <v>43072</v>
      </c>
      <c r="O1004" s="544" t="s">
        <v>955</v>
      </c>
      <c r="P1004" s="572"/>
      <c r="Q1004" s="7"/>
      <c r="R1004" s="546" t="s">
        <v>251</v>
      </c>
      <c r="S1004" s="319" t="s">
        <v>1176</v>
      </c>
      <c r="T1004" s="338" t="s">
        <v>1988</v>
      </c>
    </row>
    <row r="1005" spans="1:20" ht="20.100000000000001" customHeight="1">
      <c r="A1005" s="1127" t="s">
        <v>2957</v>
      </c>
      <c r="B1005" s="1127" t="s">
        <v>3443</v>
      </c>
      <c r="C1005" s="1127" t="s">
        <v>3443</v>
      </c>
      <c r="D1005" s="526">
        <v>245</v>
      </c>
      <c r="E1005" s="526">
        <v>490</v>
      </c>
      <c r="F1005" s="526">
        <v>490</v>
      </c>
      <c r="G1005" s="628" t="s">
        <v>814</v>
      </c>
      <c r="H1005" s="48" t="s">
        <v>3440</v>
      </c>
      <c r="I1005" s="30" t="s">
        <v>17</v>
      </c>
      <c r="J1005" s="557"/>
      <c r="K1005" s="30" t="s">
        <v>3441</v>
      </c>
      <c r="L1005" s="559" t="s">
        <v>649</v>
      </c>
      <c r="M1005" s="547">
        <v>43073</v>
      </c>
      <c r="N1005" s="547">
        <v>43086</v>
      </c>
      <c r="O1005" s="544" t="s">
        <v>955</v>
      </c>
      <c r="P1005" s="572"/>
      <c r="Q1005" s="7"/>
      <c r="R1005" s="17" t="s">
        <v>3442</v>
      </c>
      <c r="S1005" s="319" t="s">
        <v>1176</v>
      </c>
      <c r="T1005" s="338"/>
    </row>
    <row r="1006" spans="1:20" ht="20.100000000000001" customHeight="1">
      <c r="A1006" s="1127" t="s">
        <v>2957</v>
      </c>
      <c r="B1006" s="1127" t="s">
        <v>3443</v>
      </c>
      <c r="C1006" s="1127" t="s">
        <v>3443</v>
      </c>
      <c r="D1006" s="525">
        <v>195</v>
      </c>
      <c r="E1006" s="525">
        <v>350</v>
      </c>
      <c r="F1006" s="525">
        <v>350</v>
      </c>
      <c r="G1006" s="36" t="s">
        <v>6</v>
      </c>
      <c r="H1006" s="68">
        <v>1</v>
      </c>
      <c r="I1006" s="557" t="s">
        <v>17</v>
      </c>
      <c r="J1006" s="558"/>
      <c r="K1006" s="558">
        <v>10</v>
      </c>
      <c r="L1006" s="559" t="s">
        <v>636</v>
      </c>
      <c r="M1006" s="549">
        <v>43070</v>
      </c>
      <c r="N1006" s="549">
        <v>43074</v>
      </c>
      <c r="O1006" s="544" t="s">
        <v>955</v>
      </c>
      <c r="P1006" s="572"/>
      <c r="Q1006" s="7"/>
      <c r="R1006" s="546" t="s">
        <v>202</v>
      </c>
      <c r="S1006" s="316" t="s">
        <v>2869</v>
      </c>
      <c r="T1006" s="338" t="s">
        <v>2874</v>
      </c>
    </row>
    <row r="1007" spans="1:20" ht="20.100000000000001" customHeight="1">
      <c r="A1007" s="1127" t="s">
        <v>2957</v>
      </c>
      <c r="B1007" s="1127" t="s">
        <v>3443</v>
      </c>
      <c r="C1007" s="1127" t="s">
        <v>3443</v>
      </c>
      <c r="D1007" s="525">
        <v>115</v>
      </c>
      <c r="E1007" s="525">
        <v>230</v>
      </c>
      <c r="F1007" s="525">
        <v>230</v>
      </c>
      <c r="G1007" s="66" t="s">
        <v>37</v>
      </c>
      <c r="H1007" s="47">
        <v>1</v>
      </c>
      <c r="I1007" s="557" t="s">
        <v>17</v>
      </c>
      <c r="J1007" s="558"/>
      <c r="K1007" s="558">
        <v>10</v>
      </c>
      <c r="L1007" s="559" t="s">
        <v>636</v>
      </c>
      <c r="M1007" s="543">
        <v>43081</v>
      </c>
      <c r="N1007" s="543">
        <v>43086</v>
      </c>
      <c r="O1007" s="544" t="s">
        <v>955</v>
      </c>
      <c r="P1007" s="553"/>
      <c r="Q1007" s="7"/>
      <c r="R1007" s="546" t="s">
        <v>192</v>
      </c>
      <c r="S1007" s="319" t="s">
        <v>1176</v>
      </c>
      <c r="T1007" s="338" t="s">
        <v>2877</v>
      </c>
    </row>
    <row r="1008" spans="1:20" ht="20.100000000000001" customHeight="1">
      <c r="A1008" s="1127" t="s">
        <v>2957</v>
      </c>
      <c r="B1008" s="1127" t="s">
        <v>3443</v>
      </c>
      <c r="C1008" s="1127" t="s">
        <v>3443</v>
      </c>
      <c r="D1008" s="525">
        <v>110</v>
      </c>
      <c r="E1008" s="525">
        <v>220</v>
      </c>
      <c r="F1008" s="525">
        <v>220</v>
      </c>
      <c r="G1008" s="66" t="s">
        <v>3893</v>
      </c>
      <c r="H1008" s="47">
        <v>1</v>
      </c>
      <c r="I1008" s="557" t="s">
        <v>17</v>
      </c>
      <c r="J1008" s="558"/>
      <c r="K1008" s="558">
        <v>10</v>
      </c>
      <c r="L1008" s="559" t="s">
        <v>636</v>
      </c>
      <c r="M1008" s="551">
        <v>43083</v>
      </c>
      <c r="N1008" s="551">
        <v>43090</v>
      </c>
      <c r="O1008" s="544"/>
      <c r="P1008" s="553"/>
      <c r="Q1008" s="7"/>
      <c r="R1008" s="17" t="s">
        <v>4502</v>
      </c>
      <c r="S1008" s="704" t="s">
        <v>1176</v>
      </c>
      <c r="T1008" s="317" t="s">
        <v>1395</v>
      </c>
    </row>
    <row r="1009" spans="1:20" ht="20.100000000000001" customHeight="1">
      <c r="A1009" s="1127" t="s">
        <v>2957</v>
      </c>
      <c r="B1009" s="1127" t="s">
        <v>3443</v>
      </c>
      <c r="C1009" s="1127" t="s">
        <v>3443</v>
      </c>
      <c r="D1009" s="62">
        <v>120</v>
      </c>
      <c r="E1009" s="526">
        <v>240</v>
      </c>
      <c r="F1009" s="526">
        <v>240</v>
      </c>
      <c r="G1009" s="628" t="s">
        <v>10</v>
      </c>
      <c r="H1009" s="47">
        <v>1</v>
      </c>
      <c r="I1009" s="557" t="s">
        <v>17</v>
      </c>
      <c r="J1009" s="558"/>
      <c r="K1009" s="558">
        <v>10</v>
      </c>
      <c r="L1009" s="559" t="s">
        <v>636</v>
      </c>
      <c r="M1009" s="547">
        <v>43066</v>
      </c>
      <c r="N1009" s="547">
        <v>43084</v>
      </c>
      <c r="O1009" s="544" t="s">
        <v>955</v>
      </c>
      <c r="P1009" s="553"/>
      <c r="Q1009" s="7"/>
      <c r="R1009" s="548" t="s">
        <v>203</v>
      </c>
      <c r="S1009" s="316" t="s">
        <v>1176</v>
      </c>
      <c r="T1009" s="317">
        <v>14</v>
      </c>
    </row>
    <row r="1010" spans="1:20" ht="20.100000000000001" customHeight="1">
      <c r="A1010" s="1127" t="s">
        <v>2957</v>
      </c>
      <c r="B1010" s="1127" t="s">
        <v>3443</v>
      </c>
      <c r="C1010" s="1127" t="s">
        <v>3443</v>
      </c>
      <c r="D1010" s="320">
        <v>135</v>
      </c>
      <c r="E1010" s="320">
        <v>270</v>
      </c>
      <c r="F1010" s="320">
        <v>270</v>
      </c>
      <c r="G1010" s="628" t="s">
        <v>51</v>
      </c>
      <c r="H1010" s="47">
        <v>1</v>
      </c>
      <c r="I1010" s="557" t="s">
        <v>17</v>
      </c>
      <c r="J1010" s="558"/>
      <c r="K1010" s="558" t="s">
        <v>771</v>
      </c>
      <c r="L1010" s="559" t="s">
        <v>639</v>
      </c>
      <c r="M1010" s="381">
        <v>43084</v>
      </c>
      <c r="N1010" s="381">
        <v>43100</v>
      </c>
      <c r="O1010" s="544" t="s">
        <v>955</v>
      </c>
      <c r="P1010" s="553"/>
      <c r="Q1010" s="683"/>
      <c r="R1010" s="548" t="s">
        <v>180</v>
      </c>
      <c r="S1010" s="316"/>
      <c r="T1010" s="317">
        <v>12</v>
      </c>
    </row>
    <row r="1011" spans="1:20" ht="20.100000000000001" customHeight="1">
      <c r="A1011" s="1127" t="s">
        <v>2957</v>
      </c>
      <c r="B1011" s="1127" t="s">
        <v>3443</v>
      </c>
      <c r="C1011" s="1127" t="s">
        <v>3443</v>
      </c>
      <c r="D1011" s="525">
        <v>135</v>
      </c>
      <c r="E1011" s="525">
        <v>270</v>
      </c>
      <c r="F1011" s="525">
        <v>270</v>
      </c>
      <c r="G1011" s="56" t="s">
        <v>13</v>
      </c>
      <c r="H1011" s="47">
        <v>1</v>
      </c>
      <c r="I1011" s="557" t="s">
        <v>17</v>
      </c>
      <c r="J1011" s="558"/>
      <c r="K1011" s="558" t="s">
        <v>771</v>
      </c>
      <c r="L1011" s="559" t="s">
        <v>639</v>
      </c>
      <c r="M1011" s="6">
        <v>43040</v>
      </c>
      <c r="N1011" s="6">
        <v>43083</v>
      </c>
      <c r="O1011" s="544" t="s">
        <v>955</v>
      </c>
      <c r="P1011" s="553"/>
      <c r="Q1011" s="683"/>
      <c r="R1011" s="548" t="s">
        <v>1181</v>
      </c>
      <c r="S1011" s="319" t="s">
        <v>1176</v>
      </c>
      <c r="T1011" s="338" t="s">
        <v>2878</v>
      </c>
    </row>
    <row r="1012" spans="1:20" ht="20.100000000000001" customHeight="1">
      <c r="A1012" s="1169" t="s">
        <v>2957</v>
      </c>
      <c r="B1012" s="1169" t="s">
        <v>3443</v>
      </c>
      <c r="C1012" s="1169" t="s">
        <v>3443</v>
      </c>
      <c r="D1012" s="32">
        <v>125</v>
      </c>
      <c r="E1012" s="32">
        <v>250</v>
      </c>
      <c r="F1012" s="32">
        <v>250</v>
      </c>
      <c r="G1012" s="224" t="s">
        <v>434</v>
      </c>
      <c r="H1012" s="48" t="s">
        <v>742</v>
      </c>
      <c r="I1012" s="567" t="s">
        <v>17</v>
      </c>
      <c r="J1012" s="571"/>
      <c r="K1012" s="558" t="s">
        <v>706</v>
      </c>
      <c r="L1012" s="557" t="s">
        <v>639</v>
      </c>
      <c r="M1012" s="549">
        <v>43080</v>
      </c>
      <c r="N1012" s="549">
        <v>43093</v>
      </c>
      <c r="O1012" s="544" t="s">
        <v>955</v>
      </c>
      <c r="P1012" s="572"/>
      <c r="Q1012" s="52"/>
      <c r="R1012" s="546" t="s">
        <v>1353</v>
      </c>
      <c r="S1012" s="321" t="s">
        <v>1176</v>
      </c>
      <c r="T1012" s="317" t="s">
        <v>2824</v>
      </c>
    </row>
    <row r="1013" spans="1:20" ht="20.100000000000001" customHeight="1">
      <c r="A1013" s="1169" t="s">
        <v>2957</v>
      </c>
      <c r="B1013" s="1169" t="s">
        <v>3443</v>
      </c>
      <c r="C1013" s="1169" t="s">
        <v>3443</v>
      </c>
      <c r="D1013" s="526">
        <v>180</v>
      </c>
      <c r="E1013" s="526">
        <v>360</v>
      </c>
      <c r="F1013" s="526">
        <v>360</v>
      </c>
      <c r="G1013" s="659" t="s">
        <v>232</v>
      </c>
      <c r="H1013" s="48" t="s">
        <v>742</v>
      </c>
      <c r="I1013" s="567" t="s">
        <v>17</v>
      </c>
      <c r="J1013" s="571"/>
      <c r="K1013" s="558" t="s">
        <v>706</v>
      </c>
      <c r="L1013" s="557" t="s">
        <v>639</v>
      </c>
      <c r="M1013" s="551">
        <v>43037</v>
      </c>
      <c r="N1013" s="551">
        <v>43086</v>
      </c>
      <c r="O1013" s="544" t="s">
        <v>955</v>
      </c>
      <c r="P1013" s="553"/>
      <c r="Q1013" s="52"/>
      <c r="R1013" s="546" t="s">
        <v>1353</v>
      </c>
      <c r="S1013" s="316"/>
      <c r="T1013" s="317" t="s">
        <v>1678</v>
      </c>
    </row>
    <row r="1014" spans="1:20" ht="20.100000000000001" customHeight="1">
      <c r="A1014" s="1169" t="s">
        <v>2957</v>
      </c>
      <c r="B1014" s="1169" t="s">
        <v>3443</v>
      </c>
      <c r="C1014" s="1169" t="s">
        <v>3443</v>
      </c>
      <c r="D1014" s="525">
        <v>145</v>
      </c>
      <c r="E1014" s="525">
        <v>290</v>
      </c>
      <c r="F1014" s="525">
        <v>290</v>
      </c>
      <c r="G1014" s="659" t="s">
        <v>87</v>
      </c>
      <c r="H1014" s="48" t="s">
        <v>742</v>
      </c>
      <c r="I1014" s="567" t="s">
        <v>17</v>
      </c>
      <c r="J1014" s="571"/>
      <c r="K1014" s="558" t="s">
        <v>706</v>
      </c>
      <c r="L1014" s="557" t="s">
        <v>639</v>
      </c>
      <c r="M1014" s="551">
        <v>43081</v>
      </c>
      <c r="N1014" s="551">
        <v>43087</v>
      </c>
      <c r="O1014" s="544" t="s">
        <v>955</v>
      </c>
      <c r="P1014" s="553"/>
      <c r="Q1014" s="52"/>
      <c r="R1014" s="546" t="s">
        <v>1353</v>
      </c>
      <c r="S1014" s="315" t="s">
        <v>2849</v>
      </c>
      <c r="T1014" s="317" t="s">
        <v>2876</v>
      </c>
    </row>
    <row r="1015" spans="1:20" ht="20.100000000000001" customHeight="1">
      <c r="A1015" s="1169" t="s">
        <v>2957</v>
      </c>
      <c r="B1015" s="1169" t="s">
        <v>3443</v>
      </c>
      <c r="C1015" s="1169" t="s">
        <v>392</v>
      </c>
      <c r="D1015" s="525">
        <v>115</v>
      </c>
      <c r="E1015" s="525">
        <v>230</v>
      </c>
      <c r="F1015" s="525">
        <v>230</v>
      </c>
      <c r="G1015" s="659" t="s">
        <v>37</v>
      </c>
      <c r="H1015" s="48" t="s">
        <v>742</v>
      </c>
      <c r="I1015" s="567" t="s">
        <v>17</v>
      </c>
      <c r="J1015" s="571"/>
      <c r="K1015" s="39" t="s">
        <v>4275</v>
      </c>
      <c r="L1015" s="37" t="s">
        <v>2999</v>
      </c>
      <c r="M1015" s="543">
        <v>43081</v>
      </c>
      <c r="N1015" s="543">
        <v>43086</v>
      </c>
      <c r="O1015" s="544" t="s">
        <v>955</v>
      </c>
      <c r="P1015" s="553"/>
      <c r="Q1015" s="52"/>
      <c r="R1015" s="49" t="s">
        <v>4093</v>
      </c>
      <c r="S1015" s="319" t="s">
        <v>1176</v>
      </c>
      <c r="T1015" s="338" t="s">
        <v>2877</v>
      </c>
    </row>
    <row r="1016" spans="1:20" ht="20.100000000000001" customHeight="1">
      <c r="A1016" s="1169" t="s">
        <v>2957</v>
      </c>
      <c r="B1016" s="1169" t="s">
        <v>3443</v>
      </c>
      <c r="C1016" s="1169" t="s">
        <v>3443</v>
      </c>
      <c r="D1016" s="526">
        <v>463</v>
      </c>
      <c r="E1016" s="526">
        <v>613</v>
      </c>
      <c r="F1016" s="526">
        <v>613</v>
      </c>
      <c r="G1016" s="659" t="s">
        <v>19</v>
      </c>
      <c r="H1016" s="22" t="s">
        <v>742</v>
      </c>
      <c r="I1016" s="557" t="s">
        <v>17</v>
      </c>
      <c r="J1016" s="577"/>
      <c r="K1016" s="576">
        <v>7</v>
      </c>
      <c r="L1016" s="559" t="s">
        <v>639</v>
      </c>
      <c r="M1016" s="559"/>
      <c r="N1016" s="549">
        <v>42825</v>
      </c>
      <c r="O1016" s="544" t="s">
        <v>955</v>
      </c>
      <c r="P1016" s="553"/>
      <c r="Q1016" s="52"/>
      <c r="R1016" s="546" t="s">
        <v>187</v>
      </c>
      <c r="S1016" s="316"/>
      <c r="T1016" s="338"/>
    </row>
    <row r="1017" spans="1:20" ht="20.100000000000001" customHeight="1">
      <c r="A1017" s="1169" t="s">
        <v>2957</v>
      </c>
      <c r="B1017" s="1169" t="s">
        <v>3443</v>
      </c>
      <c r="C1017" s="1169" t="s">
        <v>3443</v>
      </c>
      <c r="D1017" s="525">
        <v>90</v>
      </c>
      <c r="E1017" s="526"/>
      <c r="F1017" s="526"/>
      <c r="G1017" s="628" t="s">
        <v>76</v>
      </c>
      <c r="H1017" s="22" t="s">
        <v>742</v>
      </c>
      <c r="I1017" s="557" t="s">
        <v>17</v>
      </c>
      <c r="J1017" s="577"/>
      <c r="K1017" s="576">
        <v>7</v>
      </c>
      <c r="L1017" s="559" t="s">
        <v>639</v>
      </c>
      <c r="M1017" s="6">
        <v>43087</v>
      </c>
      <c r="N1017" s="6">
        <v>43093</v>
      </c>
      <c r="O1017" s="544" t="s">
        <v>955</v>
      </c>
      <c r="P1017" s="553"/>
      <c r="Q1017" s="52"/>
      <c r="R1017" s="546" t="s">
        <v>171</v>
      </c>
      <c r="S1017" s="322" t="s">
        <v>1176</v>
      </c>
      <c r="T1017" s="338"/>
    </row>
    <row r="1018" spans="1:20" ht="20.100000000000001" customHeight="1">
      <c r="A1018" s="1169" t="s">
        <v>2957</v>
      </c>
      <c r="B1018" s="1169" t="s">
        <v>3443</v>
      </c>
      <c r="C1018" s="1169" t="s">
        <v>3443</v>
      </c>
      <c r="D1018" s="320">
        <v>135</v>
      </c>
      <c r="E1018" s="320">
        <v>270</v>
      </c>
      <c r="F1018" s="320">
        <v>270</v>
      </c>
      <c r="G1018" s="224" t="s">
        <v>51</v>
      </c>
      <c r="H1018" s="22" t="s">
        <v>742</v>
      </c>
      <c r="I1018" s="557" t="s">
        <v>17</v>
      </c>
      <c r="J1018" s="577"/>
      <c r="K1018" s="576">
        <v>7</v>
      </c>
      <c r="L1018" s="559" t="s">
        <v>639</v>
      </c>
      <c r="M1018" s="381">
        <v>43084</v>
      </c>
      <c r="N1018" s="381">
        <v>43100</v>
      </c>
      <c r="O1018" s="544" t="s">
        <v>955</v>
      </c>
      <c r="P1018" s="553"/>
      <c r="Q1018" s="52"/>
      <c r="R1018" s="546" t="s">
        <v>171</v>
      </c>
      <c r="S1018" s="319"/>
      <c r="T1018" s="317">
        <v>12</v>
      </c>
    </row>
    <row r="1019" spans="1:20" ht="20.100000000000001" customHeight="1">
      <c r="A1019" s="1169" t="s">
        <v>2957</v>
      </c>
      <c r="B1019" s="1169" t="s">
        <v>3443</v>
      </c>
      <c r="C1019" s="1169" t="s">
        <v>3443</v>
      </c>
      <c r="D1019" s="525">
        <v>155</v>
      </c>
      <c r="E1019" s="525">
        <v>250</v>
      </c>
      <c r="F1019" s="525">
        <v>250</v>
      </c>
      <c r="G1019" s="64" t="s">
        <v>33</v>
      </c>
      <c r="H1019" s="22" t="s">
        <v>742</v>
      </c>
      <c r="I1019" s="557" t="s">
        <v>17</v>
      </c>
      <c r="J1019" s="577"/>
      <c r="K1019" s="576">
        <v>7</v>
      </c>
      <c r="L1019" s="559" t="s">
        <v>639</v>
      </c>
      <c r="M1019" s="549">
        <v>43073</v>
      </c>
      <c r="N1019" s="549">
        <v>43079</v>
      </c>
      <c r="O1019" s="544" t="s">
        <v>955</v>
      </c>
      <c r="P1019" s="553"/>
      <c r="Q1019" s="52"/>
      <c r="R1019" s="17" t="s">
        <v>4164</v>
      </c>
      <c r="S1019" s="315" t="s">
        <v>2850</v>
      </c>
      <c r="T1019" s="317"/>
    </row>
    <row r="1020" spans="1:20" ht="20.100000000000001" customHeight="1">
      <c r="A1020" s="1169" t="s">
        <v>2957</v>
      </c>
      <c r="B1020" s="1169" t="s">
        <v>3443</v>
      </c>
      <c r="C1020" s="1169" t="s">
        <v>3443</v>
      </c>
      <c r="D1020" s="32">
        <v>165</v>
      </c>
      <c r="E1020" s="32">
        <v>330</v>
      </c>
      <c r="F1020" s="32">
        <v>330</v>
      </c>
      <c r="G1020" s="224" t="s">
        <v>434</v>
      </c>
      <c r="H1020" s="56" t="s">
        <v>742</v>
      </c>
      <c r="I1020" s="557" t="s">
        <v>17</v>
      </c>
      <c r="J1020" s="576"/>
      <c r="K1020" s="576">
        <v>7</v>
      </c>
      <c r="L1020" s="559" t="s">
        <v>639</v>
      </c>
      <c r="M1020" s="549">
        <v>43066</v>
      </c>
      <c r="N1020" s="549">
        <v>43093</v>
      </c>
      <c r="O1020" s="544" t="s">
        <v>955</v>
      </c>
      <c r="P1020" s="572"/>
      <c r="Q1020" s="52"/>
      <c r="R1020" s="546" t="s">
        <v>171</v>
      </c>
      <c r="S1020" s="321" t="s">
        <v>1176</v>
      </c>
      <c r="T1020" s="317" t="s">
        <v>2824</v>
      </c>
    </row>
    <row r="1021" spans="1:20" ht="20.100000000000001" customHeight="1">
      <c r="A1021" s="1169" t="s">
        <v>2957</v>
      </c>
      <c r="B1021" s="1169" t="s">
        <v>3443</v>
      </c>
      <c r="C1021" s="1169" t="s">
        <v>3443</v>
      </c>
      <c r="D1021" s="525">
        <v>315</v>
      </c>
      <c r="E1021" s="525">
        <v>605</v>
      </c>
      <c r="F1021" s="525">
        <v>605</v>
      </c>
      <c r="G1021" s="48" t="s">
        <v>30</v>
      </c>
      <c r="H1021" s="56" t="s">
        <v>742</v>
      </c>
      <c r="I1021" s="557" t="s">
        <v>17</v>
      </c>
      <c r="J1021" s="576"/>
      <c r="K1021" s="576">
        <v>7</v>
      </c>
      <c r="L1021" s="559" t="s">
        <v>639</v>
      </c>
      <c r="M1021" s="568">
        <v>43040</v>
      </c>
      <c r="N1021" s="568">
        <v>43100</v>
      </c>
      <c r="O1021" s="544" t="s">
        <v>955</v>
      </c>
      <c r="P1021" s="572"/>
      <c r="Q1021" s="52"/>
      <c r="R1021" s="546" t="s">
        <v>1915</v>
      </c>
      <c r="S1021" s="321"/>
      <c r="T1021" s="317">
        <v>14</v>
      </c>
    </row>
    <row r="1022" spans="1:20" ht="20.100000000000001" customHeight="1">
      <c r="A1022" s="1169" t="s">
        <v>2957</v>
      </c>
      <c r="B1022" s="1169" t="s">
        <v>3443</v>
      </c>
      <c r="C1022" s="1169" t="s">
        <v>3443</v>
      </c>
      <c r="D1022" s="525">
        <v>275</v>
      </c>
      <c r="E1022" s="525">
        <v>300</v>
      </c>
      <c r="F1022" s="525">
        <v>300</v>
      </c>
      <c r="G1022" s="48" t="s">
        <v>568</v>
      </c>
      <c r="H1022" s="56" t="s">
        <v>742</v>
      </c>
      <c r="I1022" s="557" t="s">
        <v>17</v>
      </c>
      <c r="J1022" s="576"/>
      <c r="K1022" s="576">
        <v>7</v>
      </c>
      <c r="L1022" s="559" t="s">
        <v>639</v>
      </c>
      <c r="M1022" s="551">
        <v>43070</v>
      </c>
      <c r="N1022" s="551">
        <v>43083</v>
      </c>
      <c r="O1022" s="544" t="s">
        <v>955</v>
      </c>
      <c r="P1022" s="572"/>
      <c r="Q1022" s="52"/>
      <c r="R1022" s="546" t="s">
        <v>171</v>
      </c>
      <c r="S1022" s="321"/>
      <c r="T1022" s="338"/>
    </row>
    <row r="1023" spans="1:20" ht="20.100000000000001" customHeight="1">
      <c r="A1023" s="1169" t="s">
        <v>2957</v>
      </c>
      <c r="B1023" s="1169" t="s">
        <v>3443</v>
      </c>
      <c r="C1023" s="1169" t="s">
        <v>3443</v>
      </c>
      <c r="D1023" s="525">
        <v>110</v>
      </c>
      <c r="E1023" s="525">
        <v>220</v>
      </c>
      <c r="F1023" s="525">
        <v>220</v>
      </c>
      <c r="G1023" s="66" t="s">
        <v>3893</v>
      </c>
      <c r="H1023" s="56" t="s">
        <v>742</v>
      </c>
      <c r="I1023" s="557" t="s">
        <v>17</v>
      </c>
      <c r="J1023" s="576"/>
      <c r="K1023" s="576">
        <v>7</v>
      </c>
      <c r="L1023" s="559" t="s">
        <v>639</v>
      </c>
      <c r="M1023" s="551">
        <v>43083</v>
      </c>
      <c r="N1023" s="551">
        <v>43090</v>
      </c>
      <c r="O1023" s="544"/>
      <c r="P1023" s="572"/>
      <c r="Q1023" s="52"/>
      <c r="R1023" s="546" t="s">
        <v>171</v>
      </c>
      <c r="S1023" s="704" t="s">
        <v>1176</v>
      </c>
      <c r="T1023" s="317" t="s">
        <v>3883</v>
      </c>
    </row>
    <row r="1024" spans="1:20" ht="20.100000000000001" customHeight="1">
      <c r="A1024" s="1169" t="s">
        <v>2957</v>
      </c>
      <c r="B1024" s="1169" t="s">
        <v>3443</v>
      </c>
      <c r="C1024" s="1169" t="s">
        <v>3443</v>
      </c>
      <c r="D1024" s="525">
        <v>150</v>
      </c>
      <c r="E1024" s="525">
        <v>300</v>
      </c>
      <c r="F1024" s="525">
        <v>300</v>
      </c>
      <c r="G1024" s="628" t="s">
        <v>1659</v>
      </c>
      <c r="H1024" s="56" t="s">
        <v>742</v>
      </c>
      <c r="I1024" s="557" t="s">
        <v>17</v>
      </c>
      <c r="J1024" s="576"/>
      <c r="K1024" s="576">
        <v>7</v>
      </c>
      <c r="L1024" s="559" t="s">
        <v>639</v>
      </c>
      <c r="M1024" s="547">
        <v>43060</v>
      </c>
      <c r="N1024" s="547">
        <v>43090</v>
      </c>
      <c r="O1024" s="544" t="s">
        <v>955</v>
      </c>
      <c r="P1024" s="572"/>
      <c r="Q1024" s="52"/>
      <c r="R1024" s="546" t="s">
        <v>171</v>
      </c>
      <c r="S1024" s="315" t="s">
        <v>2862</v>
      </c>
      <c r="T1024" s="338" t="s">
        <v>1678</v>
      </c>
    </row>
    <row r="1025" spans="1:20" ht="20.100000000000001" customHeight="1">
      <c r="A1025" s="1169" t="s">
        <v>2957</v>
      </c>
      <c r="B1025" s="1169" t="s">
        <v>3443</v>
      </c>
      <c r="C1025" s="1169" t="s">
        <v>3443</v>
      </c>
      <c r="D1025" s="526">
        <v>160</v>
      </c>
      <c r="E1025" s="526">
        <v>340</v>
      </c>
      <c r="F1025" s="526">
        <v>340</v>
      </c>
      <c r="G1025" s="628" t="s">
        <v>14</v>
      </c>
      <c r="H1025" s="56" t="s">
        <v>742</v>
      </c>
      <c r="I1025" s="557" t="s">
        <v>17</v>
      </c>
      <c r="J1025" s="576"/>
      <c r="K1025" s="576">
        <v>7</v>
      </c>
      <c r="L1025" s="559" t="s">
        <v>639</v>
      </c>
      <c r="M1025" s="547">
        <v>43086</v>
      </c>
      <c r="N1025" s="547">
        <v>43092</v>
      </c>
      <c r="O1025" s="544" t="s">
        <v>955</v>
      </c>
      <c r="P1025" s="545"/>
      <c r="Q1025" s="52"/>
      <c r="R1025" s="546" t="s">
        <v>171</v>
      </c>
      <c r="S1025" s="319"/>
      <c r="T1025" s="338"/>
    </row>
    <row r="1026" spans="1:20" ht="20.100000000000001" customHeight="1">
      <c r="A1026" s="1169" t="s">
        <v>2957</v>
      </c>
      <c r="B1026" s="1169" t="s">
        <v>3443</v>
      </c>
      <c r="C1026" s="1169" t="s">
        <v>3443</v>
      </c>
      <c r="D1026" s="526">
        <v>90</v>
      </c>
      <c r="E1026" s="526">
        <v>180</v>
      </c>
      <c r="F1026" s="526">
        <v>180</v>
      </c>
      <c r="G1026" s="4" t="s">
        <v>28</v>
      </c>
      <c r="H1026" s="56" t="s">
        <v>742</v>
      </c>
      <c r="I1026" s="557" t="s">
        <v>17</v>
      </c>
      <c r="J1026" s="576"/>
      <c r="K1026" s="576">
        <v>7</v>
      </c>
      <c r="L1026" s="559" t="s">
        <v>643</v>
      </c>
      <c r="M1026" s="549">
        <v>43041</v>
      </c>
      <c r="N1026" s="549">
        <v>43089</v>
      </c>
      <c r="O1026" s="544" t="s">
        <v>955</v>
      </c>
      <c r="P1026" s="545"/>
      <c r="Q1026" s="52"/>
      <c r="R1026" s="546" t="s">
        <v>1772</v>
      </c>
      <c r="S1026" s="316" t="s">
        <v>1176</v>
      </c>
      <c r="T1026" s="338"/>
    </row>
    <row r="1027" spans="1:20" ht="20.100000000000001" customHeight="1">
      <c r="A1027" s="1169" t="s">
        <v>2957</v>
      </c>
      <c r="B1027" s="1169" t="s">
        <v>3443</v>
      </c>
      <c r="C1027" s="1169" t="s">
        <v>3443</v>
      </c>
      <c r="D1027" s="320">
        <v>135</v>
      </c>
      <c r="E1027" s="320">
        <v>270</v>
      </c>
      <c r="F1027" s="320">
        <v>270</v>
      </c>
      <c r="G1027" s="224" t="s">
        <v>51</v>
      </c>
      <c r="H1027" s="210" t="s">
        <v>742</v>
      </c>
      <c r="I1027" s="557" t="s">
        <v>17</v>
      </c>
      <c r="J1027" s="576"/>
      <c r="K1027" s="576">
        <v>7</v>
      </c>
      <c r="L1027" s="559" t="s">
        <v>636</v>
      </c>
      <c r="M1027" s="381">
        <v>43084</v>
      </c>
      <c r="N1027" s="381">
        <v>43100</v>
      </c>
      <c r="O1027" s="544" t="s">
        <v>955</v>
      </c>
      <c r="P1027" s="545"/>
      <c r="Q1027" s="52"/>
      <c r="R1027" s="546" t="s">
        <v>1454</v>
      </c>
      <c r="S1027" s="319"/>
      <c r="T1027" s="317">
        <v>12</v>
      </c>
    </row>
    <row r="1028" spans="1:20" ht="20.100000000000001" customHeight="1">
      <c r="A1028" s="1169" t="s">
        <v>2957</v>
      </c>
      <c r="B1028" s="1169" t="s">
        <v>3443</v>
      </c>
      <c r="C1028" s="1169" t="s">
        <v>3443</v>
      </c>
      <c r="D1028" s="62">
        <v>120</v>
      </c>
      <c r="E1028" s="526">
        <v>240</v>
      </c>
      <c r="F1028" s="526">
        <v>240</v>
      </c>
      <c r="G1028" s="224" t="s">
        <v>10</v>
      </c>
      <c r="H1028" s="56" t="s">
        <v>742</v>
      </c>
      <c r="I1028" s="557" t="s">
        <v>17</v>
      </c>
      <c r="J1028" s="576"/>
      <c r="K1028" s="576">
        <v>7</v>
      </c>
      <c r="L1028" s="559" t="s">
        <v>636</v>
      </c>
      <c r="M1028" s="547">
        <v>43074</v>
      </c>
      <c r="N1028" s="547">
        <v>43084</v>
      </c>
      <c r="O1028" s="544" t="s">
        <v>955</v>
      </c>
      <c r="P1028" s="545"/>
      <c r="Q1028" s="52"/>
      <c r="R1028" s="546" t="s">
        <v>2286</v>
      </c>
      <c r="S1028" s="316" t="s">
        <v>1176</v>
      </c>
      <c r="T1028" s="317">
        <v>14</v>
      </c>
    </row>
    <row r="1029" spans="1:20" ht="20.100000000000001" customHeight="1">
      <c r="A1029" s="1169" t="s">
        <v>2957</v>
      </c>
      <c r="B1029" s="1169" t="s">
        <v>3443</v>
      </c>
      <c r="C1029" s="1169" t="s">
        <v>3443</v>
      </c>
      <c r="D1029" s="320">
        <v>130</v>
      </c>
      <c r="E1029" s="320">
        <v>260</v>
      </c>
      <c r="F1029" s="320">
        <v>260</v>
      </c>
      <c r="G1029" s="224" t="s">
        <v>1659</v>
      </c>
      <c r="H1029" s="56" t="s">
        <v>742</v>
      </c>
      <c r="I1029" s="557" t="s">
        <v>17</v>
      </c>
      <c r="J1029" s="576"/>
      <c r="K1029" s="576">
        <v>7</v>
      </c>
      <c r="L1029" s="559" t="s">
        <v>636</v>
      </c>
      <c r="M1029" s="547">
        <v>43088</v>
      </c>
      <c r="N1029" s="547">
        <v>43090</v>
      </c>
      <c r="O1029" s="544" t="s">
        <v>955</v>
      </c>
      <c r="P1029" s="545"/>
      <c r="Q1029" s="52"/>
      <c r="R1029" s="575" t="s">
        <v>1886</v>
      </c>
      <c r="S1029" s="315" t="s">
        <v>2862</v>
      </c>
      <c r="T1029" s="338" t="s">
        <v>1678</v>
      </c>
    </row>
    <row r="1030" spans="1:20" ht="20.100000000000001" customHeight="1">
      <c r="A1030" s="1169" t="s">
        <v>2957</v>
      </c>
      <c r="B1030" s="1169" t="s">
        <v>3443</v>
      </c>
      <c r="C1030" s="1169" t="s">
        <v>3443</v>
      </c>
      <c r="D1030" s="526">
        <v>160</v>
      </c>
      <c r="E1030" s="526">
        <v>340</v>
      </c>
      <c r="F1030" s="526">
        <v>340</v>
      </c>
      <c r="G1030" s="224" t="s">
        <v>14</v>
      </c>
      <c r="H1030" s="56" t="s">
        <v>742</v>
      </c>
      <c r="I1030" s="557" t="s">
        <v>17</v>
      </c>
      <c r="J1030" s="576"/>
      <c r="K1030" s="576">
        <v>7</v>
      </c>
      <c r="L1030" s="559" t="s">
        <v>636</v>
      </c>
      <c r="M1030" s="547">
        <v>43086</v>
      </c>
      <c r="N1030" s="547">
        <v>43092</v>
      </c>
      <c r="O1030" s="544" t="s">
        <v>955</v>
      </c>
      <c r="P1030" s="545"/>
      <c r="Q1030" s="52"/>
      <c r="R1030" s="575" t="s">
        <v>2506</v>
      </c>
      <c r="S1030" s="322"/>
      <c r="T1030" s="338"/>
    </row>
    <row r="1031" spans="1:20" ht="20.100000000000001" customHeight="1">
      <c r="A1031" s="1169" t="s">
        <v>2957</v>
      </c>
      <c r="B1031" s="1169" t="s">
        <v>3443</v>
      </c>
      <c r="C1031" s="1169" t="s">
        <v>3443</v>
      </c>
      <c r="D1031" s="525">
        <v>315</v>
      </c>
      <c r="E1031" s="525">
        <v>605</v>
      </c>
      <c r="F1031" s="525">
        <v>605</v>
      </c>
      <c r="G1031" s="48" t="s">
        <v>30</v>
      </c>
      <c r="H1031" s="56" t="s">
        <v>742</v>
      </c>
      <c r="I1031" s="557" t="s">
        <v>17</v>
      </c>
      <c r="J1031" s="576"/>
      <c r="K1031" s="576">
        <v>7</v>
      </c>
      <c r="L1031" s="559" t="s">
        <v>636</v>
      </c>
      <c r="M1031" s="568">
        <v>43040</v>
      </c>
      <c r="N1031" s="568">
        <v>43100</v>
      </c>
      <c r="O1031" s="544" t="s">
        <v>955</v>
      </c>
      <c r="P1031" s="572"/>
      <c r="Q1031" s="52"/>
      <c r="R1031" s="546" t="s">
        <v>962</v>
      </c>
      <c r="S1031" s="321"/>
      <c r="T1031" s="317">
        <v>14</v>
      </c>
    </row>
    <row r="1032" spans="1:20" ht="20.100000000000001" customHeight="1">
      <c r="A1032" s="1169" t="s">
        <v>2957</v>
      </c>
      <c r="B1032" s="1169" t="s">
        <v>392</v>
      </c>
      <c r="C1032" s="1169" t="s">
        <v>392</v>
      </c>
      <c r="D1032" s="526">
        <v>190</v>
      </c>
      <c r="E1032" s="526">
        <v>380</v>
      </c>
      <c r="F1032" s="526">
        <v>380</v>
      </c>
      <c r="G1032" s="659" t="s">
        <v>232</v>
      </c>
      <c r="H1032" s="56" t="s">
        <v>659</v>
      </c>
      <c r="I1032" s="557" t="s">
        <v>17</v>
      </c>
      <c r="J1032" s="571"/>
      <c r="K1032" s="571">
        <v>7</v>
      </c>
      <c r="L1032" s="570" t="s">
        <v>641</v>
      </c>
      <c r="M1032" s="551">
        <v>43037</v>
      </c>
      <c r="N1032" s="551">
        <v>43086</v>
      </c>
      <c r="O1032" s="544" t="s">
        <v>955</v>
      </c>
      <c r="P1032" s="545"/>
      <c r="Q1032" s="7"/>
      <c r="R1032" s="546" t="s">
        <v>247</v>
      </c>
      <c r="S1032" s="319"/>
      <c r="T1032" s="317" t="s">
        <v>1678</v>
      </c>
    </row>
    <row r="1033" spans="1:20" ht="20.100000000000001" customHeight="1">
      <c r="A1033" s="1169" t="s">
        <v>2957</v>
      </c>
      <c r="B1033" s="1169" t="s">
        <v>392</v>
      </c>
      <c r="C1033" s="1169" t="s">
        <v>392</v>
      </c>
      <c r="D1033" s="525"/>
      <c r="E1033" s="525"/>
      <c r="F1033" s="525"/>
      <c r="G1033" s="56" t="s">
        <v>12</v>
      </c>
      <c r="H1033" s="56" t="s">
        <v>659</v>
      </c>
      <c r="I1033" s="557" t="s">
        <v>17</v>
      </c>
      <c r="J1033" s="571"/>
      <c r="K1033" s="571">
        <v>7</v>
      </c>
      <c r="L1033" s="570" t="s">
        <v>641</v>
      </c>
      <c r="M1033" s="551">
        <v>43038</v>
      </c>
      <c r="N1033" s="551">
        <v>43058</v>
      </c>
      <c r="O1033" s="544" t="s">
        <v>955</v>
      </c>
      <c r="P1033" s="553"/>
      <c r="Q1033" s="7"/>
      <c r="R1033" s="561" t="s">
        <v>247</v>
      </c>
      <c r="S1033" s="704"/>
      <c r="T1033" s="338" t="s">
        <v>1994</v>
      </c>
    </row>
    <row r="1034" spans="1:20" ht="20.100000000000001" customHeight="1">
      <c r="A1034" s="1169" t="s">
        <v>2957</v>
      </c>
      <c r="B1034" s="1169" t="s">
        <v>392</v>
      </c>
      <c r="C1034" s="1169" t="s">
        <v>392</v>
      </c>
      <c r="D1034" s="320">
        <v>135</v>
      </c>
      <c r="E1034" s="320">
        <v>270</v>
      </c>
      <c r="F1034" s="320">
        <v>270</v>
      </c>
      <c r="G1034" s="224" t="s">
        <v>51</v>
      </c>
      <c r="H1034" s="211">
        <v>3</v>
      </c>
      <c r="I1034" s="557" t="s">
        <v>17</v>
      </c>
      <c r="J1034" s="576"/>
      <c r="K1034" s="566" t="s">
        <v>736</v>
      </c>
      <c r="L1034" s="559" t="s">
        <v>649</v>
      </c>
      <c r="M1034" s="381">
        <v>43084</v>
      </c>
      <c r="N1034" s="381">
        <v>43100</v>
      </c>
      <c r="O1034" s="544" t="s">
        <v>955</v>
      </c>
      <c r="P1034" s="553"/>
      <c r="Q1034" s="52"/>
      <c r="R1034" s="586" t="s">
        <v>1990</v>
      </c>
      <c r="S1034" s="316"/>
      <c r="T1034" s="317">
        <v>12</v>
      </c>
    </row>
    <row r="1035" spans="1:20" ht="20.100000000000001" customHeight="1">
      <c r="A1035" s="1169" t="s">
        <v>2957</v>
      </c>
      <c r="B1035" s="1169" t="s">
        <v>392</v>
      </c>
      <c r="C1035" s="1169" t="s">
        <v>392</v>
      </c>
      <c r="D1035" s="525">
        <v>135</v>
      </c>
      <c r="E1035" s="525">
        <v>270</v>
      </c>
      <c r="F1035" s="525">
        <v>270</v>
      </c>
      <c r="G1035" s="18" t="s">
        <v>3876</v>
      </c>
      <c r="H1035" s="48">
        <v>3</v>
      </c>
      <c r="I1035" s="557" t="s">
        <v>17</v>
      </c>
      <c r="J1035" s="577"/>
      <c r="K1035" s="558" t="s">
        <v>736</v>
      </c>
      <c r="L1035" s="559" t="s">
        <v>649</v>
      </c>
      <c r="M1035" s="547">
        <v>43068</v>
      </c>
      <c r="N1035" s="547">
        <v>43086</v>
      </c>
      <c r="O1035" s="25" t="s">
        <v>4068</v>
      </c>
      <c r="P1035" s="553"/>
      <c r="Q1035" s="52"/>
      <c r="R1035" s="239" t="s">
        <v>3879</v>
      </c>
      <c r="S1035" s="704" t="s">
        <v>1176</v>
      </c>
      <c r="T1035" s="317" t="s">
        <v>3883</v>
      </c>
    </row>
    <row r="1036" spans="1:20" ht="20.100000000000001" customHeight="1">
      <c r="A1036" s="1169" t="s">
        <v>2957</v>
      </c>
      <c r="B1036" s="1169" t="s">
        <v>392</v>
      </c>
      <c r="C1036" s="1169" t="s">
        <v>4163</v>
      </c>
      <c r="D1036" s="525">
        <v>135</v>
      </c>
      <c r="E1036" s="525">
        <v>270</v>
      </c>
      <c r="F1036" s="525">
        <v>270</v>
      </c>
      <c r="G1036" s="659" t="s">
        <v>13</v>
      </c>
      <c r="H1036" s="48">
        <v>3</v>
      </c>
      <c r="I1036" s="557" t="s">
        <v>17</v>
      </c>
      <c r="J1036" s="577"/>
      <c r="K1036" s="558" t="s">
        <v>736</v>
      </c>
      <c r="L1036" s="559" t="s">
        <v>649</v>
      </c>
      <c r="M1036" s="6">
        <v>43040</v>
      </c>
      <c r="N1036" s="6">
        <v>43083</v>
      </c>
      <c r="O1036" s="544" t="s">
        <v>955</v>
      </c>
      <c r="P1036" s="553"/>
      <c r="Q1036" s="52"/>
      <c r="R1036" s="546" t="s">
        <v>2234</v>
      </c>
      <c r="S1036" s="319" t="s">
        <v>1176</v>
      </c>
      <c r="T1036" s="338" t="s">
        <v>2878</v>
      </c>
    </row>
    <row r="1037" spans="1:20" ht="20.100000000000001" customHeight="1">
      <c r="A1037" s="1169" t="s">
        <v>2957</v>
      </c>
      <c r="B1037" s="1169" t="s">
        <v>392</v>
      </c>
      <c r="C1037" s="1169" t="s">
        <v>4163</v>
      </c>
      <c r="D1037" s="525">
        <v>125</v>
      </c>
      <c r="E1037" s="525">
        <v>250</v>
      </c>
      <c r="F1037" s="525">
        <v>250</v>
      </c>
      <c r="G1037" s="224" t="s">
        <v>22</v>
      </c>
      <c r="H1037" s="48">
        <v>3</v>
      </c>
      <c r="I1037" s="557" t="s">
        <v>17</v>
      </c>
      <c r="J1037" s="558"/>
      <c r="K1037" s="558">
        <v>10</v>
      </c>
      <c r="L1037" s="559" t="s">
        <v>636</v>
      </c>
      <c r="M1037" s="547">
        <v>43009</v>
      </c>
      <c r="N1037" s="547">
        <v>43039</v>
      </c>
      <c r="O1037" s="544" t="s">
        <v>955</v>
      </c>
      <c r="P1037" s="553"/>
      <c r="Q1037" s="7"/>
      <c r="R1037" s="546" t="s">
        <v>191</v>
      </c>
      <c r="S1037" s="316" t="s">
        <v>1176</v>
      </c>
      <c r="T1037" s="317">
        <v>14</v>
      </c>
    </row>
    <row r="1038" spans="1:20" ht="20.100000000000001" customHeight="1">
      <c r="A1038" s="1169" t="s">
        <v>2957</v>
      </c>
      <c r="B1038" s="1169" t="s">
        <v>392</v>
      </c>
      <c r="C1038" s="1169" t="s">
        <v>4163</v>
      </c>
      <c r="D1038" s="526">
        <v>160</v>
      </c>
      <c r="E1038" s="526">
        <v>320</v>
      </c>
      <c r="F1038" s="526">
        <v>320</v>
      </c>
      <c r="G1038" s="56" t="s">
        <v>29</v>
      </c>
      <c r="H1038" s="48">
        <v>3</v>
      </c>
      <c r="I1038" s="557" t="s">
        <v>17</v>
      </c>
      <c r="J1038" s="558"/>
      <c r="K1038" s="558">
        <v>10</v>
      </c>
      <c r="L1038" s="559" t="s">
        <v>636</v>
      </c>
      <c r="M1038" s="547">
        <v>43038</v>
      </c>
      <c r="N1038" s="547">
        <v>43072</v>
      </c>
      <c r="O1038" s="544" t="s">
        <v>955</v>
      </c>
      <c r="P1038" s="544"/>
      <c r="Q1038" s="7"/>
      <c r="R1038" s="546" t="s">
        <v>191</v>
      </c>
      <c r="S1038" s="319" t="s">
        <v>1176</v>
      </c>
      <c r="T1038" s="338" t="s">
        <v>1988</v>
      </c>
    </row>
    <row r="1039" spans="1:20" ht="20.100000000000001" customHeight="1">
      <c r="A1039" s="1169" t="s">
        <v>2957</v>
      </c>
      <c r="B1039" s="1169" t="s">
        <v>392</v>
      </c>
      <c r="C1039" s="1169" t="s">
        <v>392</v>
      </c>
      <c r="D1039" s="525">
        <v>155</v>
      </c>
      <c r="E1039" s="525">
        <v>250</v>
      </c>
      <c r="F1039" s="525">
        <v>250</v>
      </c>
      <c r="G1039" s="64" t="s">
        <v>33</v>
      </c>
      <c r="H1039" s="47" t="s">
        <v>659</v>
      </c>
      <c r="I1039" s="557" t="s">
        <v>17</v>
      </c>
      <c r="J1039" s="557"/>
      <c r="K1039" s="571" t="s">
        <v>726</v>
      </c>
      <c r="L1039" s="559" t="s">
        <v>639</v>
      </c>
      <c r="M1039" s="549">
        <v>43073</v>
      </c>
      <c r="N1039" s="549">
        <v>43079</v>
      </c>
      <c r="O1039" s="544" t="s">
        <v>955</v>
      </c>
      <c r="P1039" s="544"/>
      <c r="Q1039" s="683"/>
      <c r="R1039" s="546" t="s">
        <v>1709</v>
      </c>
      <c r="S1039" s="315" t="s">
        <v>2850</v>
      </c>
      <c r="T1039" s="338"/>
    </row>
    <row r="1040" spans="1:20" ht="20.100000000000001" customHeight="1">
      <c r="A1040" s="1169" t="s">
        <v>2957</v>
      </c>
      <c r="B1040" s="1169" t="s">
        <v>392</v>
      </c>
      <c r="C1040" s="1169" t="s">
        <v>4163</v>
      </c>
      <c r="D1040" s="525">
        <v>115</v>
      </c>
      <c r="E1040" s="525">
        <v>230</v>
      </c>
      <c r="F1040" s="525">
        <v>230</v>
      </c>
      <c r="G1040" s="48" t="s">
        <v>37</v>
      </c>
      <c r="H1040" s="47" t="s">
        <v>659</v>
      </c>
      <c r="I1040" s="557" t="s">
        <v>17</v>
      </c>
      <c r="J1040" s="557"/>
      <c r="K1040" s="571" t="s">
        <v>726</v>
      </c>
      <c r="L1040" s="559" t="s">
        <v>639</v>
      </c>
      <c r="M1040" s="543">
        <v>43081</v>
      </c>
      <c r="N1040" s="543">
        <v>43086</v>
      </c>
      <c r="O1040" s="544" t="s">
        <v>955</v>
      </c>
      <c r="P1040" s="553"/>
      <c r="Q1040" s="683"/>
      <c r="R1040" s="546" t="s">
        <v>1748</v>
      </c>
      <c r="S1040" s="319" t="s">
        <v>1176</v>
      </c>
      <c r="T1040" s="338" t="s">
        <v>2877</v>
      </c>
    </row>
    <row r="1041" spans="1:20" ht="20.100000000000001" customHeight="1">
      <c r="A1041" s="1169" t="s">
        <v>2957</v>
      </c>
      <c r="B1041" s="1169" t="s">
        <v>392</v>
      </c>
      <c r="C1041" s="1169" t="s">
        <v>4163</v>
      </c>
      <c r="D1041" s="320">
        <v>135</v>
      </c>
      <c r="E1041" s="320">
        <v>270</v>
      </c>
      <c r="F1041" s="320">
        <v>270</v>
      </c>
      <c r="G1041" s="224" t="s">
        <v>51</v>
      </c>
      <c r="H1041" s="18">
        <v>3</v>
      </c>
      <c r="I1041" s="557" t="s">
        <v>17</v>
      </c>
      <c r="J1041" s="557"/>
      <c r="K1041" s="569" t="s">
        <v>706</v>
      </c>
      <c r="L1041" s="559" t="s">
        <v>639</v>
      </c>
      <c r="M1041" s="381">
        <v>43084</v>
      </c>
      <c r="N1041" s="381">
        <v>43100</v>
      </c>
      <c r="O1041" s="544" t="s">
        <v>955</v>
      </c>
      <c r="P1041" s="544"/>
      <c r="Q1041" s="7"/>
      <c r="R1041" s="546" t="s">
        <v>450</v>
      </c>
      <c r="S1041" s="319"/>
      <c r="T1041" s="317">
        <v>12</v>
      </c>
    </row>
    <row r="1042" spans="1:20" ht="20.100000000000001" customHeight="1">
      <c r="A1042" s="1169" t="s">
        <v>2957</v>
      </c>
      <c r="B1042" s="1169" t="s">
        <v>392</v>
      </c>
      <c r="C1042" s="1169" t="s">
        <v>392</v>
      </c>
      <c r="D1042" s="525">
        <v>155</v>
      </c>
      <c r="E1042" s="525">
        <v>250</v>
      </c>
      <c r="F1042" s="525">
        <v>250</v>
      </c>
      <c r="G1042" s="64" t="s">
        <v>33</v>
      </c>
      <c r="H1042" s="18">
        <v>3</v>
      </c>
      <c r="I1042" s="557" t="s">
        <v>17</v>
      </c>
      <c r="J1042" s="557"/>
      <c r="K1042" s="569" t="s">
        <v>706</v>
      </c>
      <c r="L1042" s="559" t="s">
        <v>639</v>
      </c>
      <c r="M1042" s="549">
        <v>43073</v>
      </c>
      <c r="N1042" s="549">
        <v>43079</v>
      </c>
      <c r="O1042" s="544" t="s">
        <v>955</v>
      </c>
      <c r="P1042" s="544"/>
      <c r="Q1042" s="7"/>
      <c r="R1042" s="17" t="s">
        <v>450</v>
      </c>
      <c r="S1042" s="315" t="s">
        <v>2850</v>
      </c>
      <c r="T1042" s="317"/>
    </row>
    <row r="1043" spans="1:20" ht="20.100000000000001" customHeight="1">
      <c r="A1043" s="1169" t="s">
        <v>2957</v>
      </c>
      <c r="B1043" s="1169" t="s">
        <v>392</v>
      </c>
      <c r="C1043" s="1169" t="s">
        <v>4163</v>
      </c>
      <c r="D1043" s="526">
        <v>160</v>
      </c>
      <c r="E1043" s="526">
        <v>320</v>
      </c>
      <c r="F1043" s="526">
        <v>320</v>
      </c>
      <c r="G1043" s="36" t="s">
        <v>29</v>
      </c>
      <c r="H1043" s="48">
        <v>3</v>
      </c>
      <c r="I1043" s="557" t="s">
        <v>17</v>
      </c>
      <c r="J1043" s="557"/>
      <c r="K1043" s="569" t="s">
        <v>706</v>
      </c>
      <c r="L1043" s="559" t="s">
        <v>639</v>
      </c>
      <c r="M1043" s="547">
        <v>43038</v>
      </c>
      <c r="N1043" s="547">
        <v>43072</v>
      </c>
      <c r="O1043" s="544" t="s">
        <v>955</v>
      </c>
      <c r="P1043" s="544"/>
      <c r="Q1043" s="7"/>
      <c r="R1043" s="546" t="s">
        <v>450</v>
      </c>
      <c r="S1043" s="319" t="s">
        <v>1176</v>
      </c>
      <c r="T1043" s="338" t="s">
        <v>1988</v>
      </c>
    </row>
    <row r="1044" spans="1:20" ht="20.100000000000001" customHeight="1">
      <c r="A1044" s="1169" t="s">
        <v>2957</v>
      </c>
      <c r="B1044" s="1169" t="s">
        <v>392</v>
      </c>
      <c r="C1044" s="1169" t="s">
        <v>4163</v>
      </c>
      <c r="D1044" s="320">
        <v>135</v>
      </c>
      <c r="E1044" s="320">
        <v>270</v>
      </c>
      <c r="F1044" s="320">
        <v>270</v>
      </c>
      <c r="G1044" s="224" t="s">
        <v>51</v>
      </c>
      <c r="H1044" s="36" t="s">
        <v>659</v>
      </c>
      <c r="I1044" s="542" t="s">
        <v>17</v>
      </c>
      <c r="J1044" s="569"/>
      <c r="K1044" s="569" t="s">
        <v>752</v>
      </c>
      <c r="L1044" s="570" t="s">
        <v>636</v>
      </c>
      <c r="M1044" s="381">
        <v>43084</v>
      </c>
      <c r="N1044" s="381">
        <v>43100</v>
      </c>
      <c r="O1044" s="544" t="s">
        <v>955</v>
      </c>
      <c r="P1044" s="553"/>
      <c r="Q1044" s="7"/>
      <c r="R1044" s="546" t="s">
        <v>1907</v>
      </c>
      <c r="S1044" s="316"/>
      <c r="T1044" s="317">
        <v>12</v>
      </c>
    </row>
    <row r="1045" spans="1:20" ht="20.100000000000001" customHeight="1">
      <c r="A1045" s="1169" t="s">
        <v>2957</v>
      </c>
      <c r="B1045" s="1169" t="s">
        <v>392</v>
      </c>
      <c r="C1045" s="1169" t="s">
        <v>392</v>
      </c>
      <c r="D1045" s="525">
        <v>135</v>
      </c>
      <c r="E1045" s="525">
        <v>270</v>
      </c>
      <c r="F1045" s="525">
        <v>270</v>
      </c>
      <c r="G1045" s="659" t="s">
        <v>13</v>
      </c>
      <c r="H1045" s="47">
        <v>4</v>
      </c>
      <c r="I1045" s="557" t="s">
        <v>17</v>
      </c>
      <c r="J1045" s="577"/>
      <c r="K1045" s="577">
        <v>9</v>
      </c>
      <c r="L1045" s="570" t="s">
        <v>641</v>
      </c>
      <c r="M1045" s="6">
        <v>43083</v>
      </c>
      <c r="N1045" s="6">
        <v>43083</v>
      </c>
      <c r="O1045" s="544" t="s">
        <v>955</v>
      </c>
      <c r="P1045" s="553"/>
      <c r="Q1045" s="7"/>
      <c r="R1045" s="546" t="s">
        <v>178</v>
      </c>
      <c r="S1045" s="319" t="s">
        <v>1176</v>
      </c>
      <c r="T1045" s="338" t="s">
        <v>2878</v>
      </c>
    </row>
    <row r="1046" spans="1:20" ht="20.100000000000001" customHeight="1">
      <c r="A1046" s="1169" t="s">
        <v>2957</v>
      </c>
      <c r="B1046" s="1169" t="s">
        <v>392</v>
      </c>
      <c r="C1046" s="1169" t="s">
        <v>392</v>
      </c>
      <c r="D1046" s="32">
        <v>125</v>
      </c>
      <c r="E1046" s="32">
        <v>250</v>
      </c>
      <c r="F1046" s="32">
        <v>250</v>
      </c>
      <c r="G1046" s="224" t="s">
        <v>434</v>
      </c>
      <c r="H1046" s="47">
        <v>4</v>
      </c>
      <c r="I1046" s="558" t="s">
        <v>17</v>
      </c>
      <c r="J1046" s="569"/>
      <c r="K1046" s="558">
        <v>11</v>
      </c>
      <c r="L1046" s="559" t="s">
        <v>639</v>
      </c>
      <c r="M1046" s="549">
        <v>43080</v>
      </c>
      <c r="N1046" s="549">
        <v>43093</v>
      </c>
      <c r="O1046" s="544" t="s">
        <v>955</v>
      </c>
      <c r="P1046" s="553"/>
      <c r="Q1046" s="7"/>
      <c r="R1046" s="555" t="s">
        <v>316</v>
      </c>
      <c r="S1046" s="321" t="s">
        <v>1176</v>
      </c>
      <c r="T1046" s="317" t="s">
        <v>2824</v>
      </c>
    </row>
    <row r="1047" spans="1:20" ht="20.100000000000001" customHeight="1">
      <c r="A1047" s="1169" t="s">
        <v>2957</v>
      </c>
      <c r="B1047" s="1169" t="s">
        <v>392</v>
      </c>
      <c r="C1047" s="1169" t="s">
        <v>392</v>
      </c>
      <c r="D1047" s="525">
        <v>150</v>
      </c>
      <c r="E1047" s="525">
        <v>300</v>
      </c>
      <c r="F1047" s="525">
        <v>300</v>
      </c>
      <c r="G1047" s="48" t="s">
        <v>87</v>
      </c>
      <c r="H1047" s="47">
        <v>4</v>
      </c>
      <c r="I1047" s="557" t="s">
        <v>17</v>
      </c>
      <c r="J1047" s="558"/>
      <c r="K1047" s="558">
        <v>11</v>
      </c>
      <c r="L1047" s="559" t="s">
        <v>639</v>
      </c>
      <c r="M1047" s="551">
        <v>43081</v>
      </c>
      <c r="N1047" s="551">
        <v>43087</v>
      </c>
      <c r="O1047" s="544" t="s">
        <v>955</v>
      </c>
      <c r="P1047" s="553"/>
      <c r="Q1047" s="7"/>
      <c r="R1047" s="555" t="s">
        <v>316</v>
      </c>
      <c r="S1047" s="315" t="s">
        <v>2849</v>
      </c>
      <c r="T1047" s="317" t="s">
        <v>2876</v>
      </c>
    </row>
    <row r="1048" spans="1:20" ht="20.100000000000001" customHeight="1">
      <c r="A1048" s="1169" t="s">
        <v>2957</v>
      </c>
      <c r="B1048" s="1169" t="s">
        <v>392</v>
      </c>
      <c r="C1048" s="1169" t="s">
        <v>392</v>
      </c>
      <c r="D1048" s="525">
        <v>90</v>
      </c>
      <c r="E1048" s="526"/>
      <c r="F1048" s="526"/>
      <c r="G1048" s="628" t="s">
        <v>76</v>
      </c>
      <c r="H1048" s="36" t="s">
        <v>725</v>
      </c>
      <c r="I1048" s="557" t="s">
        <v>17</v>
      </c>
      <c r="J1048" s="558"/>
      <c r="K1048" s="558" t="s">
        <v>736</v>
      </c>
      <c r="L1048" s="542" t="s">
        <v>641</v>
      </c>
      <c r="M1048" s="6">
        <v>43087</v>
      </c>
      <c r="N1048" s="6">
        <v>43093</v>
      </c>
      <c r="O1048" s="544" t="s">
        <v>955</v>
      </c>
      <c r="P1048" s="553"/>
      <c r="Q1048" s="7"/>
      <c r="R1048" s="555" t="s">
        <v>2294</v>
      </c>
      <c r="S1048" s="322" t="s">
        <v>1176</v>
      </c>
      <c r="T1048" s="338"/>
    </row>
    <row r="1049" spans="1:20" ht="20.100000000000001" customHeight="1">
      <c r="A1049" s="1169" t="s">
        <v>2957</v>
      </c>
      <c r="B1049" s="1169" t="s">
        <v>392</v>
      </c>
      <c r="C1049" s="1169" t="s">
        <v>392</v>
      </c>
      <c r="D1049" s="525">
        <v>155</v>
      </c>
      <c r="E1049" s="525"/>
      <c r="F1049" s="525">
        <v>250</v>
      </c>
      <c r="G1049" s="628" t="s">
        <v>2343</v>
      </c>
      <c r="H1049" s="36" t="s">
        <v>725</v>
      </c>
      <c r="I1049" s="557" t="s">
        <v>17</v>
      </c>
      <c r="J1049" s="558"/>
      <c r="K1049" s="558" t="s">
        <v>736</v>
      </c>
      <c r="L1049" s="542" t="s">
        <v>641</v>
      </c>
      <c r="M1049" s="381">
        <v>43075</v>
      </c>
      <c r="N1049" s="381">
        <v>43086</v>
      </c>
      <c r="O1049" s="544" t="s">
        <v>955</v>
      </c>
      <c r="P1049" s="553"/>
      <c r="Q1049" s="7"/>
      <c r="R1049" s="546" t="s">
        <v>826</v>
      </c>
      <c r="S1049" s="322"/>
      <c r="T1049" s="338"/>
    </row>
    <row r="1050" spans="1:20" ht="20.100000000000001" customHeight="1">
      <c r="A1050" s="1169" t="s">
        <v>2957</v>
      </c>
      <c r="B1050" s="1169" t="s">
        <v>392</v>
      </c>
      <c r="C1050" s="1169" t="s">
        <v>392</v>
      </c>
      <c r="D1050" s="525">
        <v>110</v>
      </c>
      <c r="E1050" s="525">
        <v>220</v>
      </c>
      <c r="F1050" s="525">
        <v>220</v>
      </c>
      <c r="G1050" s="66" t="s">
        <v>3893</v>
      </c>
      <c r="H1050" s="36" t="s">
        <v>725</v>
      </c>
      <c r="I1050" s="557" t="s">
        <v>17</v>
      </c>
      <c r="J1050" s="558"/>
      <c r="K1050" s="558" t="s">
        <v>736</v>
      </c>
      <c r="L1050" s="542" t="s">
        <v>641</v>
      </c>
      <c r="M1050" s="551">
        <v>43083</v>
      </c>
      <c r="N1050" s="551">
        <v>43090</v>
      </c>
      <c r="O1050" s="544"/>
      <c r="P1050" s="553"/>
      <c r="Q1050" s="7"/>
      <c r="R1050" s="17" t="s">
        <v>4503</v>
      </c>
      <c r="S1050" s="704" t="s">
        <v>1176</v>
      </c>
      <c r="T1050" s="317" t="s">
        <v>1395</v>
      </c>
    </row>
    <row r="1051" spans="1:20" ht="20.100000000000001" customHeight="1">
      <c r="A1051" s="1169" t="s">
        <v>2957</v>
      </c>
      <c r="B1051" s="1169" t="s">
        <v>392</v>
      </c>
      <c r="C1051" s="1169" t="s">
        <v>392</v>
      </c>
      <c r="D1051" s="62">
        <v>120</v>
      </c>
      <c r="E1051" s="526">
        <v>240</v>
      </c>
      <c r="F1051" s="526">
        <v>240</v>
      </c>
      <c r="G1051" s="628" t="s">
        <v>10</v>
      </c>
      <c r="H1051" s="36" t="s">
        <v>725</v>
      </c>
      <c r="I1051" s="557" t="s">
        <v>17</v>
      </c>
      <c r="J1051" s="558"/>
      <c r="K1051" s="558" t="s">
        <v>736</v>
      </c>
      <c r="L1051" s="542" t="s">
        <v>641</v>
      </c>
      <c r="M1051" s="547">
        <v>43076</v>
      </c>
      <c r="N1051" s="547">
        <v>43084</v>
      </c>
      <c r="O1051" s="544" t="s">
        <v>955</v>
      </c>
      <c r="P1051" s="553"/>
      <c r="Q1051" s="7"/>
      <c r="R1051" s="555" t="s">
        <v>836</v>
      </c>
      <c r="S1051" s="316" t="s">
        <v>1176</v>
      </c>
      <c r="T1051" s="317">
        <v>14</v>
      </c>
    </row>
    <row r="1052" spans="1:20" ht="20.100000000000001" customHeight="1">
      <c r="A1052" s="1169" t="s">
        <v>2957</v>
      </c>
      <c r="B1052" s="1169" t="s">
        <v>392</v>
      </c>
      <c r="C1052" s="1169" t="s">
        <v>392</v>
      </c>
      <c r="D1052" s="525">
        <v>130</v>
      </c>
      <c r="E1052" s="525">
        <v>260</v>
      </c>
      <c r="F1052" s="525">
        <v>260</v>
      </c>
      <c r="G1052" s="628" t="s">
        <v>1659</v>
      </c>
      <c r="H1052" s="36" t="s">
        <v>725</v>
      </c>
      <c r="I1052" s="557" t="s">
        <v>17</v>
      </c>
      <c r="J1052" s="558"/>
      <c r="K1052" s="558" t="s">
        <v>736</v>
      </c>
      <c r="L1052" s="542" t="s">
        <v>641</v>
      </c>
      <c r="M1052" s="547">
        <v>43083</v>
      </c>
      <c r="N1052" s="547">
        <v>43090</v>
      </c>
      <c r="O1052" s="544" t="s">
        <v>955</v>
      </c>
      <c r="P1052" s="553"/>
      <c r="Q1052" s="7"/>
      <c r="R1052" s="556" t="s">
        <v>1910</v>
      </c>
      <c r="S1052" s="315" t="s">
        <v>2862</v>
      </c>
      <c r="T1052" s="338" t="s">
        <v>1678</v>
      </c>
    </row>
    <row r="1053" spans="1:20" ht="20.100000000000001" customHeight="1">
      <c r="A1053" s="1127" t="s">
        <v>2957</v>
      </c>
      <c r="B1053" s="1169" t="s">
        <v>392</v>
      </c>
      <c r="C1053" s="1169" t="s">
        <v>392</v>
      </c>
      <c r="D1053" s="525">
        <v>115</v>
      </c>
      <c r="E1053" s="525">
        <v>230</v>
      </c>
      <c r="F1053" s="525">
        <v>230</v>
      </c>
      <c r="G1053" s="48" t="s">
        <v>37</v>
      </c>
      <c r="H1053" s="36">
        <v>5</v>
      </c>
      <c r="I1053" s="542" t="s">
        <v>17</v>
      </c>
      <c r="J1053" s="542"/>
      <c r="K1053" s="569" t="s">
        <v>736</v>
      </c>
      <c r="L1053" s="542" t="s">
        <v>649</v>
      </c>
      <c r="M1053" s="543">
        <v>43081</v>
      </c>
      <c r="N1053" s="543">
        <v>43086</v>
      </c>
      <c r="O1053" s="544" t="s">
        <v>955</v>
      </c>
      <c r="P1053" s="553"/>
      <c r="Q1053" s="7"/>
      <c r="R1053" s="546" t="s">
        <v>179</v>
      </c>
      <c r="S1053" s="319" t="s">
        <v>1176</v>
      </c>
      <c r="T1053" s="338" t="s">
        <v>2877</v>
      </c>
    </row>
    <row r="1054" spans="1:20" ht="20.100000000000001" customHeight="1">
      <c r="A1054" s="1127" t="s">
        <v>2957</v>
      </c>
      <c r="B1054" s="1169" t="s">
        <v>392</v>
      </c>
      <c r="C1054" s="1169" t="s">
        <v>392</v>
      </c>
      <c r="D1054" s="525">
        <v>140</v>
      </c>
      <c r="E1054" s="525">
        <v>280</v>
      </c>
      <c r="F1054" s="525">
        <v>280</v>
      </c>
      <c r="G1054" s="659" t="s">
        <v>28</v>
      </c>
      <c r="H1054" s="36">
        <v>5</v>
      </c>
      <c r="I1054" s="542" t="s">
        <v>17</v>
      </c>
      <c r="J1054" s="569"/>
      <c r="K1054" s="569" t="s">
        <v>736</v>
      </c>
      <c r="L1054" s="542" t="s">
        <v>649</v>
      </c>
      <c r="M1054" s="549">
        <v>43083</v>
      </c>
      <c r="N1054" s="549">
        <v>43089</v>
      </c>
      <c r="O1054" s="544" t="s">
        <v>955</v>
      </c>
      <c r="P1054" s="553"/>
      <c r="Q1054" s="7"/>
      <c r="R1054" s="546" t="s">
        <v>179</v>
      </c>
      <c r="S1054" s="316" t="s">
        <v>1176</v>
      </c>
      <c r="T1054" s="338"/>
    </row>
    <row r="1055" spans="1:20" ht="20.100000000000001" customHeight="1">
      <c r="A1055" s="1127" t="s">
        <v>2957</v>
      </c>
      <c r="B1055" s="1169" t="s">
        <v>392</v>
      </c>
      <c r="C1055" s="1169" t="s">
        <v>392</v>
      </c>
      <c r="D1055" s="320">
        <v>135</v>
      </c>
      <c r="E1055" s="320">
        <v>270</v>
      </c>
      <c r="F1055" s="320">
        <v>270</v>
      </c>
      <c r="G1055" s="224" t="s">
        <v>51</v>
      </c>
      <c r="H1055" s="210" t="s">
        <v>681</v>
      </c>
      <c r="I1055" s="557" t="s">
        <v>17</v>
      </c>
      <c r="J1055" s="557"/>
      <c r="K1055" s="567" t="s">
        <v>684</v>
      </c>
      <c r="L1055" s="559" t="s">
        <v>636</v>
      </c>
      <c r="M1055" s="381">
        <v>43084</v>
      </c>
      <c r="N1055" s="381">
        <v>43100</v>
      </c>
      <c r="O1055" s="544" t="s">
        <v>955</v>
      </c>
      <c r="P1055" s="544"/>
      <c r="Q1055" s="7"/>
      <c r="R1055" s="546" t="s">
        <v>1207</v>
      </c>
      <c r="S1055" s="319"/>
      <c r="T1055" s="317">
        <v>12</v>
      </c>
    </row>
    <row r="1056" spans="1:20" ht="20.100000000000001" customHeight="1">
      <c r="A1056" s="1169" t="s">
        <v>2957</v>
      </c>
      <c r="B1056" s="1169" t="s">
        <v>3443</v>
      </c>
      <c r="C1056" s="1169" t="s">
        <v>3443</v>
      </c>
      <c r="D1056" s="32">
        <v>165</v>
      </c>
      <c r="E1056" s="32">
        <v>330</v>
      </c>
      <c r="F1056" s="32">
        <v>330</v>
      </c>
      <c r="G1056" s="224" t="s">
        <v>434</v>
      </c>
      <c r="H1056" s="48">
        <v>6</v>
      </c>
      <c r="I1056" s="566" t="s">
        <v>17</v>
      </c>
      <c r="J1056" s="569"/>
      <c r="K1056" s="571">
        <v>7</v>
      </c>
      <c r="L1056" s="570" t="s">
        <v>641</v>
      </c>
      <c r="M1056" s="549">
        <v>43066</v>
      </c>
      <c r="N1056" s="549">
        <v>43093</v>
      </c>
      <c r="O1056" s="544" t="s">
        <v>955</v>
      </c>
      <c r="P1056" s="553"/>
      <c r="Q1056" s="683"/>
      <c r="R1056" s="546" t="s">
        <v>202</v>
      </c>
      <c r="S1056" s="321" t="s">
        <v>1176</v>
      </c>
      <c r="T1056" s="317" t="s">
        <v>2824</v>
      </c>
    </row>
    <row r="1057" spans="1:20" ht="20.100000000000001" customHeight="1">
      <c r="A1057" s="1169" t="s">
        <v>2957</v>
      </c>
      <c r="B1057" s="1169" t="s">
        <v>3443</v>
      </c>
      <c r="C1057" s="1169" t="s">
        <v>392</v>
      </c>
      <c r="D1057" s="525">
        <v>90</v>
      </c>
      <c r="E1057" s="32"/>
      <c r="F1057" s="32"/>
      <c r="G1057" s="224" t="s">
        <v>76</v>
      </c>
      <c r="H1057" s="48">
        <v>6</v>
      </c>
      <c r="I1057" s="566" t="s">
        <v>17</v>
      </c>
      <c r="J1057" s="569"/>
      <c r="K1057" s="571">
        <v>7</v>
      </c>
      <c r="L1057" s="570" t="s">
        <v>641</v>
      </c>
      <c r="M1057" s="6">
        <v>43087</v>
      </c>
      <c r="N1057" s="6">
        <v>43093</v>
      </c>
      <c r="O1057" s="544" t="s">
        <v>955</v>
      </c>
      <c r="P1057" s="553"/>
      <c r="Q1057" s="683"/>
      <c r="R1057" s="546" t="s">
        <v>202</v>
      </c>
      <c r="S1057" s="322" t="s">
        <v>1176</v>
      </c>
      <c r="T1057" s="317"/>
    </row>
    <row r="1058" spans="1:20" ht="20.100000000000001" customHeight="1">
      <c r="A1058" s="1169" t="s">
        <v>2957</v>
      </c>
      <c r="B1058" s="1169" t="s">
        <v>3443</v>
      </c>
      <c r="C1058" s="1169" t="s">
        <v>3443</v>
      </c>
      <c r="D1058" s="887">
        <v>135</v>
      </c>
      <c r="E1058" s="887">
        <v>270</v>
      </c>
      <c r="F1058" s="887">
        <v>270</v>
      </c>
      <c r="G1058" s="659" t="s">
        <v>232</v>
      </c>
      <c r="H1058" s="48">
        <v>6</v>
      </c>
      <c r="I1058" s="557" t="s">
        <v>17</v>
      </c>
      <c r="J1058" s="571"/>
      <c r="K1058" s="571">
        <v>7</v>
      </c>
      <c r="L1058" s="570" t="s">
        <v>641</v>
      </c>
      <c r="M1058" s="551">
        <v>43085</v>
      </c>
      <c r="N1058" s="551">
        <v>43086</v>
      </c>
      <c r="O1058" s="544" t="s">
        <v>955</v>
      </c>
      <c r="P1058" s="545"/>
      <c r="Q1058" s="683"/>
      <c r="R1058" s="546" t="s">
        <v>202</v>
      </c>
      <c r="S1058" s="319"/>
      <c r="T1058" s="317" t="s">
        <v>1678</v>
      </c>
    </row>
    <row r="1059" spans="1:20" ht="20.100000000000001" customHeight="1">
      <c r="A1059" s="1169" t="s">
        <v>2957</v>
      </c>
      <c r="B1059" s="1169" t="s">
        <v>3443</v>
      </c>
      <c r="C1059" s="1169" t="s">
        <v>3443</v>
      </c>
      <c r="D1059" s="525">
        <v>110</v>
      </c>
      <c r="E1059" s="525">
        <v>220</v>
      </c>
      <c r="F1059" s="525">
        <v>220</v>
      </c>
      <c r="G1059" s="659" t="s">
        <v>3893</v>
      </c>
      <c r="H1059" s="48">
        <v>6</v>
      </c>
      <c r="I1059" s="557" t="s">
        <v>17</v>
      </c>
      <c r="J1059" s="571"/>
      <c r="K1059" s="571">
        <v>7</v>
      </c>
      <c r="L1059" s="570" t="s">
        <v>641</v>
      </c>
      <c r="M1059" s="551">
        <v>43083</v>
      </c>
      <c r="N1059" s="551">
        <v>43090</v>
      </c>
      <c r="O1059" s="544"/>
      <c r="P1059" s="545"/>
      <c r="Q1059" s="683"/>
      <c r="R1059" s="17" t="s">
        <v>4504</v>
      </c>
      <c r="S1059" s="704" t="s">
        <v>1176</v>
      </c>
      <c r="T1059" s="317" t="s">
        <v>1395</v>
      </c>
    </row>
    <row r="1060" spans="1:20" ht="20.100000000000001" customHeight="1">
      <c r="A1060" s="1169" t="s">
        <v>2957</v>
      </c>
      <c r="B1060" s="1169" t="s">
        <v>3443</v>
      </c>
      <c r="C1060" s="1169" t="s">
        <v>3443</v>
      </c>
      <c r="D1060" s="32">
        <v>165</v>
      </c>
      <c r="E1060" s="32">
        <v>330</v>
      </c>
      <c r="F1060" s="32">
        <v>330</v>
      </c>
      <c r="G1060" s="224" t="s">
        <v>434</v>
      </c>
      <c r="H1060" s="48">
        <v>6</v>
      </c>
      <c r="I1060" s="566" t="s">
        <v>17</v>
      </c>
      <c r="J1060" s="569"/>
      <c r="K1060" s="566">
        <v>7</v>
      </c>
      <c r="L1060" s="559" t="s">
        <v>639</v>
      </c>
      <c r="M1060" s="549">
        <v>43066</v>
      </c>
      <c r="N1060" s="549">
        <v>43093</v>
      </c>
      <c r="O1060" s="544" t="s">
        <v>955</v>
      </c>
      <c r="P1060" s="553"/>
      <c r="Q1060" s="683"/>
      <c r="R1060" s="555" t="s">
        <v>1559</v>
      </c>
      <c r="S1060" s="321" t="s">
        <v>1176</v>
      </c>
      <c r="T1060" s="317" t="s">
        <v>2824</v>
      </c>
    </row>
    <row r="1061" spans="1:20" ht="20.100000000000001" customHeight="1">
      <c r="A1061" s="1169" t="s">
        <v>2957</v>
      </c>
      <c r="B1061" s="1169" t="s">
        <v>3443</v>
      </c>
      <c r="C1061" s="1169" t="s">
        <v>3443</v>
      </c>
      <c r="D1061" s="525">
        <v>145</v>
      </c>
      <c r="E1061" s="525">
        <v>290</v>
      </c>
      <c r="F1061" s="525">
        <v>290</v>
      </c>
      <c r="G1061" s="48" t="s">
        <v>87</v>
      </c>
      <c r="H1061" s="48">
        <v>6</v>
      </c>
      <c r="I1061" s="557" t="s">
        <v>17</v>
      </c>
      <c r="J1061" s="558"/>
      <c r="K1061" s="558">
        <v>7</v>
      </c>
      <c r="L1061" s="559" t="s">
        <v>639</v>
      </c>
      <c r="M1061" s="551">
        <v>43081</v>
      </c>
      <c r="N1061" s="551">
        <v>43087</v>
      </c>
      <c r="O1061" s="544" t="s">
        <v>955</v>
      </c>
      <c r="P1061" s="553"/>
      <c r="Q1061" s="683"/>
      <c r="R1061" s="555" t="s">
        <v>248</v>
      </c>
      <c r="S1061" s="315" t="s">
        <v>2849</v>
      </c>
      <c r="T1061" s="317" t="s">
        <v>2876</v>
      </c>
    </row>
    <row r="1062" spans="1:20" ht="20.100000000000001" customHeight="1">
      <c r="A1062" s="1169" t="s">
        <v>2957</v>
      </c>
      <c r="B1062" s="1169" t="s">
        <v>3443</v>
      </c>
      <c r="C1062" s="1169" t="s">
        <v>3443</v>
      </c>
      <c r="D1062" s="320">
        <v>135</v>
      </c>
      <c r="E1062" s="320">
        <v>270</v>
      </c>
      <c r="F1062" s="320">
        <v>270</v>
      </c>
      <c r="G1062" s="224" t="s">
        <v>51</v>
      </c>
      <c r="H1062" s="48">
        <v>6</v>
      </c>
      <c r="I1062" s="557" t="s">
        <v>17</v>
      </c>
      <c r="J1062" s="558"/>
      <c r="K1062" s="558" t="s">
        <v>726</v>
      </c>
      <c r="L1062" s="542" t="s">
        <v>636</v>
      </c>
      <c r="M1062" s="381">
        <v>43084</v>
      </c>
      <c r="N1062" s="381">
        <v>43100</v>
      </c>
      <c r="O1062" s="544" t="s">
        <v>955</v>
      </c>
      <c r="P1062" s="553"/>
      <c r="Q1062" s="683"/>
      <c r="R1062" s="555" t="s">
        <v>167</v>
      </c>
      <c r="S1062" s="316"/>
      <c r="T1062" s="317">
        <v>12</v>
      </c>
    </row>
    <row r="1063" spans="1:20" ht="20.100000000000001" customHeight="1">
      <c r="A1063" s="1169" t="s">
        <v>2957</v>
      </c>
      <c r="B1063" s="1169" t="s">
        <v>3443</v>
      </c>
      <c r="C1063" s="1169" t="s">
        <v>3443</v>
      </c>
      <c r="D1063" s="525">
        <v>195</v>
      </c>
      <c r="E1063" s="525">
        <v>350</v>
      </c>
      <c r="F1063" s="525">
        <v>350</v>
      </c>
      <c r="G1063" s="64" t="s">
        <v>6</v>
      </c>
      <c r="H1063" s="18">
        <v>6</v>
      </c>
      <c r="I1063" s="557" t="s">
        <v>17</v>
      </c>
      <c r="J1063" s="558"/>
      <c r="K1063" s="558" t="s">
        <v>726</v>
      </c>
      <c r="L1063" s="542" t="s">
        <v>636</v>
      </c>
      <c r="M1063" s="549">
        <v>43070</v>
      </c>
      <c r="N1063" s="549">
        <v>43074</v>
      </c>
      <c r="O1063" s="544" t="s">
        <v>955</v>
      </c>
      <c r="P1063" s="553"/>
      <c r="Q1063" s="683"/>
      <c r="R1063" s="555" t="s">
        <v>335</v>
      </c>
      <c r="S1063" s="316" t="s">
        <v>2869</v>
      </c>
      <c r="T1063" s="338" t="s">
        <v>2874</v>
      </c>
    </row>
    <row r="1064" spans="1:20" ht="20.100000000000001" customHeight="1">
      <c r="A1064" s="1169" t="s">
        <v>2957</v>
      </c>
      <c r="B1064" s="1169" t="s">
        <v>3443</v>
      </c>
      <c r="C1064" s="1169" t="s">
        <v>3443</v>
      </c>
      <c r="D1064" s="525">
        <v>115</v>
      </c>
      <c r="E1064" s="525">
        <v>230</v>
      </c>
      <c r="F1064" s="525">
        <v>230</v>
      </c>
      <c r="G1064" s="64" t="s">
        <v>37</v>
      </c>
      <c r="H1064" s="48">
        <v>6</v>
      </c>
      <c r="I1064" s="557" t="s">
        <v>17</v>
      </c>
      <c r="J1064" s="558"/>
      <c r="K1064" s="558" t="s">
        <v>726</v>
      </c>
      <c r="L1064" s="542" t="s">
        <v>636</v>
      </c>
      <c r="M1064" s="543">
        <v>43081</v>
      </c>
      <c r="N1064" s="543">
        <v>43086</v>
      </c>
      <c r="O1064" s="544" t="s">
        <v>955</v>
      </c>
      <c r="P1064" s="553"/>
      <c r="Q1064" s="683"/>
      <c r="R1064" s="555" t="s">
        <v>1774</v>
      </c>
      <c r="S1064" s="319" t="s">
        <v>1176</v>
      </c>
      <c r="T1064" s="338" t="s">
        <v>2877</v>
      </c>
    </row>
    <row r="1065" spans="1:20" ht="20.100000000000001" customHeight="1">
      <c r="A1065" s="1169" t="s">
        <v>2957</v>
      </c>
      <c r="B1065" s="1169" t="s">
        <v>3443</v>
      </c>
      <c r="C1065" s="1169" t="s">
        <v>3443</v>
      </c>
      <c r="D1065" s="525">
        <v>195</v>
      </c>
      <c r="E1065" s="525">
        <v>350</v>
      </c>
      <c r="F1065" s="525">
        <v>350</v>
      </c>
      <c r="G1065" s="64" t="s">
        <v>6</v>
      </c>
      <c r="H1065" s="18">
        <v>6</v>
      </c>
      <c r="I1065" s="557" t="s">
        <v>17</v>
      </c>
      <c r="J1065" s="558"/>
      <c r="K1065" s="558" t="s">
        <v>736</v>
      </c>
      <c r="L1065" s="559" t="s">
        <v>639</v>
      </c>
      <c r="M1065" s="549">
        <v>43070</v>
      </c>
      <c r="N1065" s="549">
        <v>43074</v>
      </c>
      <c r="O1065" s="544" t="s">
        <v>955</v>
      </c>
      <c r="P1065" s="553"/>
      <c r="Q1065" s="745"/>
      <c r="R1065" s="555" t="s">
        <v>1694</v>
      </c>
      <c r="S1065" s="316" t="s">
        <v>2869</v>
      </c>
      <c r="T1065" s="338" t="s">
        <v>2874</v>
      </c>
    </row>
    <row r="1066" spans="1:20" ht="20.100000000000001" customHeight="1">
      <c r="A1066" s="1169" t="s">
        <v>2957</v>
      </c>
      <c r="B1066" s="1169" t="s">
        <v>3443</v>
      </c>
      <c r="C1066" s="1169" t="s">
        <v>3443</v>
      </c>
      <c r="D1066" s="525">
        <v>155</v>
      </c>
      <c r="E1066" s="525">
        <v>250</v>
      </c>
      <c r="F1066" s="525">
        <v>250</v>
      </c>
      <c r="G1066" s="64" t="s">
        <v>33</v>
      </c>
      <c r="H1066" s="48">
        <v>6</v>
      </c>
      <c r="I1066" s="557" t="s">
        <v>17</v>
      </c>
      <c r="J1066" s="558"/>
      <c r="K1066" s="558" t="s">
        <v>736</v>
      </c>
      <c r="L1066" s="542" t="s">
        <v>636</v>
      </c>
      <c r="M1066" s="549">
        <v>43073</v>
      </c>
      <c r="N1066" s="549">
        <v>43079</v>
      </c>
      <c r="O1066" s="544" t="s">
        <v>955</v>
      </c>
      <c r="P1066" s="553"/>
      <c r="Q1066" s="745"/>
      <c r="R1066" s="555" t="s">
        <v>1694</v>
      </c>
      <c r="S1066" s="315" t="s">
        <v>2850</v>
      </c>
      <c r="T1066" s="338"/>
    </row>
    <row r="1067" spans="1:20" ht="20.100000000000001" customHeight="1">
      <c r="A1067" s="1169" t="s">
        <v>2957</v>
      </c>
      <c r="B1067" s="1169" t="s">
        <v>3880</v>
      </c>
      <c r="C1067" s="1169" t="s">
        <v>3880</v>
      </c>
      <c r="D1067" s="526">
        <v>120</v>
      </c>
      <c r="E1067" s="526">
        <v>220</v>
      </c>
      <c r="F1067" s="526">
        <v>220</v>
      </c>
      <c r="G1067" s="628" t="s">
        <v>22</v>
      </c>
      <c r="H1067" s="56" t="s">
        <v>706</v>
      </c>
      <c r="I1067" s="557" t="s">
        <v>17</v>
      </c>
      <c r="J1067" s="576"/>
      <c r="K1067" s="566">
        <v>8</v>
      </c>
      <c r="L1067" s="559" t="s">
        <v>643</v>
      </c>
      <c r="M1067" s="547">
        <v>43040</v>
      </c>
      <c r="N1067" s="547">
        <v>43069</v>
      </c>
      <c r="O1067" s="544" t="s">
        <v>955</v>
      </c>
      <c r="P1067" s="553"/>
      <c r="Q1067" s="60"/>
      <c r="R1067" s="546" t="s">
        <v>1783</v>
      </c>
      <c r="S1067" s="316" t="s">
        <v>1176</v>
      </c>
      <c r="T1067" s="317">
        <v>14</v>
      </c>
    </row>
    <row r="1068" spans="1:20" ht="20.100000000000001" customHeight="1">
      <c r="A1068" s="1169" t="s">
        <v>2957</v>
      </c>
      <c r="B1068" s="1169" t="s">
        <v>3880</v>
      </c>
      <c r="C1068" s="1169" t="s">
        <v>3880</v>
      </c>
      <c r="D1068" s="526">
        <v>180</v>
      </c>
      <c r="E1068" s="526">
        <v>360</v>
      </c>
      <c r="F1068" s="526">
        <v>360</v>
      </c>
      <c r="G1068" s="64" t="s">
        <v>62</v>
      </c>
      <c r="H1068" s="56">
        <v>7</v>
      </c>
      <c r="I1068" s="542" t="s">
        <v>17</v>
      </c>
      <c r="J1068" s="558"/>
      <c r="K1068" s="559">
        <v>7</v>
      </c>
      <c r="L1068" s="542" t="s">
        <v>639</v>
      </c>
      <c r="M1068" s="549">
        <v>43039</v>
      </c>
      <c r="N1068" s="549">
        <v>43086</v>
      </c>
      <c r="O1068" s="544" t="s">
        <v>955</v>
      </c>
      <c r="P1068" s="572"/>
      <c r="Q1068" s="7"/>
      <c r="R1068" s="546" t="s">
        <v>164</v>
      </c>
      <c r="S1068" s="315" t="s">
        <v>2848</v>
      </c>
      <c r="T1068" s="338"/>
    </row>
    <row r="1069" spans="1:20" ht="20.100000000000001" customHeight="1">
      <c r="A1069" s="1169" t="s">
        <v>2957</v>
      </c>
      <c r="B1069" s="1169" t="s">
        <v>3880</v>
      </c>
      <c r="C1069" s="1169" t="s">
        <v>392</v>
      </c>
      <c r="D1069" s="525">
        <v>135</v>
      </c>
      <c r="E1069" s="525">
        <v>270</v>
      </c>
      <c r="F1069" s="525">
        <v>270</v>
      </c>
      <c r="G1069" s="18" t="s">
        <v>3876</v>
      </c>
      <c r="H1069" s="56" t="s">
        <v>706</v>
      </c>
      <c r="I1069" s="542" t="s">
        <v>17</v>
      </c>
      <c r="J1069" s="558"/>
      <c r="K1069" s="559" t="s">
        <v>736</v>
      </c>
      <c r="L1069" s="559" t="s">
        <v>636</v>
      </c>
      <c r="M1069" s="547">
        <v>43068</v>
      </c>
      <c r="N1069" s="547">
        <v>43086</v>
      </c>
      <c r="O1069" s="25" t="s">
        <v>4068</v>
      </c>
      <c r="P1069" s="572"/>
      <c r="Q1069" s="7"/>
      <c r="R1069" s="17" t="s">
        <v>3881</v>
      </c>
      <c r="S1069" s="704" t="s">
        <v>1176</v>
      </c>
      <c r="T1069" s="317" t="s">
        <v>3883</v>
      </c>
    </row>
    <row r="1070" spans="1:20" ht="20.100000000000001" customHeight="1">
      <c r="A1070" s="1169" t="s">
        <v>2957</v>
      </c>
      <c r="B1070" s="1169" t="s">
        <v>3880</v>
      </c>
      <c r="C1070" s="1169" t="s">
        <v>3880</v>
      </c>
      <c r="D1070" s="525">
        <v>135</v>
      </c>
      <c r="E1070" s="525">
        <v>270</v>
      </c>
      <c r="F1070" s="525">
        <v>270</v>
      </c>
      <c r="G1070" s="64" t="s">
        <v>13</v>
      </c>
      <c r="H1070" s="56" t="s">
        <v>706</v>
      </c>
      <c r="I1070" s="542" t="s">
        <v>17</v>
      </c>
      <c r="J1070" s="558"/>
      <c r="K1070" s="559" t="s">
        <v>736</v>
      </c>
      <c r="L1070" s="559" t="s">
        <v>636</v>
      </c>
      <c r="M1070" s="6">
        <v>43040</v>
      </c>
      <c r="N1070" s="6">
        <v>43083</v>
      </c>
      <c r="O1070" s="544" t="s">
        <v>955</v>
      </c>
      <c r="P1070" s="572"/>
      <c r="Q1070" s="60"/>
      <c r="R1070" s="238" t="s">
        <v>1662</v>
      </c>
      <c r="S1070" s="319" t="s">
        <v>1176</v>
      </c>
      <c r="T1070" s="338" t="s">
        <v>2878</v>
      </c>
    </row>
    <row r="1071" spans="1:20" ht="20.100000000000001" customHeight="1">
      <c r="A1071" s="732" t="s">
        <v>2957</v>
      </c>
      <c r="B1071" s="573" t="s">
        <v>392</v>
      </c>
      <c r="C1071" s="573" t="s">
        <v>392</v>
      </c>
      <c r="D1071" s="525">
        <v>250</v>
      </c>
      <c r="E1071" s="525">
        <v>500</v>
      </c>
      <c r="F1071" s="525">
        <v>500</v>
      </c>
      <c r="G1071" s="224" t="s">
        <v>51</v>
      </c>
      <c r="H1071" s="36" t="s">
        <v>2370</v>
      </c>
      <c r="I1071" s="557" t="s">
        <v>17</v>
      </c>
      <c r="J1071" s="557"/>
      <c r="K1071" s="567">
        <v>12</v>
      </c>
      <c r="L1071" s="559" t="s">
        <v>637</v>
      </c>
      <c r="M1071" s="381">
        <v>43040</v>
      </c>
      <c r="N1071" s="381">
        <v>43088</v>
      </c>
      <c r="O1071" s="544" t="s">
        <v>955</v>
      </c>
      <c r="P1071" s="544"/>
      <c r="Q1071" s="7" t="s">
        <v>2980</v>
      </c>
      <c r="R1071" s="575" t="s">
        <v>2371</v>
      </c>
      <c r="S1071" s="319"/>
      <c r="T1071" s="317">
        <v>12</v>
      </c>
    </row>
    <row r="1072" spans="1:20" ht="20.100000000000001" customHeight="1">
      <c r="A1072" s="1170" t="s">
        <v>2957</v>
      </c>
      <c r="B1072" s="1170" t="s">
        <v>537</v>
      </c>
      <c r="C1072" s="1170" t="s">
        <v>2969</v>
      </c>
      <c r="D1072" s="526">
        <v>765</v>
      </c>
      <c r="E1072" s="526">
        <v>1155</v>
      </c>
      <c r="F1072" s="526">
        <v>1155</v>
      </c>
      <c r="G1072" s="48" t="s">
        <v>62</v>
      </c>
      <c r="H1072" s="22" t="s">
        <v>729</v>
      </c>
      <c r="I1072" s="542" t="s">
        <v>17</v>
      </c>
      <c r="J1072" s="558" t="s">
        <v>2344</v>
      </c>
      <c r="K1072" s="558" t="s">
        <v>746</v>
      </c>
      <c r="L1072" s="542" t="s">
        <v>639</v>
      </c>
      <c r="M1072" s="549">
        <v>43085</v>
      </c>
      <c r="N1072" s="549">
        <v>43093</v>
      </c>
      <c r="O1072" s="544" t="s">
        <v>955</v>
      </c>
      <c r="P1072" s="550"/>
      <c r="Q1072" s="61" t="s">
        <v>2982</v>
      </c>
      <c r="R1072" s="546" t="s">
        <v>437</v>
      </c>
      <c r="S1072" s="315" t="s">
        <v>2929</v>
      </c>
      <c r="T1072" s="317">
        <v>14</v>
      </c>
    </row>
    <row r="1073" spans="1:20" ht="20.100000000000001" customHeight="1">
      <c r="A1073" s="1171" t="s">
        <v>2957</v>
      </c>
      <c r="B1073" s="1171" t="s">
        <v>537</v>
      </c>
      <c r="C1073" s="1171" t="s">
        <v>2969</v>
      </c>
      <c r="D1073" s="526">
        <v>765</v>
      </c>
      <c r="E1073" s="526">
        <v>1155</v>
      </c>
      <c r="F1073" s="526">
        <v>1155</v>
      </c>
      <c r="G1073" s="48" t="s">
        <v>62</v>
      </c>
      <c r="H1073" s="22" t="s">
        <v>729</v>
      </c>
      <c r="I1073" s="542" t="s">
        <v>17</v>
      </c>
      <c r="J1073" s="558" t="s">
        <v>797</v>
      </c>
      <c r="K1073" s="558" t="s">
        <v>723</v>
      </c>
      <c r="L1073" s="542" t="s">
        <v>639</v>
      </c>
      <c r="M1073" s="549">
        <v>43085</v>
      </c>
      <c r="N1073" s="549">
        <v>43093</v>
      </c>
      <c r="O1073" s="544" t="s">
        <v>955</v>
      </c>
      <c r="P1073" s="550"/>
      <c r="Q1073" s="61" t="s">
        <v>2982</v>
      </c>
      <c r="R1073" s="546" t="s">
        <v>437</v>
      </c>
      <c r="S1073" s="315" t="s">
        <v>2929</v>
      </c>
      <c r="T1073" s="317">
        <v>14</v>
      </c>
    </row>
    <row r="1074" spans="1:20" ht="20.100000000000001" customHeight="1">
      <c r="A1074" s="1171" t="s">
        <v>2957</v>
      </c>
      <c r="B1074" s="1171" t="s">
        <v>537</v>
      </c>
      <c r="C1074" s="1171" t="s">
        <v>2969</v>
      </c>
      <c r="D1074" s="526">
        <v>1535</v>
      </c>
      <c r="E1074" s="526">
        <v>2295</v>
      </c>
      <c r="F1074" s="526">
        <v>2295</v>
      </c>
      <c r="G1074" s="48" t="s">
        <v>62</v>
      </c>
      <c r="H1074" s="22" t="s">
        <v>729</v>
      </c>
      <c r="I1074" s="542" t="s">
        <v>17</v>
      </c>
      <c r="J1074" s="558" t="s">
        <v>70</v>
      </c>
      <c r="K1074" s="558" t="s">
        <v>746</v>
      </c>
      <c r="L1074" s="542" t="s">
        <v>639</v>
      </c>
      <c r="M1074" s="549">
        <v>43085</v>
      </c>
      <c r="N1074" s="549">
        <v>43093</v>
      </c>
      <c r="O1074" s="544" t="s">
        <v>955</v>
      </c>
      <c r="P1074" s="550"/>
      <c r="Q1074" s="61" t="s">
        <v>2983</v>
      </c>
      <c r="R1074" s="546" t="s">
        <v>437</v>
      </c>
      <c r="S1074" s="315" t="s">
        <v>2929</v>
      </c>
      <c r="T1074" s="317">
        <v>14</v>
      </c>
    </row>
    <row r="1075" spans="1:20" ht="20.100000000000001" customHeight="1">
      <c r="A1075" s="1171" t="s">
        <v>2957</v>
      </c>
      <c r="B1075" s="1171" t="s">
        <v>537</v>
      </c>
      <c r="C1075" s="1171" t="s">
        <v>2969</v>
      </c>
      <c r="D1075" s="526">
        <v>1535</v>
      </c>
      <c r="E1075" s="526">
        <v>2295</v>
      </c>
      <c r="F1075" s="526">
        <v>2295</v>
      </c>
      <c r="G1075" s="48" t="s">
        <v>62</v>
      </c>
      <c r="H1075" s="22" t="s">
        <v>729</v>
      </c>
      <c r="I1075" s="542" t="s">
        <v>17</v>
      </c>
      <c r="J1075" s="558" t="s">
        <v>797</v>
      </c>
      <c r="K1075" s="558" t="s">
        <v>723</v>
      </c>
      <c r="L1075" s="542" t="s">
        <v>639</v>
      </c>
      <c r="M1075" s="549">
        <v>43085</v>
      </c>
      <c r="N1075" s="549">
        <v>43093</v>
      </c>
      <c r="O1075" s="544" t="s">
        <v>955</v>
      </c>
      <c r="P1075" s="550"/>
      <c r="Q1075" s="61" t="s">
        <v>2983</v>
      </c>
      <c r="R1075" s="546" t="s">
        <v>437</v>
      </c>
      <c r="S1075" s="315" t="s">
        <v>2929</v>
      </c>
      <c r="T1075" s="317">
        <v>14</v>
      </c>
    </row>
    <row r="1076" spans="1:20" ht="20.100000000000001" customHeight="1">
      <c r="A1076" s="1171" t="s">
        <v>2957</v>
      </c>
      <c r="B1076" s="1171" t="s">
        <v>537</v>
      </c>
      <c r="C1076" s="1171" t="s">
        <v>2969</v>
      </c>
      <c r="D1076" s="525">
        <v>870</v>
      </c>
      <c r="E1076" s="525">
        <v>1340</v>
      </c>
      <c r="F1076" s="525">
        <v>1340</v>
      </c>
      <c r="G1076" s="56" t="s">
        <v>33</v>
      </c>
      <c r="H1076" s="674" t="s">
        <v>729</v>
      </c>
      <c r="I1076" s="569" t="s">
        <v>1</v>
      </c>
      <c r="J1076" s="576" t="s">
        <v>163</v>
      </c>
      <c r="K1076" s="558">
        <v>14</v>
      </c>
      <c r="L1076" s="557" t="s">
        <v>637</v>
      </c>
      <c r="M1076" s="549">
        <v>43040</v>
      </c>
      <c r="N1076" s="549">
        <v>43079</v>
      </c>
      <c r="O1076" s="544" t="s">
        <v>955</v>
      </c>
      <c r="P1076" s="553"/>
      <c r="Q1076" s="52"/>
      <c r="R1076" s="561" t="s">
        <v>244</v>
      </c>
      <c r="S1076" s="315" t="s">
        <v>2850</v>
      </c>
      <c r="T1076" s="338"/>
    </row>
    <row r="1077" spans="1:20" ht="20.100000000000001" customHeight="1">
      <c r="A1077" s="1171" t="s">
        <v>2957</v>
      </c>
      <c r="B1077" s="1171" t="s">
        <v>537</v>
      </c>
      <c r="C1077" s="1171" t="s">
        <v>2969</v>
      </c>
      <c r="D1077" s="887">
        <v>1050</v>
      </c>
      <c r="E1077" s="887">
        <v>1150</v>
      </c>
      <c r="F1077" s="887">
        <v>1150</v>
      </c>
      <c r="G1077" s="628" t="s">
        <v>51</v>
      </c>
      <c r="H1077" s="36" t="s">
        <v>2370</v>
      </c>
      <c r="I1077" s="557" t="s">
        <v>16</v>
      </c>
      <c r="J1077" s="569" t="s">
        <v>163</v>
      </c>
      <c r="K1077" s="558" t="s">
        <v>682</v>
      </c>
      <c r="L1077" s="559" t="s">
        <v>637</v>
      </c>
      <c r="M1077" s="381">
        <v>43084</v>
      </c>
      <c r="N1077" s="381">
        <v>43100</v>
      </c>
      <c r="O1077" s="544" t="s">
        <v>955</v>
      </c>
      <c r="P1077" s="545" t="s">
        <v>1537</v>
      </c>
      <c r="Q1077" s="745"/>
      <c r="R1077" s="575" t="s">
        <v>2371</v>
      </c>
      <c r="S1077" s="319"/>
      <c r="T1077" s="317">
        <v>12</v>
      </c>
    </row>
    <row r="1078" spans="1:20" ht="20.100000000000001" customHeight="1">
      <c r="A1078" s="1171" t="s">
        <v>2957</v>
      </c>
      <c r="B1078" s="1171" t="s">
        <v>537</v>
      </c>
      <c r="C1078" s="1171" t="s">
        <v>2969</v>
      </c>
      <c r="D1078" s="887">
        <v>1050</v>
      </c>
      <c r="E1078" s="887">
        <v>1150</v>
      </c>
      <c r="F1078" s="887">
        <v>1150</v>
      </c>
      <c r="G1078" s="628" t="s">
        <v>51</v>
      </c>
      <c r="H1078" s="36" t="s">
        <v>2370</v>
      </c>
      <c r="I1078" s="557" t="s">
        <v>16</v>
      </c>
      <c r="J1078" s="558" t="s">
        <v>1183</v>
      </c>
      <c r="K1078" s="558" t="s">
        <v>682</v>
      </c>
      <c r="L1078" s="559" t="s">
        <v>637</v>
      </c>
      <c r="M1078" s="381">
        <v>43084</v>
      </c>
      <c r="N1078" s="381">
        <v>43100</v>
      </c>
      <c r="O1078" s="544" t="s">
        <v>955</v>
      </c>
      <c r="P1078" s="545" t="s">
        <v>1537</v>
      </c>
      <c r="Q1078" s="745"/>
      <c r="R1078" s="575" t="s">
        <v>2371</v>
      </c>
      <c r="S1078" s="319"/>
      <c r="T1078" s="317">
        <v>12</v>
      </c>
    </row>
    <row r="1079" spans="1:20" ht="20.100000000000001" customHeight="1">
      <c r="A1079" s="1171" t="s">
        <v>2957</v>
      </c>
      <c r="B1079" s="1171" t="s">
        <v>537</v>
      </c>
      <c r="C1079" s="1171" t="s">
        <v>2969</v>
      </c>
      <c r="D1079" s="526">
        <v>685</v>
      </c>
      <c r="E1079" s="526">
        <v>1450</v>
      </c>
      <c r="F1079" s="526">
        <v>1450</v>
      </c>
      <c r="G1079" s="56" t="s">
        <v>12</v>
      </c>
      <c r="H1079" s="36" t="s">
        <v>2968</v>
      </c>
      <c r="I1079" s="569" t="s">
        <v>23</v>
      </c>
      <c r="J1079" s="569" t="s">
        <v>163</v>
      </c>
      <c r="K1079" s="566">
        <v>20</v>
      </c>
      <c r="L1079" s="554" t="s">
        <v>648</v>
      </c>
      <c r="M1079" s="551">
        <v>43043</v>
      </c>
      <c r="N1079" s="551">
        <v>43091</v>
      </c>
      <c r="O1079" s="544" t="s">
        <v>955</v>
      </c>
      <c r="P1079" s="545"/>
      <c r="Q1079" s="52"/>
      <c r="R1079" s="575" t="s">
        <v>1898</v>
      </c>
      <c r="S1079" s="322" t="s">
        <v>1176</v>
      </c>
      <c r="T1079" s="338" t="s">
        <v>1994</v>
      </c>
    </row>
    <row r="1080" spans="1:20" ht="20.100000000000001" customHeight="1">
      <c r="A1080" s="1171" t="s">
        <v>2957</v>
      </c>
      <c r="B1080" s="1171" t="s">
        <v>537</v>
      </c>
      <c r="C1080" s="1171" t="s">
        <v>2969</v>
      </c>
      <c r="D1080" s="525">
        <v>735</v>
      </c>
      <c r="E1080" s="525">
        <v>1370</v>
      </c>
      <c r="F1080" s="525">
        <v>1370</v>
      </c>
      <c r="G1080" s="628" t="s">
        <v>231</v>
      </c>
      <c r="H1080" s="56" t="s">
        <v>634</v>
      </c>
      <c r="I1080" s="569" t="s">
        <v>23</v>
      </c>
      <c r="J1080" s="569" t="s">
        <v>163</v>
      </c>
      <c r="K1080" s="569" t="s">
        <v>743</v>
      </c>
      <c r="L1080" s="557" t="s">
        <v>637</v>
      </c>
      <c r="M1080" s="547">
        <v>43040</v>
      </c>
      <c r="N1080" s="547">
        <v>43087</v>
      </c>
      <c r="O1080" s="544" t="s">
        <v>955</v>
      </c>
      <c r="P1080" s="553"/>
      <c r="Q1080" s="53"/>
      <c r="R1080" s="561" t="s">
        <v>1480</v>
      </c>
      <c r="S1080" s="325"/>
      <c r="T1080" s="338" t="s">
        <v>1897</v>
      </c>
    </row>
    <row r="1081" spans="1:20" ht="20.100000000000001" customHeight="1">
      <c r="A1081" s="1171" t="s">
        <v>2957</v>
      </c>
      <c r="B1081" s="1171" t="s">
        <v>537</v>
      </c>
      <c r="C1081" s="1171" t="s">
        <v>2969</v>
      </c>
      <c r="D1081" s="526">
        <v>735</v>
      </c>
      <c r="E1081" s="526">
        <v>1300</v>
      </c>
      <c r="F1081" s="526">
        <v>1300</v>
      </c>
      <c r="G1081" s="628" t="s">
        <v>10</v>
      </c>
      <c r="H1081" s="36" t="s">
        <v>633</v>
      </c>
      <c r="I1081" s="558" t="s">
        <v>16</v>
      </c>
      <c r="J1081" s="558" t="s">
        <v>70</v>
      </c>
      <c r="K1081" s="558">
        <v>15</v>
      </c>
      <c r="L1081" s="557" t="s">
        <v>637</v>
      </c>
      <c r="M1081" s="547">
        <v>43040</v>
      </c>
      <c r="N1081" s="547">
        <v>43084</v>
      </c>
      <c r="O1081" s="544" t="s">
        <v>955</v>
      </c>
      <c r="P1081" s="553"/>
      <c r="Q1081" s="677"/>
      <c r="R1081" s="548" t="s">
        <v>1015</v>
      </c>
      <c r="S1081" s="316" t="s">
        <v>1176</v>
      </c>
      <c r="T1081" s="317">
        <v>14</v>
      </c>
    </row>
    <row r="1082" spans="1:20" ht="20.100000000000001" customHeight="1">
      <c r="A1082" s="1171" t="s">
        <v>2957</v>
      </c>
      <c r="B1082" s="1171" t="s">
        <v>537</v>
      </c>
      <c r="C1082" s="1171" t="s">
        <v>2969</v>
      </c>
      <c r="D1082" s="526">
        <v>725</v>
      </c>
      <c r="E1082" s="526">
        <v>1275</v>
      </c>
      <c r="F1082" s="526">
        <v>1275</v>
      </c>
      <c r="G1082" s="628" t="s">
        <v>14</v>
      </c>
      <c r="H1082" s="56" t="s">
        <v>742</v>
      </c>
      <c r="I1082" s="557" t="s">
        <v>16</v>
      </c>
      <c r="J1082" s="576" t="s">
        <v>70</v>
      </c>
      <c r="K1082" s="558">
        <v>20</v>
      </c>
      <c r="L1082" s="559" t="s">
        <v>639</v>
      </c>
      <c r="M1082" s="547">
        <v>43086</v>
      </c>
      <c r="N1082" s="547">
        <v>43092</v>
      </c>
      <c r="O1082" s="544" t="s">
        <v>955</v>
      </c>
      <c r="P1082" s="545"/>
      <c r="Q1082" s="7"/>
      <c r="R1082" s="17" t="s">
        <v>449</v>
      </c>
      <c r="S1082" s="322" t="s">
        <v>1176</v>
      </c>
      <c r="T1082" s="338"/>
    </row>
    <row r="1083" spans="1:20" ht="20.100000000000001" customHeight="1">
      <c r="A1083" s="1171" t="s">
        <v>2957</v>
      </c>
      <c r="B1083" s="1171" t="s">
        <v>537</v>
      </c>
      <c r="C1083" s="1171" t="s">
        <v>2969</v>
      </c>
      <c r="D1083" s="526">
        <v>870</v>
      </c>
      <c r="E1083" s="526">
        <v>1440</v>
      </c>
      <c r="F1083" s="526">
        <v>1440</v>
      </c>
      <c r="G1083" s="56" t="s">
        <v>29</v>
      </c>
      <c r="H1083" s="56" t="s">
        <v>886</v>
      </c>
      <c r="I1083" s="576" t="s">
        <v>23</v>
      </c>
      <c r="J1083" s="576" t="s">
        <v>163</v>
      </c>
      <c r="K1083" s="558">
        <v>21</v>
      </c>
      <c r="L1083" s="557" t="s">
        <v>637</v>
      </c>
      <c r="M1083" s="547">
        <v>43038</v>
      </c>
      <c r="N1083" s="547">
        <v>43072</v>
      </c>
      <c r="O1083" s="544" t="s">
        <v>955</v>
      </c>
      <c r="P1083" s="544"/>
      <c r="Q1083" s="76"/>
      <c r="R1083" s="546" t="s">
        <v>2105</v>
      </c>
      <c r="S1083" s="319" t="s">
        <v>1176</v>
      </c>
      <c r="T1083" s="338" t="s">
        <v>1988</v>
      </c>
    </row>
    <row r="1084" spans="1:20" ht="20.100000000000001" customHeight="1">
      <c r="A1084" s="1171" t="s">
        <v>2957</v>
      </c>
      <c r="B1084" s="1171" t="s">
        <v>537</v>
      </c>
      <c r="C1084" s="1171" t="s">
        <v>2969</v>
      </c>
      <c r="D1084" s="526">
        <v>870</v>
      </c>
      <c r="E1084" s="526">
        <v>1440</v>
      </c>
      <c r="F1084" s="526">
        <v>1440</v>
      </c>
      <c r="G1084" s="56" t="s">
        <v>29</v>
      </c>
      <c r="H1084" s="56" t="s">
        <v>886</v>
      </c>
      <c r="I1084" s="576" t="s">
        <v>16</v>
      </c>
      <c r="J1084" s="576" t="s">
        <v>163</v>
      </c>
      <c r="K1084" s="558">
        <v>21</v>
      </c>
      <c r="L1084" s="557" t="s">
        <v>637</v>
      </c>
      <c r="M1084" s="547">
        <v>43038</v>
      </c>
      <c r="N1084" s="547">
        <v>43072</v>
      </c>
      <c r="O1084" s="544" t="s">
        <v>955</v>
      </c>
      <c r="P1084" s="544"/>
      <c r="Q1084" s="76"/>
      <c r="R1084" s="546" t="s">
        <v>2105</v>
      </c>
      <c r="S1084" s="319" t="s">
        <v>1176</v>
      </c>
      <c r="T1084" s="338" t="s">
        <v>1988</v>
      </c>
    </row>
    <row r="1085" spans="1:20" ht="20.100000000000001" customHeight="1">
      <c r="A1085" s="1171" t="s">
        <v>2957</v>
      </c>
      <c r="B1085" s="1171" t="s">
        <v>537</v>
      </c>
      <c r="C1085" s="1171" t="s">
        <v>2969</v>
      </c>
      <c r="D1085" s="526">
        <v>1110</v>
      </c>
      <c r="E1085" s="526">
        <v>1620</v>
      </c>
      <c r="F1085" s="526">
        <v>1620</v>
      </c>
      <c r="G1085" s="4" t="s">
        <v>232</v>
      </c>
      <c r="H1085" s="674" t="s">
        <v>634</v>
      </c>
      <c r="I1085" s="557" t="s">
        <v>16</v>
      </c>
      <c r="J1085" s="576" t="s">
        <v>163</v>
      </c>
      <c r="K1085" s="564" t="s">
        <v>682</v>
      </c>
      <c r="L1085" s="554" t="s">
        <v>643</v>
      </c>
      <c r="M1085" s="551">
        <v>43037</v>
      </c>
      <c r="N1085" s="551">
        <v>43086</v>
      </c>
      <c r="O1085" s="544" t="s">
        <v>955</v>
      </c>
      <c r="P1085" s="545"/>
      <c r="Q1085" s="7"/>
      <c r="R1085" s="546" t="s">
        <v>196</v>
      </c>
      <c r="S1085" s="319"/>
      <c r="T1085" s="317" t="s">
        <v>1678</v>
      </c>
    </row>
    <row r="1086" spans="1:20" ht="20.100000000000001" customHeight="1">
      <c r="A1086" s="1171" t="s">
        <v>2957</v>
      </c>
      <c r="B1086" s="1171" t="s">
        <v>537</v>
      </c>
      <c r="C1086" s="1171" t="s">
        <v>2969</v>
      </c>
      <c r="D1086" s="525">
        <v>790</v>
      </c>
      <c r="E1086" s="525">
        <v>1200</v>
      </c>
      <c r="F1086" s="525">
        <v>1200</v>
      </c>
      <c r="G1086" s="4" t="s">
        <v>37</v>
      </c>
      <c r="H1086" s="48" t="s">
        <v>1653</v>
      </c>
      <c r="I1086" s="558" t="s">
        <v>16</v>
      </c>
      <c r="J1086" s="576" t="s">
        <v>163</v>
      </c>
      <c r="K1086" s="576">
        <v>18</v>
      </c>
      <c r="L1086" s="557" t="s">
        <v>637</v>
      </c>
      <c r="M1086" s="543">
        <v>43040</v>
      </c>
      <c r="N1086" s="543">
        <v>43084</v>
      </c>
      <c r="O1086" s="544" t="s">
        <v>955</v>
      </c>
      <c r="P1086" s="553"/>
      <c r="Q1086" s="7"/>
      <c r="R1086" s="548" t="s">
        <v>1877</v>
      </c>
      <c r="S1086" s="319" t="s">
        <v>1176</v>
      </c>
      <c r="T1086" s="338"/>
    </row>
    <row r="1087" spans="1:20" ht="20.100000000000001" customHeight="1">
      <c r="A1087" s="1171" t="s">
        <v>2957</v>
      </c>
      <c r="B1087" s="1171" t="s">
        <v>537</v>
      </c>
      <c r="C1087" s="1171" t="s">
        <v>2969</v>
      </c>
      <c r="D1087" s="525">
        <v>790</v>
      </c>
      <c r="E1087" s="525">
        <v>1200</v>
      </c>
      <c r="F1087" s="525">
        <v>1200</v>
      </c>
      <c r="G1087" s="4" t="s">
        <v>37</v>
      </c>
      <c r="H1087" s="48" t="s">
        <v>1653</v>
      </c>
      <c r="I1087" s="558" t="s">
        <v>16</v>
      </c>
      <c r="J1087" s="576" t="s">
        <v>70</v>
      </c>
      <c r="K1087" s="576">
        <v>18</v>
      </c>
      <c r="L1087" s="557" t="s">
        <v>637</v>
      </c>
      <c r="M1087" s="543">
        <v>43040</v>
      </c>
      <c r="N1087" s="543">
        <v>43084</v>
      </c>
      <c r="O1087" s="544" t="s">
        <v>955</v>
      </c>
      <c r="P1087" s="553"/>
      <c r="Q1087" s="7"/>
      <c r="R1087" s="548" t="s">
        <v>1877</v>
      </c>
      <c r="S1087" s="319" t="s">
        <v>1176</v>
      </c>
      <c r="T1087" s="338"/>
    </row>
    <row r="1088" spans="1:20" ht="20.100000000000001" customHeight="1">
      <c r="A1088" s="1171" t="s">
        <v>2957</v>
      </c>
      <c r="B1088" s="1171" t="s">
        <v>537</v>
      </c>
      <c r="C1088" s="1171" t="s">
        <v>2969</v>
      </c>
      <c r="D1088" s="526">
        <v>845</v>
      </c>
      <c r="E1088" s="526">
        <v>1390</v>
      </c>
      <c r="F1088" s="526">
        <v>1390</v>
      </c>
      <c r="G1088" s="48" t="s">
        <v>568</v>
      </c>
      <c r="H1088" s="47" t="s">
        <v>742</v>
      </c>
      <c r="I1088" s="557" t="s">
        <v>16</v>
      </c>
      <c r="J1088" s="557" t="s">
        <v>163</v>
      </c>
      <c r="K1088" s="571"/>
      <c r="L1088" s="559" t="s">
        <v>639</v>
      </c>
      <c r="M1088" s="551">
        <v>43070</v>
      </c>
      <c r="N1088" s="551">
        <v>43083</v>
      </c>
      <c r="O1088" s="544" t="s">
        <v>955</v>
      </c>
      <c r="P1088" s="545"/>
      <c r="Q1088" s="52"/>
      <c r="R1088" s="546" t="s">
        <v>171</v>
      </c>
      <c r="S1088" s="321"/>
      <c r="T1088" s="338"/>
    </row>
    <row r="1089" spans="1:20" ht="20.100000000000001" customHeight="1">
      <c r="A1089" s="1171" t="s">
        <v>2957</v>
      </c>
      <c r="B1089" s="1171" t="s">
        <v>537</v>
      </c>
      <c r="C1089" s="1171" t="s">
        <v>2969</v>
      </c>
      <c r="D1089" s="525">
        <v>1113</v>
      </c>
      <c r="E1089" s="525">
        <v>1313</v>
      </c>
      <c r="F1089" s="525">
        <v>1313</v>
      </c>
      <c r="G1089" s="66" t="s">
        <v>19</v>
      </c>
      <c r="H1089" s="56" t="s">
        <v>742</v>
      </c>
      <c r="I1089" s="558" t="s">
        <v>16</v>
      </c>
      <c r="J1089" s="569"/>
      <c r="K1089" s="566" t="s">
        <v>151</v>
      </c>
      <c r="L1089" s="559" t="s">
        <v>639</v>
      </c>
      <c r="M1089" s="559"/>
      <c r="N1089" s="549">
        <v>42825</v>
      </c>
      <c r="O1089" s="544" t="s">
        <v>955</v>
      </c>
      <c r="P1089" s="553"/>
      <c r="Q1089" s="52"/>
      <c r="R1089" s="546" t="s">
        <v>187</v>
      </c>
      <c r="S1089" s="316"/>
      <c r="T1089" s="338"/>
    </row>
    <row r="1090" spans="1:20" ht="20.100000000000001" customHeight="1">
      <c r="A1090" s="1171" t="s">
        <v>2957</v>
      </c>
      <c r="B1090" s="1171" t="s">
        <v>537</v>
      </c>
      <c r="C1090" s="1171" t="s">
        <v>2969</v>
      </c>
      <c r="D1090" s="525">
        <v>1390</v>
      </c>
      <c r="E1090" s="525">
        <v>2680</v>
      </c>
      <c r="F1090" s="525">
        <v>2680</v>
      </c>
      <c r="G1090" s="48" t="s">
        <v>30</v>
      </c>
      <c r="H1090" s="56" t="s">
        <v>742</v>
      </c>
      <c r="I1090" s="558" t="s">
        <v>16</v>
      </c>
      <c r="J1090" s="558" t="s">
        <v>163</v>
      </c>
      <c r="K1090" s="558">
        <v>14</v>
      </c>
      <c r="L1090" s="559" t="s">
        <v>637</v>
      </c>
      <c r="M1090" s="568">
        <v>43040</v>
      </c>
      <c r="N1090" s="568">
        <v>43100</v>
      </c>
      <c r="O1090" s="544" t="s">
        <v>955</v>
      </c>
      <c r="P1090" s="544"/>
      <c r="Q1090" s="677"/>
      <c r="R1090" s="546" t="s">
        <v>1977</v>
      </c>
      <c r="S1090" s="319"/>
      <c r="T1090" s="317">
        <v>14</v>
      </c>
    </row>
    <row r="1091" spans="1:20" ht="20.100000000000001" customHeight="1">
      <c r="A1091" s="1171" t="s">
        <v>2957</v>
      </c>
      <c r="B1091" s="1171" t="s">
        <v>537</v>
      </c>
      <c r="C1091" s="1171" t="s">
        <v>2969</v>
      </c>
      <c r="D1091" s="525"/>
      <c r="E1091" s="525"/>
      <c r="F1091" s="525"/>
      <c r="G1091" s="699" t="s">
        <v>76</v>
      </c>
      <c r="H1091" s="22" t="s">
        <v>657</v>
      </c>
      <c r="I1091" s="558" t="s">
        <v>16</v>
      </c>
      <c r="J1091" s="557"/>
      <c r="K1091" s="558">
        <v>20</v>
      </c>
      <c r="L1091" s="557" t="s">
        <v>637</v>
      </c>
      <c r="M1091" s="6">
        <v>43045</v>
      </c>
      <c r="N1091" s="6">
        <v>43093</v>
      </c>
      <c r="O1091" s="544" t="s">
        <v>955</v>
      </c>
      <c r="P1091" s="565"/>
      <c r="Q1091" s="7"/>
      <c r="R1091" s="546" t="s">
        <v>2295</v>
      </c>
      <c r="S1091" s="315" t="s">
        <v>2863</v>
      </c>
      <c r="T1091" s="338"/>
    </row>
    <row r="1092" spans="1:20" ht="20.100000000000001" customHeight="1">
      <c r="A1092" s="1171" t="s">
        <v>2957</v>
      </c>
      <c r="B1092" s="1171" t="s">
        <v>537</v>
      </c>
      <c r="C1092" s="1171" t="s">
        <v>2969</v>
      </c>
      <c r="D1092" s="526">
        <v>1110</v>
      </c>
      <c r="E1092" s="526">
        <v>1620</v>
      </c>
      <c r="F1092" s="526">
        <v>1620</v>
      </c>
      <c r="G1092" s="56" t="s">
        <v>232</v>
      </c>
      <c r="H1092" s="56" t="s">
        <v>629</v>
      </c>
      <c r="I1092" s="542" t="s">
        <v>16</v>
      </c>
      <c r="J1092" s="569" t="s">
        <v>163</v>
      </c>
      <c r="K1092" s="566">
        <v>19</v>
      </c>
      <c r="L1092" s="557" t="s">
        <v>637</v>
      </c>
      <c r="M1092" s="551">
        <v>43037</v>
      </c>
      <c r="N1092" s="551">
        <v>43086</v>
      </c>
      <c r="O1092" s="544" t="s">
        <v>955</v>
      </c>
      <c r="P1092" s="545"/>
      <c r="Q1092" s="7"/>
      <c r="R1092" s="561" t="s">
        <v>1300</v>
      </c>
      <c r="S1092" s="325"/>
      <c r="T1092" s="317" t="s">
        <v>1678</v>
      </c>
    </row>
    <row r="1093" spans="1:20" ht="20.100000000000001" customHeight="1">
      <c r="A1093" s="1171" t="s">
        <v>2957</v>
      </c>
      <c r="B1093" s="1171" t="s">
        <v>537</v>
      </c>
      <c r="C1093" s="1171" t="s">
        <v>2969</v>
      </c>
      <c r="D1093" s="526">
        <v>800</v>
      </c>
      <c r="E1093" s="526">
        <v>1400</v>
      </c>
      <c r="F1093" s="526">
        <v>1400</v>
      </c>
      <c r="G1093" s="48" t="s">
        <v>13</v>
      </c>
      <c r="H1093" s="48" t="s">
        <v>760</v>
      </c>
      <c r="I1093" s="558" t="s">
        <v>16</v>
      </c>
      <c r="J1093" s="558" t="s">
        <v>163</v>
      </c>
      <c r="K1093" s="558">
        <v>18</v>
      </c>
      <c r="L1093" s="557" t="s">
        <v>637</v>
      </c>
      <c r="M1093" s="6">
        <v>43040</v>
      </c>
      <c r="N1093" s="6">
        <v>43100</v>
      </c>
      <c r="O1093" s="544" t="s">
        <v>955</v>
      </c>
      <c r="P1093" s="553"/>
      <c r="Q1093" s="677"/>
      <c r="R1093" s="546" t="s">
        <v>1958</v>
      </c>
      <c r="S1093" s="319" t="s">
        <v>1176</v>
      </c>
      <c r="T1093" s="338" t="s">
        <v>2875</v>
      </c>
    </row>
    <row r="1094" spans="1:20" ht="20.100000000000001" customHeight="1">
      <c r="A1094" s="1171" t="s">
        <v>2957</v>
      </c>
      <c r="B1094" s="1171" t="s">
        <v>537</v>
      </c>
      <c r="C1094" s="1171" t="s">
        <v>303</v>
      </c>
      <c r="D1094" s="526">
        <v>800</v>
      </c>
      <c r="E1094" s="526">
        <v>1400</v>
      </c>
      <c r="F1094" s="526">
        <v>1400</v>
      </c>
      <c r="G1094" s="48" t="s">
        <v>432</v>
      </c>
      <c r="H1094" s="47">
        <v>4</v>
      </c>
      <c r="I1094" s="19" t="s">
        <v>23</v>
      </c>
      <c r="J1094" s="30" t="s">
        <v>2970</v>
      </c>
      <c r="K1094" s="577"/>
      <c r="L1094" s="559" t="s">
        <v>639</v>
      </c>
      <c r="M1094" s="549">
        <v>43076</v>
      </c>
      <c r="N1094" s="549">
        <v>43086</v>
      </c>
      <c r="O1094" s="544" t="s">
        <v>955</v>
      </c>
      <c r="P1094" s="553"/>
      <c r="Q1094" s="7"/>
      <c r="R1094" s="546" t="s">
        <v>316</v>
      </c>
      <c r="S1094" s="704" t="s">
        <v>1176</v>
      </c>
      <c r="T1094" s="338"/>
    </row>
    <row r="1095" spans="1:20" ht="20.100000000000001" customHeight="1">
      <c r="A1095" s="1171" t="s">
        <v>2957</v>
      </c>
      <c r="B1095" s="1171" t="s">
        <v>537</v>
      </c>
      <c r="C1095" s="1171" t="s">
        <v>2969</v>
      </c>
      <c r="D1095" s="525">
        <v>940</v>
      </c>
      <c r="E1095" s="525">
        <v>1830</v>
      </c>
      <c r="F1095" s="525">
        <v>1830</v>
      </c>
      <c r="G1095" s="224" t="s">
        <v>434</v>
      </c>
      <c r="H1095" s="36" t="s">
        <v>631</v>
      </c>
      <c r="I1095" s="558" t="s">
        <v>16</v>
      </c>
      <c r="J1095" s="557"/>
      <c r="K1095" s="558">
        <v>16</v>
      </c>
      <c r="L1095" s="557" t="s">
        <v>637</v>
      </c>
      <c r="M1095" s="549">
        <v>43038</v>
      </c>
      <c r="N1095" s="549">
        <v>43093</v>
      </c>
      <c r="O1095" s="544" t="s">
        <v>955</v>
      </c>
      <c r="P1095" s="553"/>
      <c r="Q1095" s="74"/>
      <c r="R1095" s="555" t="s">
        <v>1560</v>
      </c>
      <c r="S1095" s="321" t="s">
        <v>1176</v>
      </c>
      <c r="T1095" s="317" t="s">
        <v>2824</v>
      </c>
    </row>
    <row r="1096" spans="1:20" ht="20.100000000000001" customHeight="1">
      <c r="A1096" s="1171" t="s">
        <v>2957</v>
      </c>
      <c r="B1096" s="1171" t="s">
        <v>537</v>
      </c>
      <c r="C1096" s="1171" t="s">
        <v>2969</v>
      </c>
      <c r="D1096" s="525">
        <v>1250</v>
      </c>
      <c r="E1096" s="525">
        <v>1900</v>
      </c>
      <c r="F1096" s="525">
        <v>1900</v>
      </c>
      <c r="G1096" s="56" t="s">
        <v>87</v>
      </c>
      <c r="H1096" s="36" t="s">
        <v>631</v>
      </c>
      <c r="I1096" s="566" t="s">
        <v>16</v>
      </c>
      <c r="J1096" s="566" t="s">
        <v>1987</v>
      </c>
      <c r="K1096" s="566">
        <v>17</v>
      </c>
      <c r="L1096" s="557" t="s">
        <v>637</v>
      </c>
      <c r="M1096" s="551">
        <v>43063</v>
      </c>
      <c r="N1096" s="551">
        <v>43086</v>
      </c>
      <c r="O1096" s="544" t="s">
        <v>955</v>
      </c>
      <c r="P1096" s="545"/>
      <c r="Q1096" s="746"/>
      <c r="R1096" s="556" t="s">
        <v>849</v>
      </c>
      <c r="S1096" s="315" t="s">
        <v>2849</v>
      </c>
      <c r="T1096" s="338" t="s">
        <v>2874</v>
      </c>
    </row>
    <row r="1097" spans="1:20" ht="20.100000000000001" customHeight="1">
      <c r="A1097" s="1171" t="s">
        <v>2957</v>
      </c>
      <c r="B1097" s="1171" t="s">
        <v>537</v>
      </c>
      <c r="C1097" s="1171" t="s">
        <v>2969</v>
      </c>
      <c r="D1097" s="526">
        <v>765</v>
      </c>
      <c r="E1097" s="526">
        <v>1380</v>
      </c>
      <c r="F1097" s="526">
        <v>1380</v>
      </c>
      <c r="G1097" s="659" t="s">
        <v>28</v>
      </c>
      <c r="H1097" s="56" t="s">
        <v>681</v>
      </c>
      <c r="I1097" s="559" t="s">
        <v>23</v>
      </c>
      <c r="J1097" s="576" t="s">
        <v>163</v>
      </c>
      <c r="K1097" s="558" t="s">
        <v>151</v>
      </c>
      <c r="L1097" s="557" t="s">
        <v>637</v>
      </c>
      <c r="M1097" s="549">
        <v>43041</v>
      </c>
      <c r="N1097" s="549">
        <v>43089</v>
      </c>
      <c r="O1097" s="544" t="s">
        <v>955</v>
      </c>
      <c r="P1097" s="553"/>
      <c r="Q1097" s="7"/>
      <c r="R1097" s="546" t="s">
        <v>1986</v>
      </c>
      <c r="S1097" s="315" t="s">
        <v>2866</v>
      </c>
      <c r="T1097" s="338"/>
    </row>
    <row r="1098" spans="1:20" ht="20.100000000000001" customHeight="1">
      <c r="A1098" s="1171" t="s">
        <v>2957</v>
      </c>
      <c r="B1098" s="1171" t="s">
        <v>537</v>
      </c>
      <c r="C1098" s="1171" t="s">
        <v>2969</v>
      </c>
      <c r="D1098" s="526">
        <v>765</v>
      </c>
      <c r="E1098" s="526">
        <v>1380</v>
      </c>
      <c r="F1098" s="526">
        <v>1380</v>
      </c>
      <c r="G1098" s="659" t="s">
        <v>28</v>
      </c>
      <c r="H1098" s="56" t="s">
        <v>681</v>
      </c>
      <c r="I1098" s="559" t="s">
        <v>16</v>
      </c>
      <c r="J1098" s="576" t="s">
        <v>70</v>
      </c>
      <c r="K1098" s="558" t="s">
        <v>151</v>
      </c>
      <c r="L1098" s="557" t="s">
        <v>649</v>
      </c>
      <c r="M1098" s="549">
        <v>43041</v>
      </c>
      <c r="N1098" s="549">
        <v>43089</v>
      </c>
      <c r="O1098" s="544" t="s">
        <v>955</v>
      </c>
      <c r="P1098" s="553"/>
      <c r="Q1098" s="7"/>
      <c r="R1098" s="546" t="s">
        <v>179</v>
      </c>
      <c r="S1098" s="315" t="s">
        <v>2866</v>
      </c>
      <c r="T1098" s="338"/>
    </row>
    <row r="1099" spans="1:20" ht="20.100000000000001" customHeight="1">
      <c r="A1099" s="1172" t="s">
        <v>2957</v>
      </c>
      <c r="B1099" s="1172" t="s">
        <v>537</v>
      </c>
      <c r="C1099" s="1172" t="s">
        <v>2969</v>
      </c>
      <c r="D1099" s="526">
        <v>900</v>
      </c>
      <c r="E1099" s="526">
        <v>1500</v>
      </c>
      <c r="F1099" s="526">
        <v>1500</v>
      </c>
      <c r="G1099" s="224" t="s">
        <v>22</v>
      </c>
      <c r="H1099" s="56" t="s">
        <v>706</v>
      </c>
      <c r="I1099" s="558" t="s">
        <v>16</v>
      </c>
      <c r="J1099" s="571" t="s">
        <v>70</v>
      </c>
      <c r="K1099" s="569">
        <v>18</v>
      </c>
      <c r="L1099" s="559" t="s">
        <v>643</v>
      </c>
      <c r="M1099" s="547">
        <v>43009</v>
      </c>
      <c r="N1099" s="547">
        <v>43069</v>
      </c>
      <c r="O1099" s="544" t="s">
        <v>955</v>
      </c>
      <c r="P1099" s="553"/>
      <c r="Q1099" s="60"/>
      <c r="R1099" s="546" t="s">
        <v>1783</v>
      </c>
      <c r="S1099" s="316" t="s">
        <v>1176</v>
      </c>
      <c r="T1099" s="317">
        <v>14</v>
      </c>
    </row>
    <row r="1100" spans="1:20" ht="20.100000000000001" customHeight="1">
      <c r="A1100" s="732" t="s">
        <v>2958</v>
      </c>
      <c r="B1100" s="573" t="s">
        <v>1985</v>
      </c>
      <c r="C1100" s="573" t="s">
        <v>1651</v>
      </c>
      <c r="D1100" s="525">
        <v>2450</v>
      </c>
      <c r="E1100" s="525">
        <v>3900</v>
      </c>
      <c r="F1100" s="525">
        <v>3900</v>
      </c>
      <c r="G1100" s="628" t="s">
        <v>10</v>
      </c>
      <c r="H1100" s="36">
        <v>7</v>
      </c>
      <c r="I1100" s="576" t="s">
        <v>330</v>
      </c>
      <c r="J1100" s="576"/>
      <c r="K1100" s="577"/>
      <c r="L1100" s="557" t="s">
        <v>637</v>
      </c>
      <c r="M1100" s="547">
        <v>43040</v>
      </c>
      <c r="N1100" s="547">
        <v>43084</v>
      </c>
      <c r="O1100" s="544" t="s">
        <v>955</v>
      </c>
      <c r="P1100" s="562" t="s">
        <v>1416</v>
      </c>
      <c r="Q1100" s="683" t="s">
        <v>4524</v>
      </c>
      <c r="R1100" s="546" t="s">
        <v>195</v>
      </c>
      <c r="S1100" s="316" t="s">
        <v>1176</v>
      </c>
      <c r="T1100" s="317">
        <v>14</v>
      </c>
    </row>
    <row r="1101" spans="1:20" ht="20.100000000000001" customHeight="1">
      <c r="A1101" s="1127" t="s">
        <v>2957</v>
      </c>
      <c r="B1101" s="1169" t="s">
        <v>393</v>
      </c>
      <c r="C1101" s="1169" t="s">
        <v>394</v>
      </c>
      <c r="D1101" s="525">
        <v>645</v>
      </c>
      <c r="E1101" s="525">
        <v>1040</v>
      </c>
      <c r="F1101" s="525">
        <v>1040</v>
      </c>
      <c r="G1101" s="56" t="s">
        <v>33</v>
      </c>
      <c r="H1101" s="54" t="s">
        <v>729</v>
      </c>
      <c r="I1101" s="542" t="s">
        <v>80</v>
      </c>
      <c r="J1101" s="569"/>
      <c r="K1101" s="569">
        <v>16</v>
      </c>
      <c r="L1101" s="557" t="s">
        <v>637</v>
      </c>
      <c r="M1101" s="549">
        <v>43040</v>
      </c>
      <c r="N1101" s="549">
        <v>43079</v>
      </c>
      <c r="O1101" s="544" t="s">
        <v>955</v>
      </c>
      <c r="P1101" s="545"/>
      <c r="Q1101" s="52"/>
      <c r="R1101" s="561" t="s">
        <v>244</v>
      </c>
      <c r="S1101" s="315" t="s">
        <v>2850</v>
      </c>
      <c r="T1101" s="338"/>
    </row>
    <row r="1102" spans="1:20" ht="20.100000000000001" customHeight="1">
      <c r="A1102" s="1127" t="s">
        <v>2957</v>
      </c>
      <c r="B1102" s="1169" t="s">
        <v>393</v>
      </c>
      <c r="C1102" s="1169" t="s">
        <v>394</v>
      </c>
      <c r="D1102" s="273">
        <v>1185</v>
      </c>
      <c r="E1102" s="273">
        <v>2120</v>
      </c>
      <c r="F1102" s="273">
        <v>2120</v>
      </c>
      <c r="G1102" s="55" t="s">
        <v>37</v>
      </c>
      <c r="H1102" s="48" t="s">
        <v>1875</v>
      </c>
      <c r="I1102" s="558" t="s">
        <v>16</v>
      </c>
      <c r="J1102" s="557"/>
      <c r="K1102" s="558" t="s">
        <v>151</v>
      </c>
      <c r="L1102" s="557" t="s">
        <v>637</v>
      </c>
      <c r="M1102" s="543">
        <v>43040</v>
      </c>
      <c r="N1102" s="543">
        <v>43084</v>
      </c>
      <c r="O1102" s="544" t="s">
        <v>955</v>
      </c>
      <c r="P1102" s="553"/>
      <c r="Q1102" s="7"/>
      <c r="R1102" s="546" t="s">
        <v>1876</v>
      </c>
      <c r="S1102" s="319" t="s">
        <v>1176</v>
      </c>
      <c r="T1102" s="338"/>
    </row>
    <row r="1103" spans="1:20" ht="20.100000000000001" customHeight="1">
      <c r="A1103" s="1127" t="s">
        <v>2957</v>
      </c>
      <c r="B1103" s="1169" t="s">
        <v>393</v>
      </c>
      <c r="C1103" s="1169" t="s">
        <v>394</v>
      </c>
      <c r="D1103" s="526">
        <v>650</v>
      </c>
      <c r="E1103" s="526">
        <v>1300</v>
      </c>
      <c r="F1103" s="526">
        <v>1300</v>
      </c>
      <c r="G1103" s="48" t="s">
        <v>13</v>
      </c>
      <c r="H1103" s="48" t="s">
        <v>760</v>
      </c>
      <c r="I1103" s="558" t="s">
        <v>16</v>
      </c>
      <c r="J1103" s="558"/>
      <c r="K1103" s="558">
        <v>16</v>
      </c>
      <c r="L1103" s="557" t="s">
        <v>637</v>
      </c>
      <c r="M1103" s="6">
        <v>43070</v>
      </c>
      <c r="N1103" s="6">
        <v>43100</v>
      </c>
      <c r="O1103" s="544" t="s">
        <v>955</v>
      </c>
      <c r="P1103" s="553"/>
      <c r="Q1103" s="677"/>
      <c r="R1103" s="546" t="s">
        <v>1958</v>
      </c>
      <c r="S1103" s="319" t="s">
        <v>1176</v>
      </c>
      <c r="T1103" s="338" t="s">
        <v>2875</v>
      </c>
    </row>
    <row r="1104" spans="1:20" ht="19.5" customHeight="1">
      <c r="A1104" s="1127" t="s">
        <v>2957</v>
      </c>
      <c r="B1104" s="1169" t="s">
        <v>393</v>
      </c>
      <c r="C1104" s="1169" t="s">
        <v>394</v>
      </c>
      <c r="D1104" s="11">
        <f>D1071+500</f>
        <v>750</v>
      </c>
      <c r="E1104" s="11">
        <f>E1071+900</f>
        <v>1400</v>
      </c>
      <c r="F1104" s="11">
        <f>F1071+900</f>
        <v>1400</v>
      </c>
      <c r="G1104" s="609" t="s">
        <v>51</v>
      </c>
      <c r="H1104" s="36" t="s">
        <v>2370</v>
      </c>
      <c r="I1104" s="557" t="s">
        <v>16</v>
      </c>
      <c r="J1104" s="558"/>
      <c r="K1104" s="558">
        <v>15</v>
      </c>
      <c r="L1104" s="559" t="s">
        <v>637</v>
      </c>
      <c r="M1104" s="381">
        <v>43040</v>
      </c>
      <c r="N1104" s="381">
        <v>43088</v>
      </c>
      <c r="O1104" s="544" t="s">
        <v>955</v>
      </c>
      <c r="P1104" s="545"/>
      <c r="Q1104" s="52"/>
      <c r="R1104" s="575" t="s">
        <v>2371</v>
      </c>
      <c r="S1104" s="315" t="s">
        <v>2866</v>
      </c>
      <c r="T1104" s="317">
        <v>12</v>
      </c>
    </row>
    <row r="1105" spans="1:20" ht="20.100000000000001" customHeight="1">
      <c r="A1105" s="1127" t="s">
        <v>2957</v>
      </c>
      <c r="B1105" s="1169" t="s">
        <v>393</v>
      </c>
      <c r="C1105" s="1169" t="s">
        <v>394</v>
      </c>
      <c r="D1105" s="526">
        <v>615</v>
      </c>
      <c r="E1105" s="526">
        <v>930</v>
      </c>
      <c r="F1105" s="526">
        <v>930</v>
      </c>
      <c r="G1105" s="69" t="s">
        <v>62</v>
      </c>
      <c r="H1105" s="56" t="s">
        <v>681</v>
      </c>
      <c r="I1105" s="566" t="s">
        <v>1</v>
      </c>
      <c r="J1105" s="559"/>
      <c r="K1105" s="559" t="s">
        <v>743</v>
      </c>
      <c r="L1105" s="542" t="s">
        <v>649</v>
      </c>
      <c r="M1105" s="549">
        <v>43039</v>
      </c>
      <c r="N1105" s="549">
        <v>43086</v>
      </c>
      <c r="O1105" s="544" t="s">
        <v>955</v>
      </c>
      <c r="P1105" s="562"/>
      <c r="Q1105" s="683"/>
      <c r="R1105" s="546" t="s">
        <v>1845</v>
      </c>
      <c r="S1105" s="315" t="s">
        <v>2848</v>
      </c>
      <c r="T1105" s="338"/>
    </row>
    <row r="1106" spans="1:20" ht="20.100000000000001" customHeight="1">
      <c r="A1106" s="1127" t="s">
        <v>2957</v>
      </c>
      <c r="B1106" s="1169" t="s">
        <v>395</v>
      </c>
      <c r="C1106" s="1169" t="s">
        <v>441</v>
      </c>
      <c r="D1106" s="529">
        <v>450</v>
      </c>
      <c r="E1106" s="529">
        <v>700</v>
      </c>
      <c r="F1106" s="529">
        <v>700</v>
      </c>
      <c r="G1106" s="224" t="s">
        <v>22</v>
      </c>
      <c r="H1106" s="36" t="s">
        <v>740</v>
      </c>
      <c r="I1106" s="558" t="s">
        <v>80</v>
      </c>
      <c r="J1106" s="559"/>
      <c r="K1106" s="559" t="s">
        <v>20</v>
      </c>
      <c r="L1106" s="559" t="s">
        <v>643</v>
      </c>
      <c r="M1106" s="547">
        <v>43009</v>
      </c>
      <c r="N1106" s="547">
        <v>43069</v>
      </c>
      <c r="O1106" s="544" t="s">
        <v>955</v>
      </c>
      <c r="P1106" s="553"/>
      <c r="Q1106" s="683"/>
      <c r="R1106" s="561" t="s">
        <v>2019</v>
      </c>
      <c r="S1106" s="316" t="s">
        <v>1176</v>
      </c>
      <c r="T1106" s="317">
        <v>14</v>
      </c>
    </row>
    <row r="1107" spans="1:20" ht="20.100000000000001" customHeight="1">
      <c r="A1107" s="1127" t="s">
        <v>2957</v>
      </c>
      <c r="B1107" s="1169" t="s">
        <v>395</v>
      </c>
      <c r="C1107" s="1169" t="s">
        <v>441</v>
      </c>
      <c r="D1107" s="529">
        <v>450</v>
      </c>
      <c r="E1107" s="529">
        <v>700</v>
      </c>
      <c r="F1107" s="529">
        <v>700</v>
      </c>
      <c r="G1107" s="628" t="s">
        <v>14</v>
      </c>
      <c r="H1107" s="56" t="s">
        <v>742</v>
      </c>
      <c r="I1107" s="557" t="s">
        <v>16</v>
      </c>
      <c r="J1107" s="558"/>
      <c r="K1107" s="558">
        <v>14</v>
      </c>
      <c r="L1107" s="559" t="s">
        <v>639</v>
      </c>
      <c r="M1107" s="547">
        <v>43086</v>
      </c>
      <c r="N1107" s="547">
        <v>43092</v>
      </c>
      <c r="O1107" s="544" t="s">
        <v>955</v>
      </c>
      <c r="P1107" s="545"/>
      <c r="Q1107" s="7"/>
      <c r="R1107" s="17" t="s">
        <v>449</v>
      </c>
      <c r="S1107" s="319"/>
      <c r="T1107" s="338"/>
    </row>
    <row r="1108" spans="1:20" ht="20.100000000000001" customHeight="1">
      <c r="A1108" s="1127" t="s">
        <v>2957</v>
      </c>
      <c r="B1108" s="1169" t="s">
        <v>395</v>
      </c>
      <c r="C1108" s="1169" t="s">
        <v>441</v>
      </c>
      <c r="D1108" s="525">
        <v>435</v>
      </c>
      <c r="E1108" s="525">
        <v>870</v>
      </c>
      <c r="F1108" s="525">
        <v>870</v>
      </c>
      <c r="G1108" s="628" t="s">
        <v>231</v>
      </c>
      <c r="H1108" s="56" t="s">
        <v>645</v>
      </c>
      <c r="I1108" s="566" t="s">
        <v>122</v>
      </c>
      <c r="J1108" s="542"/>
      <c r="K1108" s="566" t="s">
        <v>736</v>
      </c>
      <c r="L1108" s="557" t="s">
        <v>637</v>
      </c>
      <c r="M1108" s="547">
        <v>43040</v>
      </c>
      <c r="N1108" s="547">
        <v>43087</v>
      </c>
      <c r="O1108" s="544" t="s">
        <v>955</v>
      </c>
      <c r="P1108" s="545"/>
      <c r="Q1108" s="53"/>
      <c r="R1108" s="546" t="s">
        <v>1550</v>
      </c>
      <c r="S1108" s="319"/>
      <c r="T1108" s="338" t="s">
        <v>1988</v>
      </c>
    </row>
    <row r="1109" spans="1:20" ht="20.100000000000001" customHeight="1">
      <c r="A1109" s="1127" t="s">
        <v>2957</v>
      </c>
      <c r="B1109" s="1169" t="s">
        <v>395</v>
      </c>
      <c r="C1109" s="1169" t="s">
        <v>441</v>
      </c>
      <c r="D1109" s="526">
        <v>470</v>
      </c>
      <c r="E1109" s="526">
        <v>940</v>
      </c>
      <c r="F1109" s="526">
        <v>940</v>
      </c>
      <c r="G1109" s="56" t="s">
        <v>29</v>
      </c>
      <c r="H1109" s="48" t="s">
        <v>645</v>
      </c>
      <c r="I1109" s="557" t="s">
        <v>122</v>
      </c>
      <c r="J1109" s="557"/>
      <c r="K1109" s="558">
        <v>11</v>
      </c>
      <c r="L1109" s="557" t="s">
        <v>637</v>
      </c>
      <c r="M1109" s="547">
        <v>43038</v>
      </c>
      <c r="N1109" s="547">
        <v>43072</v>
      </c>
      <c r="O1109" s="544" t="s">
        <v>955</v>
      </c>
      <c r="P1109" s="544"/>
      <c r="Q1109" s="7"/>
      <c r="R1109" s="546" t="s">
        <v>1550</v>
      </c>
      <c r="S1109" s="319" t="s">
        <v>1176</v>
      </c>
      <c r="T1109" s="338" t="s">
        <v>1988</v>
      </c>
    </row>
    <row r="1110" spans="1:20" ht="20.100000000000001" customHeight="1">
      <c r="A1110" s="1127" t="s">
        <v>2957</v>
      </c>
      <c r="B1110" s="1169" t="s">
        <v>395</v>
      </c>
      <c r="C1110" s="1169" t="s">
        <v>441</v>
      </c>
      <c r="D1110" s="11">
        <v>525</v>
      </c>
      <c r="E1110" s="11">
        <v>950</v>
      </c>
      <c r="F1110" s="11">
        <v>950</v>
      </c>
      <c r="G1110" s="224" t="s">
        <v>814</v>
      </c>
      <c r="H1110" s="674" t="s">
        <v>152</v>
      </c>
      <c r="I1110" s="566" t="s">
        <v>122</v>
      </c>
      <c r="J1110" s="542"/>
      <c r="K1110" s="542">
        <v>12</v>
      </c>
      <c r="L1110" s="557" t="s">
        <v>637</v>
      </c>
      <c r="M1110" s="547">
        <v>43038</v>
      </c>
      <c r="N1110" s="547">
        <v>43086</v>
      </c>
      <c r="O1110" s="544" t="s">
        <v>955</v>
      </c>
      <c r="P1110" s="553"/>
      <c r="Q1110" s="7"/>
      <c r="R1110" s="546" t="s">
        <v>1310</v>
      </c>
      <c r="S1110" s="319" t="s">
        <v>1176</v>
      </c>
      <c r="T1110" s="338" t="s">
        <v>1678</v>
      </c>
    </row>
    <row r="1111" spans="1:20" ht="20.100000000000001" customHeight="1">
      <c r="A1111" s="1127" t="s">
        <v>2957</v>
      </c>
      <c r="B1111" s="1169" t="s">
        <v>395</v>
      </c>
      <c r="C1111" s="1169" t="s">
        <v>441</v>
      </c>
      <c r="D1111" s="525">
        <v>410</v>
      </c>
      <c r="E1111" s="525">
        <v>820</v>
      </c>
      <c r="F1111" s="525">
        <v>820</v>
      </c>
      <c r="G1111" s="56" t="s">
        <v>232</v>
      </c>
      <c r="H1111" s="36" t="s">
        <v>1969</v>
      </c>
      <c r="I1111" s="542" t="s">
        <v>122</v>
      </c>
      <c r="J1111" s="542"/>
      <c r="K1111" s="566">
        <v>10</v>
      </c>
      <c r="L1111" s="570" t="s">
        <v>637</v>
      </c>
      <c r="M1111" s="551">
        <v>43037</v>
      </c>
      <c r="N1111" s="551">
        <v>43086</v>
      </c>
      <c r="O1111" s="544" t="s">
        <v>955</v>
      </c>
      <c r="P1111" s="545"/>
      <c r="Q1111" s="683"/>
      <c r="R1111" s="546" t="s">
        <v>2271</v>
      </c>
      <c r="S1111" s="319"/>
      <c r="T1111" s="317" t="s">
        <v>1678</v>
      </c>
    </row>
    <row r="1112" spans="1:20" ht="20.100000000000001" customHeight="1">
      <c r="A1112" s="1127" t="s">
        <v>2957</v>
      </c>
      <c r="B1112" s="1169" t="s">
        <v>395</v>
      </c>
      <c r="C1112" s="1169" t="s">
        <v>441</v>
      </c>
      <c r="D1112" s="11">
        <v>720</v>
      </c>
      <c r="E1112" s="11">
        <v>940</v>
      </c>
      <c r="F1112" s="11">
        <v>940</v>
      </c>
      <c r="G1112" s="36" t="s">
        <v>33</v>
      </c>
      <c r="H1112" s="48">
        <v>3</v>
      </c>
      <c r="I1112" s="542" t="s">
        <v>27</v>
      </c>
      <c r="J1112" s="569"/>
      <c r="K1112" s="569" t="s">
        <v>20</v>
      </c>
      <c r="L1112" s="557" t="s">
        <v>637</v>
      </c>
      <c r="M1112" s="549">
        <v>43040</v>
      </c>
      <c r="N1112" s="549">
        <v>43079</v>
      </c>
      <c r="O1112" s="544" t="s">
        <v>955</v>
      </c>
      <c r="P1112" s="553"/>
      <c r="Q1112" s="53"/>
      <c r="R1112" s="561" t="s">
        <v>243</v>
      </c>
      <c r="S1112" s="315" t="s">
        <v>2850</v>
      </c>
      <c r="T1112" s="338"/>
    </row>
    <row r="1113" spans="1:20" ht="20.100000000000001" customHeight="1">
      <c r="A1113" s="1127" t="s">
        <v>2957</v>
      </c>
      <c r="B1113" s="1169" t="s">
        <v>395</v>
      </c>
      <c r="C1113" s="1169" t="s">
        <v>441</v>
      </c>
      <c r="D1113" s="525">
        <v>540</v>
      </c>
      <c r="E1113" s="525">
        <v>920</v>
      </c>
      <c r="F1113" s="525">
        <v>920</v>
      </c>
      <c r="G1113" s="36" t="s">
        <v>87</v>
      </c>
      <c r="H1113" s="56" t="s">
        <v>1311</v>
      </c>
      <c r="I1113" s="566" t="s">
        <v>122</v>
      </c>
      <c r="J1113" s="542"/>
      <c r="K1113" s="566" t="s">
        <v>732</v>
      </c>
      <c r="L1113" s="557" t="s">
        <v>637</v>
      </c>
      <c r="M1113" s="551">
        <v>43063</v>
      </c>
      <c r="N1113" s="551">
        <v>43086</v>
      </c>
      <c r="O1113" s="544" t="s">
        <v>955</v>
      </c>
      <c r="P1113" s="553" t="s">
        <v>592</v>
      </c>
      <c r="Q1113" s="7"/>
      <c r="R1113" s="546" t="s">
        <v>1312</v>
      </c>
      <c r="S1113" s="315" t="s">
        <v>2849</v>
      </c>
      <c r="T1113" s="338" t="s">
        <v>2874</v>
      </c>
    </row>
    <row r="1114" spans="1:20" ht="20.100000000000001" customHeight="1">
      <c r="A1114" s="1127" t="s">
        <v>2957</v>
      </c>
      <c r="B1114" s="1169" t="s">
        <v>395</v>
      </c>
      <c r="C1114" s="1169" t="s">
        <v>441</v>
      </c>
      <c r="D1114" s="526">
        <v>1100</v>
      </c>
      <c r="E1114" s="526">
        <v>1600</v>
      </c>
      <c r="F1114" s="526">
        <v>1600</v>
      </c>
      <c r="G1114" s="48" t="s">
        <v>13</v>
      </c>
      <c r="H1114" s="48" t="s">
        <v>760</v>
      </c>
      <c r="I1114" s="558" t="s">
        <v>26</v>
      </c>
      <c r="J1114" s="558"/>
      <c r="K1114" s="558"/>
      <c r="L1114" s="557" t="s">
        <v>637</v>
      </c>
      <c r="M1114" s="6">
        <v>43040</v>
      </c>
      <c r="N1114" s="6">
        <v>43100</v>
      </c>
      <c r="O1114" s="544" t="s">
        <v>955</v>
      </c>
      <c r="P1114" s="553"/>
      <c r="Q1114" s="677"/>
      <c r="R1114" s="546" t="s">
        <v>1958</v>
      </c>
      <c r="S1114" s="319" t="s">
        <v>1176</v>
      </c>
      <c r="T1114" s="338" t="s">
        <v>2875</v>
      </c>
    </row>
    <row r="1115" spans="1:20" ht="20.100000000000001" customHeight="1">
      <c r="A1115" s="1127" t="s">
        <v>2957</v>
      </c>
      <c r="B1115" s="1169" t="s">
        <v>395</v>
      </c>
      <c r="C1115" s="1169" t="s">
        <v>441</v>
      </c>
      <c r="D1115" s="525">
        <v>520</v>
      </c>
      <c r="E1115" s="525">
        <v>940</v>
      </c>
      <c r="F1115" s="525">
        <v>940</v>
      </c>
      <c r="G1115" s="659" t="s">
        <v>36</v>
      </c>
      <c r="H1115" s="659" t="s">
        <v>647</v>
      </c>
      <c r="I1115" s="557" t="s">
        <v>122</v>
      </c>
      <c r="J1115" s="558"/>
      <c r="K1115" s="558">
        <v>10</v>
      </c>
      <c r="L1115" s="542" t="s">
        <v>649</v>
      </c>
      <c r="M1115" s="551">
        <v>42809</v>
      </c>
      <c r="N1115" s="551">
        <v>43084</v>
      </c>
      <c r="O1115" s="544" t="s">
        <v>955</v>
      </c>
      <c r="P1115" s="553" t="s">
        <v>592</v>
      </c>
      <c r="Q1115" s="61"/>
      <c r="R1115" s="546" t="s">
        <v>1541</v>
      </c>
      <c r="S1115" s="319"/>
      <c r="T1115" s="317">
        <v>14</v>
      </c>
    </row>
    <row r="1116" spans="1:20" ht="20.100000000000001" customHeight="1">
      <c r="A1116" s="1127" t="s">
        <v>2957</v>
      </c>
      <c r="B1116" s="1169" t="s">
        <v>395</v>
      </c>
      <c r="C1116" s="1169" t="s">
        <v>441</v>
      </c>
      <c r="D1116" s="526">
        <v>465</v>
      </c>
      <c r="E1116" s="526">
        <v>780</v>
      </c>
      <c r="F1116" s="526">
        <v>930</v>
      </c>
      <c r="G1116" s="69" t="s">
        <v>62</v>
      </c>
      <c r="H1116" s="56" t="s">
        <v>725</v>
      </c>
      <c r="I1116" s="566" t="s">
        <v>122</v>
      </c>
      <c r="J1116" s="559"/>
      <c r="K1116" s="559" t="s">
        <v>732</v>
      </c>
      <c r="L1116" s="542" t="s">
        <v>639</v>
      </c>
      <c r="M1116" s="549">
        <v>43039</v>
      </c>
      <c r="N1116" s="549">
        <v>43086</v>
      </c>
      <c r="O1116" s="544" t="s">
        <v>955</v>
      </c>
      <c r="P1116" s="562"/>
      <c r="Q1116" s="7"/>
      <c r="R1116" s="546" t="s">
        <v>916</v>
      </c>
      <c r="S1116" s="315" t="s">
        <v>2832</v>
      </c>
      <c r="T1116" s="338"/>
    </row>
    <row r="1117" spans="1:20" ht="20.100000000000001" customHeight="1">
      <c r="A1117" s="1127" t="s">
        <v>2957</v>
      </c>
      <c r="B1117" s="1169" t="s">
        <v>395</v>
      </c>
      <c r="C1117" s="1169" t="s">
        <v>441</v>
      </c>
      <c r="D1117" s="526">
        <f>D1125+400</f>
        <v>810</v>
      </c>
      <c r="E1117" s="526">
        <f>E1125+600</f>
        <v>1420</v>
      </c>
      <c r="F1117" s="526">
        <f>F1125+600</f>
        <v>1420</v>
      </c>
      <c r="G1117" s="609" t="s">
        <v>10</v>
      </c>
      <c r="H1117" s="47">
        <v>4</v>
      </c>
      <c r="I1117" s="557" t="s">
        <v>26</v>
      </c>
      <c r="J1117" s="557"/>
      <c r="K1117" s="557">
        <v>8</v>
      </c>
      <c r="L1117" s="557" t="s">
        <v>637</v>
      </c>
      <c r="M1117" s="547">
        <v>43083</v>
      </c>
      <c r="N1117" s="547">
        <v>43084</v>
      </c>
      <c r="O1117" s="544" t="s">
        <v>955</v>
      </c>
      <c r="P1117" s="553" t="s">
        <v>592</v>
      </c>
      <c r="Q1117" s="7"/>
      <c r="R1117" s="546" t="s">
        <v>204</v>
      </c>
      <c r="S1117" s="316" t="s">
        <v>1176</v>
      </c>
      <c r="T1117" s="317">
        <v>14</v>
      </c>
    </row>
    <row r="1118" spans="1:20" ht="20.100000000000001" customHeight="1">
      <c r="A1118" s="1127" t="s">
        <v>2957</v>
      </c>
      <c r="B1118" s="1169" t="s">
        <v>395</v>
      </c>
      <c r="C1118" s="1169" t="s">
        <v>441</v>
      </c>
      <c r="D1118" s="525">
        <v>340</v>
      </c>
      <c r="E1118" s="525">
        <v>880</v>
      </c>
      <c r="F1118" s="525">
        <v>880</v>
      </c>
      <c r="G1118" s="65" t="s">
        <v>432</v>
      </c>
      <c r="H1118" s="36" t="s">
        <v>681</v>
      </c>
      <c r="I1118" s="569" t="s">
        <v>122</v>
      </c>
      <c r="J1118" s="558"/>
      <c r="K1118" s="559">
        <v>10</v>
      </c>
      <c r="L1118" s="570" t="s">
        <v>637</v>
      </c>
      <c r="M1118" s="549">
        <v>43042</v>
      </c>
      <c r="N1118" s="549">
        <v>43093</v>
      </c>
      <c r="O1118" s="544" t="s">
        <v>955</v>
      </c>
      <c r="P1118" s="572"/>
      <c r="Q1118" s="683"/>
      <c r="R1118" s="561" t="s">
        <v>261</v>
      </c>
      <c r="S1118" s="704" t="s">
        <v>1176</v>
      </c>
      <c r="T1118" s="338"/>
    </row>
    <row r="1119" spans="1:20" ht="20.100000000000001" customHeight="1">
      <c r="A1119" s="1127" t="s">
        <v>2957</v>
      </c>
      <c r="B1119" s="1169" t="s">
        <v>395</v>
      </c>
      <c r="C1119" s="1169" t="s">
        <v>441</v>
      </c>
      <c r="D1119" s="525">
        <v>550</v>
      </c>
      <c r="E1119" s="525">
        <v>1100</v>
      </c>
      <c r="F1119" s="525">
        <v>1100</v>
      </c>
      <c r="G1119" s="659" t="s">
        <v>36</v>
      </c>
      <c r="H1119" s="48" t="s">
        <v>1539</v>
      </c>
      <c r="I1119" s="557" t="s">
        <v>26</v>
      </c>
      <c r="J1119" s="557"/>
      <c r="K1119" s="558">
        <v>15</v>
      </c>
      <c r="L1119" s="542" t="s">
        <v>649</v>
      </c>
      <c r="M1119" s="551">
        <v>42811</v>
      </c>
      <c r="N1119" s="551">
        <v>43084</v>
      </c>
      <c r="O1119" s="544" t="s">
        <v>955</v>
      </c>
      <c r="P1119" s="553" t="s">
        <v>592</v>
      </c>
      <c r="Q1119" s="61"/>
      <c r="R1119" s="546" t="s">
        <v>1540</v>
      </c>
      <c r="S1119" s="319"/>
      <c r="T1119" s="317">
        <v>14</v>
      </c>
    </row>
    <row r="1120" spans="1:20" ht="20.100000000000001" customHeight="1">
      <c r="A1120" s="1127" t="s">
        <v>2957</v>
      </c>
      <c r="B1120" s="1169" t="s">
        <v>395</v>
      </c>
      <c r="C1120" s="1169" t="s">
        <v>441</v>
      </c>
      <c r="D1120" s="525">
        <v>515</v>
      </c>
      <c r="E1120" s="525">
        <v>930</v>
      </c>
      <c r="F1120" s="525">
        <v>930</v>
      </c>
      <c r="G1120" s="48" t="s">
        <v>30</v>
      </c>
      <c r="H1120" s="48">
        <v>6</v>
      </c>
      <c r="I1120" s="558" t="s">
        <v>122</v>
      </c>
      <c r="J1120" s="557"/>
      <c r="K1120" s="557">
        <v>9</v>
      </c>
      <c r="L1120" s="542" t="s">
        <v>649</v>
      </c>
      <c r="M1120" s="568">
        <v>43040</v>
      </c>
      <c r="N1120" s="568">
        <v>43083</v>
      </c>
      <c r="O1120" s="544" t="s">
        <v>955</v>
      </c>
      <c r="P1120" s="544"/>
      <c r="Q1120" s="7"/>
      <c r="R1120" s="546" t="s">
        <v>314</v>
      </c>
      <c r="S1120" s="319"/>
      <c r="T1120" s="317">
        <v>14</v>
      </c>
    </row>
    <row r="1121" spans="1:20" ht="20.100000000000001" customHeight="1">
      <c r="A1121" s="1127" t="s">
        <v>2957</v>
      </c>
      <c r="B1121" s="1169" t="s">
        <v>395</v>
      </c>
      <c r="C1121" s="1169" t="s">
        <v>441</v>
      </c>
      <c r="D1121" s="729">
        <v>425</v>
      </c>
      <c r="E1121" s="729">
        <v>850</v>
      </c>
      <c r="F1121" s="729">
        <v>850</v>
      </c>
      <c r="G1121" s="628" t="s">
        <v>51</v>
      </c>
      <c r="H1121" s="36" t="s">
        <v>706</v>
      </c>
      <c r="I1121" s="566" t="s">
        <v>122</v>
      </c>
      <c r="J1121" s="566"/>
      <c r="K1121" s="542" t="s">
        <v>1347</v>
      </c>
      <c r="L1121" s="542" t="s">
        <v>637</v>
      </c>
      <c r="M1121" s="381">
        <v>43040</v>
      </c>
      <c r="N1121" s="381">
        <v>43088</v>
      </c>
      <c r="O1121" s="544" t="s">
        <v>955</v>
      </c>
      <c r="P1121" s="553"/>
      <c r="Q1121" s="60"/>
      <c r="R1121" s="546" t="s">
        <v>1339</v>
      </c>
      <c r="S1121" s="325"/>
      <c r="T1121" s="317">
        <v>12</v>
      </c>
    </row>
    <row r="1122" spans="1:20" ht="20.100000000000001" customHeight="1">
      <c r="A1122" s="1127" t="s">
        <v>2957</v>
      </c>
      <c r="B1122" s="1169" t="s">
        <v>395</v>
      </c>
      <c r="C1122" s="1169" t="s">
        <v>441</v>
      </c>
      <c r="D1122" s="525">
        <v>640</v>
      </c>
      <c r="E1122" s="525">
        <v>980</v>
      </c>
      <c r="F1122" s="525">
        <v>980</v>
      </c>
      <c r="G1122" s="36" t="s">
        <v>37</v>
      </c>
      <c r="H1122" s="56" t="s">
        <v>706</v>
      </c>
      <c r="I1122" s="566" t="s">
        <v>122</v>
      </c>
      <c r="J1122" s="542"/>
      <c r="K1122" s="566" t="s">
        <v>771</v>
      </c>
      <c r="L1122" s="542" t="s">
        <v>649</v>
      </c>
      <c r="M1122" s="543">
        <v>43040</v>
      </c>
      <c r="N1122" s="543">
        <v>43084</v>
      </c>
      <c r="O1122" s="544" t="s">
        <v>955</v>
      </c>
      <c r="P1122" s="553" t="s">
        <v>593</v>
      </c>
      <c r="Q1122" s="60"/>
      <c r="R1122" s="546" t="s">
        <v>1297</v>
      </c>
      <c r="S1122" s="319" t="s">
        <v>1176</v>
      </c>
      <c r="T1122" s="338"/>
    </row>
    <row r="1123" spans="1:20" ht="20.100000000000001" customHeight="1">
      <c r="A1123" s="1127" t="s">
        <v>2957</v>
      </c>
      <c r="B1123" s="1169" t="s">
        <v>395</v>
      </c>
      <c r="C1123" s="1169" t="s">
        <v>441</v>
      </c>
      <c r="D1123" s="525">
        <v>590</v>
      </c>
      <c r="E1123" s="525">
        <v>1180</v>
      </c>
      <c r="F1123" s="525">
        <v>1180</v>
      </c>
      <c r="G1123" s="48" t="s">
        <v>28</v>
      </c>
      <c r="H1123" s="36">
        <v>7</v>
      </c>
      <c r="I1123" s="557" t="s">
        <v>122</v>
      </c>
      <c r="J1123" s="557"/>
      <c r="K1123" s="558"/>
      <c r="L1123" s="542" t="s">
        <v>649</v>
      </c>
      <c r="M1123" s="549">
        <v>43041</v>
      </c>
      <c r="N1123" s="549">
        <v>43089</v>
      </c>
      <c r="O1123" s="544" t="s">
        <v>955</v>
      </c>
      <c r="P1123" s="553"/>
      <c r="Q1123" s="683"/>
      <c r="R1123" s="546" t="s">
        <v>188</v>
      </c>
      <c r="S1123" s="316" t="s">
        <v>1176</v>
      </c>
      <c r="T1123" s="338"/>
    </row>
    <row r="1124" spans="1:20" ht="20.100000000000001" customHeight="1">
      <c r="A1124" s="1127" t="s">
        <v>2957</v>
      </c>
      <c r="B1124" s="1169" t="s">
        <v>395</v>
      </c>
      <c r="C1124" s="1169" t="s">
        <v>441</v>
      </c>
      <c r="D1124" s="526">
        <v>325</v>
      </c>
      <c r="E1124" s="526">
        <v>600</v>
      </c>
      <c r="F1124" s="526">
        <v>600</v>
      </c>
      <c r="G1124" s="48" t="s">
        <v>12</v>
      </c>
      <c r="H1124" s="56" t="s">
        <v>706</v>
      </c>
      <c r="I1124" s="557" t="s">
        <v>122</v>
      </c>
      <c r="J1124" s="557"/>
      <c r="K1124" s="558">
        <v>15</v>
      </c>
      <c r="L1124" s="542" t="s">
        <v>649</v>
      </c>
      <c r="M1124" s="551">
        <v>43079</v>
      </c>
      <c r="N1124" s="551">
        <v>43086</v>
      </c>
      <c r="O1124" s="544" t="s">
        <v>955</v>
      </c>
      <c r="P1124" s="545"/>
      <c r="Q1124" s="60"/>
      <c r="R1124" s="546" t="s">
        <v>169</v>
      </c>
      <c r="S1124" s="319"/>
      <c r="T1124" s="338" t="s">
        <v>1994</v>
      </c>
    </row>
    <row r="1125" spans="1:20" ht="20.100000000000001" customHeight="1">
      <c r="A1125" s="1127" t="s">
        <v>2957</v>
      </c>
      <c r="B1125" s="1169" t="s">
        <v>395</v>
      </c>
      <c r="C1125" s="1169" t="s">
        <v>2311</v>
      </c>
      <c r="D1125" s="729">
        <v>410</v>
      </c>
      <c r="E1125" s="729">
        <v>820</v>
      </c>
      <c r="F1125" s="729">
        <v>820</v>
      </c>
      <c r="G1125" s="628" t="s">
        <v>10</v>
      </c>
      <c r="H1125" s="47">
        <v>4</v>
      </c>
      <c r="I1125" s="557" t="s">
        <v>17</v>
      </c>
      <c r="J1125" s="557"/>
      <c r="K1125" s="558">
        <v>6</v>
      </c>
      <c r="L1125" s="570" t="s">
        <v>641</v>
      </c>
      <c r="M1125" s="547">
        <v>43083</v>
      </c>
      <c r="N1125" s="547">
        <v>43084</v>
      </c>
      <c r="O1125" s="544" t="s">
        <v>955</v>
      </c>
      <c r="P1125" s="553" t="s">
        <v>592</v>
      </c>
      <c r="Q1125" s="7"/>
      <c r="R1125" s="546" t="s">
        <v>204</v>
      </c>
      <c r="S1125" s="316" t="s">
        <v>1176</v>
      </c>
      <c r="T1125" s="317">
        <v>14</v>
      </c>
    </row>
    <row r="1126" spans="1:20" ht="20.100000000000001" customHeight="1">
      <c r="A1126" s="1127" t="s">
        <v>2957</v>
      </c>
      <c r="B1126" s="1169" t="s">
        <v>395</v>
      </c>
      <c r="C1126" s="1169" t="s">
        <v>515</v>
      </c>
      <c r="D1126" s="942">
        <v>305</v>
      </c>
      <c r="E1126" s="942">
        <v>610</v>
      </c>
      <c r="F1126" s="942">
        <v>610</v>
      </c>
      <c r="G1126" s="628" t="s">
        <v>51</v>
      </c>
      <c r="H1126" s="47">
        <v>4</v>
      </c>
      <c r="I1126" s="557" t="s">
        <v>17</v>
      </c>
      <c r="J1126" s="557"/>
      <c r="K1126" s="558">
        <v>6</v>
      </c>
      <c r="L1126" s="570" t="s">
        <v>641</v>
      </c>
      <c r="M1126" s="381">
        <v>43084</v>
      </c>
      <c r="N1126" s="381">
        <v>43100</v>
      </c>
      <c r="O1126" s="544" t="s">
        <v>955</v>
      </c>
      <c r="P1126" s="553"/>
      <c r="Q1126" s="7"/>
      <c r="R1126" s="546" t="s">
        <v>204</v>
      </c>
      <c r="S1126" s="319"/>
      <c r="T1126" s="317">
        <v>12</v>
      </c>
    </row>
    <row r="1127" spans="1:20" ht="20.100000000000001" customHeight="1">
      <c r="A1127" s="1127" t="s">
        <v>2957</v>
      </c>
      <c r="B1127" s="1169" t="s">
        <v>395</v>
      </c>
      <c r="C1127" s="1169" t="s">
        <v>515</v>
      </c>
      <c r="D1127" s="729">
        <v>405</v>
      </c>
      <c r="E1127" s="729">
        <v>810</v>
      </c>
      <c r="F1127" s="729">
        <v>810</v>
      </c>
      <c r="G1127" s="224" t="s">
        <v>814</v>
      </c>
      <c r="H1127" s="47" t="s">
        <v>681</v>
      </c>
      <c r="I1127" s="557" t="s">
        <v>17</v>
      </c>
      <c r="J1127" s="557"/>
      <c r="K1127" s="558" t="s">
        <v>771</v>
      </c>
      <c r="L1127" s="557" t="s">
        <v>641</v>
      </c>
      <c r="M1127" s="547">
        <v>43038</v>
      </c>
      <c r="N1127" s="547">
        <v>43086</v>
      </c>
      <c r="O1127" s="544" t="s">
        <v>955</v>
      </c>
      <c r="P1127" s="553"/>
      <c r="Q1127" s="683" t="s">
        <v>4173</v>
      </c>
      <c r="R1127" s="546" t="s">
        <v>261</v>
      </c>
      <c r="S1127" s="319" t="s">
        <v>1176</v>
      </c>
      <c r="T1127" s="338" t="s">
        <v>1678</v>
      </c>
    </row>
    <row r="1128" spans="1:20" ht="20.100000000000001" customHeight="1">
      <c r="A1128" s="1127" t="s">
        <v>2957</v>
      </c>
      <c r="B1128" s="1169" t="s">
        <v>395</v>
      </c>
      <c r="C1128" s="1169" t="s">
        <v>515</v>
      </c>
      <c r="D1128" s="32">
        <v>390</v>
      </c>
      <c r="E1128" s="32">
        <v>780</v>
      </c>
      <c r="F1128" s="32">
        <v>780</v>
      </c>
      <c r="G1128" s="659" t="s">
        <v>87</v>
      </c>
      <c r="H1128" s="47" t="s">
        <v>681</v>
      </c>
      <c r="I1128" s="557" t="s">
        <v>17</v>
      </c>
      <c r="J1128" s="557"/>
      <c r="K1128" s="558" t="s">
        <v>771</v>
      </c>
      <c r="L1128" s="557" t="s">
        <v>641</v>
      </c>
      <c r="M1128" s="551">
        <v>43046</v>
      </c>
      <c r="N1128" s="551">
        <v>43086</v>
      </c>
      <c r="O1128" s="544" t="s">
        <v>955</v>
      </c>
      <c r="P1128" s="553" t="s">
        <v>592</v>
      </c>
      <c r="Q1128" s="683"/>
      <c r="R1128" s="561" t="s">
        <v>261</v>
      </c>
      <c r="S1128" s="315" t="s">
        <v>2849</v>
      </c>
      <c r="T1128" s="338" t="s">
        <v>1678</v>
      </c>
    </row>
    <row r="1129" spans="1:20" ht="20.100000000000001" customHeight="1">
      <c r="A1129" s="1127" t="s">
        <v>2957</v>
      </c>
      <c r="B1129" s="1169" t="s">
        <v>395</v>
      </c>
      <c r="C1129" s="1169" t="s">
        <v>515</v>
      </c>
      <c r="D1129" s="729">
        <v>345</v>
      </c>
      <c r="E1129" s="729">
        <v>590</v>
      </c>
      <c r="F1129" s="729">
        <v>590</v>
      </c>
      <c r="G1129" s="224" t="s">
        <v>434</v>
      </c>
      <c r="H1129" s="47" t="s">
        <v>681</v>
      </c>
      <c r="I1129" s="557" t="s">
        <v>17</v>
      </c>
      <c r="J1129" s="557"/>
      <c r="K1129" s="558" t="s">
        <v>771</v>
      </c>
      <c r="L1129" s="557" t="s">
        <v>641</v>
      </c>
      <c r="M1129" s="549">
        <v>43038</v>
      </c>
      <c r="N1129" s="549">
        <v>43093</v>
      </c>
      <c r="O1129" s="544" t="s">
        <v>955</v>
      </c>
      <c r="P1129" s="553"/>
      <c r="Q1129" s="683"/>
      <c r="R1129" s="561" t="s">
        <v>818</v>
      </c>
      <c r="S1129" s="321" t="s">
        <v>1176</v>
      </c>
      <c r="T1129" s="317" t="s">
        <v>2824</v>
      </c>
    </row>
    <row r="1130" spans="1:20" ht="20.100000000000001" customHeight="1">
      <c r="A1130" s="1127" t="s">
        <v>2957</v>
      </c>
      <c r="B1130" s="1169" t="s">
        <v>395</v>
      </c>
      <c r="C1130" s="1169" t="s">
        <v>515</v>
      </c>
      <c r="D1130" s="525">
        <v>430</v>
      </c>
      <c r="E1130" s="525">
        <v>620</v>
      </c>
      <c r="F1130" s="525">
        <v>620</v>
      </c>
      <c r="G1130" s="36" t="s">
        <v>62</v>
      </c>
      <c r="H1130" s="47" t="s">
        <v>681</v>
      </c>
      <c r="I1130" s="557" t="s">
        <v>17</v>
      </c>
      <c r="J1130" s="557"/>
      <c r="K1130" s="558" t="s">
        <v>771</v>
      </c>
      <c r="L1130" s="557" t="s">
        <v>641</v>
      </c>
      <c r="M1130" s="549">
        <v>43039</v>
      </c>
      <c r="N1130" s="549">
        <v>43086</v>
      </c>
      <c r="O1130" s="544" t="s">
        <v>955</v>
      </c>
      <c r="P1130" s="553" t="s">
        <v>592</v>
      </c>
      <c r="Q1130" s="683"/>
      <c r="R1130" s="561" t="s">
        <v>261</v>
      </c>
      <c r="S1130" s="315" t="s">
        <v>2832</v>
      </c>
      <c r="T1130" s="338"/>
    </row>
    <row r="1131" spans="1:20" ht="20.100000000000001" customHeight="1">
      <c r="A1131" s="1127" t="s">
        <v>2957</v>
      </c>
      <c r="B1131" s="1169" t="s">
        <v>395</v>
      </c>
      <c r="C1131" s="1169" t="s">
        <v>515</v>
      </c>
      <c r="D1131" s="525">
        <v>390</v>
      </c>
      <c r="E1131" s="525">
        <v>780</v>
      </c>
      <c r="F1131" s="525">
        <v>780</v>
      </c>
      <c r="G1131" s="65" t="s">
        <v>432</v>
      </c>
      <c r="H1131" s="47" t="s">
        <v>681</v>
      </c>
      <c r="I1131" s="557" t="s">
        <v>17</v>
      </c>
      <c r="J1131" s="557"/>
      <c r="K1131" s="558" t="s">
        <v>771</v>
      </c>
      <c r="L1131" s="557" t="s">
        <v>641</v>
      </c>
      <c r="M1131" s="549">
        <v>43042</v>
      </c>
      <c r="N1131" s="549">
        <v>43093</v>
      </c>
      <c r="O1131" s="544" t="s">
        <v>955</v>
      </c>
      <c r="P1131" s="553"/>
      <c r="Q1131" s="683"/>
      <c r="R1131" s="561" t="s">
        <v>261</v>
      </c>
      <c r="S1131" s="704" t="s">
        <v>1176</v>
      </c>
      <c r="T1131" s="338"/>
    </row>
    <row r="1132" spans="1:20" ht="20.100000000000001" customHeight="1">
      <c r="A1132" s="1127" t="s">
        <v>2957</v>
      </c>
      <c r="B1132" s="1169" t="s">
        <v>395</v>
      </c>
      <c r="C1132" s="1169" t="s">
        <v>515</v>
      </c>
      <c r="D1132" s="32">
        <v>410</v>
      </c>
      <c r="E1132" s="32">
        <v>820</v>
      </c>
      <c r="F1132" s="32">
        <v>820</v>
      </c>
      <c r="G1132" s="56" t="s">
        <v>36</v>
      </c>
      <c r="H1132" s="36">
        <v>5</v>
      </c>
      <c r="I1132" s="557" t="s">
        <v>17</v>
      </c>
      <c r="J1132" s="557"/>
      <c r="K1132" s="558">
        <v>9</v>
      </c>
      <c r="L1132" s="542" t="s">
        <v>649</v>
      </c>
      <c r="M1132" s="551">
        <v>42972</v>
      </c>
      <c r="N1132" s="551">
        <v>43084</v>
      </c>
      <c r="O1132" s="544" t="s">
        <v>955</v>
      </c>
      <c r="P1132" s="553" t="s">
        <v>1896</v>
      </c>
      <c r="Q1132" s="744"/>
      <c r="R1132" s="546" t="s">
        <v>309</v>
      </c>
      <c r="S1132" s="319"/>
      <c r="T1132" s="317">
        <v>14</v>
      </c>
    </row>
    <row r="1133" spans="1:20" ht="20.100000000000001" customHeight="1">
      <c r="A1133" s="1127" t="s">
        <v>2957</v>
      </c>
      <c r="B1133" s="1169" t="s">
        <v>395</v>
      </c>
      <c r="C1133" s="1169" t="s">
        <v>515</v>
      </c>
      <c r="D1133" s="32">
        <v>410</v>
      </c>
      <c r="E1133" s="32">
        <v>820</v>
      </c>
      <c r="F1133" s="32">
        <v>820</v>
      </c>
      <c r="G1133" s="56" t="s">
        <v>36</v>
      </c>
      <c r="H1133" s="36">
        <v>7</v>
      </c>
      <c r="I1133" s="557" t="s">
        <v>17</v>
      </c>
      <c r="J1133" s="558"/>
      <c r="K1133" s="558">
        <v>9</v>
      </c>
      <c r="L1133" s="542" t="s">
        <v>649</v>
      </c>
      <c r="M1133" s="551">
        <v>42974</v>
      </c>
      <c r="N1133" s="551">
        <v>43084</v>
      </c>
      <c r="O1133" s="544" t="s">
        <v>955</v>
      </c>
      <c r="P1133" s="553" t="s">
        <v>1896</v>
      </c>
      <c r="Q1133" s="60"/>
      <c r="R1133" s="546" t="s">
        <v>315</v>
      </c>
      <c r="S1133" s="319"/>
      <c r="T1133" s="317">
        <v>14</v>
      </c>
    </row>
    <row r="1134" spans="1:20" ht="20.100000000000001" customHeight="1">
      <c r="A1134" s="1127" t="s">
        <v>2957</v>
      </c>
      <c r="B1134" s="1169" t="s">
        <v>395</v>
      </c>
      <c r="C1134" s="1169" t="s">
        <v>515</v>
      </c>
      <c r="D1134" s="525">
        <v>670</v>
      </c>
      <c r="E1134" s="525">
        <v>940</v>
      </c>
      <c r="F1134" s="525">
        <v>940</v>
      </c>
      <c r="G1134" s="36" t="s">
        <v>33</v>
      </c>
      <c r="H1134" s="55" t="s">
        <v>729</v>
      </c>
      <c r="I1134" s="569" t="s">
        <v>16</v>
      </c>
      <c r="J1134" s="542"/>
      <c r="K1134" s="542" t="s">
        <v>20</v>
      </c>
      <c r="L1134" s="557" t="s">
        <v>637</v>
      </c>
      <c r="M1134" s="549">
        <v>43040</v>
      </c>
      <c r="N1134" s="549">
        <v>43079</v>
      </c>
      <c r="O1134" s="544" t="s">
        <v>955</v>
      </c>
      <c r="P1134" s="545"/>
      <c r="Q1134" s="683"/>
      <c r="R1134" s="546" t="s">
        <v>166</v>
      </c>
      <c r="S1134" s="315" t="s">
        <v>2850</v>
      </c>
      <c r="T1134" s="338"/>
    </row>
    <row r="1135" spans="1:20" ht="20.100000000000001" customHeight="1">
      <c r="A1135" s="1127" t="s">
        <v>2957</v>
      </c>
      <c r="B1135" s="1169" t="s">
        <v>395</v>
      </c>
      <c r="C1135" s="1169" t="s">
        <v>515</v>
      </c>
      <c r="D1135" s="32">
        <v>470</v>
      </c>
      <c r="E1135" s="32">
        <v>600</v>
      </c>
      <c r="F1135" s="32">
        <v>600</v>
      </c>
      <c r="G1135" s="659" t="s">
        <v>37</v>
      </c>
      <c r="H1135" s="48" t="s">
        <v>1653</v>
      </c>
      <c r="I1135" s="558" t="s">
        <v>16</v>
      </c>
      <c r="J1135" s="557"/>
      <c r="K1135" s="558">
        <v>12</v>
      </c>
      <c r="L1135" s="557" t="s">
        <v>637</v>
      </c>
      <c r="M1135" s="543">
        <v>43040</v>
      </c>
      <c r="N1135" s="543">
        <v>43084</v>
      </c>
      <c r="O1135" s="544" t="s">
        <v>955</v>
      </c>
      <c r="P1135" s="553" t="s">
        <v>593</v>
      </c>
      <c r="Q1135" s="7"/>
      <c r="R1135" s="548" t="s">
        <v>1877</v>
      </c>
      <c r="S1135" s="319" t="s">
        <v>1176</v>
      </c>
      <c r="T1135" s="338"/>
    </row>
    <row r="1136" spans="1:20" ht="20.100000000000001" customHeight="1">
      <c r="A1136" s="1127" t="s">
        <v>2957</v>
      </c>
      <c r="B1136" s="1169" t="s">
        <v>395</v>
      </c>
      <c r="C1136" s="1169" t="s">
        <v>515</v>
      </c>
      <c r="D1136" s="529">
        <v>450</v>
      </c>
      <c r="E1136" s="529">
        <v>700</v>
      </c>
      <c r="F1136" s="529">
        <v>700</v>
      </c>
      <c r="G1136" s="628" t="s">
        <v>14</v>
      </c>
      <c r="H1136" s="56" t="s">
        <v>742</v>
      </c>
      <c r="I1136" s="557" t="s">
        <v>16</v>
      </c>
      <c r="J1136" s="558"/>
      <c r="K1136" s="558">
        <v>15</v>
      </c>
      <c r="L1136" s="559" t="s">
        <v>639</v>
      </c>
      <c r="M1136" s="547">
        <v>43086</v>
      </c>
      <c r="N1136" s="547">
        <v>43092</v>
      </c>
      <c r="O1136" s="544" t="s">
        <v>955</v>
      </c>
      <c r="P1136" s="545"/>
      <c r="Q1136" s="7"/>
      <c r="R1136" s="17" t="s">
        <v>449</v>
      </c>
      <c r="S1136" s="319"/>
      <c r="T1136" s="338"/>
    </row>
    <row r="1137" spans="1:20" ht="20.100000000000001" customHeight="1">
      <c r="A1137" s="1127" t="s">
        <v>2957</v>
      </c>
      <c r="B1137" s="1169" t="s">
        <v>395</v>
      </c>
      <c r="C1137" s="1169" t="s">
        <v>515</v>
      </c>
      <c r="D1137" s="525">
        <v>305</v>
      </c>
      <c r="E1137" s="525">
        <v>560</v>
      </c>
      <c r="F1137" s="525">
        <v>560</v>
      </c>
      <c r="G1137" s="56" t="s">
        <v>6</v>
      </c>
      <c r="H1137" s="22" t="s">
        <v>729</v>
      </c>
      <c r="I1137" s="558" t="s">
        <v>16</v>
      </c>
      <c r="J1137" s="564"/>
      <c r="K1137" s="564" t="s">
        <v>151</v>
      </c>
      <c r="L1137" s="559" t="s">
        <v>636</v>
      </c>
      <c r="M1137" s="549">
        <v>43070</v>
      </c>
      <c r="N1137" s="549">
        <v>43074</v>
      </c>
      <c r="O1137" s="544" t="s">
        <v>955</v>
      </c>
      <c r="P1137" s="572"/>
      <c r="Q1137" s="7"/>
      <c r="R1137" s="546" t="s">
        <v>202</v>
      </c>
      <c r="S1137" s="316" t="s">
        <v>2870</v>
      </c>
      <c r="T1137" s="338" t="s">
        <v>2874</v>
      </c>
    </row>
    <row r="1138" spans="1:20" ht="20.100000000000001" customHeight="1">
      <c r="A1138" s="1127" t="s">
        <v>2957</v>
      </c>
      <c r="B1138" s="1169" t="s">
        <v>395</v>
      </c>
      <c r="C1138" s="1169" t="s">
        <v>515</v>
      </c>
      <c r="D1138" s="32">
        <v>440</v>
      </c>
      <c r="E1138" s="32">
        <v>880</v>
      </c>
      <c r="F1138" s="32">
        <v>880</v>
      </c>
      <c r="G1138" s="56" t="s">
        <v>30</v>
      </c>
      <c r="H1138" s="56" t="s">
        <v>742</v>
      </c>
      <c r="I1138" s="566" t="s">
        <v>16</v>
      </c>
      <c r="J1138" s="542"/>
      <c r="K1138" s="542">
        <v>16</v>
      </c>
      <c r="L1138" s="559" t="s">
        <v>637</v>
      </c>
      <c r="M1138" s="568">
        <v>43040</v>
      </c>
      <c r="N1138" s="568">
        <v>43100</v>
      </c>
      <c r="O1138" s="544" t="s">
        <v>955</v>
      </c>
      <c r="P1138" s="544"/>
      <c r="Q1138" s="677"/>
      <c r="R1138" s="546" t="s">
        <v>1977</v>
      </c>
      <c r="S1138" s="319"/>
      <c r="T1138" s="317">
        <v>14</v>
      </c>
    </row>
    <row r="1139" spans="1:20" ht="18.75" customHeight="1">
      <c r="A1139" s="1127" t="s">
        <v>2957</v>
      </c>
      <c r="B1139" s="1169" t="s">
        <v>395</v>
      </c>
      <c r="C1139" s="1169" t="s">
        <v>515</v>
      </c>
      <c r="D1139" s="526">
        <v>300</v>
      </c>
      <c r="E1139" s="526">
        <v>490</v>
      </c>
      <c r="F1139" s="526">
        <v>490</v>
      </c>
      <c r="G1139" s="56" t="s">
        <v>29</v>
      </c>
      <c r="H1139" s="48" t="s">
        <v>659</v>
      </c>
      <c r="I1139" s="576" t="s">
        <v>16</v>
      </c>
      <c r="J1139" s="558"/>
      <c r="K1139" s="558">
        <v>18</v>
      </c>
      <c r="L1139" s="557" t="s">
        <v>637</v>
      </c>
      <c r="M1139" s="547">
        <v>43052</v>
      </c>
      <c r="N1139" s="547">
        <v>43072</v>
      </c>
      <c r="O1139" s="544" t="s">
        <v>955</v>
      </c>
      <c r="P1139" s="544"/>
      <c r="Q1139" s="677"/>
      <c r="R1139" s="546" t="s">
        <v>1970</v>
      </c>
      <c r="S1139" s="319" t="s">
        <v>2078</v>
      </c>
      <c r="T1139" s="338" t="s">
        <v>2096</v>
      </c>
    </row>
    <row r="1140" spans="1:20" ht="20.100000000000001" customHeight="1">
      <c r="A1140" s="1127" t="s">
        <v>2957</v>
      </c>
      <c r="B1140" s="1169" t="s">
        <v>2092</v>
      </c>
      <c r="C1140" s="1169" t="s">
        <v>2091</v>
      </c>
      <c r="D1140" s="62">
        <v>500</v>
      </c>
      <c r="E1140" s="62">
        <v>900</v>
      </c>
      <c r="F1140" s="62">
        <v>900</v>
      </c>
      <c r="G1140" s="48" t="s">
        <v>2095</v>
      </c>
      <c r="H1140" s="48" t="s">
        <v>2094</v>
      </c>
      <c r="I1140" s="558" t="s">
        <v>2089</v>
      </c>
      <c r="J1140" s="558"/>
      <c r="K1140" s="558">
        <v>14</v>
      </c>
      <c r="L1140" s="557" t="s">
        <v>2063</v>
      </c>
      <c r="M1140" s="6">
        <v>43040</v>
      </c>
      <c r="N1140" s="6">
        <v>43100</v>
      </c>
      <c r="O1140" s="544" t="s">
        <v>2085</v>
      </c>
      <c r="P1140" s="553"/>
      <c r="Q1140" s="677"/>
      <c r="R1140" s="546" t="s">
        <v>2093</v>
      </c>
      <c r="S1140" s="319" t="s">
        <v>1176</v>
      </c>
      <c r="T1140" s="338" t="s">
        <v>2875</v>
      </c>
    </row>
    <row r="1141" spans="1:20" ht="20.100000000000001" customHeight="1">
      <c r="A1141" s="1127" t="s">
        <v>2957</v>
      </c>
      <c r="B1141" s="1169" t="s">
        <v>2092</v>
      </c>
      <c r="C1141" s="1169" t="s">
        <v>2091</v>
      </c>
      <c r="D1141" s="525">
        <v>540</v>
      </c>
      <c r="E1141" s="525">
        <v>880</v>
      </c>
      <c r="F1141" s="525">
        <v>880</v>
      </c>
      <c r="G1141" s="56" t="s">
        <v>2090</v>
      </c>
      <c r="H1141" s="55" t="s">
        <v>2068</v>
      </c>
      <c r="I1141" s="559" t="s">
        <v>2089</v>
      </c>
      <c r="J1141" s="557"/>
      <c r="K1141" s="557" t="s">
        <v>2088</v>
      </c>
      <c r="L1141" s="557" t="s">
        <v>2045</v>
      </c>
      <c r="M1141" s="549">
        <v>43062</v>
      </c>
      <c r="N1141" s="549">
        <v>43089</v>
      </c>
      <c r="O1141" s="544" t="s">
        <v>2085</v>
      </c>
      <c r="P1141" s="553"/>
      <c r="Q1141" s="7"/>
      <c r="R1141" s="546" t="s">
        <v>2087</v>
      </c>
      <c r="S1141" s="316" t="s">
        <v>2078</v>
      </c>
      <c r="T1141" s="338"/>
    </row>
    <row r="1142" spans="1:20" ht="20.100000000000001" customHeight="1">
      <c r="A1142" s="1127" t="s">
        <v>2957</v>
      </c>
      <c r="B1142" s="1169" t="s">
        <v>395</v>
      </c>
      <c r="C1142" s="1169" t="s">
        <v>515</v>
      </c>
      <c r="D1142" s="529">
        <v>450</v>
      </c>
      <c r="E1142" s="529">
        <v>700</v>
      </c>
      <c r="F1142" s="529">
        <v>700</v>
      </c>
      <c r="G1142" s="224" t="s">
        <v>22</v>
      </c>
      <c r="H1142" s="56" t="s">
        <v>706</v>
      </c>
      <c r="I1142" s="558" t="s">
        <v>16</v>
      </c>
      <c r="J1142" s="567"/>
      <c r="K1142" s="567">
        <v>14</v>
      </c>
      <c r="L1142" s="559" t="s">
        <v>643</v>
      </c>
      <c r="M1142" s="547">
        <v>43009</v>
      </c>
      <c r="N1142" s="547">
        <v>43069</v>
      </c>
      <c r="O1142" s="544" t="s">
        <v>955</v>
      </c>
      <c r="P1142" s="553"/>
      <c r="Q1142" s="60"/>
      <c r="R1142" s="546" t="s">
        <v>1783</v>
      </c>
      <c r="S1142" s="316" t="s">
        <v>1176</v>
      </c>
      <c r="T1142" s="317">
        <v>14</v>
      </c>
    </row>
    <row r="1143" spans="1:20" ht="20.100000000000001" customHeight="1">
      <c r="A1143" s="1142" t="s">
        <v>2959</v>
      </c>
      <c r="B1143" s="1180" t="s">
        <v>141</v>
      </c>
      <c r="C1143" s="1180" t="s">
        <v>538</v>
      </c>
      <c r="D1143" s="2">
        <v>500</v>
      </c>
      <c r="E1143" s="2">
        <v>700</v>
      </c>
      <c r="F1143" s="2">
        <v>700</v>
      </c>
      <c r="G1143" s="699" t="s">
        <v>5</v>
      </c>
      <c r="H1143" s="56" t="s">
        <v>2517</v>
      </c>
      <c r="I1143" s="559" t="s">
        <v>17</v>
      </c>
      <c r="J1143" s="567"/>
      <c r="K1143" s="567" t="s">
        <v>2518</v>
      </c>
      <c r="L1143" s="570" t="s">
        <v>641</v>
      </c>
      <c r="M1143" s="570"/>
      <c r="N1143" s="547">
        <v>43008</v>
      </c>
      <c r="O1143" s="587" t="s">
        <v>600</v>
      </c>
      <c r="P1143" s="587" t="s">
        <v>609</v>
      </c>
      <c r="Q1143" s="677"/>
      <c r="R1143" s="546" t="s">
        <v>2519</v>
      </c>
      <c r="S1143" s="316"/>
      <c r="T1143" s="317"/>
    </row>
    <row r="1144" spans="1:20" ht="20.100000000000001" customHeight="1">
      <c r="A1144" s="1160" t="s">
        <v>2959</v>
      </c>
      <c r="B1144" s="1181" t="s">
        <v>141</v>
      </c>
      <c r="C1144" s="1181" t="s">
        <v>538</v>
      </c>
      <c r="D1144" s="2">
        <v>925</v>
      </c>
      <c r="E1144" s="2">
        <v>1450</v>
      </c>
      <c r="F1144" s="2">
        <v>1450</v>
      </c>
      <c r="G1144" s="69" t="s">
        <v>87</v>
      </c>
      <c r="H1144" s="48" t="s">
        <v>630</v>
      </c>
      <c r="I1144" s="557" t="s">
        <v>25</v>
      </c>
      <c r="J1144" s="559"/>
      <c r="K1144" s="559">
        <v>10</v>
      </c>
      <c r="L1144" s="557" t="s">
        <v>637</v>
      </c>
      <c r="M1144" s="551">
        <v>43046</v>
      </c>
      <c r="N1144" s="551">
        <v>43086</v>
      </c>
      <c r="O1144" s="562"/>
      <c r="P1144" s="562" t="s">
        <v>610</v>
      </c>
      <c r="Q1144" s="61"/>
      <c r="R1144" s="555" t="s">
        <v>246</v>
      </c>
      <c r="S1144" s="316" t="s">
        <v>2871</v>
      </c>
      <c r="T1144" s="338"/>
    </row>
    <row r="1145" spans="1:20" ht="20.100000000000001" customHeight="1">
      <c r="A1145" s="1160" t="s">
        <v>2959</v>
      </c>
      <c r="B1145" s="1181" t="s">
        <v>141</v>
      </c>
      <c r="C1145" s="1181" t="s">
        <v>538</v>
      </c>
      <c r="D1145" s="11"/>
      <c r="E1145" s="11"/>
      <c r="F1145" s="11"/>
      <c r="G1145" s="66" t="s">
        <v>6</v>
      </c>
      <c r="H1145" s="588">
        <v>4</v>
      </c>
      <c r="I1145" s="558" t="s">
        <v>17</v>
      </c>
      <c r="J1145" s="559"/>
      <c r="K1145" s="564" t="s">
        <v>721</v>
      </c>
      <c r="L1145" s="570" t="s">
        <v>641</v>
      </c>
      <c r="M1145" s="549">
        <v>43040</v>
      </c>
      <c r="N1145" s="549">
        <v>43074</v>
      </c>
      <c r="O1145" s="562"/>
      <c r="P1145" s="587" t="s">
        <v>730</v>
      </c>
      <c r="Q1145" s="52"/>
      <c r="R1145" s="561" t="s">
        <v>1222</v>
      </c>
      <c r="S1145" s="325" t="s">
        <v>1176</v>
      </c>
      <c r="T1145" s="338"/>
    </row>
    <row r="1146" spans="1:20" ht="20.100000000000001" customHeight="1">
      <c r="A1146" s="1160" t="s">
        <v>2959</v>
      </c>
      <c r="B1146" s="1181" t="s">
        <v>141</v>
      </c>
      <c r="C1146" s="1181" t="s">
        <v>538</v>
      </c>
      <c r="D1146" s="2">
        <v>500</v>
      </c>
      <c r="E1146" s="2">
        <v>700</v>
      </c>
      <c r="F1146" s="2">
        <v>700</v>
      </c>
      <c r="G1146" s="699" t="s">
        <v>5</v>
      </c>
      <c r="H1146" s="47">
        <v>4</v>
      </c>
      <c r="I1146" s="559" t="s">
        <v>17</v>
      </c>
      <c r="J1146" s="559"/>
      <c r="K1146" s="564" t="s">
        <v>721</v>
      </c>
      <c r="L1146" s="570" t="s">
        <v>641</v>
      </c>
      <c r="M1146" s="570"/>
      <c r="N1146" s="547">
        <v>43008</v>
      </c>
      <c r="O1146" s="587" t="s">
        <v>600</v>
      </c>
      <c r="P1146" s="587" t="s">
        <v>609</v>
      </c>
      <c r="Q1146" s="677"/>
      <c r="R1146" s="546" t="s">
        <v>2516</v>
      </c>
      <c r="S1146" s="319"/>
      <c r="T1146" s="338"/>
    </row>
    <row r="1147" spans="1:20" ht="20.100000000000001" customHeight="1">
      <c r="A1147" s="1160" t="s">
        <v>2959</v>
      </c>
      <c r="B1147" s="1181" t="s">
        <v>141</v>
      </c>
      <c r="C1147" s="1181" t="s">
        <v>538</v>
      </c>
      <c r="D1147" s="2">
        <v>850</v>
      </c>
      <c r="E1147" s="2">
        <v>1300</v>
      </c>
      <c r="F1147" s="2">
        <v>1300</v>
      </c>
      <c r="G1147" s="69" t="s">
        <v>232</v>
      </c>
      <c r="H1147" s="47">
        <v>4</v>
      </c>
      <c r="I1147" s="558" t="s">
        <v>17</v>
      </c>
      <c r="J1147" s="559"/>
      <c r="K1147" s="564" t="s">
        <v>721</v>
      </c>
      <c r="L1147" s="570" t="s">
        <v>641</v>
      </c>
      <c r="M1147" s="551">
        <v>43037</v>
      </c>
      <c r="N1147" s="551">
        <v>43086</v>
      </c>
      <c r="O1147" s="563"/>
      <c r="P1147" s="563"/>
      <c r="Q1147" s="7"/>
      <c r="R1147" s="546" t="s">
        <v>1142</v>
      </c>
      <c r="S1147" s="319"/>
      <c r="T1147" s="317" t="s">
        <v>1678</v>
      </c>
    </row>
    <row r="1148" spans="1:20" ht="20.100000000000001" customHeight="1">
      <c r="A1148" s="1160" t="s">
        <v>2959</v>
      </c>
      <c r="B1148" s="1181" t="s">
        <v>141</v>
      </c>
      <c r="C1148" s="1181" t="s">
        <v>538</v>
      </c>
      <c r="D1148" s="2">
        <v>375</v>
      </c>
      <c r="E1148" s="2">
        <v>500</v>
      </c>
      <c r="F1148" s="2">
        <v>500</v>
      </c>
      <c r="G1148" s="69" t="s">
        <v>2353</v>
      </c>
      <c r="H1148" s="47" t="s">
        <v>2086</v>
      </c>
      <c r="I1148" s="558" t="s">
        <v>2054</v>
      </c>
      <c r="J1148" s="559"/>
      <c r="K1148" s="564" t="s">
        <v>2068</v>
      </c>
      <c r="L1148" s="570" t="s">
        <v>2052</v>
      </c>
      <c r="M1148" s="391">
        <v>43038</v>
      </c>
      <c r="N1148" s="391">
        <v>43093</v>
      </c>
      <c r="O1148" s="544" t="s">
        <v>2085</v>
      </c>
      <c r="P1148" s="563"/>
      <c r="Q1148" s="7"/>
      <c r="R1148" s="546" t="s">
        <v>2084</v>
      </c>
      <c r="S1148" s="319"/>
      <c r="T1148" s="338"/>
    </row>
    <row r="1149" spans="1:20" ht="20.100000000000001" customHeight="1">
      <c r="A1149" s="1160" t="s">
        <v>2959</v>
      </c>
      <c r="B1149" s="1181" t="s">
        <v>141</v>
      </c>
      <c r="C1149" s="1181" t="s">
        <v>538</v>
      </c>
      <c r="D1149" s="11">
        <v>349</v>
      </c>
      <c r="E1149" s="11">
        <v>498</v>
      </c>
      <c r="F1149" s="11">
        <v>388</v>
      </c>
      <c r="G1149" s="36" t="s">
        <v>62</v>
      </c>
      <c r="H1149" s="56" t="s">
        <v>681</v>
      </c>
      <c r="I1149" s="557" t="s">
        <v>17</v>
      </c>
      <c r="J1149" s="554"/>
      <c r="K1149" s="554" t="s">
        <v>2405</v>
      </c>
      <c r="L1149" s="542" t="s">
        <v>649</v>
      </c>
      <c r="M1149" s="549">
        <v>43039</v>
      </c>
      <c r="N1149" s="549">
        <v>43100</v>
      </c>
      <c r="O1149" s="562"/>
      <c r="P1149" s="580" t="s">
        <v>609</v>
      </c>
      <c r="Q1149" s="52"/>
      <c r="R1149" s="561" t="s">
        <v>2406</v>
      </c>
      <c r="S1149" s="315" t="s">
        <v>2848</v>
      </c>
      <c r="T1149" s="338"/>
    </row>
    <row r="1150" spans="1:20" ht="20.100000000000001" customHeight="1">
      <c r="A1150" s="1161" t="s">
        <v>2959</v>
      </c>
      <c r="B1150" s="1182" t="s">
        <v>141</v>
      </c>
      <c r="C1150" s="1182" t="s">
        <v>538</v>
      </c>
      <c r="D1150" s="2">
        <v>850</v>
      </c>
      <c r="E1150" s="2">
        <v>1300</v>
      </c>
      <c r="F1150" s="2">
        <v>1300</v>
      </c>
      <c r="G1150" s="69" t="s">
        <v>2075</v>
      </c>
      <c r="H1150" s="47" t="s">
        <v>2055</v>
      </c>
      <c r="I1150" s="558" t="s">
        <v>2054</v>
      </c>
      <c r="J1150" s="559"/>
      <c r="K1150" s="564" t="s">
        <v>2073</v>
      </c>
      <c r="L1150" s="570" t="s">
        <v>2072</v>
      </c>
      <c r="M1150" s="551">
        <v>43037</v>
      </c>
      <c r="N1150" s="551">
        <v>43086</v>
      </c>
      <c r="O1150" s="563"/>
      <c r="P1150" s="563"/>
      <c r="Q1150" s="7"/>
      <c r="R1150" s="546" t="s">
        <v>2083</v>
      </c>
      <c r="S1150" s="319"/>
      <c r="T1150" s="317" t="s">
        <v>2070</v>
      </c>
    </row>
    <row r="1151" spans="1:20" ht="20.100000000000001" customHeight="1">
      <c r="A1151" s="1142" t="s">
        <v>2959</v>
      </c>
      <c r="B1151" s="1180" t="s">
        <v>141</v>
      </c>
      <c r="C1151" s="1180" t="s">
        <v>2060</v>
      </c>
      <c r="D1151" s="2">
        <v>500</v>
      </c>
      <c r="E1151" s="2">
        <v>700</v>
      </c>
      <c r="F1151" s="2">
        <v>700</v>
      </c>
      <c r="G1151" s="699" t="s">
        <v>5</v>
      </c>
      <c r="H1151" s="56" t="s">
        <v>2517</v>
      </c>
      <c r="I1151" s="559" t="s">
        <v>17</v>
      </c>
      <c r="J1151" s="559" t="s">
        <v>2074</v>
      </c>
      <c r="K1151" s="567" t="s">
        <v>2520</v>
      </c>
      <c r="L1151" s="570" t="s">
        <v>641</v>
      </c>
      <c r="M1151" s="570"/>
      <c r="N1151" s="547">
        <v>43008</v>
      </c>
      <c r="O1151" s="587" t="s">
        <v>600</v>
      </c>
      <c r="P1151" s="587" t="s">
        <v>609</v>
      </c>
      <c r="Q1151" s="677"/>
      <c r="R1151" s="546" t="s">
        <v>2519</v>
      </c>
      <c r="S1151" s="319"/>
      <c r="T1151" s="317"/>
    </row>
    <row r="1152" spans="1:20" ht="20.100000000000001" customHeight="1">
      <c r="A1152" s="1160" t="s">
        <v>2959</v>
      </c>
      <c r="B1152" s="1181" t="s">
        <v>2050</v>
      </c>
      <c r="C1152" s="1181" t="s">
        <v>2060</v>
      </c>
      <c r="D1152" s="11">
        <v>399</v>
      </c>
      <c r="E1152" s="11">
        <v>653</v>
      </c>
      <c r="F1152" s="11">
        <v>513</v>
      </c>
      <c r="G1152" s="36" t="s">
        <v>2056</v>
      </c>
      <c r="H1152" s="36" t="s">
        <v>2069</v>
      </c>
      <c r="I1152" s="542" t="s">
        <v>2054</v>
      </c>
      <c r="J1152" s="554" t="s">
        <v>2074</v>
      </c>
      <c r="K1152" s="554" t="s">
        <v>2068</v>
      </c>
      <c r="L1152" s="542" t="s">
        <v>649</v>
      </c>
      <c r="M1152" s="549">
        <v>43039</v>
      </c>
      <c r="N1152" s="549">
        <v>43100</v>
      </c>
      <c r="O1152" s="562"/>
      <c r="P1152" s="580" t="s">
        <v>2082</v>
      </c>
      <c r="Q1152" s="7"/>
      <c r="R1152" s="546" t="s">
        <v>2067</v>
      </c>
      <c r="S1152" s="315" t="s">
        <v>2859</v>
      </c>
      <c r="T1152" s="338"/>
    </row>
    <row r="1153" spans="1:20" ht="20.100000000000001" customHeight="1">
      <c r="A1153" s="1160" t="s">
        <v>2959</v>
      </c>
      <c r="B1153" s="1181" t="s">
        <v>2050</v>
      </c>
      <c r="C1153" s="1181" t="s">
        <v>2060</v>
      </c>
      <c r="D1153" s="11">
        <v>525</v>
      </c>
      <c r="E1153" s="11">
        <v>850</v>
      </c>
      <c r="F1153" s="11">
        <v>850</v>
      </c>
      <c r="G1153" s="69" t="s">
        <v>2066</v>
      </c>
      <c r="H1153" s="48" t="s">
        <v>2065</v>
      </c>
      <c r="I1153" s="557" t="s">
        <v>2064</v>
      </c>
      <c r="J1153" s="559" t="s">
        <v>2074</v>
      </c>
      <c r="K1153" s="559">
        <v>10</v>
      </c>
      <c r="L1153" s="557" t="s">
        <v>2063</v>
      </c>
      <c r="M1153" s="551">
        <v>43046</v>
      </c>
      <c r="N1153" s="551">
        <v>43086</v>
      </c>
      <c r="O1153" s="562"/>
      <c r="P1153" s="562" t="s">
        <v>2062</v>
      </c>
      <c r="Q1153" s="61"/>
      <c r="R1153" s="555" t="s">
        <v>2061</v>
      </c>
      <c r="S1153" s="316" t="s">
        <v>2871</v>
      </c>
      <c r="T1153" s="338"/>
    </row>
    <row r="1154" spans="1:20" ht="20.100000000000001" customHeight="1">
      <c r="A1154" s="1160" t="s">
        <v>2959</v>
      </c>
      <c r="B1154" s="1181" t="s">
        <v>2050</v>
      </c>
      <c r="C1154" s="1181" t="s">
        <v>2060</v>
      </c>
      <c r="D1154" s="2"/>
      <c r="E1154" s="2"/>
      <c r="F1154" s="2"/>
      <c r="G1154" s="66" t="s">
        <v>2081</v>
      </c>
      <c r="H1154" s="588">
        <v>4</v>
      </c>
      <c r="I1154" s="559" t="s">
        <v>2054</v>
      </c>
      <c r="J1154" s="559" t="s">
        <v>2074</v>
      </c>
      <c r="K1154" s="559" t="s">
        <v>2073</v>
      </c>
      <c r="L1154" s="570" t="s">
        <v>2072</v>
      </c>
      <c r="M1154" s="549">
        <v>43040</v>
      </c>
      <c r="N1154" s="549">
        <v>43074</v>
      </c>
      <c r="O1154" s="562"/>
      <c r="P1154" s="587" t="s">
        <v>2080</v>
      </c>
      <c r="Q1154" s="61"/>
      <c r="R1154" s="555" t="s">
        <v>2079</v>
      </c>
      <c r="S1154" s="325" t="s">
        <v>2078</v>
      </c>
      <c r="T1154" s="338"/>
    </row>
    <row r="1155" spans="1:20" ht="20.100000000000001" customHeight="1">
      <c r="A1155" s="1160" t="s">
        <v>2959</v>
      </c>
      <c r="B1155" s="1181" t="s">
        <v>2050</v>
      </c>
      <c r="C1155" s="1181" t="s">
        <v>2060</v>
      </c>
      <c r="D1155" s="2">
        <v>500</v>
      </c>
      <c r="E1155" s="2">
        <v>700</v>
      </c>
      <c r="F1155" s="2">
        <v>700</v>
      </c>
      <c r="G1155" s="699" t="s">
        <v>2077</v>
      </c>
      <c r="H1155" s="47">
        <v>4</v>
      </c>
      <c r="I1155" s="559" t="s">
        <v>2054</v>
      </c>
      <c r="J1155" s="559" t="s">
        <v>2074</v>
      </c>
      <c r="K1155" s="559" t="s">
        <v>2073</v>
      </c>
      <c r="L1155" s="570" t="s">
        <v>2072</v>
      </c>
      <c r="M1155" s="570"/>
      <c r="N1155" s="547">
        <v>43008</v>
      </c>
      <c r="O1155" s="587" t="s">
        <v>2076</v>
      </c>
      <c r="P1155" s="587" t="s">
        <v>2058</v>
      </c>
      <c r="Q1155" s="677"/>
      <c r="R1155" s="546" t="s">
        <v>2516</v>
      </c>
      <c r="S1155" s="319"/>
      <c r="T1155" s="338"/>
    </row>
    <row r="1156" spans="1:20" ht="20.100000000000001" customHeight="1">
      <c r="A1156" s="1160" t="s">
        <v>2959</v>
      </c>
      <c r="B1156" s="1181" t="s">
        <v>2050</v>
      </c>
      <c r="C1156" s="1181" t="s">
        <v>2060</v>
      </c>
      <c r="D1156" s="2">
        <v>875</v>
      </c>
      <c r="E1156" s="2">
        <v>1350</v>
      </c>
      <c r="F1156" s="2">
        <v>1350</v>
      </c>
      <c r="G1156" s="69" t="s">
        <v>2075</v>
      </c>
      <c r="H1156" s="47">
        <v>4</v>
      </c>
      <c r="I1156" s="559" t="s">
        <v>2054</v>
      </c>
      <c r="J1156" s="559" t="s">
        <v>2074</v>
      </c>
      <c r="K1156" s="559" t="s">
        <v>2073</v>
      </c>
      <c r="L1156" s="570" t="s">
        <v>2072</v>
      </c>
      <c r="M1156" s="551">
        <v>43037</v>
      </c>
      <c r="N1156" s="551">
        <v>43086</v>
      </c>
      <c r="O1156" s="589"/>
      <c r="P1156" s="589"/>
      <c r="Q1156" s="738"/>
      <c r="R1156" s="546" t="s">
        <v>2071</v>
      </c>
      <c r="S1156" s="319"/>
      <c r="T1156" s="317" t="s">
        <v>2070</v>
      </c>
    </row>
    <row r="1157" spans="1:20" ht="20.100000000000001" customHeight="1">
      <c r="A1157" s="1160" t="s">
        <v>2959</v>
      </c>
      <c r="B1157" s="1181" t="s">
        <v>2050</v>
      </c>
      <c r="C1157" s="1181" t="s">
        <v>2060</v>
      </c>
      <c r="D1157" s="11">
        <v>379</v>
      </c>
      <c r="E1157" s="11">
        <v>608</v>
      </c>
      <c r="F1157" s="11">
        <v>488</v>
      </c>
      <c r="G1157" s="36" t="s">
        <v>2056</v>
      </c>
      <c r="H1157" s="36" t="s">
        <v>2069</v>
      </c>
      <c r="I1157" s="542" t="s">
        <v>2054</v>
      </c>
      <c r="J1157" s="554" t="s">
        <v>2059</v>
      </c>
      <c r="K1157" s="554" t="s">
        <v>725</v>
      </c>
      <c r="L1157" s="559" t="s">
        <v>2045</v>
      </c>
      <c r="M1157" s="549">
        <v>43039</v>
      </c>
      <c r="N1157" s="549">
        <v>43100</v>
      </c>
      <c r="O1157" s="562"/>
      <c r="P1157" s="580" t="s">
        <v>2058</v>
      </c>
      <c r="Q1157" s="7"/>
      <c r="R1157" s="555" t="s">
        <v>2067</v>
      </c>
      <c r="S1157" s="315" t="s">
        <v>2859</v>
      </c>
      <c r="T1157" s="338"/>
    </row>
    <row r="1158" spans="1:20" ht="20.100000000000001" customHeight="1">
      <c r="A1158" s="1160" t="s">
        <v>2959</v>
      </c>
      <c r="B1158" s="1181" t="s">
        <v>2050</v>
      </c>
      <c r="C1158" s="1181" t="s">
        <v>2060</v>
      </c>
      <c r="D1158" s="11">
        <v>525</v>
      </c>
      <c r="E1158" s="11">
        <v>850</v>
      </c>
      <c r="F1158" s="11">
        <v>850</v>
      </c>
      <c r="G1158" s="69" t="s">
        <v>2066</v>
      </c>
      <c r="H1158" s="48" t="s">
        <v>2065</v>
      </c>
      <c r="I1158" s="557" t="s">
        <v>2064</v>
      </c>
      <c r="J1158" s="554" t="s">
        <v>2059</v>
      </c>
      <c r="K1158" s="559">
        <v>10</v>
      </c>
      <c r="L1158" s="557" t="s">
        <v>2063</v>
      </c>
      <c r="M1158" s="551">
        <v>43046</v>
      </c>
      <c r="N1158" s="551">
        <v>43086</v>
      </c>
      <c r="O1158" s="562"/>
      <c r="P1158" s="562" t="s">
        <v>2062</v>
      </c>
      <c r="Q1158" s="61"/>
      <c r="R1158" s="555" t="s">
        <v>2061</v>
      </c>
      <c r="S1158" s="316" t="s">
        <v>2871</v>
      </c>
      <c r="T1158" s="338"/>
    </row>
    <row r="1159" spans="1:20" ht="20.100000000000001" customHeight="1">
      <c r="A1159" s="1161" t="s">
        <v>2959</v>
      </c>
      <c r="B1159" s="1182" t="s">
        <v>2050</v>
      </c>
      <c r="C1159" s="1182" t="s">
        <v>2060</v>
      </c>
      <c r="D1159" s="11">
        <v>379</v>
      </c>
      <c r="E1159" s="11">
        <v>608</v>
      </c>
      <c r="F1159" s="11">
        <v>488</v>
      </c>
      <c r="G1159" s="36" t="s">
        <v>2056</v>
      </c>
      <c r="H1159" s="36" t="s">
        <v>2055</v>
      </c>
      <c r="I1159" s="542" t="s">
        <v>2054</v>
      </c>
      <c r="J1159" s="554" t="s">
        <v>2059</v>
      </c>
      <c r="K1159" s="554" t="s">
        <v>2055</v>
      </c>
      <c r="L1159" s="559" t="s">
        <v>2052</v>
      </c>
      <c r="M1159" s="549">
        <v>43039</v>
      </c>
      <c r="N1159" s="549">
        <v>43100</v>
      </c>
      <c r="O1159" s="562"/>
      <c r="P1159" s="580" t="s">
        <v>2058</v>
      </c>
      <c r="Q1159" s="52"/>
      <c r="R1159" s="555" t="s">
        <v>2051</v>
      </c>
      <c r="S1159" s="315" t="s">
        <v>2859</v>
      </c>
      <c r="T1159" s="338"/>
    </row>
    <row r="1160" spans="1:20" ht="20.100000000000001" customHeight="1">
      <c r="A1160" s="734" t="s">
        <v>2960</v>
      </c>
      <c r="B1160" s="590" t="s">
        <v>2050</v>
      </c>
      <c r="C1160" s="590" t="s">
        <v>2057</v>
      </c>
      <c r="D1160" s="11">
        <v>404</v>
      </c>
      <c r="E1160" s="11">
        <v>623</v>
      </c>
      <c r="F1160" s="11">
        <v>523</v>
      </c>
      <c r="G1160" s="36" t="s">
        <v>2056</v>
      </c>
      <c r="H1160" s="36" t="s">
        <v>2055</v>
      </c>
      <c r="I1160" s="542" t="s">
        <v>2054</v>
      </c>
      <c r="J1160" s="554"/>
      <c r="K1160" s="554" t="s">
        <v>2053</v>
      </c>
      <c r="L1160" s="559" t="s">
        <v>2052</v>
      </c>
      <c r="M1160" s="549">
        <v>42916</v>
      </c>
      <c r="N1160" s="549">
        <v>42916</v>
      </c>
      <c r="O1160" s="562"/>
      <c r="P1160" s="580"/>
      <c r="Q1160" s="52"/>
      <c r="R1160" s="555" t="s">
        <v>2051</v>
      </c>
      <c r="S1160" s="315" t="s">
        <v>2848</v>
      </c>
      <c r="T1160" s="338"/>
    </row>
    <row r="1161" spans="1:20" ht="20.100000000000001" customHeight="1">
      <c r="A1161" s="734" t="s">
        <v>2960</v>
      </c>
      <c r="B1161" s="590" t="s">
        <v>2050</v>
      </c>
      <c r="C1161" s="590" t="s">
        <v>2049</v>
      </c>
      <c r="D1161" s="11">
        <v>2889</v>
      </c>
      <c r="E1161" s="11">
        <v>5653</v>
      </c>
      <c r="F1161" s="11">
        <v>5533</v>
      </c>
      <c r="G1161" s="36" t="s">
        <v>2048</v>
      </c>
      <c r="H1161" s="56" t="s">
        <v>729</v>
      </c>
      <c r="I1161" s="557" t="s">
        <v>2047</v>
      </c>
      <c r="J1161" s="554"/>
      <c r="K1161" s="554" t="s">
        <v>2046</v>
      </c>
      <c r="L1161" s="542" t="s">
        <v>2045</v>
      </c>
      <c r="M1161" s="549">
        <v>42916</v>
      </c>
      <c r="N1161" s="549">
        <v>42916</v>
      </c>
      <c r="O1161" s="562"/>
      <c r="P1161" s="580"/>
      <c r="Q1161" s="7"/>
      <c r="R1161" s="546" t="s">
        <v>2067</v>
      </c>
      <c r="S1161" s="315" t="s">
        <v>2848</v>
      </c>
      <c r="T1161" s="338"/>
    </row>
    <row r="1162" spans="1:20" ht="20.100000000000001" customHeight="1">
      <c r="A1162" s="44"/>
      <c r="B1162" s="541"/>
      <c r="C1162" s="541"/>
      <c r="D1162" s="827"/>
      <c r="E1162" s="827"/>
      <c r="F1162" s="827"/>
      <c r="K1162" s="541"/>
      <c r="L1162" s="541"/>
      <c r="M1162" s="541"/>
      <c r="N1162" s="541"/>
      <c r="R1162" s="541"/>
    </row>
  </sheetData>
  <sheetProtection selectLockedCells="1" autoFilter="0" selectUnlockedCells="1"/>
  <autoFilter ref="A2:T1161">
    <filterColumn colId="3" showButton="0"/>
    <filterColumn colId="4" showButton="0"/>
  </autoFilter>
  <mergeCells count="316">
    <mergeCell ref="C312:C315"/>
    <mergeCell ref="A316:A321"/>
    <mergeCell ref="B316:B321"/>
    <mergeCell ref="C316:C321"/>
    <mergeCell ref="A331:A339"/>
    <mergeCell ref="B331:B339"/>
    <mergeCell ref="C331:C339"/>
    <mergeCell ref="C693:C708"/>
    <mergeCell ref="C554:C595"/>
    <mergeCell ref="C596:C597"/>
    <mergeCell ref="B647:B662"/>
    <mergeCell ref="C523:C530"/>
    <mergeCell ref="B543:B547"/>
    <mergeCell ref="C531:C535"/>
    <mergeCell ref="A531:A535"/>
    <mergeCell ref="B531:B535"/>
    <mergeCell ref="A434:A463"/>
    <mergeCell ref="A469:A497"/>
    <mergeCell ref="A515:A522"/>
    <mergeCell ref="B515:B522"/>
    <mergeCell ref="C515:C522"/>
    <mergeCell ref="A464:A468"/>
    <mergeCell ref="A536:A542"/>
    <mergeCell ref="B536:B542"/>
    <mergeCell ref="A663:A677"/>
    <mergeCell ref="A678:A692"/>
    <mergeCell ref="C643:C646"/>
    <mergeCell ref="B663:B677"/>
    <mergeCell ref="C647:C662"/>
    <mergeCell ref="B643:B646"/>
    <mergeCell ref="A643:A646"/>
    <mergeCell ref="B554:B595"/>
    <mergeCell ref="A647:A662"/>
    <mergeCell ref="A554:A595"/>
    <mergeCell ref="A596:A597"/>
    <mergeCell ref="B596:B597"/>
    <mergeCell ref="B598:B642"/>
    <mergeCell ref="A598:A642"/>
    <mergeCell ref="C663:C677"/>
    <mergeCell ref="C598:C642"/>
    <mergeCell ref="B996:B997"/>
    <mergeCell ref="A797:A824"/>
    <mergeCell ref="B797:B824"/>
    <mergeCell ref="C797:C824"/>
    <mergeCell ref="A832:A864"/>
    <mergeCell ref="B832:B864"/>
    <mergeCell ref="C832:C864"/>
    <mergeCell ref="B678:B692"/>
    <mergeCell ref="A710:A714"/>
    <mergeCell ref="B710:B714"/>
    <mergeCell ref="A726:A732"/>
    <mergeCell ref="B693:B708"/>
    <mergeCell ref="C678:C692"/>
    <mergeCell ref="A693:A708"/>
    <mergeCell ref="A754:A761"/>
    <mergeCell ref="A786:A794"/>
    <mergeCell ref="B786:B794"/>
    <mergeCell ref="C786:C794"/>
    <mergeCell ref="A769:A776"/>
    <mergeCell ref="B769:B776"/>
    <mergeCell ref="C769:C776"/>
    <mergeCell ref="A715:A725"/>
    <mergeCell ref="B715:B725"/>
    <mergeCell ref="C715:C725"/>
    <mergeCell ref="A1106:A1124"/>
    <mergeCell ref="A1143:A1150"/>
    <mergeCell ref="B1143:B1150"/>
    <mergeCell ref="C1143:C1150"/>
    <mergeCell ref="C932:C939"/>
    <mergeCell ref="B918:B922"/>
    <mergeCell ref="C918:C922"/>
    <mergeCell ref="C924:C926"/>
    <mergeCell ref="B927:B928"/>
    <mergeCell ref="A929:A931"/>
    <mergeCell ref="B929:B931"/>
    <mergeCell ref="C929:C931"/>
    <mergeCell ref="A924:A926"/>
    <mergeCell ref="B924:B926"/>
    <mergeCell ref="B940:B941"/>
    <mergeCell ref="A918:A922"/>
    <mergeCell ref="A932:A939"/>
    <mergeCell ref="B992:B994"/>
    <mergeCell ref="C992:C994"/>
    <mergeCell ref="A951:A962"/>
    <mergeCell ref="B1134:B1142"/>
    <mergeCell ref="A963:A975"/>
    <mergeCell ref="A987:A989"/>
    <mergeCell ref="B987:B989"/>
    <mergeCell ref="B825:B831"/>
    <mergeCell ref="A825:A831"/>
    <mergeCell ref="C825:C831"/>
    <mergeCell ref="B977:B986"/>
    <mergeCell ref="A1151:A1159"/>
    <mergeCell ref="B1151:B1159"/>
    <mergeCell ref="C1151:C1159"/>
    <mergeCell ref="B1101:B1105"/>
    <mergeCell ref="A1067:A1070"/>
    <mergeCell ref="B1067:B1070"/>
    <mergeCell ref="C977:C986"/>
    <mergeCell ref="C1032:C1044"/>
    <mergeCell ref="C987:C989"/>
    <mergeCell ref="A1000:A1011"/>
    <mergeCell ref="B1000:B1011"/>
    <mergeCell ref="C1000:C1011"/>
    <mergeCell ref="A996:A997"/>
    <mergeCell ref="A998:A999"/>
    <mergeCell ref="C998:C999"/>
    <mergeCell ref="B998:B999"/>
    <mergeCell ref="C1134:C1142"/>
    <mergeCell ref="A1134:A1142"/>
    <mergeCell ref="A1072:A1099"/>
    <mergeCell ref="B1072:B1099"/>
    <mergeCell ref="A1101:A1105"/>
    <mergeCell ref="A940:A941"/>
    <mergeCell ref="B894:B911"/>
    <mergeCell ref="A927:A928"/>
    <mergeCell ref="A1:T1"/>
    <mergeCell ref="A1012:A1031"/>
    <mergeCell ref="C946:C950"/>
    <mergeCell ref="B946:B950"/>
    <mergeCell ref="B865:B871"/>
    <mergeCell ref="C795:C796"/>
    <mergeCell ref="C940:C941"/>
    <mergeCell ref="C944:C945"/>
    <mergeCell ref="A946:A950"/>
    <mergeCell ref="B944:B945"/>
    <mergeCell ref="B932:B939"/>
    <mergeCell ref="C912:C917"/>
    <mergeCell ref="A912:A917"/>
    <mergeCell ref="C927:C928"/>
    <mergeCell ref="B912:B917"/>
    <mergeCell ref="A162:A169"/>
    <mergeCell ref="B162:B169"/>
    <mergeCell ref="C162:C169"/>
    <mergeCell ref="M2:M3"/>
    <mergeCell ref="B795:B796"/>
    <mergeCell ref="B963:B975"/>
    <mergeCell ref="B1012:B1031"/>
    <mergeCell ref="C865:C871"/>
    <mergeCell ref="A865:A871"/>
    <mergeCell ref="A894:A911"/>
    <mergeCell ref="C951:C962"/>
    <mergeCell ref="B951:B962"/>
    <mergeCell ref="C1125:C1133"/>
    <mergeCell ref="C1101:C1105"/>
    <mergeCell ref="C1072:C1099"/>
    <mergeCell ref="B1106:B1124"/>
    <mergeCell ref="C1053:C1055"/>
    <mergeCell ref="A1053:A1055"/>
    <mergeCell ref="B1053:B1055"/>
    <mergeCell ref="A1045:A1052"/>
    <mergeCell ref="B1045:B1052"/>
    <mergeCell ref="C1106:C1124"/>
    <mergeCell ref="A1056:A1066"/>
    <mergeCell ref="B1056:B1066"/>
    <mergeCell ref="C1056:C1066"/>
    <mergeCell ref="C1045:C1052"/>
    <mergeCell ref="A1125:A1133"/>
    <mergeCell ref="C1067:C1070"/>
    <mergeCell ref="B1125:B1133"/>
    <mergeCell ref="C264:C299"/>
    <mergeCell ref="A300:A307"/>
    <mergeCell ref="A418:A423"/>
    <mergeCell ref="C369:C417"/>
    <mergeCell ref="A369:A417"/>
    <mergeCell ref="B369:B417"/>
    <mergeCell ref="B469:B497"/>
    <mergeCell ref="C464:C468"/>
    <mergeCell ref="A1032:A1044"/>
    <mergeCell ref="B1032:B1044"/>
    <mergeCell ref="A795:A796"/>
    <mergeCell ref="A872:A893"/>
    <mergeCell ref="B872:B893"/>
    <mergeCell ref="C872:C893"/>
    <mergeCell ref="C894:C911"/>
    <mergeCell ref="C1012:C1031"/>
    <mergeCell ref="A944:A945"/>
    <mergeCell ref="B990:B991"/>
    <mergeCell ref="C990:C991"/>
    <mergeCell ref="A990:A991"/>
    <mergeCell ref="C996:C997"/>
    <mergeCell ref="A977:A986"/>
    <mergeCell ref="A992:A994"/>
    <mergeCell ref="C963:C975"/>
    <mergeCell ref="A264:A299"/>
    <mergeCell ref="B264:B299"/>
    <mergeCell ref="B223:B226"/>
    <mergeCell ref="B245:B247"/>
    <mergeCell ref="B227:B231"/>
    <mergeCell ref="B261:B263"/>
    <mergeCell ref="A543:A547"/>
    <mergeCell ref="A523:A530"/>
    <mergeCell ref="B523:B530"/>
    <mergeCell ref="A425:A433"/>
    <mergeCell ref="B340:B368"/>
    <mergeCell ref="A340:A368"/>
    <mergeCell ref="A312:A315"/>
    <mergeCell ref="B312:B315"/>
    <mergeCell ref="B425:B433"/>
    <mergeCell ref="C207:C211"/>
    <mergeCell ref="A187:A202"/>
    <mergeCell ref="B187:B202"/>
    <mergeCell ref="A128:A161"/>
    <mergeCell ref="C113:C120"/>
    <mergeCell ref="A126:A127"/>
    <mergeCell ref="C248:C252"/>
    <mergeCell ref="A184:A186"/>
    <mergeCell ref="A207:A211"/>
    <mergeCell ref="B207:B211"/>
    <mergeCell ref="A121:A125"/>
    <mergeCell ref="B215:B219"/>
    <mergeCell ref="C232:C237"/>
    <mergeCell ref="A215:A219"/>
    <mergeCell ref="B238:B243"/>
    <mergeCell ref="C238:C243"/>
    <mergeCell ref="B184:B186"/>
    <mergeCell ref="C184:C186"/>
    <mergeCell ref="A248:A252"/>
    <mergeCell ref="A245:A247"/>
    <mergeCell ref="A232:A237"/>
    <mergeCell ref="A238:A243"/>
    <mergeCell ref="B248:B252"/>
    <mergeCell ref="A223:A226"/>
    <mergeCell ref="C4:C44"/>
    <mergeCell ref="B45:B47"/>
    <mergeCell ref="C45:C47"/>
    <mergeCell ref="A107:A111"/>
    <mergeCell ref="B107:B111"/>
    <mergeCell ref="C107:C111"/>
    <mergeCell ref="I2:I3"/>
    <mergeCell ref="A48:A106"/>
    <mergeCell ref="B48:B106"/>
    <mergeCell ref="C2:C3"/>
    <mergeCell ref="A45:A47"/>
    <mergeCell ref="A2:A3"/>
    <mergeCell ref="R2:R3"/>
    <mergeCell ref="K2:K3"/>
    <mergeCell ref="N2:N3"/>
    <mergeCell ref="Q2:Q3"/>
    <mergeCell ref="L2:L3"/>
    <mergeCell ref="P2:P3"/>
    <mergeCell ref="O2:O3"/>
    <mergeCell ref="G2:G3"/>
    <mergeCell ref="B2:B3"/>
    <mergeCell ref="T2:T3"/>
    <mergeCell ref="A253:A260"/>
    <mergeCell ref="C204:C205"/>
    <mergeCell ref="B232:B237"/>
    <mergeCell ref="A261:A263"/>
    <mergeCell ref="C262:C263"/>
    <mergeCell ref="C308:C311"/>
    <mergeCell ref="C223:C226"/>
    <mergeCell ref="C215:C219"/>
    <mergeCell ref="A204:A205"/>
    <mergeCell ref="B204:B205"/>
    <mergeCell ref="A227:A231"/>
    <mergeCell ref="C227:C231"/>
    <mergeCell ref="S2:S3"/>
    <mergeCell ref="D2:F2"/>
    <mergeCell ref="C126:C127"/>
    <mergeCell ref="B4:B44"/>
    <mergeCell ref="A170:A183"/>
    <mergeCell ref="H2:H3"/>
    <mergeCell ref="J2:J3"/>
    <mergeCell ref="A4:A44"/>
    <mergeCell ref="A308:A311"/>
    <mergeCell ref="C300:C307"/>
    <mergeCell ref="A113:A120"/>
    <mergeCell ref="C340:C368"/>
    <mergeCell ref="B300:B307"/>
    <mergeCell ref="B308:B311"/>
    <mergeCell ref="C323:C330"/>
    <mergeCell ref="B777:B785"/>
    <mergeCell ref="C777:C785"/>
    <mergeCell ref="A763:A768"/>
    <mergeCell ref="B763:B768"/>
    <mergeCell ref="C763:C768"/>
    <mergeCell ref="A743:A753"/>
    <mergeCell ref="B743:B753"/>
    <mergeCell ref="C743:C753"/>
    <mergeCell ref="C726:C732"/>
    <mergeCell ref="A733:A742"/>
    <mergeCell ref="B733:B742"/>
    <mergeCell ref="C733:C742"/>
    <mergeCell ref="B754:B761"/>
    <mergeCell ref="C754:C761"/>
    <mergeCell ref="B726:B732"/>
    <mergeCell ref="C536:C542"/>
    <mergeCell ref="C543:C547"/>
    <mergeCell ref="A777:A785"/>
    <mergeCell ref="A323:A330"/>
    <mergeCell ref="C710:C714"/>
    <mergeCell ref="C128:C161"/>
    <mergeCell ref="C48:C106"/>
    <mergeCell ref="C434:C463"/>
    <mergeCell ref="C469:C497"/>
    <mergeCell ref="A499:A514"/>
    <mergeCell ref="B499:B514"/>
    <mergeCell ref="C499:C514"/>
    <mergeCell ref="B113:B120"/>
    <mergeCell ref="C121:C125"/>
    <mergeCell ref="C418:C423"/>
    <mergeCell ref="C187:C202"/>
    <mergeCell ref="B121:B125"/>
    <mergeCell ref="C245:C247"/>
    <mergeCell ref="B418:B423"/>
    <mergeCell ref="B126:B127"/>
    <mergeCell ref="C253:C260"/>
    <mergeCell ref="B170:B183"/>
    <mergeCell ref="C170:C183"/>
    <mergeCell ref="B128:B161"/>
    <mergeCell ref="B253:B260"/>
    <mergeCell ref="B464:B468"/>
    <mergeCell ref="B323:B330"/>
    <mergeCell ref="B434:B463"/>
    <mergeCell ref="C425:C433"/>
  </mergeCells>
  <phoneticPr fontId="3" type="noConversion"/>
  <pageMargins left="0.75" right="0.75" top="1" bottom="1" header="0.5" footer="0.5"/>
  <pageSetup paperSize="9" orientation="landscape" verticalDpi="2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indexed="17"/>
  </sheetPr>
  <dimension ref="A1:U1447"/>
  <sheetViews>
    <sheetView showGridLines="0" topLeftCell="D1" zoomScaleNormal="100" workbookViewId="0">
      <pane ySplit="3" topLeftCell="A787" activePane="bottomLeft" state="frozen"/>
      <selection pane="bottomLeft" activeCell="Q772" sqref="Q772"/>
    </sheetView>
  </sheetViews>
  <sheetFormatPr defaultColWidth="9" defaultRowHeight="20.100000000000001" customHeight="1"/>
  <cols>
    <col min="1" max="1" width="2.875" style="307" customWidth="1"/>
    <col min="2" max="2" width="8.5" style="307" customWidth="1"/>
    <col min="3" max="3" width="14.75" style="307" customWidth="1"/>
    <col min="4" max="4" width="7" style="817" customWidth="1"/>
    <col min="5" max="5" width="6.5" style="817" customWidth="1"/>
    <col min="6" max="6" width="6.875" style="817" customWidth="1"/>
    <col min="7" max="7" width="8.375" style="41" customWidth="1"/>
    <col min="8" max="8" width="7.25" style="1" customWidth="1"/>
    <col min="9" max="9" width="8.875" style="44" customWidth="1"/>
    <col min="10" max="10" width="8.75" style="44" customWidth="1"/>
    <col min="11" max="11" width="8" style="45" customWidth="1"/>
    <col min="12" max="12" width="8.25" style="1" customWidth="1"/>
    <col min="13" max="14" width="10.5" style="1" customWidth="1"/>
    <col min="15" max="15" width="13.25" style="44" customWidth="1"/>
    <col min="16" max="16" width="13.375" style="44" customWidth="1"/>
    <col min="17" max="17" width="15.625" style="44" customWidth="1"/>
    <col min="18" max="18" width="8" style="46" customWidth="1"/>
    <col min="19" max="19" width="20.5" style="324" customWidth="1"/>
    <col min="20" max="20" width="20.625" style="324" customWidth="1"/>
    <col min="21" max="16384" width="9" style="1"/>
  </cols>
  <sheetData>
    <row r="1" spans="1:20" ht="25.5" customHeight="1">
      <c r="A1" s="1206"/>
      <c r="B1" s="1206"/>
      <c r="C1" s="1206"/>
      <c r="D1" s="1206"/>
      <c r="E1" s="1206"/>
      <c r="F1" s="1206"/>
      <c r="G1" s="1206"/>
      <c r="H1" s="1206"/>
      <c r="I1" s="1206"/>
      <c r="J1" s="1206"/>
      <c r="K1" s="1206"/>
      <c r="L1" s="1206"/>
      <c r="M1" s="1206"/>
      <c r="N1" s="1206"/>
      <c r="O1" s="1206"/>
      <c r="P1" s="1206"/>
      <c r="Q1" s="1206"/>
      <c r="R1" s="1206"/>
      <c r="S1" s="1206"/>
      <c r="T1" s="1206"/>
    </row>
    <row r="2" spans="1:20" s="41" customFormat="1" ht="20.100000000000001" customHeight="1">
      <c r="A2" s="1129" t="s">
        <v>801</v>
      </c>
      <c r="B2" s="1129" t="s">
        <v>2879</v>
      </c>
      <c r="C2" s="1129" t="s">
        <v>2880</v>
      </c>
      <c r="D2" s="1133" t="s">
        <v>3318</v>
      </c>
      <c r="E2" s="1133"/>
      <c r="F2" s="1133"/>
      <c r="G2" s="1129" t="s">
        <v>2881</v>
      </c>
      <c r="H2" s="1129" t="s">
        <v>2882</v>
      </c>
      <c r="I2" s="1129" t="s">
        <v>2883</v>
      </c>
      <c r="J2" s="1129" t="s">
        <v>2884</v>
      </c>
      <c r="K2" s="1129" t="s">
        <v>2885</v>
      </c>
      <c r="L2" s="1129" t="s">
        <v>2886</v>
      </c>
      <c r="M2" s="1178" t="s">
        <v>3019</v>
      </c>
      <c r="N2" s="1129" t="s">
        <v>2887</v>
      </c>
      <c r="O2" s="1129" t="s">
        <v>2888</v>
      </c>
      <c r="P2" s="1129" t="s">
        <v>805</v>
      </c>
      <c r="Q2" s="1129" t="s">
        <v>3036</v>
      </c>
      <c r="R2" s="1129" t="s">
        <v>2891</v>
      </c>
      <c r="S2" s="1129" t="s">
        <v>2892</v>
      </c>
      <c r="T2" s="1208" t="s">
        <v>2839</v>
      </c>
    </row>
    <row r="3" spans="1:20" s="41" customFormat="1" ht="20.100000000000001" customHeight="1">
      <c r="A3" s="1129"/>
      <c r="B3" s="1129"/>
      <c r="C3" s="1129"/>
      <c r="D3" s="879" t="s">
        <v>327</v>
      </c>
      <c r="E3" s="879" t="s">
        <v>328</v>
      </c>
      <c r="F3" s="879" t="s">
        <v>329</v>
      </c>
      <c r="G3" s="1129"/>
      <c r="H3" s="1129"/>
      <c r="I3" s="1129"/>
      <c r="J3" s="1129"/>
      <c r="K3" s="1129"/>
      <c r="L3" s="1129"/>
      <c r="M3" s="1179"/>
      <c r="N3" s="1129"/>
      <c r="O3" s="1129"/>
      <c r="P3" s="1129"/>
      <c r="Q3" s="1129"/>
      <c r="R3" s="1129"/>
      <c r="S3" s="1129"/>
      <c r="T3" s="1129"/>
    </row>
    <row r="4" spans="1:20" s="377" customFormat="1" ht="20.100000000000001" customHeight="1">
      <c r="A4" s="1189" t="s">
        <v>2950</v>
      </c>
      <c r="B4" s="1189" t="s">
        <v>3882</v>
      </c>
      <c r="C4" s="1189" t="s">
        <v>3407</v>
      </c>
      <c r="D4" s="32">
        <v>350</v>
      </c>
      <c r="E4" s="32">
        <v>450</v>
      </c>
      <c r="F4" s="32">
        <v>450</v>
      </c>
      <c r="G4" s="218" t="s">
        <v>51</v>
      </c>
      <c r="H4" s="378">
        <v>1</v>
      </c>
      <c r="I4" s="379" t="s">
        <v>17</v>
      </c>
      <c r="J4" s="50"/>
      <c r="K4" s="379" t="s">
        <v>682</v>
      </c>
      <c r="L4" s="379" t="s">
        <v>636</v>
      </c>
      <c r="M4" s="381">
        <v>43084</v>
      </c>
      <c r="N4" s="381">
        <v>43090</v>
      </c>
      <c r="O4" s="382"/>
      <c r="P4" s="105"/>
      <c r="Q4" s="52" t="s">
        <v>4094</v>
      </c>
      <c r="R4" s="384" t="s">
        <v>1734</v>
      </c>
      <c r="S4" s="322"/>
      <c r="T4" s="603"/>
    </row>
    <row r="5" spans="1:20" ht="20.100000000000001" customHeight="1">
      <c r="A5" s="1189" t="s">
        <v>2950</v>
      </c>
      <c r="B5" s="1189" t="s">
        <v>3882</v>
      </c>
      <c r="C5" s="1189" t="s">
        <v>3407</v>
      </c>
      <c r="D5" s="530">
        <v>375</v>
      </c>
      <c r="E5" s="530">
        <v>500</v>
      </c>
      <c r="F5" s="530">
        <v>500</v>
      </c>
      <c r="G5" s="673" t="s">
        <v>5</v>
      </c>
      <c r="H5" s="674" t="s">
        <v>1756</v>
      </c>
      <c r="I5" s="38" t="s">
        <v>17</v>
      </c>
      <c r="J5" s="38"/>
      <c r="K5" s="51" t="s">
        <v>682</v>
      </c>
      <c r="L5" s="51" t="s">
        <v>636</v>
      </c>
      <c r="M5" s="6">
        <v>43066</v>
      </c>
      <c r="N5" s="6">
        <v>43080</v>
      </c>
      <c r="O5" s="675" t="s">
        <v>600</v>
      </c>
      <c r="P5" s="61"/>
      <c r="Q5" s="52" t="s">
        <v>4094</v>
      </c>
      <c r="R5" s="612" t="s">
        <v>1419</v>
      </c>
      <c r="S5" s="315" t="s">
        <v>2893</v>
      </c>
      <c r="T5" s="603"/>
    </row>
    <row r="6" spans="1:20" s="377" customFormat="1" ht="20.100000000000001" customHeight="1">
      <c r="A6" s="1189" t="s">
        <v>2950</v>
      </c>
      <c r="B6" s="1189" t="s">
        <v>3882</v>
      </c>
      <c r="C6" s="1189" t="s">
        <v>3407</v>
      </c>
      <c r="D6" s="759">
        <v>350</v>
      </c>
      <c r="E6" s="759">
        <v>400</v>
      </c>
      <c r="F6" s="759">
        <v>400</v>
      </c>
      <c r="G6" s="658" t="s">
        <v>212</v>
      </c>
      <c r="H6" s="390">
        <v>1</v>
      </c>
      <c r="I6" s="386" t="s">
        <v>17</v>
      </c>
      <c r="J6" s="38"/>
      <c r="K6" s="379" t="s">
        <v>682</v>
      </c>
      <c r="L6" s="379" t="s">
        <v>636</v>
      </c>
      <c r="M6" s="391">
        <v>43084</v>
      </c>
      <c r="N6" s="391">
        <v>43087</v>
      </c>
      <c r="O6" s="387"/>
      <c r="P6" s="675"/>
      <c r="Q6" s="52" t="s">
        <v>4094</v>
      </c>
      <c r="R6" s="389" t="s">
        <v>1742</v>
      </c>
      <c r="S6" s="315" t="s">
        <v>2895</v>
      </c>
      <c r="T6" s="137"/>
    </row>
    <row r="7" spans="1:20" s="377" customFormat="1" ht="20.100000000000001" customHeight="1">
      <c r="A7" s="1189" t="s">
        <v>2950</v>
      </c>
      <c r="B7" s="1189" t="s">
        <v>3882</v>
      </c>
      <c r="C7" s="1189" t="s">
        <v>3407</v>
      </c>
      <c r="D7" s="32">
        <v>350</v>
      </c>
      <c r="E7" s="32">
        <v>400</v>
      </c>
      <c r="F7" s="32">
        <v>400</v>
      </c>
      <c r="G7" s="70" t="s">
        <v>37</v>
      </c>
      <c r="H7" s="390">
        <v>1</v>
      </c>
      <c r="I7" s="379" t="s">
        <v>17</v>
      </c>
      <c r="J7" s="50"/>
      <c r="K7" s="379" t="s">
        <v>1769</v>
      </c>
      <c r="L7" s="379" t="s">
        <v>636</v>
      </c>
      <c r="M7" s="392">
        <v>43084</v>
      </c>
      <c r="N7" s="392">
        <v>43087</v>
      </c>
      <c r="O7" s="393"/>
      <c r="P7" s="106"/>
      <c r="Q7" s="52" t="s">
        <v>4094</v>
      </c>
      <c r="R7" s="384" t="s">
        <v>1719</v>
      </c>
      <c r="S7" s="327" t="s">
        <v>2896</v>
      </c>
      <c r="T7" s="689"/>
    </row>
    <row r="8" spans="1:20" s="377" customFormat="1" ht="20.100000000000001" customHeight="1">
      <c r="A8" s="1189" t="s">
        <v>2950</v>
      </c>
      <c r="B8" s="1189" t="s">
        <v>3882</v>
      </c>
      <c r="C8" s="1189" t="s">
        <v>3407</v>
      </c>
      <c r="D8" s="32">
        <v>350</v>
      </c>
      <c r="E8" s="32">
        <v>400</v>
      </c>
      <c r="F8" s="32">
        <v>400</v>
      </c>
      <c r="G8" s="64" t="s">
        <v>3876</v>
      </c>
      <c r="H8" s="56" t="s">
        <v>659</v>
      </c>
      <c r="I8" s="51" t="s">
        <v>17</v>
      </c>
      <c r="J8" s="50"/>
      <c r="K8" s="51" t="s">
        <v>3043</v>
      </c>
      <c r="L8" s="38" t="s">
        <v>3039</v>
      </c>
      <c r="M8" s="392">
        <v>43082</v>
      </c>
      <c r="N8" s="392">
        <v>43086</v>
      </c>
      <c r="O8" s="393"/>
      <c r="P8" s="106"/>
      <c r="Q8" s="52"/>
      <c r="R8" s="73" t="s">
        <v>3040</v>
      </c>
      <c r="S8" s="336" t="s">
        <v>1176</v>
      </c>
      <c r="T8" s="650">
        <v>14</v>
      </c>
    </row>
    <row r="9" spans="1:20" s="377" customFormat="1" ht="20.100000000000001" customHeight="1">
      <c r="A9" s="1189" t="s">
        <v>2950</v>
      </c>
      <c r="B9" s="1189" t="s">
        <v>3882</v>
      </c>
      <c r="C9" s="1189" t="s">
        <v>3407</v>
      </c>
      <c r="D9" s="32">
        <v>350</v>
      </c>
      <c r="E9" s="32">
        <v>425</v>
      </c>
      <c r="F9" s="32">
        <v>425</v>
      </c>
      <c r="G9" s="70" t="s">
        <v>87</v>
      </c>
      <c r="H9" s="56" t="s">
        <v>659</v>
      </c>
      <c r="I9" s="51" t="s">
        <v>17</v>
      </c>
      <c r="J9" s="50"/>
      <c r="K9" s="51" t="s">
        <v>3043</v>
      </c>
      <c r="L9" s="38" t="s">
        <v>3039</v>
      </c>
      <c r="M9" s="547">
        <v>43075</v>
      </c>
      <c r="N9" s="547">
        <v>43079</v>
      </c>
      <c r="O9" s="544"/>
      <c r="P9" s="572"/>
      <c r="Q9" s="52"/>
      <c r="R9" s="73" t="s">
        <v>3058</v>
      </c>
      <c r="S9" s="336"/>
      <c r="T9" s="767"/>
    </row>
    <row r="10" spans="1:20" s="377" customFormat="1" ht="20.100000000000001" customHeight="1">
      <c r="A10" s="1189" t="s">
        <v>2950</v>
      </c>
      <c r="B10" s="1189" t="s">
        <v>3882</v>
      </c>
      <c r="C10" s="1189" t="s">
        <v>3407</v>
      </c>
      <c r="D10" s="32">
        <v>300</v>
      </c>
      <c r="E10" s="32">
        <v>350</v>
      </c>
      <c r="F10" s="32">
        <v>350</v>
      </c>
      <c r="G10" s="218" t="s">
        <v>10</v>
      </c>
      <c r="H10" s="56" t="s">
        <v>659</v>
      </c>
      <c r="I10" s="51" t="s">
        <v>17</v>
      </c>
      <c r="J10" s="50"/>
      <c r="K10" s="51" t="s">
        <v>3043</v>
      </c>
      <c r="L10" s="38" t="s">
        <v>3039</v>
      </c>
      <c r="M10" s="547">
        <v>43082</v>
      </c>
      <c r="N10" s="547">
        <v>43087</v>
      </c>
      <c r="O10" s="544"/>
      <c r="P10" s="572"/>
      <c r="Q10" s="52"/>
      <c r="R10" s="73" t="s">
        <v>3052</v>
      </c>
      <c r="S10" s="316" t="s">
        <v>1176</v>
      </c>
      <c r="T10" s="764"/>
    </row>
    <row r="11" spans="1:20" s="377" customFormat="1" ht="20.100000000000001" customHeight="1">
      <c r="A11" s="1189" t="s">
        <v>2950</v>
      </c>
      <c r="B11" s="1189" t="s">
        <v>3882</v>
      </c>
      <c r="C11" s="1189" t="s">
        <v>3407</v>
      </c>
      <c r="D11" s="894">
        <v>300</v>
      </c>
      <c r="E11" s="894">
        <v>350</v>
      </c>
      <c r="F11" s="894">
        <v>350</v>
      </c>
      <c r="G11" s="224" t="s">
        <v>1659</v>
      </c>
      <c r="H11" s="56" t="s">
        <v>659</v>
      </c>
      <c r="I11" s="51" t="s">
        <v>17</v>
      </c>
      <c r="J11" s="50"/>
      <c r="K11" s="51" t="s">
        <v>3043</v>
      </c>
      <c r="L11" s="38" t="s">
        <v>3039</v>
      </c>
      <c r="M11" s="547">
        <v>43089</v>
      </c>
      <c r="N11" s="547">
        <v>43090</v>
      </c>
      <c r="O11" s="544"/>
      <c r="P11" s="572"/>
      <c r="Q11" s="52"/>
      <c r="R11" s="73" t="s">
        <v>3040</v>
      </c>
      <c r="S11" s="336"/>
      <c r="T11" s="626">
        <v>14</v>
      </c>
    </row>
    <row r="12" spans="1:20" s="377" customFormat="1" ht="20.100000000000001" customHeight="1">
      <c r="A12" s="1189" t="s">
        <v>2950</v>
      </c>
      <c r="B12" s="1189" t="s">
        <v>3882</v>
      </c>
      <c r="C12" s="1189" t="s">
        <v>3407</v>
      </c>
      <c r="D12" s="32">
        <v>340</v>
      </c>
      <c r="E12" s="32">
        <v>405</v>
      </c>
      <c r="F12" s="32">
        <v>405</v>
      </c>
      <c r="G12" s="64" t="s">
        <v>432</v>
      </c>
      <c r="H12" s="56" t="s">
        <v>659</v>
      </c>
      <c r="I12" s="51" t="s">
        <v>17</v>
      </c>
      <c r="J12" s="50"/>
      <c r="K12" s="51" t="s">
        <v>3043</v>
      </c>
      <c r="L12" s="38" t="s">
        <v>3039</v>
      </c>
      <c r="M12" s="547">
        <v>43074</v>
      </c>
      <c r="N12" s="547">
        <v>43089</v>
      </c>
      <c r="O12" s="544"/>
      <c r="P12" s="572"/>
      <c r="Q12" s="52"/>
      <c r="R12" s="73" t="s">
        <v>3040</v>
      </c>
      <c r="S12" s="319" t="s">
        <v>1176</v>
      </c>
      <c r="T12" s="626"/>
    </row>
    <row r="13" spans="1:20" s="377" customFormat="1" ht="20.100000000000001" customHeight="1">
      <c r="A13" s="1189" t="s">
        <v>2950</v>
      </c>
      <c r="B13" s="1189" t="s">
        <v>3882</v>
      </c>
      <c r="C13" s="1189" t="s">
        <v>3407</v>
      </c>
      <c r="D13" s="894">
        <v>400</v>
      </c>
      <c r="E13" s="894">
        <v>490</v>
      </c>
      <c r="F13" s="894">
        <v>490</v>
      </c>
      <c r="G13" s="36" t="s">
        <v>12</v>
      </c>
      <c r="H13" s="56" t="s">
        <v>659</v>
      </c>
      <c r="I13" s="51" t="s">
        <v>17</v>
      </c>
      <c r="J13" s="50"/>
      <c r="K13" s="51" t="s">
        <v>3043</v>
      </c>
      <c r="L13" s="38" t="s">
        <v>3039</v>
      </c>
      <c r="M13" s="551">
        <v>43084</v>
      </c>
      <c r="N13" s="551">
        <v>43091</v>
      </c>
      <c r="O13" s="544"/>
      <c r="P13" s="572"/>
      <c r="Q13" s="52"/>
      <c r="R13" s="73" t="s">
        <v>3387</v>
      </c>
      <c r="S13" s="336"/>
      <c r="T13" s="626"/>
    </row>
    <row r="14" spans="1:20" s="377" customFormat="1" ht="20.100000000000001" customHeight="1">
      <c r="A14" s="1189" t="s">
        <v>2950</v>
      </c>
      <c r="B14" s="1189" t="s">
        <v>3882</v>
      </c>
      <c r="C14" s="1189" t="s">
        <v>3407</v>
      </c>
      <c r="D14" s="531">
        <v>350</v>
      </c>
      <c r="E14" s="531">
        <v>500</v>
      </c>
      <c r="F14" s="531">
        <v>500</v>
      </c>
      <c r="G14" s="218" t="s">
        <v>52</v>
      </c>
      <c r="H14" s="385" t="s">
        <v>725</v>
      </c>
      <c r="I14" s="386" t="s">
        <v>17</v>
      </c>
      <c r="J14" s="38"/>
      <c r="K14" s="386" t="s">
        <v>727</v>
      </c>
      <c r="L14" s="379" t="s">
        <v>641</v>
      </c>
      <c r="M14" s="381">
        <v>43082</v>
      </c>
      <c r="N14" s="381">
        <v>43086</v>
      </c>
      <c r="O14" s="394" t="s">
        <v>1949</v>
      </c>
      <c r="P14" s="677"/>
      <c r="Q14" s="7"/>
      <c r="R14" s="397" t="s">
        <v>826</v>
      </c>
      <c r="S14" s="316"/>
      <c r="T14" s="716"/>
    </row>
    <row r="15" spans="1:20" s="377" customFormat="1" ht="20.100000000000001" customHeight="1">
      <c r="A15" s="1189" t="s">
        <v>2950</v>
      </c>
      <c r="B15" s="1189" t="s">
        <v>3882</v>
      </c>
      <c r="C15" s="1189" t="s">
        <v>3407</v>
      </c>
      <c r="D15" s="32">
        <v>300</v>
      </c>
      <c r="E15" s="32">
        <v>400</v>
      </c>
      <c r="F15" s="32">
        <v>400</v>
      </c>
      <c r="G15" s="218" t="s">
        <v>10</v>
      </c>
      <c r="H15" s="385" t="s">
        <v>725</v>
      </c>
      <c r="I15" s="386" t="s">
        <v>17</v>
      </c>
      <c r="J15" s="38"/>
      <c r="K15" s="386" t="s">
        <v>727</v>
      </c>
      <c r="L15" s="379" t="s">
        <v>641</v>
      </c>
      <c r="M15" s="547">
        <v>43082</v>
      </c>
      <c r="N15" s="547">
        <v>43087</v>
      </c>
      <c r="O15" s="395"/>
      <c r="P15" s="677"/>
      <c r="Q15" s="7"/>
      <c r="R15" s="397" t="s">
        <v>836</v>
      </c>
      <c r="S15" s="316" t="s">
        <v>1176</v>
      </c>
      <c r="T15" s="716"/>
    </row>
    <row r="16" spans="1:20" s="377" customFormat="1" ht="20.100000000000001" customHeight="1">
      <c r="A16" s="1189" t="s">
        <v>2950</v>
      </c>
      <c r="B16" s="1189" t="s">
        <v>3882</v>
      </c>
      <c r="C16" s="1189" t="s">
        <v>3407</v>
      </c>
      <c r="D16" s="531">
        <v>350</v>
      </c>
      <c r="E16" s="531">
        <v>400</v>
      </c>
      <c r="F16" s="531">
        <v>400</v>
      </c>
      <c r="G16" s="70" t="s">
        <v>232</v>
      </c>
      <c r="H16" s="385" t="s">
        <v>659</v>
      </c>
      <c r="I16" s="386" t="s">
        <v>23</v>
      </c>
      <c r="J16" s="37"/>
      <c r="K16" s="386" t="s">
        <v>680</v>
      </c>
      <c r="L16" s="379" t="s">
        <v>1245</v>
      </c>
      <c r="M16" s="399">
        <v>43082</v>
      </c>
      <c r="N16" s="399">
        <v>43086</v>
      </c>
      <c r="O16" s="393" t="s">
        <v>601</v>
      </c>
      <c r="P16" s="750"/>
      <c r="Q16" s="167"/>
      <c r="R16" s="397" t="s">
        <v>247</v>
      </c>
      <c r="S16" s="316"/>
      <c r="T16" s="78"/>
    </row>
    <row r="17" spans="1:20" s="377" customFormat="1" ht="20.100000000000001" customHeight="1">
      <c r="A17" s="1189" t="s">
        <v>2950</v>
      </c>
      <c r="B17" s="1189" t="s">
        <v>3882</v>
      </c>
      <c r="C17" s="1189" t="s">
        <v>3407</v>
      </c>
      <c r="D17" s="32">
        <v>350</v>
      </c>
      <c r="E17" s="32">
        <v>450</v>
      </c>
      <c r="F17" s="32">
        <v>450</v>
      </c>
      <c r="G17" s="699" t="s">
        <v>51</v>
      </c>
      <c r="H17" s="385" t="s">
        <v>725</v>
      </c>
      <c r="I17" s="386" t="s">
        <v>17</v>
      </c>
      <c r="J17" s="37"/>
      <c r="K17" s="386">
        <v>21</v>
      </c>
      <c r="L17" s="379" t="s">
        <v>636</v>
      </c>
      <c r="M17" s="381">
        <v>43084</v>
      </c>
      <c r="N17" s="381">
        <v>43090</v>
      </c>
      <c r="O17" s="382"/>
      <c r="P17" s="105"/>
      <c r="Q17" s="7"/>
      <c r="R17" s="384" t="s">
        <v>1735</v>
      </c>
      <c r="S17" s="316"/>
      <c r="T17" s="78"/>
    </row>
    <row r="18" spans="1:20" s="377" customFormat="1" ht="20.100000000000001" customHeight="1">
      <c r="A18" s="1189" t="s">
        <v>2950</v>
      </c>
      <c r="B18" s="1189" t="s">
        <v>3882</v>
      </c>
      <c r="C18" s="1189" t="s">
        <v>3407</v>
      </c>
      <c r="D18" s="32">
        <v>340</v>
      </c>
      <c r="E18" s="32">
        <v>430</v>
      </c>
      <c r="F18" s="32">
        <v>430</v>
      </c>
      <c r="G18" s="224" t="s">
        <v>19</v>
      </c>
      <c r="H18" s="401" t="s">
        <v>725</v>
      </c>
      <c r="I18" s="386" t="s">
        <v>17</v>
      </c>
      <c r="J18" s="37"/>
      <c r="K18" s="386">
        <v>21</v>
      </c>
      <c r="L18" s="379" t="s">
        <v>636</v>
      </c>
      <c r="M18" s="399">
        <v>43082</v>
      </c>
      <c r="N18" s="399">
        <v>43088</v>
      </c>
      <c r="O18" s="382" t="s">
        <v>611</v>
      </c>
      <c r="P18" s="107"/>
      <c r="Q18" s="7"/>
      <c r="R18" s="384" t="s">
        <v>191</v>
      </c>
      <c r="S18" s="316" t="s">
        <v>1176</v>
      </c>
      <c r="T18" s="78"/>
    </row>
    <row r="19" spans="1:20" s="377" customFormat="1" ht="20.100000000000001" customHeight="1">
      <c r="A19" s="1189" t="s">
        <v>2950</v>
      </c>
      <c r="B19" s="1189" t="s">
        <v>3882</v>
      </c>
      <c r="C19" s="1189" t="s">
        <v>3407</v>
      </c>
      <c r="D19" s="529">
        <v>300</v>
      </c>
      <c r="E19" s="529">
        <v>325</v>
      </c>
      <c r="F19" s="529">
        <v>325</v>
      </c>
      <c r="G19" s="699" t="s">
        <v>1369</v>
      </c>
      <c r="H19" s="403" t="s">
        <v>1665</v>
      </c>
      <c r="I19" s="386" t="s">
        <v>17</v>
      </c>
      <c r="J19" s="37"/>
      <c r="K19" s="386">
        <v>21</v>
      </c>
      <c r="L19" s="379" t="s">
        <v>636</v>
      </c>
      <c r="M19" s="392">
        <v>43083</v>
      </c>
      <c r="N19" s="392">
        <v>43086</v>
      </c>
      <c r="O19" s="393"/>
      <c r="P19" s="61"/>
      <c r="Q19" s="7"/>
      <c r="R19" s="397" t="s">
        <v>1370</v>
      </c>
      <c r="S19" s="316" t="s">
        <v>1176</v>
      </c>
      <c r="T19" s="689"/>
    </row>
    <row r="20" spans="1:20" s="377" customFormat="1" ht="20.100000000000001" customHeight="1">
      <c r="A20" s="1189" t="s">
        <v>2950</v>
      </c>
      <c r="B20" s="1189" t="s">
        <v>3882</v>
      </c>
      <c r="C20" s="1189" t="s">
        <v>3407</v>
      </c>
      <c r="D20" s="32">
        <v>375</v>
      </c>
      <c r="E20" s="32">
        <v>475</v>
      </c>
      <c r="F20" s="32">
        <v>475</v>
      </c>
      <c r="G20" s="63" t="s">
        <v>61</v>
      </c>
      <c r="H20" s="403" t="s">
        <v>725</v>
      </c>
      <c r="I20" s="386" t="s">
        <v>17</v>
      </c>
      <c r="J20" s="37"/>
      <c r="K20" s="386">
        <v>21</v>
      </c>
      <c r="L20" s="379" t="s">
        <v>636</v>
      </c>
      <c r="M20" s="404">
        <v>43082</v>
      </c>
      <c r="N20" s="404">
        <v>43086</v>
      </c>
      <c r="O20" s="393" t="s">
        <v>601</v>
      </c>
      <c r="P20" s="61"/>
      <c r="Q20" s="7"/>
      <c r="R20" s="397" t="s">
        <v>191</v>
      </c>
      <c r="S20" s="316" t="s">
        <v>2897</v>
      </c>
      <c r="T20" s="689"/>
    </row>
    <row r="21" spans="1:20" s="377" customFormat="1" ht="20.100000000000001" customHeight="1">
      <c r="A21" s="1189" t="s">
        <v>2950</v>
      </c>
      <c r="B21" s="1189" t="s">
        <v>3882</v>
      </c>
      <c r="C21" s="1189" t="s">
        <v>3407</v>
      </c>
      <c r="D21" s="800" t="s">
        <v>4083</v>
      </c>
      <c r="E21" s="800">
        <v>450</v>
      </c>
      <c r="F21" s="800">
        <v>450</v>
      </c>
      <c r="G21" s="63" t="s">
        <v>35</v>
      </c>
      <c r="H21" s="401" t="s">
        <v>1665</v>
      </c>
      <c r="I21" s="386" t="s">
        <v>17</v>
      </c>
      <c r="J21" s="37"/>
      <c r="K21" s="386">
        <v>21</v>
      </c>
      <c r="L21" s="379" t="s">
        <v>636</v>
      </c>
      <c r="M21" s="404">
        <v>43083</v>
      </c>
      <c r="N21" s="404">
        <v>43086</v>
      </c>
      <c r="O21" s="400"/>
      <c r="P21" s="750"/>
      <c r="Q21" s="7"/>
      <c r="R21" s="397" t="s">
        <v>336</v>
      </c>
      <c r="S21" s="316" t="s">
        <v>2898</v>
      </c>
      <c r="T21" s="689"/>
    </row>
    <row r="22" spans="1:20" s="377" customFormat="1" ht="20.100000000000001" customHeight="1">
      <c r="A22" s="1189" t="s">
        <v>2950</v>
      </c>
      <c r="B22" s="1189" t="s">
        <v>3882</v>
      </c>
      <c r="C22" s="1189" t="s">
        <v>3407</v>
      </c>
      <c r="D22" s="759">
        <v>350</v>
      </c>
      <c r="E22" s="759">
        <v>400</v>
      </c>
      <c r="F22" s="759">
        <v>400</v>
      </c>
      <c r="G22" s="66" t="s">
        <v>158</v>
      </c>
      <c r="H22" s="385" t="s">
        <v>681</v>
      </c>
      <c r="I22" s="379" t="s">
        <v>17</v>
      </c>
      <c r="J22" s="50"/>
      <c r="K22" s="379" t="s">
        <v>750</v>
      </c>
      <c r="L22" s="379" t="s">
        <v>639</v>
      </c>
      <c r="M22" s="391">
        <v>43084</v>
      </c>
      <c r="N22" s="391">
        <v>43087</v>
      </c>
      <c r="O22" s="388"/>
      <c r="P22" s="61"/>
      <c r="Q22" s="52" t="s">
        <v>4072</v>
      </c>
      <c r="R22" s="397" t="s">
        <v>1746</v>
      </c>
      <c r="S22" s="315" t="s">
        <v>2895</v>
      </c>
      <c r="T22" s="137"/>
    </row>
    <row r="23" spans="1:20" s="377" customFormat="1" ht="20.100000000000001" customHeight="1">
      <c r="A23" s="1189" t="s">
        <v>2950</v>
      </c>
      <c r="B23" s="1189" t="s">
        <v>3882</v>
      </c>
      <c r="C23" s="1189" t="s">
        <v>3407</v>
      </c>
      <c r="D23" s="32">
        <v>350</v>
      </c>
      <c r="E23" s="32">
        <v>450</v>
      </c>
      <c r="F23" s="32">
        <v>450</v>
      </c>
      <c r="G23" s="218" t="s">
        <v>51</v>
      </c>
      <c r="H23" s="385" t="s">
        <v>681</v>
      </c>
      <c r="I23" s="379" t="s">
        <v>17</v>
      </c>
      <c r="J23" s="50"/>
      <c r="K23" s="379" t="s">
        <v>750</v>
      </c>
      <c r="L23" s="379" t="s">
        <v>639</v>
      </c>
      <c r="M23" s="381">
        <v>43084</v>
      </c>
      <c r="N23" s="381">
        <v>43090</v>
      </c>
      <c r="O23" s="393"/>
      <c r="P23" s="750"/>
      <c r="Q23" s="52" t="s">
        <v>4072</v>
      </c>
      <c r="R23" s="397" t="s">
        <v>1732</v>
      </c>
      <c r="S23" s="316"/>
      <c r="T23" s="78"/>
    </row>
    <row r="24" spans="1:20" ht="20.100000000000001" customHeight="1">
      <c r="A24" s="1189" t="s">
        <v>2950</v>
      </c>
      <c r="B24" s="1189" t="s">
        <v>3882</v>
      </c>
      <c r="C24" s="1189" t="s">
        <v>3407</v>
      </c>
      <c r="D24" s="530">
        <v>375</v>
      </c>
      <c r="E24" s="530">
        <v>500</v>
      </c>
      <c r="F24" s="530">
        <v>500</v>
      </c>
      <c r="G24" s="673" t="s">
        <v>5</v>
      </c>
      <c r="H24" s="676">
        <v>5</v>
      </c>
      <c r="I24" s="38" t="s">
        <v>17</v>
      </c>
      <c r="J24" s="16"/>
      <c r="K24" s="38">
        <v>18</v>
      </c>
      <c r="L24" s="51" t="s">
        <v>639</v>
      </c>
      <c r="M24" s="6">
        <v>43066</v>
      </c>
      <c r="N24" s="6">
        <v>43080</v>
      </c>
      <c r="O24" s="675" t="s">
        <v>600</v>
      </c>
      <c r="P24" s="677"/>
      <c r="Q24" s="52" t="s">
        <v>4072</v>
      </c>
      <c r="R24" s="49" t="s">
        <v>763</v>
      </c>
      <c r="S24" s="315" t="s">
        <v>2893</v>
      </c>
      <c r="T24" s="78"/>
    </row>
    <row r="25" spans="1:20" s="377" customFormat="1" ht="20.100000000000001" customHeight="1">
      <c r="A25" s="1189" t="s">
        <v>2950</v>
      </c>
      <c r="B25" s="1189" t="s">
        <v>3882</v>
      </c>
      <c r="C25" s="1189" t="s">
        <v>3407</v>
      </c>
      <c r="D25" s="32">
        <v>350</v>
      </c>
      <c r="E25" s="32">
        <v>400</v>
      </c>
      <c r="F25" s="32">
        <v>400</v>
      </c>
      <c r="G25" s="673" t="s">
        <v>37</v>
      </c>
      <c r="H25" s="401">
        <v>5</v>
      </c>
      <c r="I25" s="386" t="s">
        <v>17</v>
      </c>
      <c r="J25" s="16"/>
      <c r="K25" s="386">
        <v>18</v>
      </c>
      <c r="L25" s="379" t="s">
        <v>639</v>
      </c>
      <c r="M25" s="392">
        <v>43084</v>
      </c>
      <c r="N25" s="392">
        <v>43087</v>
      </c>
      <c r="O25" s="387"/>
      <c r="P25" s="677"/>
      <c r="Q25" s="52" t="s">
        <v>4072</v>
      </c>
      <c r="R25" s="397" t="s">
        <v>815</v>
      </c>
      <c r="S25" s="327" t="s">
        <v>2896</v>
      </c>
      <c r="T25" s="78"/>
    </row>
    <row r="26" spans="1:20" s="377" customFormat="1" ht="20.100000000000001" customHeight="1">
      <c r="A26" s="1189" t="s">
        <v>2950</v>
      </c>
      <c r="B26" s="1189" t="s">
        <v>3882</v>
      </c>
      <c r="C26" s="1189" t="s">
        <v>3407</v>
      </c>
      <c r="D26" s="531">
        <v>300</v>
      </c>
      <c r="E26" s="531">
        <v>400</v>
      </c>
      <c r="F26" s="531">
        <v>400</v>
      </c>
      <c r="G26" s="70" t="s">
        <v>232</v>
      </c>
      <c r="H26" s="401">
        <v>5</v>
      </c>
      <c r="I26" s="386" t="s">
        <v>17</v>
      </c>
      <c r="J26" s="38"/>
      <c r="K26" s="386" t="s">
        <v>752</v>
      </c>
      <c r="L26" s="386" t="s">
        <v>641</v>
      </c>
      <c r="M26" s="399">
        <v>43082</v>
      </c>
      <c r="N26" s="399">
        <v>43086</v>
      </c>
      <c r="O26" s="393" t="s">
        <v>601</v>
      </c>
      <c r="P26" s="677"/>
      <c r="Q26" s="52"/>
      <c r="R26" s="397" t="s">
        <v>2004</v>
      </c>
      <c r="S26" s="336"/>
      <c r="T26" s="78"/>
    </row>
    <row r="27" spans="1:20" s="377" customFormat="1" ht="20.100000000000001" customHeight="1">
      <c r="A27" s="1189" t="s">
        <v>2950</v>
      </c>
      <c r="B27" s="1189" t="s">
        <v>3882</v>
      </c>
      <c r="C27" s="1189" t="s">
        <v>3407</v>
      </c>
      <c r="D27" s="32">
        <v>340</v>
      </c>
      <c r="E27" s="32">
        <v>430</v>
      </c>
      <c r="F27" s="32">
        <v>430</v>
      </c>
      <c r="G27" s="224" t="s">
        <v>19</v>
      </c>
      <c r="H27" s="401">
        <v>5</v>
      </c>
      <c r="I27" s="386" t="s">
        <v>17</v>
      </c>
      <c r="J27" s="38"/>
      <c r="K27" s="386" t="s">
        <v>1794</v>
      </c>
      <c r="L27" s="386" t="s">
        <v>641</v>
      </c>
      <c r="M27" s="399">
        <v>43082</v>
      </c>
      <c r="N27" s="399">
        <v>43088</v>
      </c>
      <c r="O27" s="382" t="s">
        <v>611</v>
      </c>
      <c r="P27" s="751"/>
      <c r="Q27" s="7"/>
      <c r="R27" s="397" t="s">
        <v>186</v>
      </c>
      <c r="S27" s="316" t="s">
        <v>1176</v>
      </c>
      <c r="T27" s="680"/>
    </row>
    <row r="28" spans="1:20" s="377" customFormat="1" ht="20.100000000000001" customHeight="1">
      <c r="A28" s="1189" t="s">
        <v>2950</v>
      </c>
      <c r="B28" s="1189" t="s">
        <v>3882</v>
      </c>
      <c r="C28" s="1189" t="s">
        <v>3407</v>
      </c>
      <c r="D28" s="532">
        <v>350</v>
      </c>
      <c r="E28" s="532">
        <v>400</v>
      </c>
      <c r="F28" s="532">
        <v>400</v>
      </c>
      <c r="G28" s="63" t="s">
        <v>137</v>
      </c>
      <c r="H28" s="401">
        <v>5</v>
      </c>
      <c r="I28" s="386" t="s">
        <v>17</v>
      </c>
      <c r="J28" s="38"/>
      <c r="K28" s="386" t="s">
        <v>1794</v>
      </c>
      <c r="L28" s="386" t="s">
        <v>650</v>
      </c>
      <c r="M28" s="392">
        <v>43077</v>
      </c>
      <c r="N28" s="392">
        <v>43086</v>
      </c>
      <c r="O28" s="395"/>
      <c r="P28" s="677"/>
      <c r="Q28" s="7"/>
      <c r="R28" s="397" t="s">
        <v>186</v>
      </c>
      <c r="S28" s="322" t="s">
        <v>1176</v>
      </c>
      <c r="T28" s="717"/>
    </row>
    <row r="29" spans="1:20" s="377" customFormat="1" ht="20.100000000000001" customHeight="1">
      <c r="A29" s="1189" t="s">
        <v>2950</v>
      </c>
      <c r="B29" s="1189" t="s">
        <v>3882</v>
      </c>
      <c r="C29" s="1189" t="s">
        <v>3407</v>
      </c>
      <c r="D29" s="759">
        <v>350</v>
      </c>
      <c r="E29" s="759">
        <v>400</v>
      </c>
      <c r="F29" s="759">
        <v>400</v>
      </c>
      <c r="G29" s="64" t="s">
        <v>6</v>
      </c>
      <c r="H29" s="378" t="s">
        <v>721</v>
      </c>
      <c r="I29" s="379" t="s">
        <v>17</v>
      </c>
      <c r="J29" s="51"/>
      <c r="K29" s="380" t="s">
        <v>747</v>
      </c>
      <c r="L29" s="380" t="s">
        <v>636</v>
      </c>
      <c r="M29" s="391">
        <v>43084</v>
      </c>
      <c r="N29" s="391">
        <v>43087</v>
      </c>
      <c r="O29" s="387"/>
      <c r="P29" s="675"/>
      <c r="Q29" s="52"/>
      <c r="R29" s="389" t="s">
        <v>335</v>
      </c>
      <c r="S29" s="315" t="s">
        <v>2895</v>
      </c>
      <c r="T29" s="137"/>
    </row>
    <row r="30" spans="1:20" s="377" customFormat="1" ht="20.100000000000001" customHeight="1">
      <c r="A30" s="1189" t="s">
        <v>2950</v>
      </c>
      <c r="B30" s="1189" t="s">
        <v>3882</v>
      </c>
      <c r="C30" s="1189" t="s">
        <v>3407</v>
      </c>
      <c r="D30" s="32">
        <v>350</v>
      </c>
      <c r="E30" s="32">
        <v>450</v>
      </c>
      <c r="F30" s="32">
        <v>450</v>
      </c>
      <c r="G30" s="699" t="s">
        <v>51</v>
      </c>
      <c r="H30" s="378" t="s">
        <v>721</v>
      </c>
      <c r="I30" s="379" t="s">
        <v>17</v>
      </c>
      <c r="J30" s="51"/>
      <c r="K30" s="380" t="s">
        <v>747</v>
      </c>
      <c r="L30" s="380" t="s">
        <v>636</v>
      </c>
      <c r="M30" s="381">
        <v>43084</v>
      </c>
      <c r="N30" s="381">
        <v>43090</v>
      </c>
      <c r="O30" s="387"/>
      <c r="P30" s="675"/>
      <c r="Q30" s="52"/>
      <c r="R30" s="389" t="s">
        <v>1301</v>
      </c>
      <c r="S30" s="316"/>
      <c r="T30" s="689"/>
    </row>
    <row r="31" spans="1:20" ht="20.100000000000001" customHeight="1">
      <c r="A31" s="1189" t="s">
        <v>2950</v>
      </c>
      <c r="B31" s="1189" t="s">
        <v>3882</v>
      </c>
      <c r="C31" s="1189" t="s">
        <v>3407</v>
      </c>
      <c r="D31" s="530">
        <v>375</v>
      </c>
      <c r="E31" s="530">
        <v>500</v>
      </c>
      <c r="F31" s="530">
        <v>500</v>
      </c>
      <c r="G31" s="64" t="s">
        <v>5</v>
      </c>
      <c r="H31" s="22" t="s">
        <v>721</v>
      </c>
      <c r="I31" s="51" t="s">
        <v>17</v>
      </c>
      <c r="J31" s="51"/>
      <c r="K31" s="50" t="s">
        <v>747</v>
      </c>
      <c r="L31" s="50" t="s">
        <v>636</v>
      </c>
      <c r="M31" s="6">
        <v>43066</v>
      </c>
      <c r="N31" s="6">
        <v>43080</v>
      </c>
      <c r="O31" s="675" t="s">
        <v>600</v>
      </c>
      <c r="P31" s="675"/>
      <c r="Q31" s="52"/>
      <c r="R31" s="612" t="s">
        <v>1759</v>
      </c>
      <c r="S31" s="315" t="s">
        <v>2893</v>
      </c>
      <c r="T31" s="689"/>
    </row>
    <row r="32" spans="1:20" ht="20.100000000000001" customHeight="1">
      <c r="A32" s="1189" t="s">
        <v>2950</v>
      </c>
      <c r="B32" s="1189" t="s">
        <v>3882</v>
      </c>
      <c r="C32" s="1189" t="s">
        <v>3407</v>
      </c>
      <c r="D32" s="32">
        <v>350</v>
      </c>
      <c r="E32" s="32">
        <v>400</v>
      </c>
      <c r="F32" s="32">
        <v>400</v>
      </c>
      <c r="G32" s="64" t="s">
        <v>3876</v>
      </c>
      <c r="H32" s="378" t="s">
        <v>721</v>
      </c>
      <c r="I32" s="379" t="s">
        <v>17</v>
      </c>
      <c r="J32" s="51"/>
      <c r="K32" s="380" t="s">
        <v>747</v>
      </c>
      <c r="L32" s="380" t="s">
        <v>636</v>
      </c>
      <c r="M32" s="392">
        <v>43082</v>
      </c>
      <c r="N32" s="392">
        <v>43086</v>
      </c>
      <c r="O32" s="675"/>
      <c r="P32" s="675"/>
      <c r="Q32" s="52"/>
      <c r="R32" s="397" t="s">
        <v>1854</v>
      </c>
      <c r="S32" s="336" t="s">
        <v>1176</v>
      </c>
      <c r="T32" s="650">
        <v>14</v>
      </c>
    </row>
    <row r="33" spans="1:20" s="377" customFormat="1" ht="20.100000000000001" customHeight="1">
      <c r="A33" s="1189" t="s">
        <v>2950</v>
      </c>
      <c r="B33" s="1189" t="s">
        <v>3882</v>
      </c>
      <c r="C33" s="1189" t="s">
        <v>3407</v>
      </c>
      <c r="D33" s="32">
        <v>350</v>
      </c>
      <c r="E33" s="32">
        <v>400</v>
      </c>
      <c r="F33" s="32">
        <v>400</v>
      </c>
      <c r="G33" s="63" t="s">
        <v>102</v>
      </c>
      <c r="H33" s="378" t="s">
        <v>721</v>
      </c>
      <c r="I33" s="379" t="s">
        <v>17</v>
      </c>
      <c r="J33" s="51"/>
      <c r="K33" s="380" t="s">
        <v>747</v>
      </c>
      <c r="L33" s="380" t="s">
        <v>636</v>
      </c>
      <c r="M33" s="392">
        <v>43084</v>
      </c>
      <c r="N33" s="392">
        <v>43087</v>
      </c>
      <c r="O33" s="382"/>
      <c r="P33" s="105"/>
      <c r="Q33" s="52"/>
      <c r="R33" s="397" t="s">
        <v>1777</v>
      </c>
      <c r="S33" s="327" t="s">
        <v>2896</v>
      </c>
      <c r="T33" s="689"/>
    </row>
    <row r="34" spans="1:20" s="377" customFormat="1" ht="20.100000000000001" customHeight="1">
      <c r="A34" s="1189" t="s">
        <v>2950</v>
      </c>
      <c r="B34" s="1189" t="s">
        <v>3882</v>
      </c>
      <c r="C34" s="1189" t="s">
        <v>3407</v>
      </c>
      <c r="D34" s="32">
        <v>375</v>
      </c>
      <c r="E34" s="32">
        <v>475</v>
      </c>
      <c r="F34" s="32">
        <v>475</v>
      </c>
      <c r="G34" s="63" t="s">
        <v>61</v>
      </c>
      <c r="H34" s="378" t="s">
        <v>721</v>
      </c>
      <c r="I34" s="379" t="s">
        <v>17</v>
      </c>
      <c r="J34" s="51"/>
      <c r="K34" s="380" t="s">
        <v>747</v>
      </c>
      <c r="L34" s="380" t="s">
        <v>636</v>
      </c>
      <c r="M34" s="404">
        <v>43085</v>
      </c>
      <c r="N34" s="404">
        <v>43086</v>
      </c>
      <c r="O34" s="393" t="s">
        <v>601</v>
      </c>
      <c r="P34" s="61"/>
      <c r="Q34" s="52"/>
      <c r="R34" s="397" t="s">
        <v>1854</v>
      </c>
      <c r="S34" s="316" t="s">
        <v>2897</v>
      </c>
      <c r="T34" s="689"/>
    </row>
    <row r="35" spans="1:20" s="377" customFormat="1" ht="20.100000000000001" customHeight="1">
      <c r="A35" s="1189" t="s">
        <v>2950</v>
      </c>
      <c r="B35" s="1189" t="s">
        <v>3882</v>
      </c>
      <c r="C35" s="1189" t="s">
        <v>3407</v>
      </c>
      <c r="D35" s="800" t="s">
        <v>4515</v>
      </c>
      <c r="E35" s="800" t="s">
        <v>4516</v>
      </c>
      <c r="F35" s="800" t="s">
        <v>4516</v>
      </c>
      <c r="G35" s="803" t="s">
        <v>29</v>
      </c>
      <c r="H35" s="378" t="s">
        <v>721</v>
      </c>
      <c r="I35" s="379" t="s">
        <v>17</v>
      </c>
      <c r="J35" s="51"/>
      <c r="K35" s="380" t="s">
        <v>747</v>
      </c>
      <c r="L35" s="380" t="s">
        <v>636</v>
      </c>
      <c r="M35" s="404">
        <v>43085</v>
      </c>
      <c r="N35" s="404">
        <v>43086</v>
      </c>
      <c r="O35" s="393"/>
      <c r="P35" s="105"/>
      <c r="Q35" s="52"/>
      <c r="R35" s="397" t="s">
        <v>167</v>
      </c>
      <c r="S35" s="316" t="s">
        <v>2898</v>
      </c>
      <c r="T35" s="680"/>
    </row>
    <row r="36" spans="1:20" s="377" customFormat="1" ht="20.100000000000001" customHeight="1">
      <c r="A36" s="1189" t="s">
        <v>2950</v>
      </c>
      <c r="B36" s="1189" t="s">
        <v>3882</v>
      </c>
      <c r="C36" s="1189" t="s">
        <v>3407</v>
      </c>
      <c r="D36" s="759">
        <v>350</v>
      </c>
      <c r="E36" s="759">
        <v>400</v>
      </c>
      <c r="F36" s="759">
        <v>400</v>
      </c>
      <c r="G36" s="64" t="s">
        <v>6</v>
      </c>
      <c r="H36" s="385" t="s">
        <v>721</v>
      </c>
      <c r="I36" s="379" t="s">
        <v>17</v>
      </c>
      <c r="J36" s="34"/>
      <c r="K36" s="379" t="s">
        <v>752</v>
      </c>
      <c r="L36" s="379" t="s">
        <v>639</v>
      </c>
      <c r="M36" s="391">
        <v>43084</v>
      </c>
      <c r="N36" s="391">
        <v>43087</v>
      </c>
      <c r="O36" s="407"/>
      <c r="P36" s="14"/>
      <c r="Q36" s="52"/>
      <c r="R36" s="397" t="s">
        <v>1694</v>
      </c>
      <c r="S36" s="315" t="s">
        <v>2895</v>
      </c>
      <c r="T36" s="137"/>
    </row>
    <row r="37" spans="1:20" s="377" customFormat="1" ht="20.100000000000001" customHeight="1">
      <c r="A37" s="1189" t="s">
        <v>2950</v>
      </c>
      <c r="B37" s="1189" t="s">
        <v>3882</v>
      </c>
      <c r="C37" s="1189" t="s">
        <v>3407</v>
      </c>
      <c r="D37" s="32">
        <v>350</v>
      </c>
      <c r="E37" s="32">
        <v>450</v>
      </c>
      <c r="F37" s="32">
        <v>450</v>
      </c>
      <c r="G37" s="218" t="s">
        <v>1776</v>
      </c>
      <c r="H37" s="385" t="s">
        <v>721</v>
      </c>
      <c r="I37" s="379" t="s">
        <v>17</v>
      </c>
      <c r="J37" s="34"/>
      <c r="K37" s="379" t="s">
        <v>752</v>
      </c>
      <c r="L37" s="379" t="s">
        <v>639</v>
      </c>
      <c r="M37" s="381">
        <v>43084</v>
      </c>
      <c r="N37" s="381">
        <v>43090</v>
      </c>
      <c r="O37" s="407"/>
      <c r="P37" s="14"/>
      <c r="Q37" s="52"/>
      <c r="R37" s="397" t="s">
        <v>2700</v>
      </c>
      <c r="S37" s="316"/>
      <c r="T37" s="689"/>
    </row>
    <row r="38" spans="1:20" ht="20.100000000000001" customHeight="1">
      <c r="A38" s="1189" t="s">
        <v>2950</v>
      </c>
      <c r="B38" s="1189" t="s">
        <v>3882</v>
      </c>
      <c r="C38" s="1189" t="s">
        <v>3407</v>
      </c>
      <c r="D38" s="530">
        <v>375</v>
      </c>
      <c r="E38" s="530">
        <v>500</v>
      </c>
      <c r="F38" s="530">
        <v>500</v>
      </c>
      <c r="G38" s="673" t="s">
        <v>5</v>
      </c>
      <c r="H38" s="674" t="s">
        <v>721</v>
      </c>
      <c r="I38" s="51" t="s">
        <v>17</v>
      </c>
      <c r="J38" s="34"/>
      <c r="K38" s="51" t="s">
        <v>752</v>
      </c>
      <c r="L38" s="51" t="s">
        <v>639</v>
      </c>
      <c r="M38" s="6">
        <v>43066</v>
      </c>
      <c r="N38" s="6">
        <v>43080</v>
      </c>
      <c r="O38" s="675" t="s">
        <v>600</v>
      </c>
      <c r="P38" s="14"/>
      <c r="Q38" s="52"/>
      <c r="R38" s="49" t="s">
        <v>1755</v>
      </c>
      <c r="S38" s="315" t="s">
        <v>2893</v>
      </c>
      <c r="T38" s="689"/>
    </row>
    <row r="39" spans="1:20" s="377" customFormat="1" ht="20.100000000000001" customHeight="1">
      <c r="A39" s="1189" t="s">
        <v>2950</v>
      </c>
      <c r="B39" s="1189" t="s">
        <v>3882</v>
      </c>
      <c r="C39" s="1189" t="s">
        <v>3407</v>
      </c>
      <c r="D39" s="531">
        <v>300</v>
      </c>
      <c r="E39" s="531">
        <v>400</v>
      </c>
      <c r="F39" s="531">
        <v>400</v>
      </c>
      <c r="G39" s="673" t="s">
        <v>232</v>
      </c>
      <c r="H39" s="385" t="s">
        <v>721</v>
      </c>
      <c r="I39" s="379" t="s">
        <v>17</v>
      </c>
      <c r="J39" s="34"/>
      <c r="K39" s="379" t="s">
        <v>752</v>
      </c>
      <c r="L39" s="379" t="s">
        <v>639</v>
      </c>
      <c r="M39" s="399">
        <v>43082</v>
      </c>
      <c r="N39" s="399">
        <v>43086</v>
      </c>
      <c r="O39" s="393" t="s">
        <v>601</v>
      </c>
      <c r="P39" s="14"/>
      <c r="Q39" s="52"/>
      <c r="R39" s="397" t="s">
        <v>1843</v>
      </c>
      <c r="S39" s="316"/>
      <c r="T39" s="689"/>
    </row>
    <row r="40" spans="1:20" s="377" customFormat="1" ht="20.100000000000001" customHeight="1">
      <c r="A40" s="1189" t="s">
        <v>2950</v>
      </c>
      <c r="B40" s="1189" t="s">
        <v>3882</v>
      </c>
      <c r="C40" s="1189" t="s">
        <v>3407</v>
      </c>
      <c r="D40" s="32">
        <v>350</v>
      </c>
      <c r="E40" s="32">
        <v>400</v>
      </c>
      <c r="F40" s="32">
        <v>400</v>
      </c>
      <c r="G40" s="63" t="s">
        <v>37</v>
      </c>
      <c r="H40" s="385" t="s">
        <v>721</v>
      </c>
      <c r="I40" s="379" t="s">
        <v>17</v>
      </c>
      <c r="J40" s="34"/>
      <c r="K40" s="379" t="s">
        <v>752</v>
      </c>
      <c r="L40" s="379" t="s">
        <v>639</v>
      </c>
      <c r="M40" s="392">
        <v>43084</v>
      </c>
      <c r="N40" s="392">
        <v>43087</v>
      </c>
      <c r="O40" s="393"/>
      <c r="P40" s="61"/>
      <c r="Q40" s="52"/>
      <c r="R40" s="397" t="s">
        <v>1778</v>
      </c>
      <c r="S40" s="327" t="s">
        <v>2896</v>
      </c>
      <c r="T40" s="689"/>
    </row>
    <row r="41" spans="1:20" s="377" customFormat="1" ht="20.100000000000001" customHeight="1">
      <c r="A41" s="1189" t="s">
        <v>2950</v>
      </c>
      <c r="B41" s="1189" t="s">
        <v>3882</v>
      </c>
      <c r="C41" s="1189" t="s">
        <v>3407</v>
      </c>
      <c r="D41" s="32">
        <v>290</v>
      </c>
      <c r="E41" s="32">
        <v>330</v>
      </c>
      <c r="F41" s="32">
        <v>330</v>
      </c>
      <c r="G41" s="224" t="s">
        <v>19</v>
      </c>
      <c r="H41" s="378" t="s">
        <v>1773</v>
      </c>
      <c r="I41" s="386" t="s">
        <v>17</v>
      </c>
      <c r="J41" s="37"/>
      <c r="K41" s="398">
        <v>18</v>
      </c>
      <c r="L41" s="398" t="s">
        <v>643</v>
      </c>
      <c r="M41" s="399">
        <v>43082</v>
      </c>
      <c r="N41" s="399">
        <v>43088</v>
      </c>
      <c r="O41" s="382" t="s">
        <v>611</v>
      </c>
      <c r="P41" s="677"/>
      <c r="Q41" s="7"/>
      <c r="R41" s="397" t="s">
        <v>1783</v>
      </c>
      <c r="S41" s="316" t="s">
        <v>1176</v>
      </c>
      <c r="T41" s="689"/>
    </row>
    <row r="42" spans="1:20" s="377" customFormat="1" ht="20.100000000000001" customHeight="1">
      <c r="A42" s="1189" t="s">
        <v>2950</v>
      </c>
      <c r="B42" s="1189" t="s">
        <v>3882</v>
      </c>
      <c r="C42" s="1189" t="s">
        <v>3407</v>
      </c>
      <c r="D42" s="890">
        <v>275</v>
      </c>
      <c r="E42" s="890">
        <v>300</v>
      </c>
      <c r="F42" s="890">
        <v>300</v>
      </c>
      <c r="G42" s="699" t="s">
        <v>209</v>
      </c>
      <c r="H42" s="378" t="s">
        <v>706</v>
      </c>
      <c r="I42" s="386" t="s">
        <v>17</v>
      </c>
      <c r="J42" s="37"/>
      <c r="K42" s="398">
        <v>18</v>
      </c>
      <c r="L42" s="398" t="s">
        <v>643</v>
      </c>
      <c r="M42" s="392">
        <v>43086</v>
      </c>
      <c r="N42" s="392">
        <v>43086</v>
      </c>
      <c r="O42" s="388"/>
      <c r="P42" s="61"/>
      <c r="Q42" s="7"/>
      <c r="R42" s="397" t="s">
        <v>1783</v>
      </c>
      <c r="S42" s="316" t="s">
        <v>1176</v>
      </c>
      <c r="T42" s="78"/>
    </row>
    <row r="43" spans="1:20" s="377" customFormat="1" ht="20.100000000000001" customHeight="1">
      <c r="A43" s="1189" t="s">
        <v>2950</v>
      </c>
      <c r="B43" s="1189" t="s">
        <v>3882</v>
      </c>
      <c r="C43" s="1189" t="s">
        <v>3407</v>
      </c>
      <c r="D43" s="935">
        <v>340</v>
      </c>
      <c r="E43" s="935">
        <v>670</v>
      </c>
      <c r="F43" s="935">
        <v>320</v>
      </c>
      <c r="G43" s="70" t="s">
        <v>1251</v>
      </c>
      <c r="H43" s="378" t="s">
        <v>1798</v>
      </c>
      <c r="I43" s="386" t="s">
        <v>17</v>
      </c>
      <c r="J43" s="37"/>
      <c r="K43" s="398">
        <v>18</v>
      </c>
      <c r="L43" s="398" t="s">
        <v>643</v>
      </c>
      <c r="M43" s="381">
        <v>43086</v>
      </c>
      <c r="N43" s="381">
        <v>43086</v>
      </c>
      <c r="O43" s="383"/>
      <c r="P43" s="107"/>
      <c r="Q43" s="7"/>
      <c r="R43" s="397" t="s">
        <v>1783</v>
      </c>
      <c r="S43" s="322"/>
      <c r="T43" s="680"/>
    </row>
    <row r="44" spans="1:20" s="377" customFormat="1" ht="20.100000000000001" customHeight="1">
      <c r="A44" s="734" t="s">
        <v>2950</v>
      </c>
      <c r="B44" s="409" t="s">
        <v>396</v>
      </c>
      <c r="C44" s="409" t="s">
        <v>337</v>
      </c>
      <c r="D44" s="32"/>
      <c r="E44" s="32"/>
      <c r="F44" s="32"/>
      <c r="G44" s="66"/>
      <c r="H44" s="401"/>
      <c r="I44" s="386"/>
      <c r="J44" s="38"/>
      <c r="K44" s="386"/>
      <c r="L44" s="386"/>
      <c r="M44" s="386"/>
      <c r="N44" s="392"/>
      <c r="O44" s="395"/>
      <c r="P44" s="677"/>
      <c r="Q44" s="10"/>
      <c r="R44" s="397"/>
      <c r="S44" s="316"/>
      <c r="T44" s="689"/>
    </row>
    <row r="45" spans="1:20" s="377" customFormat="1" ht="20.100000000000001" customHeight="1">
      <c r="A45" s="1190" t="s">
        <v>2950</v>
      </c>
      <c r="B45" s="1189" t="s">
        <v>396</v>
      </c>
      <c r="C45" s="1189" t="s">
        <v>397</v>
      </c>
      <c r="D45" s="32">
        <f>D22+25</f>
        <v>375</v>
      </c>
      <c r="E45" s="32">
        <f>E22+50</f>
        <v>450</v>
      </c>
      <c r="F45" s="32">
        <f>F22+50</f>
        <v>450</v>
      </c>
      <c r="G45" s="705" t="s">
        <v>6</v>
      </c>
      <c r="H45" s="385" t="s">
        <v>681</v>
      </c>
      <c r="I45" s="379" t="s">
        <v>17</v>
      </c>
      <c r="J45" s="50"/>
      <c r="K45" s="379" t="s">
        <v>747</v>
      </c>
      <c r="L45" s="379" t="s">
        <v>639</v>
      </c>
      <c r="M45" s="391">
        <v>43084</v>
      </c>
      <c r="N45" s="391">
        <v>43087</v>
      </c>
      <c r="O45" s="395"/>
      <c r="P45" s="677"/>
      <c r="Q45" s="52" t="s">
        <v>4072</v>
      </c>
      <c r="R45" s="397" t="s">
        <v>1746</v>
      </c>
      <c r="S45" s="315" t="s">
        <v>2895</v>
      </c>
      <c r="T45" s="689"/>
    </row>
    <row r="46" spans="1:20" s="377" customFormat="1" ht="20.100000000000001" customHeight="1">
      <c r="A46" s="1190" t="s">
        <v>2950</v>
      </c>
      <c r="B46" s="1189" t="s">
        <v>396</v>
      </c>
      <c r="C46" s="1189" t="s">
        <v>397</v>
      </c>
      <c r="D46" s="32">
        <v>375</v>
      </c>
      <c r="E46" s="32">
        <v>500</v>
      </c>
      <c r="F46" s="32">
        <v>500</v>
      </c>
      <c r="G46" s="218" t="s">
        <v>51</v>
      </c>
      <c r="H46" s="385" t="s">
        <v>681</v>
      </c>
      <c r="I46" s="379" t="s">
        <v>17</v>
      </c>
      <c r="J46" s="50"/>
      <c r="K46" s="379" t="s">
        <v>747</v>
      </c>
      <c r="L46" s="379" t="s">
        <v>639</v>
      </c>
      <c r="M46" s="381">
        <v>43084</v>
      </c>
      <c r="N46" s="381">
        <v>43090</v>
      </c>
      <c r="O46" s="407"/>
      <c r="P46" s="677"/>
      <c r="Q46" s="52" t="s">
        <v>4072</v>
      </c>
      <c r="R46" s="397" t="s">
        <v>1733</v>
      </c>
      <c r="S46" s="316"/>
      <c r="T46" s="689"/>
    </row>
    <row r="47" spans="1:20" ht="20.100000000000001" customHeight="1">
      <c r="A47" s="1190" t="s">
        <v>2950</v>
      </c>
      <c r="B47" s="1189" t="s">
        <v>396</v>
      </c>
      <c r="C47" s="1189" t="s">
        <v>397</v>
      </c>
      <c r="D47" s="530">
        <v>375</v>
      </c>
      <c r="E47" s="530">
        <v>500</v>
      </c>
      <c r="F47" s="530">
        <v>500</v>
      </c>
      <c r="G47" s="673" t="s">
        <v>5</v>
      </c>
      <c r="H47" s="676">
        <v>5</v>
      </c>
      <c r="I47" s="38" t="s">
        <v>17</v>
      </c>
      <c r="J47" s="38"/>
      <c r="K47" s="38" t="s">
        <v>1753</v>
      </c>
      <c r="L47" s="51" t="s">
        <v>639</v>
      </c>
      <c r="M47" s="6">
        <v>43066</v>
      </c>
      <c r="N47" s="6">
        <v>43080</v>
      </c>
      <c r="O47" s="675" t="s">
        <v>600</v>
      </c>
      <c r="P47" s="677"/>
      <c r="Q47" s="52" t="s">
        <v>4072</v>
      </c>
      <c r="R47" s="49" t="s">
        <v>763</v>
      </c>
      <c r="S47" s="315" t="s">
        <v>2893</v>
      </c>
      <c r="T47" s="689"/>
    </row>
    <row r="48" spans="1:20" s="377" customFormat="1" ht="20.100000000000001" customHeight="1">
      <c r="A48" s="1190" t="s">
        <v>2950</v>
      </c>
      <c r="B48" s="1189" t="s">
        <v>396</v>
      </c>
      <c r="C48" s="1189" t="s">
        <v>397</v>
      </c>
      <c r="D48" s="530"/>
      <c r="E48" s="530"/>
      <c r="F48" s="530"/>
      <c r="G48" s="673" t="s">
        <v>37</v>
      </c>
      <c r="H48" s="401">
        <v>5</v>
      </c>
      <c r="I48" s="386" t="s">
        <v>17</v>
      </c>
      <c r="J48" s="38"/>
      <c r="K48" s="386" t="s">
        <v>1753</v>
      </c>
      <c r="L48" s="379" t="s">
        <v>639</v>
      </c>
      <c r="M48" s="392">
        <v>43084</v>
      </c>
      <c r="N48" s="392">
        <v>43087</v>
      </c>
      <c r="O48" s="387"/>
      <c r="P48" s="677"/>
      <c r="Q48" s="52" t="s">
        <v>4072</v>
      </c>
      <c r="R48" s="397" t="s">
        <v>815</v>
      </c>
      <c r="S48" s="327" t="s">
        <v>2896</v>
      </c>
      <c r="T48" s="689"/>
    </row>
    <row r="49" spans="1:20" s="377" customFormat="1" ht="20.100000000000001" customHeight="1">
      <c r="A49" s="1190" t="s">
        <v>2950</v>
      </c>
      <c r="B49" s="1189" t="s">
        <v>396</v>
      </c>
      <c r="C49" s="1189" t="s">
        <v>397</v>
      </c>
      <c r="D49" s="32">
        <f>D34+250</f>
        <v>625</v>
      </c>
      <c r="E49" s="32">
        <f>E34+450</f>
        <v>925</v>
      </c>
      <c r="F49" s="32">
        <f>F34+450</f>
        <v>925</v>
      </c>
      <c r="G49" s="705" t="s">
        <v>13</v>
      </c>
      <c r="H49" s="385" t="s">
        <v>721</v>
      </c>
      <c r="I49" s="386" t="s">
        <v>107</v>
      </c>
      <c r="J49" s="38"/>
      <c r="K49" s="398" t="s">
        <v>1855</v>
      </c>
      <c r="L49" s="379" t="s">
        <v>636</v>
      </c>
      <c r="M49" s="404">
        <v>43085</v>
      </c>
      <c r="N49" s="404">
        <v>43086</v>
      </c>
      <c r="O49" s="393" t="s">
        <v>601</v>
      </c>
      <c r="P49" s="61"/>
      <c r="Q49" s="52"/>
      <c r="R49" s="397" t="s">
        <v>1854</v>
      </c>
      <c r="S49" s="316" t="s">
        <v>2897</v>
      </c>
      <c r="T49" s="689"/>
    </row>
    <row r="50" spans="1:20" s="377" customFormat="1" ht="20.100000000000001" customHeight="1">
      <c r="A50" s="1138" t="s">
        <v>2950</v>
      </c>
      <c r="B50" s="1191" t="s">
        <v>396</v>
      </c>
      <c r="C50" s="1138" t="s">
        <v>4280</v>
      </c>
      <c r="D50" s="531">
        <f>D16+50</f>
        <v>400</v>
      </c>
      <c r="E50" s="531">
        <f>E16+100</f>
        <v>500</v>
      </c>
      <c r="F50" s="531">
        <f>F16+100</f>
        <v>500</v>
      </c>
      <c r="G50" s="705" t="s">
        <v>453</v>
      </c>
      <c r="H50" s="385" t="s">
        <v>659</v>
      </c>
      <c r="I50" s="386" t="s">
        <v>23</v>
      </c>
      <c r="J50" s="38" t="s">
        <v>807</v>
      </c>
      <c r="K50" s="386" t="s">
        <v>663</v>
      </c>
      <c r="L50" s="379" t="s">
        <v>1245</v>
      </c>
      <c r="M50" s="399">
        <v>43082</v>
      </c>
      <c r="N50" s="399">
        <v>43086</v>
      </c>
      <c r="O50" s="393" t="s">
        <v>601</v>
      </c>
      <c r="P50" s="751"/>
      <c r="Q50" s="167"/>
      <c r="R50" s="397" t="s">
        <v>247</v>
      </c>
      <c r="S50" s="316"/>
      <c r="T50" s="689"/>
    </row>
    <row r="51" spans="1:20" s="377" customFormat="1" ht="20.100000000000001" customHeight="1">
      <c r="A51" s="1138" t="s">
        <v>2950</v>
      </c>
      <c r="B51" s="1191" t="s">
        <v>396</v>
      </c>
      <c r="C51" s="1191" t="s">
        <v>508</v>
      </c>
      <c r="D51" s="32">
        <f>D18+50</f>
        <v>390</v>
      </c>
      <c r="E51" s="32">
        <f>E18+100</f>
        <v>530</v>
      </c>
      <c r="F51" s="32">
        <f>F18+100</f>
        <v>530</v>
      </c>
      <c r="G51" s="225" t="s">
        <v>19</v>
      </c>
      <c r="H51" s="401" t="s">
        <v>725</v>
      </c>
      <c r="I51" s="386" t="s">
        <v>107</v>
      </c>
      <c r="J51" s="38" t="s">
        <v>807</v>
      </c>
      <c r="K51" s="398">
        <v>24</v>
      </c>
      <c r="L51" s="379" t="s">
        <v>636</v>
      </c>
      <c r="M51" s="399">
        <v>43082</v>
      </c>
      <c r="N51" s="399">
        <v>43088</v>
      </c>
      <c r="O51" s="382" t="s">
        <v>611</v>
      </c>
      <c r="P51" s="107"/>
      <c r="Q51" s="7"/>
      <c r="R51" s="384" t="s">
        <v>191</v>
      </c>
      <c r="S51" s="316" t="s">
        <v>1176</v>
      </c>
      <c r="T51" s="78"/>
    </row>
    <row r="52" spans="1:20" s="377" customFormat="1" ht="20.100000000000001" customHeight="1">
      <c r="A52" s="1138" t="s">
        <v>2950</v>
      </c>
      <c r="B52" s="1191" t="s">
        <v>396</v>
      </c>
      <c r="C52" s="1191" t="s">
        <v>508</v>
      </c>
      <c r="D52" s="529">
        <v>425</v>
      </c>
      <c r="E52" s="529">
        <v>500</v>
      </c>
      <c r="F52" s="529">
        <v>500</v>
      </c>
      <c r="G52" s="699" t="s">
        <v>22</v>
      </c>
      <c r="H52" s="401" t="s">
        <v>725</v>
      </c>
      <c r="I52" s="386" t="s">
        <v>107</v>
      </c>
      <c r="J52" s="38" t="s">
        <v>807</v>
      </c>
      <c r="K52" s="398">
        <v>24</v>
      </c>
      <c r="L52" s="379" t="s">
        <v>636</v>
      </c>
      <c r="M52" s="392">
        <v>43062</v>
      </c>
      <c r="N52" s="392">
        <v>43086</v>
      </c>
      <c r="O52" s="393"/>
      <c r="P52" s="61"/>
      <c r="Q52" s="7"/>
      <c r="R52" s="397" t="s">
        <v>191</v>
      </c>
      <c r="S52" s="316" t="s">
        <v>1176</v>
      </c>
      <c r="T52" s="78"/>
    </row>
    <row r="53" spans="1:20" s="377" customFormat="1" ht="20.100000000000001" customHeight="1">
      <c r="A53" s="1138" t="s">
        <v>2950</v>
      </c>
      <c r="B53" s="1191" t="s">
        <v>396</v>
      </c>
      <c r="C53" s="1191" t="s">
        <v>508</v>
      </c>
      <c r="D53" s="800" t="s">
        <v>4076</v>
      </c>
      <c r="E53" s="800">
        <v>600</v>
      </c>
      <c r="F53" s="800">
        <v>600</v>
      </c>
      <c r="G53" s="63" t="s">
        <v>29</v>
      </c>
      <c r="H53" s="401" t="s">
        <v>1665</v>
      </c>
      <c r="I53" s="386" t="s">
        <v>107</v>
      </c>
      <c r="J53" s="38" t="s">
        <v>807</v>
      </c>
      <c r="K53" s="398">
        <v>25</v>
      </c>
      <c r="L53" s="379" t="s">
        <v>636</v>
      </c>
      <c r="M53" s="404">
        <v>43083</v>
      </c>
      <c r="N53" s="404">
        <v>43086</v>
      </c>
      <c r="O53" s="405"/>
      <c r="P53" s="751"/>
      <c r="Q53" s="7"/>
      <c r="R53" s="397" t="s">
        <v>191</v>
      </c>
      <c r="S53" s="316" t="s">
        <v>2898</v>
      </c>
      <c r="T53" s="689"/>
    </row>
    <row r="54" spans="1:20" s="377" customFormat="1" ht="20.100000000000001" customHeight="1">
      <c r="A54" s="1138" t="s">
        <v>2950</v>
      </c>
      <c r="B54" s="1191" t="s">
        <v>396</v>
      </c>
      <c r="C54" s="1191" t="s">
        <v>508</v>
      </c>
      <c r="D54" s="759">
        <f>D22</f>
        <v>350</v>
      </c>
      <c r="E54" s="759">
        <f>E22</f>
        <v>400</v>
      </c>
      <c r="F54" s="759">
        <f>F22</f>
        <v>400</v>
      </c>
      <c r="G54" s="705" t="s">
        <v>158</v>
      </c>
      <c r="H54" s="385" t="s">
        <v>681</v>
      </c>
      <c r="I54" s="379" t="s">
        <v>17</v>
      </c>
      <c r="J54" s="51" t="s">
        <v>807</v>
      </c>
      <c r="K54" s="379" t="s">
        <v>682</v>
      </c>
      <c r="L54" s="379" t="s">
        <v>639</v>
      </c>
      <c r="M54" s="391">
        <v>43084</v>
      </c>
      <c r="N54" s="391">
        <v>43087</v>
      </c>
      <c r="O54" s="407"/>
      <c r="P54" s="677"/>
      <c r="Q54" s="52" t="s">
        <v>4072</v>
      </c>
      <c r="R54" s="397" t="s">
        <v>1746</v>
      </c>
      <c r="S54" s="315" t="s">
        <v>2895</v>
      </c>
      <c r="T54" s="305"/>
    </row>
    <row r="55" spans="1:20" s="377" customFormat="1" ht="20.100000000000001" customHeight="1">
      <c r="A55" s="1138" t="s">
        <v>2950</v>
      </c>
      <c r="B55" s="1191" t="s">
        <v>396</v>
      </c>
      <c r="C55" s="1191" t="s">
        <v>508</v>
      </c>
      <c r="D55" s="11">
        <f>D23+50-25</f>
        <v>375</v>
      </c>
      <c r="E55" s="11">
        <f>E23+100-50</f>
        <v>500</v>
      </c>
      <c r="F55" s="11">
        <f>F23+100-50</f>
        <v>500</v>
      </c>
      <c r="G55" s="222" t="s">
        <v>51</v>
      </c>
      <c r="H55" s="385" t="s">
        <v>681</v>
      </c>
      <c r="I55" s="379" t="s">
        <v>17</v>
      </c>
      <c r="J55" s="51" t="s">
        <v>807</v>
      </c>
      <c r="K55" s="379" t="s">
        <v>682</v>
      </c>
      <c r="L55" s="379" t="s">
        <v>639</v>
      </c>
      <c r="M55" s="381">
        <v>43084</v>
      </c>
      <c r="N55" s="381">
        <v>43090</v>
      </c>
      <c r="O55" s="407"/>
      <c r="P55" s="677"/>
      <c r="Q55" s="52" t="s">
        <v>4072</v>
      </c>
      <c r="R55" s="397" t="s">
        <v>1731</v>
      </c>
      <c r="S55" s="316"/>
      <c r="T55" s="680"/>
    </row>
    <row r="56" spans="1:20" ht="20.100000000000001" customHeight="1">
      <c r="A56" s="1138" t="s">
        <v>2950</v>
      </c>
      <c r="B56" s="1191" t="s">
        <v>396</v>
      </c>
      <c r="C56" s="1191" t="s">
        <v>508</v>
      </c>
      <c r="D56" s="11">
        <f>D24+0</f>
        <v>375</v>
      </c>
      <c r="E56" s="11">
        <f t="shared" ref="E56:F56" si="0">E24+0</f>
        <v>500</v>
      </c>
      <c r="F56" s="11">
        <f t="shared" si="0"/>
        <v>500</v>
      </c>
      <c r="G56" s="678" t="s">
        <v>5</v>
      </c>
      <c r="H56" s="676">
        <v>5</v>
      </c>
      <c r="I56" s="38" t="s">
        <v>17</v>
      </c>
      <c r="J56" s="38" t="s">
        <v>807</v>
      </c>
      <c r="K56" s="38" t="s">
        <v>1754</v>
      </c>
      <c r="L56" s="51" t="s">
        <v>639</v>
      </c>
      <c r="M56" s="6">
        <v>43066</v>
      </c>
      <c r="N56" s="6">
        <v>43080</v>
      </c>
      <c r="O56" s="675" t="s">
        <v>600</v>
      </c>
      <c r="P56" s="677"/>
      <c r="Q56" s="52" t="s">
        <v>4072</v>
      </c>
      <c r="R56" s="49" t="s">
        <v>763</v>
      </c>
      <c r="S56" s="315" t="s">
        <v>2893</v>
      </c>
      <c r="T56" s="680"/>
    </row>
    <row r="57" spans="1:20" s="377" customFormat="1" ht="20.100000000000001" customHeight="1">
      <c r="A57" s="1138" t="s">
        <v>2950</v>
      </c>
      <c r="B57" s="1191" t="s">
        <v>396</v>
      </c>
      <c r="C57" s="1191" t="s">
        <v>508</v>
      </c>
      <c r="D57" s="11">
        <f>D25+25</f>
        <v>375</v>
      </c>
      <c r="E57" s="11">
        <f>E25+50</f>
        <v>450</v>
      </c>
      <c r="F57" s="11">
        <f>F25+50</f>
        <v>450</v>
      </c>
      <c r="G57" s="678" t="s">
        <v>37</v>
      </c>
      <c r="H57" s="401">
        <v>5</v>
      </c>
      <c r="I57" s="386" t="s">
        <v>17</v>
      </c>
      <c r="J57" s="38" t="s">
        <v>807</v>
      </c>
      <c r="K57" s="386" t="s">
        <v>1754</v>
      </c>
      <c r="L57" s="379" t="s">
        <v>639</v>
      </c>
      <c r="M57" s="392">
        <v>43084</v>
      </c>
      <c r="N57" s="392">
        <v>43087</v>
      </c>
      <c r="O57" s="387"/>
      <c r="P57" s="677"/>
      <c r="Q57" s="52" t="s">
        <v>4072</v>
      </c>
      <c r="R57" s="397" t="s">
        <v>815</v>
      </c>
      <c r="S57" s="327" t="s">
        <v>2896</v>
      </c>
      <c r="T57" s="680"/>
    </row>
    <row r="58" spans="1:20" s="377" customFormat="1" ht="20.100000000000001" customHeight="1">
      <c r="A58" s="1138" t="s">
        <v>2950</v>
      </c>
      <c r="B58" s="1191" t="s">
        <v>396</v>
      </c>
      <c r="C58" s="1191" t="s">
        <v>508</v>
      </c>
      <c r="D58" s="11">
        <f>D26+50</f>
        <v>350</v>
      </c>
      <c r="E58" s="11">
        <f>E26+100</f>
        <v>500</v>
      </c>
      <c r="F58" s="11">
        <f>F26+100</f>
        <v>500</v>
      </c>
      <c r="G58" s="678" t="s">
        <v>232</v>
      </c>
      <c r="H58" s="401">
        <v>5</v>
      </c>
      <c r="I58" s="386" t="s">
        <v>107</v>
      </c>
      <c r="J58" s="38" t="s">
        <v>807</v>
      </c>
      <c r="K58" s="386">
        <v>22</v>
      </c>
      <c r="L58" s="386" t="s">
        <v>641</v>
      </c>
      <c r="M58" s="399">
        <v>43082</v>
      </c>
      <c r="N58" s="399">
        <v>43086</v>
      </c>
      <c r="O58" s="393" t="s">
        <v>601</v>
      </c>
      <c r="P58" s="677"/>
      <c r="Q58" s="52"/>
      <c r="R58" s="397" t="s">
        <v>2004</v>
      </c>
      <c r="S58" s="336"/>
      <c r="T58" s="680"/>
    </row>
    <row r="59" spans="1:20" s="377" customFormat="1" ht="20.100000000000001" customHeight="1">
      <c r="A59" s="1138" t="s">
        <v>2950</v>
      </c>
      <c r="B59" s="1191" t="s">
        <v>396</v>
      </c>
      <c r="C59" s="1191" t="s">
        <v>508</v>
      </c>
      <c r="D59" s="13">
        <f>D27+50</f>
        <v>390</v>
      </c>
      <c r="E59" s="13">
        <f>E27+100</f>
        <v>530</v>
      </c>
      <c r="F59" s="13">
        <f>F27+100</f>
        <v>530</v>
      </c>
      <c r="G59" s="225" t="s">
        <v>19</v>
      </c>
      <c r="H59" s="401">
        <v>5</v>
      </c>
      <c r="I59" s="386" t="s">
        <v>107</v>
      </c>
      <c r="J59" s="38" t="s">
        <v>807</v>
      </c>
      <c r="K59" s="386">
        <v>22</v>
      </c>
      <c r="L59" s="386" t="s">
        <v>641</v>
      </c>
      <c r="M59" s="399">
        <v>43082</v>
      </c>
      <c r="N59" s="399">
        <v>43088</v>
      </c>
      <c r="O59" s="382" t="s">
        <v>611</v>
      </c>
      <c r="P59" s="751"/>
      <c r="Q59" s="7"/>
      <c r="R59" s="397" t="s">
        <v>1788</v>
      </c>
      <c r="S59" s="316" t="s">
        <v>1176</v>
      </c>
      <c r="T59" s="680"/>
    </row>
    <row r="60" spans="1:20" s="377" customFormat="1" ht="20.100000000000001" customHeight="1">
      <c r="A60" s="1138" t="s">
        <v>2950</v>
      </c>
      <c r="B60" s="1191" t="s">
        <v>396</v>
      </c>
      <c r="C60" s="1191" t="s">
        <v>508</v>
      </c>
      <c r="D60" s="851">
        <f>D28+100</f>
        <v>450</v>
      </c>
      <c r="E60" s="851">
        <f>E28+150</f>
        <v>550</v>
      </c>
      <c r="F60" s="851">
        <f>F28+150</f>
        <v>550</v>
      </c>
      <c r="G60" s="705" t="s">
        <v>137</v>
      </c>
      <c r="H60" s="401">
        <v>5</v>
      </c>
      <c r="I60" s="386" t="s">
        <v>107</v>
      </c>
      <c r="J60" s="38" t="s">
        <v>807</v>
      </c>
      <c r="K60" s="386">
        <v>22</v>
      </c>
      <c r="L60" s="386" t="s">
        <v>650</v>
      </c>
      <c r="M60" s="392">
        <v>43077</v>
      </c>
      <c r="N60" s="392">
        <v>43086</v>
      </c>
      <c r="O60" s="395"/>
      <c r="P60" s="677"/>
      <c r="Q60" s="7"/>
      <c r="R60" s="397" t="s">
        <v>186</v>
      </c>
      <c r="S60" s="322" t="s">
        <v>1176</v>
      </c>
      <c r="T60" s="689"/>
    </row>
    <row r="61" spans="1:20" s="377" customFormat="1" ht="20.100000000000001" customHeight="1">
      <c r="A61" s="1138" t="s">
        <v>2950</v>
      </c>
      <c r="B61" s="1191" t="s">
        <v>396</v>
      </c>
      <c r="C61" s="1191" t="s">
        <v>508</v>
      </c>
      <c r="D61" s="759">
        <f>D29</f>
        <v>350</v>
      </c>
      <c r="E61" s="759">
        <f>E29</f>
        <v>400</v>
      </c>
      <c r="F61" s="759">
        <f>F29</f>
        <v>400</v>
      </c>
      <c r="G61" s="67" t="s">
        <v>6</v>
      </c>
      <c r="H61" s="378" t="s">
        <v>721</v>
      </c>
      <c r="I61" s="379" t="s">
        <v>17</v>
      </c>
      <c r="J61" s="51" t="s">
        <v>807</v>
      </c>
      <c r="K61" s="380" t="s">
        <v>682</v>
      </c>
      <c r="L61" s="380" t="s">
        <v>636</v>
      </c>
      <c r="M61" s="391">
        <v>43084</v>
      </c>
      <c r="N61" s="391">
        <v>43087</v>
      </c>
      <c r="O61" s="387"/>
      <c r="P61" s="675"/>
      <c r="Q61" s="52"/>
      <c r="R61" s="389" t="s">
        <v>1744</v>
      </c>
      <c r="S61" s="315" t="s">
        <v>2895</v>
      </c>
      <c r="T61" s="137"/>
    </row>
    <row r="62" spans="1:20" s="377" customFormat="1" ht="20.100000000000001" customHeight="1">
      <c r="A62" s="1138" t="s">
        <v>2950</v>
      </c>
      <c r="B62" s="1191" t="s">
        <v>396</v>
      </c>
      <c r="C62" s="1191" t="s">
        <v>508</v>
      </c>
      <c r="D62" s="532">
        <f>D30+50-25</f>
        <v>375</v>
      </c>
      <c r="E62" s="532">
        <f>E30+100-50</f>
        <v>500</v>
      </c>
      <c r="F62" s="532">
        <f>F30+100-50</f>
        <v>500</v>
      </c>
      <c r="G62" s="222" t="s">
        <v>51</v>
      </c>
      <c r="H62" s="378" t="s">
        <v>721</v>
      </c>
      <c r="I62" s="379" t="s">
        <v>17</v>
      </c>
      <c r="J62" s="51" t="s">
        <v>807</v>
      </c>
      <c r="K62" s="380" t="s">
        <v>682</v>
      </c>
      <c r="L62" s="380" t="s">
        <v>636</v>
      </c>
      <c r="M62" s="381">
        <v>43084</v>
      </c>
      <c r="N62" s="381">
        <v>43090</v>
      </c>
      <c r="O62" s="387"/>
      <c r="P62" s="675"/>
      <c r="Q62" s="52"/>
      <c r="R62" s="389" t="s">
        <v>167</v>
      </c>
      <c r="S62" s="316"/>
      <c r="T62" s="689"/>
    </row>
    <row r="63" spans="1:20" ht="20.100000000000001" customHeight="1">
      <c r="A63" s="1138" t="s">
        <v>2950</v>
      </c>
      <c r="B63" s="1191" t="s">
        <v>396</v>
      </c>
      <c r="C63" s="1191" t="s">
        <v>508</v>
      </c>
      <c r="D63" s="759">
        <f>D31+0</f>
        <v>375</v>
      </c>
      <c r="E63" s="759">
        <f t="shared" ref="E63:F63" si="1">E31+0</f>
        <v>500</v>
      </c>
      <c r="F63" s="759">
        <f t="shared" si="1"/>
        <v>500</v>
      </c>
      <c r="G63" s="678" t="s">
        <v>5</v>
      </c>
      <c r="H63" s="22" t="s">
        <v>721</v>
      </c>
      <c r="I63" s="51" t="s">
        <v>17</v>
      </c>
      <c r="J63" s="51" t="s">
        <v>807</v>
      </c>
      <c r="K63" s="50" t="s">
        <v>682</v>
      </c>
      <c r="L63" s="51" t="s">
        <v>636</v>
      </c>
      <c r="M63" s="6">
        <v>43066</v>
      </c>
      <c r="N63" s="6">
        <v>43080</v>
      </c>
      <c r="O63" s="675" t="s">
        <v>600</v>
      </c>
      <c r="P63" s="105"/>
      <c r="Q63" s="52"/>
      <c r="R63" s="612" t="s">
        <v>1760</v>
      </c>
      <c r="S63" s="315" t="s">
        <v>2893</v>
      </c>
      <c r="T63" s="689"/>
    </row>
    <row r="64" spans="1:20" s="377" customFormat="1" ht="20.100000000000001" customHeight="1">
      <c r="A64" s="1138" t="s">
        <v>2950</v>
      </c>
      <c r="B64" s="1191" t="s">
        <v>396</v>
      </c>
      <c r="C64" s="1191" t="s">
        <v>508</v>
      </c>
      <c r="D64" s="32">
        <f>D33+25</f>
        <v>375</v>
      </c>
      <c r="E64" s="32">
        <f>E33+50</f>
        <v>450</v>
      </c>
      <c r="F64" s="32">
        <f>F33+50</f>
        <v>450</v>
      </c>
      <c r="G64" s="705" t="s">
        <v>37</v>
      </c>
      <c r="H64" s="378" t="s">
        <v>721</v>
      </c>
      <c r="I64" s="379" t="s">
        <v>17</v>
      </c>
      <c r="J64" s="51" t="s">
        <v>807</v>
      </c>
      <c r="K64" s="380" t="s">
        <v>682</v>
      </c>
      <c r="L64" s="380" t="s">
        <v>636</v>
      </c>
      <c r="M64" s="392">
        <v>43084</v>
      </c>
      <c r="N64" s="392">
        <v>43087</v>
      </c>
      <c r="O64" s="382"/>
      <c r="P64" s="105"/>
      <c r="Q64" s="52"/>
      <c r="R64" s="397" t="s">
        <v>1777</v>
      </c>
      <c r="S64" s="327" t="s">
        <v>2896</v>
      </c>
      <c r="T64" s="689"/>
    </row>
    <row r="65" spans="1:20" s="377" customFormat="1" ht="20.100000000000001" customHeight="1">
      <c r="A65" s="1138" t="s">
        <v>2950</v>
      </c>
      <c r="B65" s="1191" t="s">
        <v>396</v>
      </c>
      <c r="C65" s="1191" t="s">
        <v>508</v>
      </c>
      <c r="D65" s="880">
        <f>D34+25-25</f>
        <v>375</v>
      </c>
      <c r="E65" s="880">
        <f>E34+50-50</f>
        <v>475</v>
      </c>
      <c r="F65" s="880">
        <f>F34+50-50</f>
        <v>475</v>
      </c>
      <c r="G65" s="705" t="s">
        <v>61</v>
      </c>
      <c r="H65" s="378" t="s">
        <v>721</v>
      </c>
      <c r="I65" s="379" t="s">
        <v>17</v>
      </c>
      <c r="J65" s="51" t="s">
        <v>807</v>
      </c>
      <c r="K65" s="380" t="s">
        <v>682</v>
      </c>
      <c r="L65" s="379" t="s">
        <v>636</v>
      </c>
      <c r="M65" s="404">
        <v>43085</v>
      </c>
      <c r="N65" s="404">
        <v>43086</v>
      </c>
      <c r="O65" s="393" t="s">
        <v>601</v>
      </c>
      <c r="P65" s="61"/>
      <c r="Q65" s="52"/>
      <c r="R65" s="397" t="s">
        <v>1854</v>
      </c>
      <c r="S65" s="316" t="s">
        <v>2897</v>
      </c>
      <c r="T65" s="689"/>
    </row>
    <row r="66" spans="1:20" s="377" customFormat="1" ht="20.100000000000001" customHeight="1">
      <c r="A66" s="1138" t="s">
        <v>2950</v>
      </c>
      <c r="B66" s="1191" t="s">
        <v>396</v>
      </c>
      <c r="C66" s="1207" t="s">
        <v>508</v>
      </c>
      <c r="D66" s="800" t="s">
        <v>4083</v>
      </c>
      <c r="E66" s="800" t="s">
        <v>4511</v>
      </c>
      <c r="F66" s="800" t="s">
        <v>4511</v>
      </c>
      <c r="G66" s="812" t="s">
        <v>29</v>
      </c>
      <c r="H66" s="378" t="s">
        <v>721</v>
      </c>
      <c r="I66" s="386" t="s">
        <v>107</v>
      </c>
      <c r="J66" s="51" t="s">
        <v>807</v>
      </c>
      <c r="K66" s="380" t="s">
        <v>682</v>
      </c>
      <c r="L66" s="380" t="s">
        <v>636</v>
      </c>
      <c r="M66" s="404">
        <v>43085</v>
      </c>
      <c r="N66" s="404">
        <v>43086</v>
      </c>
      <c r="O66" s="393"/>
      <c r="P66" s="105"/>
      <c r="Q66" s="52"/>
      <c r="R66" s="397" t="s">
        <v>167</v>
      </c>
      <c r="S66" s="316" t="s">
        <v>2898</v>
      </c>
      <c r="T66" s="78"/>
    </row>
    <row r="67" spans="1:20" s="377" customFormat="1" ht="20.100000000000001" customHeight="1">
      <c r="A67" s="1138" t="s">
        <v>2950</v>
      </c>
      <c r="B67" s="1191" t="s">
        <v>396</v>
      </c>
      <c r="C67" s="1191" t="s">
        <v>508</v>
      </c>
      <c r="D67" s="845">
        <f>D39+50</f>
        <v>350</v>
      </c>
      <c r="E67" s="845">
        <f>E39+100</f>
        <v>500</v>
      </c>
      <c r="F67" s="845">
        <f>F39+100</f>
        <v>500</v>
      </c>
      <c r="G67" s="678" t="s">
        <v>232</v>
      </c>
      <c r="H67" s="378" t="s">
        <v>721</v>
      </c>
      <c r="I67" s="379" t="s">
        <v>107</v>
      </c>
      <c r="J67" s="51"/>
      <c r="K67" s="380" t="s">
        <v>680</v>
      </c>
      <c r="L67" s="379" t="s">
        <v>639</v>
      </c>
      <c r="M67" s="399">
        <v>43082</v>
      </c>
      <c r="N67" s="399">
        <v>43086</v>
      </c>
      <c r="O67" s="393" t="s">
        <v>601</v>
      </c>
      <c r="P67" s="105"/>
      <c r="Q67" s="52"/>
      <c r="R67" s="397" t="s">
        <v>1843</v>
      </c>
      <c r="S67" s="316"/>
      <c r="T67" s="78"/>
    </row>
    <row r="68" spans="1:20" s="377" customFormat="1" ht="20.100000000000001" customHeight="1">
      <c r="A68" s="1138" t="s">
        <v>2950</v>
      </c>
      <c r="B68" s="1191" t="s">
        <v>396</v>
      </c>
      <c r="C68" s="1191" t="s">
        <v>508</v>
      </c>
      <c r="D68" s="530">
        <f>D41+25</f>
        <v>315</v>
      </c>
      <c r="E68" s="530">
        <f>E41+50</f>
        <v>380</v>
      </c>
      <c r="F68" s="530">
        <f>F41+50</f>
        <v>380</v>
      </c>
      <c r="G68" s="656" t="s">
        <v>19</v>
      </c>
      <c r="H68" s="378" t="s">
        <v>1773</v>
      </c>
      <c r="I68" s="386" t="s">
        <v>17</v>
      </c>
      <c r="J68" s="38" t="s">
        <v>807</v>
      </c>
      <c r="K68" s="386" t="s">
        <v>1785</v>
      </c>
      <c r="L68" s="398" t="s">
        <v>643</v>
      </c>
      <c r="M68" s="399">
        <v>43082</v>
      </c>
      <c r="N68" s="399">
        <v>43088</v>
      </c>
      <c r="O68" s="382" t="s">
        <v>611</v>
      </c>
      <c r="P68" s="677"/>
      <c r="Q68" s="7"/>
      <c r="R68" s="397" t="s">
        <v>1783</v>
      </c>
      <c r="S68" s="316" t="s">
        <v>1176</v>
      </c>
      <c r="T68" s="680"/>
    </row>
    <row r="69" spans="1:20" s="377" customFormat="1" ht="20.100000000000001" customHeight="1">
      <c r="A69" s="1138" t="s">
        <v>2950</v>
      </c>
      <c r="B69" s="1191" t="s">
        <v>396</v>
      </c>
      <c r="C69" s="1191" t="s">
        <v>508</v>
      </c>
      <c r="D69" s="529">
        <v>350</v>
      </c>
      <c r="E69" s="529">
        <v>450</v>
      </c>
      <c r="F69" s="529">
        <v>450</v>
      </c>
      <c r="G69" s="699" t="s">
        <v>22</v>
      </c>
      <c r="H69" s="378" t="s">
        <v>706</v>
      </c>
      <c r="I69" s="386" t="s">
        <v>17</v>
      </c>
      <c r="J69" s="38" t="s">
        <v>807</v>
      </c>
      <c r="K69" s="386" t="s">
        <v>728</v>
      </c>
      <c r="L69" s="398" t="s">
        <v>643</v>
      </c>
      <c r="M69" s="392">
        <v>43079</v>
      </c>
      <c r="N69" s="392">
        <v>43086</v>
      </c>
      <c r="O69" s="382"/>
      <c r="P69" s="105"/>
      <c r="Q69" s="7"/>
      <c r="R69" s="397" t="s">
        <v>1783</v>
      </c>
      <c r="S69" s="316" t="s">
        <v>1176</v>
      </c>
      <c r="T69" s="78"/>
    </row>
    <row r="70" spans="1:20" s="377" customFormat="1" ht="20.100000000000001" customHeight="1">
      <c r="A70" s="1138" t="s">
        <v>2950</v>
      </c>
      <c r="B70" s="1191" t="s">
        <v>396</v>
      </c>
      <c r="C70" s="1191" t="s">
        <v>508</v>
      </c>
      <c r="D70" s="935">
        <v>390</v>
      </c>
      <c r="E70" s="935">
        <v>720</v>
      </c>
      <c r="F70" s="935">
        <v>520</v>
      </c>
      <c r="G70" s="63" t="s">
        <v>568</v>
      </c>
      <c r="H70" s="378" t="s">
        <v>706</v>
      </c>
      <c r="I70" s="386" t="s">
        <v>17</v>
      </c>
      <c r="J70" s="38" t="s">
        <v>807</v>
      </c>
      <c r="K70" s="386" t="s">
        <v>728</v>
      </c>
      <c r="L70" s="398" t="s">
        <v>643</v>
      </c>
      <c r="M70" s="381">
        <v>43086</v>
      </c>
      <c r="N70" s="381">
        <v>43086</v>
      </c>
      <c r="O70" s="383"/>
      <c r="P70" s="107"/>
      <c r="Q70" s="7"/>
      <c r="R70" s="397" t="s">
        <v>1783</v>
      </c>
      <c r="S70" s="322"/>
      <c r="T70" s="78"/>
    </row>
    <row r="71" spans="1:20" s="377" customFormat="1" ht="20.100000000000001" customHeight="1">
      <c r="A71" s="1138" t="s">
        <v>2950</v>
      </c>
      <c r="B71" s="1191" t="s">
        <v>396</v>
      </c>
      <c r="C71" s="1138" t="s">
        <v>4281</v>
      </c>
      <c r="D71" s="532">
        <f>D4+100</f>
        <v>450</v>
      </c>
      <c r="E71" s="532">
        <f>E4+200</f>
        <v>650</v>
      </c>
      <c r="F71" s="532">
        <f>F4+200</f>
        <v>650</v>
      </c>
      <c r="G71" s="222" t="s">
        <v>51</v>
      </c>
      <c r="H71" s="378">
        <v>1</v>
      </c>
      <c r="I71" s="379" t="s">
        <v>107</v>
      </c>
      <c r="J71" s="51"/>
      <c r="K71" s="379">
        <v>24</v>
      </c>
      <c r="L71" s="380" t="s">
        <v>636</v>
      </c>
      <c r="M71" s="381">
        <v>43084</v>
      </c>
      <c r="N71" s="381">
        <v>43090</v>
      </c>
      <c r="O71" s="410"/>
      <c r="P71" s="60"/>
      <c r="Q71" s="52" t="s">
        <v>4094</v>
      </c>
      <c r="R71" s="384" t="s">
        <v>1734</v>
      </c>
      <c r="S71" s="316"/>
      <c r="T71" s="78"/>
    </row>
    <row r="72" spans="1:20" ht="20.100000000000001" customHeight="1">
      <c r="A72" s="1138" t="s">
        <v>2950</v>
      </c>
      <c r="B72" s="1191" t="s">
        <v>396</v>
      </c>
      <c r="C72" s="1191" t="s">
        <v>317</v>
      </c>
      <c r="D72" s="530">
        <f>D5+350</f>
        <v>725</v>
      </c>
      <c r="E72" s="530">
        <f>E5+450</f>
        <v>950</v>
      </c>
      <c r="F72" s="530">
        <f>F5+450</f>
        <v>950</v>
      </c>
      <c r="G72" s="678" t="s">
        <v>5</v>
      </c>
      <c r="H72" s="674" t="s">
        <v>1756</v>
      </c>
      <c r="I72" s="38" t="s">
        <v>107</v>
      </c>
      <c r="J72" s="38"/>
      <c r="K72" s="50" t="s">
        <v>684</v>
      </c>
      <c r="L72" s="51" t="s">
        <v>636</v>
      </c>
      <c r="M72" s="6">
        <v>43066</v>
      </c>
      <c r="N72" s="6">
        <v>43080</v>
      </c>
      <c r="O72" s="675" t="s">
        <v>600</v>
      </c>
      <c r="P72" s="60"/>
      <c r="Q72" s="52" t="s">
        <v>4094</v>
      </c>
      <c r="R72" s="612" t="s">
        <v>1419</v>
      </c>
      <c r="S72" s="315" t="s">
        <v>2893</v>
      </c>
      <c r="T72" s="78"/>
    </row>
    <row r="73" spans="1:20" s="377" customFormat="1" ht="20.100000000000001" customHeight="1">
      <c r="A73" s="1138" t="s">
        <v>2950</v>
      </c>
      <c r="B73" s="1191" t="s">
        <v>396</v>
      </c>
      <c r="C73" s="1191" t="s">
        <v>317</v>
      </c>
      <c r="D73" s="530">
        <f>D7+160</f>
        <v>510</v>
      </c>
      <c r="E73" s="530">
        <f>E7+270</f>
        <v>670</v>
      </c>
      <c r="F73" s="530">
        <f>F7+270</f>
        <v>670</v>
      </c>
      <c r="G73" s="705" t="s">
        <v>37</v>
      </c>
      <c r="H73" s="378" t="s">
        <v>1770</v>
      </c>
      <c r="I73" s="386" t="s">
        <v>107</v>
      </c>
      <c r="J73" s="38"/>
      <c r="K73" s="386">
        <v>24</v>
      </c>
      <c r="L73" s="379" t="s">
        <v>636</v>
      </c>
      <c r="M73" s="392">
        <v>43084</v>
      </c>
      <c r="N73" s="392">
        <v>43087</v>
      </c>
      <c r="O73" s="382"/>
      <c r="P73" s="105"/>
      <c r="Q73" s="52" t="s">
        <v>4094</v>
      </c>
      <c r="R73" s="384" t="s">
        <v>1719</v>
      </c>
      <c r="S73" s="327" t="s">
        <v>2896</v>
      </c>
      <c r="T73" s="78"/>
    </row>
    <row r="74" spans="1:20" s="377" customFormat="1" ht="20.100000000000001" customHeight="1">
      <c r="A74" s="1138" t="s">
        <v>2950</v>
      </c>
      <c r="B74" s="1191" t="s">
        <v>396</v>
      </c>
      <c r="C74" s="1191" t="s">
        <v>317</v>
      </c>
      <c r="D74" s="531">
        <f>D16+50+50</f>
        <v>450</v>
      </c>
      <c r="E74" s="531">
        <f>E16+100+150</f>
        <v>650</v>
      </c>
      <c r="F74" s="531">
        <f>F16+100+150</f>
        <v>650</v>
      </c>
      <c r="G74" s="12" t="s">
        <v>233</v>
      </c>
      <c r="H74" s="385" t="s">
        <v>659</v>
      </c>
      <c r="I74" s="386" t="s">
        <v>23</v>
      </c>
      <c r="J74" s="38"/>
      <c r="K74" s="398" t="s">
        <v>728</v>
      </c>
      <c r="L74" s="379" t="s">
        <v>1245</v>
      </c>
      <c r="M74" s="399">
        <v>43082</v>
      </c>
      <c r="N74" s="399">
        <v>43086</v>
      </c>
      <c r="O74" s="393" t="s">
        <v>601</v>
      </c>
      <c r="P74" s="750"/>
      <c r="Q74" s="167"/>
      <c r="R74" s="397" t="s">
        <v>247</v>
      </c>
      <c r="S74" s="316"/>
      <c r="T74" s="603"/>
    </row>
    <row r="75" spans="1:20" s="377" customFormat="1" ht="20.100000000000001" customHeight="1">
      <c r="A75" s="1138" t="s">
        <v>2950</v>
      </c>
      <c r="B75" s="1191" t="s">
        <v>396</v>
      </c>
      <c r="C75" s="1191" t="s">
        <v>317</v>
      </c>
      <c r="D75" s="32">
        <f>D17+100</f>
        <v>450</v>
      </c>
      <c r="E75" s="32">
        <f>E17+200</f>
        <v>650</v>
      </c>
      <c r="F75" s="32">
        <f>F17+200</f>
        <v>650</v>
      </c>
      <c r="G75" s="222" t="s">
        <v>51</v>
      </c>
      <c r="H75" s="401" t="s">
        <v>725</v>
      </c>
      <c r="I75" s="386" t="s">
        <v>107</v>
      </c>
      <c r="J75" s="38"/>
      <c r="K75" s="398" t="s">
        <v>728</v>
      </c>
      <c r="L75" s="379" t="s">
        <v>636</v>
      </c>
      <c r="M75" s="381">
        <v>43084</v>
      </c>
      <c r="N75" s="381">
        <v>43090</v>
      </c>
      <c r="O75" s="410"/>
      <c r="P75" s="60"/>
      <c r="Q75" s="7"/>
      <c r="R75" s="384" t="s">
        <v>1735</v>
      </c>
      <c r="S75" s="316"/>
      <c r="T75" s="78"/>
    </row>
    <row r="76" spans="1:20" s="377" customFormat="1" ht="20.100000000000001" customHeight="1">
      <c r="A76" s="1138" t="s">
        <v>2950</v>
      </c>
      <c r="B76" s="1191" t="s">
        <v>396</v>
      </c>
      <c r="C76" s="1191" t="s">
        <v>317</v>
      </c>
      <c r="D76" s="11">
        <f>D18+75</f>
        <v>415</v>
      </c>
      <c r="E76" s="11">
        <f>E18+150+30</f>
        <v>610</v>
      </c>
      <c r="F76" s="11">
        <f>F18+150+30</f>
        <v>610</v>
      </c>
      <c r="G76" s="228" t="s">
        <v>19</v>
      </c>
      <c r="H76" s="401" t="s">
        <v>725</v>
      </c>
      <c r="I76" s="386" t="s">
        <v>107</v>
      </c>
      <c r="J76" s="38"/>
      <c r="K76" s="398">
        <v>24</v>
      </c>
      <c r="L76" s="379" t="s">
        <v>636</v>
      </c>
      <c r="M76" s="399">
        <v>43082</v>
      </c>
      <c r="N76" s="399">
        <v>43088</v>
      </c>
      <c r="O76" s="382" t="s">
        <v>611</v>
      </c>
      <c r="P76" s="683"/>
      <c r="Q76" s="7"/>
      <c r="R76" s="384" t="s">
        <v>191</v>
      </c>
      <c r="S76" s="316" t="s">
        <v>1176</v>
      </c>
      <c r="T76" s="78"/>
    </row>
    <row r="77" spans="1:20" s="377" customFormat="1" ht="20.100000000000001" customHeight="1">
      <c r="A77" s="1138" t="s">
        <v>2950</v>
      </c>
      <c r="B77" s="1191" t="s">
        <v>396</v>
      </c>
      <c r="C77" s="1191" t="s">
        <v>317</v>
      </c>
      <c r="D77" s="529"/>
      <c r="E77" s="529"/>
      <c r="F77" s="529"/>
      <c r="G77" s="222" t="s">
        <v>22</v>
      </c>
      <c r="H77" s="401" t="s">
        <v>1665</v>
      </c>
      <c r="I77" s="386" t="s">
        <v>107</v>
      </c>
      <c r="J77" s="38"/>
      <c r="K77" s="398">
        <v>24</v>
      </c>
      <c r="L77" s="379" t="s">
        <v>636</v>
      </c>
      <c r="M77" s="392">
        <v>43062</v>
      </c>
      <c r="N77" s="392">
        <v>43086</v>
      </c>
      <c r="O77" s="393"/>
      <c r="P77" s="61"/>
      <c r="Q77" s="14" t="s">
        <v>2521</v>
      </c>
      <c r="R77" s="397" t="s">
        <v>191</v>
      </c>
      <c r="S77" s="316" t="s">
        <v>1176</v>
      </c>
      <c r="T77" s="78"/>
    </row>
    <row r="78" spans="1:20" s="377" customFormat="1" ht="20.100000000000001" customHeight="1">
      <c r="A78" s="1138" t="s">
        <v>2950</v>
      </c>
      <c r="B78" s="1191" t="s">
        <v>396</v>
      </c>
      <c r="C78" s="1191" t="s">
        <v>317</v>
      </c>
      <c r="D78" s="800" t="s">
        <v>4076</v>
      </c>
      <c r="E78" s="800">
        <v>600</v>
      </c>
      <c r="F78" s="800">
        <v>600</v>
      </c>
      <c r="G78" s="63" t="s">
        <v>29</v>
      </c>
      <c r="H78" s="401" t="s">
        <v>1665</v>
      </c>
      <c r="I78" s="386" t="s">
        <v>107</v>
      </c>
      <c r="J78" s="38"/>
      <c r="K78" s="398">
        <v>21</v>
      </c>
      <c r="L78" s="379" t="s">
        <v>636</v>
      </c>
      <c r="M78" s="404">
        <v>43083</v>
      </c>
      <c r="N78" s="404">
        <v>43086</v>
      </c>
      <c r="O78" s="388"/>
      <c r="P78" s="61"/>
      <c r="Q78" s="7"/>
      <c r="R78" s="397" t="s">
        <v>191</v>
      </c>
      <c r="S78" s="316" t="s">
        <v>2898</v>
      </c>
      <c r="T78" s="603"/>
    </row>
    <row r="79" spans="1:20" s="377" customFormat="1" ht="20.100000000000001" customHeight="1">
      <c r="A79" s="1138" t="s">
        <v>2950</v>
      </c>
      <c r="B79" s="1191" t="s">
        <v>396</v>
      </c>
      <c r="C79" s="1191" t="s">
        <v>317</v>
      </c>
      <c r="D79" s="531">
        <f>D23+100</f>
        <v>450</v>
      </c>
      <c r="E79" s="531">
        <f>E23+200</f>
        <v>650</v>
      </c>
      <c r="F79" s="531">
        <f>F23+200</f>
        <v>650</v>
      </c>
      <c r="G79" s="222" t="s">
        <v>51</v>
      </c>
      <c r="H79" s="401" t="s">
        <v>681</v>
      </c>
      <c r="I79" s="386" t="s">
        <v>107</v>
      </c>
      <c r="J79" s="38"/>
      <c r="K79" s="398" t="s">
        <v>680</v>
      </c>
      <c r="L79" s="379" t="s">
        <v>639</v>
      </c>
      <c r="M79" s="381">
        <v>43084</v>
      </c>
      <c r="N79" s="381">
        <v>43090</v>
      </c>
      <c r="O79" s="393"/>
      <c r="P79" s="750"/>
      <c r="Q79" s="52" t="s">
        <v>4072</v>
      </c>
      <c r="R79" s="397" t="s">
        <v>1732</v>
      </c>
      <c r="S79" s="316"/>
      <c r="T79" s="603"/>
    </row>
    <row r="80" spans="1:20" ht="20.100000000000001" customHeight="1">
      <c r="A80" s="1138" t="s">
        <v>2950</v>
      </c>
      <c r="B80" s="1191" t="s">
        <v>396</v>
      </c>
      <c r="C80" s="1191" t="s">
        <v>317</v>
      </c>
      <c r="D80" s="11">
        <f>D24+350</f>
        <v>725</v>
      </c>
      <c r="E80" s="11">
        <f>E24+450</f>
        <v>950</v>
      </c>
      <c r="F80" s="11">
        <f>F24+450</f>
        <v>950</v>
      </c>
      <c r="G80" s="678" t="s">
        <v>5</v>
      </c>
      <c r="H80" s="676">
        <v>5</v>
      </c>
      <c r="I80" s="38" t="s">
        <v>107</v>
      </c>
      <c r="J80" s="38"/>
      <c r="K80" s="37" t="s">
        <v>680</v>
      </c>
      <c r="L80" s="51" t="s">
        <v>639</v>
      </c>
      <c r="M80" s="6">
        <v>43066</v>
      </c>
      <c r="N80" s="6">
        <v>43080</v>
      </c>
      <c r="O80" s="675" t="s">
        <v>769</v>
      </c>
      <c r="P80" s="677"/>
      <c r="Q80" s="52" t="s">
        <v>4072</v>
      </c>
      <c r="R80" s="49" t="s">
        <v>763</v>
      </c>
      <c r="S80" s="315" t="s">
        <v>2893</v>
      </c>
      <c r="T80" s="78"/>
    </row>
    <row r="81" spans="1:20" s="377" customFormat="1" ht="20.100000000000001" customHeight="1">
      <c r="A81" s="1138" t="s">
        <v>2950</v>
      </c>
      <c r="B81" s="1191" t="s">
        <v>396</v>
      </c>
      <c r="C81" s="1191" t="s">
        <v>317</v>
      </c>
      <c r="D81" s="11">
        <f>D25+160</f>
        <v>510</v>
      </c>
      <c r="E81" s="11">
        <f>E25+270</f>
        <v>670</v>
      </c>
      <c r="F81" s="11">
        <f>F25+270</f>
        <v>670</v>
      </c>
      <c r="G81" s="678" t="s">
        <v>37</v>
      </c>
      <c r="H81" s="401">
        <v>5</v>
      </c>
      <c r="I81" s="386" t="s">
        <v>107</v>
      </c>
      <c r="J81" s="38"/>
      <c r="K81" s="398" t="s">
        <v>680</v>
      </c>
      <c r="L81" s="379" t="s">
        <v>639</v>
      </c>
      <c r="M81" s="392">
        <v>43084</v>
      </c>
      <c r="N81" s="392">
        <v>43087</v>
      </c>
      <c r="O81" s="387"/>
      <c r="P81" s="677"/>
      <c r="Q81" s="52" t="s">
        <v>4072</v>
      </c>
      <c r="R81" s="397" t="s">
        <v>815</v>
      </c>
      <c r="S81" s="327" t="s">
        <v>2896</v>
      </c>
      <c r="T81" s="78"/>
    </row>
    <row r="82" spans="1:20" s="377" customFormat="1" ht="20.100000000000001" customHeight="1">
      <c r="A82" s="1138" t="s">
        <v>2950</v>
      </c>
      <c r="B82" s="1191" t="s">
        <v>396</v>
      </c>
      <c r="C82" s="1191" t="s">
        <v>317</v>
      </c>
      <c r="D82" s="11">
        <f>D26+50+25</f>
        <v>375</v>
      </c>
      <c r="E82" s="11">
        <f>E26+100+50</f>
        <v>550</v>
      </c>
      <c r="F82" s="11">
        <f>F26+100+50</f>
        <v>550</v>
      </c>
      <c r="G82" s="678" t="s">
        <v>232</v>
      </c>
      <c r="H82" s="401" t="s">
        <v>681</v>
      </c>
      <c r="I82" s="386" t="s">
        <v>107</v>
      </c>
      <c r="J82" s="38"/>
      <c r="K82" s="386" t="s">
        <v>680</v>
      </c>
      <c r="L82" s="386" t="s">
        <v>641</v>
      </c>
      <c r="M82" s="399">
        <v>43082</v>
      </c>
      <c r="N82" s="399">
        <v>43086</v>
      </c>
      <c r="O82" s="393" t="s">
        <v>601</v>
      </c>
      <c r="P82" s="677"/>
      <c r="Q82" s="52"/>
      <c r="R82" s="397" t="s">
        <v>2004</v>
      </c>
      <c r="S82" s="336"/>
      <c r="T82" s="78"/>
    </row>
    <row r="83" spans="1:20" s="377" customFormat="1" ht="20.100000000000001" customHeight="1">
      <c r="A83" s="1138" t="s">
        <v>2950</v>
      </c>
      <c r="B83" s="1191" t="s">
        <v>396</v>
      </c>
      <c r="C83" s="1191" t="s">
        <v>317</v>
      </c>
      <c r="D83" s="11">
        <f>D27+75</f>
        <v>415</v>
      </c>
      <c r="E83" s="11">
        <f>E27+150+30</f>
        <v>610</v>
      </c>
      <c r="F83" s="11">
        <f>F27+150+30</f>
        <v>610</v>
      </c>
      <c r="G83" s="228" t="s">
        <v>19</v>
      </c>
      <c r="H83" s="401" t="s">
        <v>1780</v>
      </c>
      <c r="I83" s="386" t="s">
        <v>107</v>
      </c>
      <c r="J83" s="38"/>
      <c r="K83" s="386" t="s">
        <v>1784</v>
      </c>
      <c r="L83" s="386" t="s">
        <v>641</v>
      </c>
      <c r="M83" s="399">
        <v>43082</v>
      </c>
      <c r="N83" s="399">
        <v>43088</v>
      </c>
      <c r="O83" s="382" t="s">
        <v>611</v>
      </c>
      <c r="P83" s="677"/>
      <c r="Q83" s="7"/>
      <c r="R83" s="397" t="s">
        <v>1789</v>
      </c>
      <c r="S83" s="316" t="s">
        <v>1176</v>
      </c>
      <c r="T83" s="78"/>
    </row>
    <row r="84" spans="1:20" s="377" customFormat="1" ht="20.100000000000001" customHeight="1">
      <c r="A84" s="1138" t="s">
        <v>2950</v>
      </c>
      <c r="B84" s="1191" t="s">
        <v>396</v>
      </c>
      <c r="C84" s="1191" t="s">
        <v>317</v>
      </c>
      <c r="D84" s="532">
        <f>D29+100</f>
        <v>450</v>
      </c>
      <c r="E84" s="532">
        <f>E29+200</f>
        <v>600</v>
      </c>
      <c r="F84" s="532">
        <f>F29+200</f>
        <v>600</v>
      </c>
      <c r="G84" s="705" t="s">
        <v>6</v>
      </c>
      <c r="H84" s="401" t="s">
        <v>721</v>
      </c>
      <c r="I84" s="386" t="s">
        <v>107</v>
      </c>
      <c r="J84" s="38"/>
      <c r="K84" s="386" t="s">
        <v>727</v>
      </c>
      <c r="L84" s="379" t="s">
        <v>636</v>
      </c>
      <c r="M84" s="391">
        <v>43084</v>
      </c>
      <c r="N84" s="391">
        <v>43087</v>
      </c>
      <c r="O84" s="395"/>
      <c r="P84" s="677"/>
      <c r="Q84" s="52"/>
      <c r="R84" s="389" t="s">
        <v>335</v>
      </c>
      <c r="S84" s="315" t="s">
        <v>2895</v>
      </c>
      <c r="T84" s="632"/>
    </row>
    <row r="85" spans="1:20" s="377" customFormat="1" ht="20.100000000000001" customHeight="1">
      <c r="A85" s="1138" t="s">
        <v>2950</v>
      </c>
      <c r="B85" s="1191" t="s">
        <v>396</v>
      </c>
      <c r="C85" s="1191" t="s">
        <v>317</v>
      </c>
      <c r="D85" s="851">
        <f>D30+100</f>
        <v>450</v>
      </c>
      <c r="E85" s="851">
        <f>E30+200</f>
        <v>650</v>
      </c>
      <c r="F85" s="851">
        <f>F30+200</f>
        <v>650</v>
      </c>
      <c r="G85" s="222" t="s">
        <v>51</v>
      </c>
      <c r="H85" s="401" t="s">
        <v>721</v>
      </c>
      <c r="I85" s="386" t="s">
        <v>107</v>
      </c>
      <c r="J85" s="38"/>
      <c r="K85" s="386" t="s">
        <v>727</v>
      </c>
      <c r="L85" s="379" t="s">
        <v>636</v>
      </c>
      <c r="M85" s="381">
        <v>43084</v>
      </c>
      <c r="N85" s="381">
        <v>43090</v>
      </c>
      <c r="O85" s="395"/>
      <c r="P85" s="677"/>
      <c r="Q85" s="52"/>
      <c r="R85" s="389" t="s">
        <v>167</v>
      </c>
      <c r="S85" s="316"/>
      <c r="T85" s="716"/>
    </row>
    <row r="86" spans="1:20" s="377" customFormat="1" ht="20.100000000000001" customHeight="1">
      <c r="A86" s="1138" t="s">
        <v>2950</v>
      </c>
      <c r="B86" s="1191" t="s">
        <v>396</v>
      </c>
      <c r="C86" s="1191" t="s">
        <v>317</v>
      </c>
      <c r="D86" s="532">
        <f>D33+160</f>
        <v>510</v>
      </c>
      <c r="E86" s="532">
        <f>E33+270</f>
        <v>670</v>
      </c>
      <c r="F86" s="532">
        <f>F33+270</f>
        <v>670</v>
      </c>
      <c r="G86" s="705" t="s">
        <v>37</v>
      </c>
      <c r="H86" s="401" t="s">
        <v>721</v>
      </c>
      <c r="I86" s="386" t="s">
        <v>107</v>
      </c>
      <c r="J86" s="38"/>
      <c r="K86" s="386" t="s">
        <v>727</v>
      </c>
      <c r="L86" s="379" t="s">
        <v>636</v>
      </c>
      <c r="M86" s="392">
        <v>43084</v>
      </c>
      <c r="N86" s="392">
        <v>43087</v>
      </c>
      <c r="O86" s="410"/>
      <c r="P86" s="60"/>
      <c r="Q86" s="52"/>
      <c r="R86" s="397" t="s">
        <v>1777</v>
      </c>
      <c r="S86" s="327" t="s">
        <v>2896</v>
      </c>
      <c r="T86" s="78"/>
    </row>
    <row r="87" spans="1:20" s="377" customFormat="1" ht="20.100000000000001" customHeight="1">
      <c r="A87" s="1138" t="s">
        <v>2950</v>
      </c>
      <c r="B87" s="1191" t="s">
        <v>396</v>
      </c>
      <c r="C87" s="1191" t="s">
        <v>317</v>
      </c>
      <c r="D87" s="793">
        <f>D34+300</f>
        <v>675</v>
      </c>
      <c r="E87" s="793">
        <f>E34+425</f>
        <v>900</v>
      </c>
      <c r="F87" s="793">
        <f>F34+425</f>
        <v>900</v>
      </c>
      <c r="G87" s="705" t="s">
        <v>210</v>
      </c>
      <c r="H87" s="401" t="s">
        <v>721</v>
      </c>
      <c r="I87" s="386" t="s">
        <v>107</v>
      </c>
      <c r="J87" s="38"/>
      <c r="K87" s="386" t="s">
        <v>727</v>
      </c>
      <c r="L87" s="379" t="s">
        <v>636</v>
      </c>
      <c r="M87" s="404">
        <v>43085</v>
      </c>
      <c r="N87" s="404">
        <v>43086</v>
      </c>
      <c r="O87" s="393" t="s">
        <v>601</v>
      </c>
      <c r="P87" s="61"/>
      <c r="Q87" s="52"/>
      <c r="R87" s="397" t="s">
        <v>1854</v>
      </c>
      <c r="S87" s="316" t="s">
        <v>2897</v>
      </c>
      <c r="T87" s="78"/>
    </row>
    <row r="88" spans="1:20" s="377" customFormat="1" ht="20.100000000000001" customHeight="1">
      <c r="A88" s="1138" t="s">
        <v>2950</v>
      </c>
      <c r="B88" s="1191" t="s">
        <v>396</v>
      </c>
      <c r="C88" s="1207" t="s">
        <v>317</v>
      </c>
      <c r="D88" s="800" t="s">
        <v>4083</v>
      </c>
      <c r="E88" s="800" t="s">
        <v>4511</v>
      </c>
      <c r="F88" s="800" t="s">
        <v>4511</v>
      </c>
      <c r="G88" s="812" t="s">
        <v>29</v>
      </c>
      <c r="H88" s="401" t="s">
        <v>721</v>
      </c>
      <c r="I88" s="386" t="s">
        <v>107</v>
      </c>
      <c r="J88" s="38"/>
      <c r="K88" s="386" t="s">
        <v>727</v>
      </c>
      <c r="L88" s="379" t="s">
        <v>636</v>
      </c>
      <c r="M88" s="404">
        <v>43085</v>
      </c>
      <c r="N88" s="404">
        <v>43086</v>
      </c>
      <c r="O88" s="410"/>
      <c r="P88" s="60"/>
      <c r="Q88" s="52"/>
      <c r="R88" s="397" t="s">
        <v>167</v>
      </c>
      <c r="S88" s="316" t="s">
        <v>2898</v>
      </c>
      <c r="T88" s="78"/>
    </row>
    <row r="89" spans="1:20" s="377" customFormat="1" ht="20.100000000000001" customHeight="1">
      <c r="A89" s="1138" t="s">
        <v>2950</v>
      </c>
      <c r="B89" s="1191" t="s">
        <v>396</v>
      </c>
      <c r="C89" s="1191" t="s">
        <v>317</v>
      </c>
      <c r="D89" s="845">
        <f>D36+100</f>
        <v>450</v>
      </c>
      <c r="E89" s="845">
        <f>E36+200</f>
        <v>600</v>
      </c>
      <c r="F89" s="845">
        <f>F36+200</f>
        <v>600</v>
      </c>
      <c r="G89" s="705" t="s">
        <v>6</v>
      </c>
      <c r="H89" s="412" t="s">
        <v>721</v>
      </c>
      <c r="I89" s="379" t="s">
        <v>107</v>
      </c>
      <c r="J89" s="51"/>
      <c r="K89" s="379" t="s">
        <v>660</v>
      </c>
      <c r="L89" s="379" t="s">
        <v>639</v>
      </c>
      <c r="M89" s="391">
        <v>43084</v>
      </c>
      <c r="N89" s="391">
        <v>43087</v>
      </c>
      <c r="O89" s="410"/>
      <c r="P89" s="60"/>
      <c r="Q89" s="52"/>
      <c r="R89" s="397" t="s">
        <v>1694</v>
      </c>
      <c r="S89" s="315" t="s">
        <v>2895</v>
      </c>
      <c r="T89" s="78"/>
    </row>
    <row r="90" spans="1:20" s="377" customFormat="1" ht="20.100000000000001" customHeight="1">
      <c r="A90" s="1138" t="s">
        <v>2950</v>
      </c>
      <c r="B90" s="1191" t="s">
        <v>396</v>
      </c>
      <c r="C90" s="1191" t="s">
        <v>317</v>
      </c>
      <c r="D90" s="13">
        <f>+D37+100</f>
        <v>450</v>
      </c>
      <c r="E90" s="13">
        <f>+E37+200</f>
        <v>650</v>
      </c>
      <c r="F90" s="13">
        <f>+F37+200</f>
        <v>650</v>
      </c>
      <c r="G90" s="222" t="s">
        <v>51</v>
      </c>
      <c r="H90" s="385" t="s">
        <v>721</v>
      </c>
      <c r="I90" s="379" t="s">
        <v>107</v>
      </c>
      <c r="J90" s="51"/>
      <c r="K90" s="379" t="s">
        <v>660</v>
      </c>
      <c r="L90" s="379" t="s">
        <v>639</v>
      </c>
      <c r="M90" s="381">
        <v>43084</v>
      </c>
      <c r="N90" s="381">
        <v>43090</v>
      </c>
      <c r="O90" s="407"/>
      <c r="P90" s="677"/>
      <c r="Q90" s="52"/>
      <c r="R90" s="397" t="s">
        <v>1730</v>
      </c>
      <c r="S90" s="316"/>
      <c r="T90" s="78"/>
    </row>
    <row r="91" spans="1:20" ht="20.100000000000001" customHeight="1">
      <c r="A91" s="1138" t="s">
        <v>2950</v>
      </c>
      <c r="B91" s="1191" t="s">
        <v>396</v>
      </c>
      <c r="C91" s="1191" t="s">
        <v>317</v>
      </c>
      <c r="D91" s="13">
        <f>D38+350</f>
        <v>725</v>
      </c>
      <c r="E91" s="13">
        <f>E38+450</f>
        <v>950</v>
      </c>
      <c r="F91" s="13">
        <f>F38+450</f>
        <v>950</v>
      </c>
      <c r="G91" s="678" t="s">
        <v>5</v>
      </c>
      <c r="H91" s="674" t="s">
        <v>721</v>
      </c>
      <c r="I91" s="51" t="s">
        <v>107</v>
      </c>
      <c r="J91" s="51"/>
      <c r="K91" s="51" t="s">
        <v>660</v>
      </c>
      <c r="L91" s="51" t="s">
        <v>639</v>
      </c>
      <c r="M91" s="6">
        <v>43066</v>
      </c>
      <c r="N91" s="6">
        <v>43080</v>
      </c>
      <c r="O91" s="675" t="s">
        <v>600</v>
      </c>
      <c r="P91" s="14"/>
      <c r="Q91" s="52"/>
      <c r="R91" s="49" t="s">
        <v>762</v>
      </c>
      <c r="S91" s="315" t="s">
        <v>2893</v>
      </c>
      <c r="T91" s="78"/>
    </row>
    <row r="92" spans="1:20" s="377" customFormat="1" ht="20.100000000000001" customHeight="1">
      <c r="A92" s="1138" t="s">
        <v>2950</v>
      </c>
      <c r="B92" s="1191" t="s">
        <v>396</v>
      </c>
      <c r="C92" s="1191" t="s">
        <v>317</v>
      </c>
      <c r="D92" s="13">
        <f>D39+50+25</f>
        <v>375</v>
      </c>
      <c r="E92" s="13">
        <f>E39+100+50</f>
        <v>550</v>
      </c>
      <c r="F92" s="13">
        <f>F39+100+50</f>
        <v>550</v>
      </c>
      <c r="G92" s="678" t="s">
        <v>232</v>
      </c>
      <c r="H92" s="385" t="s">
        <v>721</v>
      </c>
      <c r="I92" s="379" t="s">
        <v>107</v>
      </c>
      <c r="J92" s="51"/>
      <c r="K92" s="379" t="s">
        <v>660</v>
      </c>
      <c r="L92" s="379" t="s">
        <v>639</v>
      </c>
      <c r="M92" s="399">
        <v>43082</v>
      </c>
      <c r="N92" s="399">
        <v>43086</v>
      </c>
      <c r="O92" s="393" t="s">
        <v>601</v>
      </c>
      <c r="P92" s="14"/>
      <c r="Q92" s="52"/>
      <c r="R92" s="397" t="s">
        <v>1843</v>
      </c>
      <c r="S92" s="316"/>
      <c r="T92" s="78"/>
    </row>
    <row r="93" spans="1:20" s="377" customFormat="1" ht="20.100000000000001" customHeight="1">
      <c r="A93" s="1138" t="s">
        <v>2950</v>
      </c>
      <c r="B93" s="1191" t="s">
        <v>396</v>
      </c>
      <c r="C93" s="1191" t="s">
        <v>317</v>
      </c>
      <c r="D93" s="529">
        <f>D40+160</f>
        <v>510</v>
      </c>
      <c r="E93" s="529">
        <f>E40+270</f>
        <v>670</v>
      </c>
      <c r="F93" s="529">
        <f>F40+270</f>
        <v>670</v>
      </c>
      <c r="G93" s="705" t="s">
        <v>37</v>
      </c>
      <c r="H93" s="385" t="s">
        <v>721</v>
      </c>
      <c r="I93" s="379" t="s">
        <v>107</v>
      </c>
      <c r="J93" s="51"/>
      <c r="K93" s="379" t="s">
        <v>660</v>
      </c>
      <c r="L93" s="379" t="s">
        <v>636</v>
      </c>
      <c r="M93" s="392">
        <v>43084</v>
      </c>
      <c r="N93" s="392">
        <v>43087</v>
      </c>
      <c r="O93" s="410"/>
      <c r="P93" s="60"/>
      <c r="Q93" s="52"/>
      <c r="R93" s="397" t="s">
        <v>1778</v>
      </c>
      <c r="S93" s="327" t="s">
        <v>2896</v>
      </c>
      <c r="T93" s="78"/>
    </row>
    <row r="94" spans="1:20" s="377" customFormat="1" ht="20.100000000000001" customHeight="1">
      <c r="A94" s="1138" t="s">
        <v>2950</v>
      </c>
      <c r="B94" s="1191" t="s">
        <v>396</v>
      </c>
      <c r="C94" s="1191" t="s">
        <v>317</v>
      </c>
      <c r="D94" s="11">
        <f>D41+75</f>
        <v>365</v>
      </c>
      <c r="E94" s="11">
        <f>E41+150+30</f>
        <v>510</v>
      </c>
      <c r="F94" s="11">
        <f>F41+150+30</f>
        <v>510</v>
      </c>
      <c r="G94" s="228" t="s">
        <v>19</v>
      </c>
      <c r="H94" s="401" t="s">
        <v>1773</v>
      </c>
      <c r="I94" s="386" t="s">
        <v>107</v>
      </c>
      <c r="J94" s="38"/>
      <c r="K94" s="386" t="s">
        <v>752</v>
      </c>
      <c r="L94" s="386" t="s">
        <v>643</v>
      </c>
      <c r="M94" s="399">
        <v>43082</v>
      </c>
      <c r="N94" s="399">
        <v>43088</v>
      </c>
      <c r="O94" s="382" t="s">
        <v>611</v>
      </c>
      <c r="P94" s="677"/>
      <c r="Q94" s="7"/>
      <c r="R94" s="397" t="s">
        <v>1783</v>
      </c>
      <c r="S94" s="316" t="s">
        <v>1176</v>
      </c>
      <c r="T94" s="78"/>
    </row>
    <row r="95" spans="1:20" s="377" customFormat="1" ht="20.100000000000001" customHeight="1">
      <c r="A95" s="1138" t="s">
        <v>2950</v>
      </c>
      <c r="B95" s="1191" t="s">
        <v>396</v>
      </c>
      <c r="C95" s="1191" t="s">
        <v>317</v>
      </c>
      <c r="D95" s="529"/>
      <c r="E95" s="529"/>
      <c r="F95" s="529"/>
      <c r="G95" s="222" t="s">
        <v>22</v>
      </c>
      <c r="H95" s="401" t="s">
        <v>706</v>
      </c>
      <c r="I95" s="386" t="s">
        <v>107</v>
      </c>
      <c r="J95" s="38"/>
      <c r="K95" s="386" t="s">
        <v>752</v>
      </c>
      <c r="L95" s="386" t="s">
        <v>643</v>
      </c>
      <c r="M95" s="392">
        <v>43079</v>
      </c>
      <c r="N95" s="392">
        <v>43086</v>
      </c>
      <c r="O95" s="410"/>
      <c r="P95" s="60"/>
      <c r="Q95" s="14" t="s">
        <v>1024</v>
      </c>
      <c r="R95" s="397" t="s">
        <v>1783</v>
      </c>
      <c r="S95" s="316" t="s">
        <v>1176</v>
      </c>
      <c r="T95" s="78"/>
    </row>
    <row r="96" spans="1:20" ht="20.100000000000001" customHeight="1">
      <c r="A96" s="734" t="s">
        <v>2950</v>
      </c>
      <c r="B96" s="602" t="s">
        <v>396</v>
      </c>
      <c r="C96" s="602" t="s">
        <v>318</v>
      </c>
      <c r="D96" s="530">
        <f>D24+200</f>
        <v>575</v>
      </c>
      <c r="E96" s="530">
        <f>E24+350</f>
        <v>850</v>
      </c>
      <c r="F96" s="530">
        <f>F24+350</f>
        <v>850</v>
      </c>
      <c r="G96" s="678" t="s">
        <v>5</v>
      </c>
      <c r="H96" s="676">
        <v>5</v>
      </c>
      <c r="I96" s="38" t="s">
        <v>128</v>
      </c>
      <c r="J96" s="38"/>
      <c r="K96" s="38" t="s">
        <v>727</v>
      </c>
      <c r="L96" s="51" t="s">
        <v>639</v>
      </c>
      <c r="M96" s="6">
        <v>43066</v>
      </c>
      <c r="N96" s="6">
        <v>43080</v>
      </c>
      <c r="O96" s="675" t="s">
        <v>769</v>
      </c>
      <c r="P96" s="61"/>
      <c r="Q96" s="52" t="s">
        <v>4072</v>
      </c>
      <c r="R96" s="49" t="s">
        <v>763</v>
      </c>
      <c r="S96" s="315" t="s">
        <v>2893</v>
      </c>
      <c r="T96" s="78"/>
    </row>
    <row r="97" spans="1:20" s="377" customFormat="1" ht="20.100000000000001" customHeight="1">
      <c r="A97" s="1138" t="s">
        <v>2950</v>
      </c>
      <c r="B97" s="1191" t="s">
        <v>396</v>
      </c>
      <c r="C97" s="1142" t="s">
        <v>4282</v>
      </c>
      <c r="D97" s="11">
        <f>D4+75</f>
        <v>425</v>
      </c>
      <c r="E97" s="11">
        <f>E4+150</f>
        <v>600</v>
      </c>
      <c r="F97" s="11">
        <f>F4+150</f>
        <v>600</v>
      </c>
      <c r="G97" s="222" t="s">
        <v>51</v>
      </c>
      <c r="H97" s="378">
        <v>1</v>
      </c>
      <c r="I97" s="379" t="s">
        <v>107</v>
      </c>
      <c r="J97" s="51"/>
      <c r="K97" s="379">
        <v>24</v>
      </c>
      <c r="L97" s="379" t="s">
        <v>636</v>
      </c>
      <c r="M97" s="381">
        <v>43084</v>
      </c>
      <c r="N97" s="381">
        <v>43090</v>
      </c>
      <c r="O97" s="382"/>
      <c r="P97" s="105"/>
      <c r="Q97" s="52" t="s">
        <v>4094</v>
      </c>
      <c r="R97" s="384" t="s">
        <v>1734</v>
      </c>
      <c r="S97" s="316"/>
      <c r="T97" s="78"/>
    </row>
    <row r="98" spans="1:20" ht="20.100000000000001" customHeight="1">
      <c r="A98" s="1138" t="s">
        <v>2950</v>
      </c>
      <c r="B98" s="1191" t="s">
        <v>396</v>
      </c>
      <c r="C98" s="1210" t="s">
        <v>488</v>
      </c>
      <c r="D98" s="11">
        <f>D5+150</f>
        <v>525</v>
      </c>
      <c r="E98" s="11">
        <f>E5+250</f>
        <v>750</v>
      </c>
      <c r="F98" s="11">
        <f>F5+250</f>
        <v>750</v>
      </c>
      <c r="G98" s="678" t="s">
        <v>5</v>
      </c>
      <c r="H98" s="22">
        <v>1</v>
      </c>
      <c r="I98" s="51" t="s">
        <v>107</v>
      </c>
      <c r="J98" s="51"/>
      <c r="K98" s="51">
        <v>24</v>
      </c>
      <c r="L98" s="51" t="s">
        <v>636</v>
      </c>
      <c r="M98" s="6">
        <v>43066</v>
      </c>
      <c r="N98" s="6">
        <v>43080</v>
      </c>
      <c r="O98" s="675" t="s">
        <v>600</v>
      </c>
      <c r="P98" s="61"/>
      <c r="Q98" s="52" t="s">
        <v>4094</v>
      </c>
      <c r="R98" s="612" t="s">
        <v>1419</v>
      </c>
      <c r="S98" s="315" t="s">
        <v>2893</v>
      </c>
      <c r="T98" s="78"/>
    </row>
    <row r="99" spans="1:20" s="377" customFormat="1" ht="20.100000000000001" customHeight="1">
      <c r="A99" s="1138" t="s">
        <v>2950</v>
      </c>
      <c r="B99" s="1191" t="s">
        <v>396</v>
      </c>
      <c r="C99" s="1210" t="s">
        <v>488</v>
      </c>
      <c r="D99" s="11">
        <f>D7+75</f>
        <v>425</v>
      </c>
      <c r="E99" s="11">
        <f>E7+100</f>
        <v>500</v>
      </c>
      <c r="F99" s="11">
        <f>F7+100</f>
        <v>500</v>
      </c>
      <c r="G99" s="110" t="s">
        <v>37</v>
      </c>
      <c r="H99" s="378">
        <v>1</v>
      </c>
      <c r="I99" s="379" t="s">
        <v>107</v>
      </c>
      <c r="J99" s="51"/>
      <c r="K99" s="379">
        <v>24</v>
      </c>
      <c r="L99" s="379" t="s">
        <v>636</v>
      </c>
      <c r="M99" s="392">
        <v>43084</v>
      </c>
      <c r="N99" s="392">
        <v>43087</v>
      </c>
      <c r="O99" s="382"/>
      <c r="P99" s="105"/>
      <c r="Q99" s="52" t="s">
        <v>4094</v>
      </c>
      <c r="R99" s="384" t="s">
        <v>1719</v>
      </c>
      <c r="S99" s="327" t="s">
        <v>2896</v>
      </c>
      <c r="T99" s="78"/>
    </row>
    <row r="100" spans="1:20" s="377" customFormat="1" ht="20.100000000000001" customHeight="1">
      <c r="A100" s="1138" t="s">
        <v>2950</v>
      </c>
      <c r="B100" s="1191" t="s">
        <v>396</v>
      </c>
      <c r="C100" s="1210" t="s">
        <v>488</v>
      </c>
      <c r="D100" s="531">
        <f>D16+25+75</f>
        <v>450</v>
      </c>
      <c r="E100" s="531">
        <f>E16+50+200</f>
        <v>650</v>
      </c>
      <c r="F100" s="531">
        <f>F16+50+200</f>
        <v>650</v>
      </c>
      <c r="G100" s="12" t="s">
        <v>233</v>
      </c>
      <c r="H100" s="385" t="s">
        <v>659</v>
      </c>
      <c r="I100" s="386" t="s">
        <v>23</v>
      </c>
      <c r="J100" s="38"/>
      <c r="K100" s="398" t="s">
        <v>688</v>
      </c>
      <c r="L100" s="379" t="s">
        <v>1245</v>
      </c>
      <c r="M100" s="399">
        <v>43082</v>
      </c>
      <c r="N100" s="399">
        <v>43086</v>
      </c>
      <c r="O100" s="393" t="s">
        <v>601</v>
      </c>
      <c r="P100" s="750"/>
      <c r="Q100" s="167"/>
      <c r="R100" s="397" t="s">
        <v>247</v>
      </c>
      <c r="S100" s="316"/>
      <c r="T100" s="78"/>
    </row>
    <row r="101" spans="1:20" s="377" customFormat="1" ht="20.100000000000001" customHeight="1">
      <c r="A101" s="1138" t="s">
        <v>2950</v>
      </c>
      <c r="B101" s="1191" t="s">
        <v>396</v>
      </c>
      <c r="C101" s="1210" t="s">
        <v>488</v>
      </c>
      <c r="D101" s="531"/>
      <c r="E101" s="531"/>
      <c r="F101" s="531"/>
      <c r="G101" s="218" t="s">
        <v>52</v>
      </c>
      <c r="H101" s="385" t="s">
        <v>725</v>
      </c>
      <c r="I101" s="386" t="s">
        <v>107</v>
      </c>
      <c r="J101" s="38"/>
      <c r="K101" s="386" t="s">
        <v>663</v>
      </c>
      <c r="L101" s="379" t="s">
        <v>641</v>
      </c>
      <c r="M101" s="381">
        <v>43082</v>
      </c>
      <c r="N101" s="381">
        <v>43086</v>
      </c>
      <c r="O101" s="394" t="s">
        <v>1949</v>
      </c>
      <c r="P101" s="677"/>
      <c r="Q101" s="7"/>
      <c r="R101" s="397" t="s">
        <v>826</v>
      </c>
      <c r="S101" s="316"/>
      <c r="T101" s="78"/>
    </row>
    <row r="102" spans="1:20" s="377" customFormat="1" ht="20.100000000000001" customHeight="1">
      <c r="A102" s="1138" t="s">
        <v>2950</v>
      </c>
      <c r="B102" s="1191" t="s">
        <v>396</v>
      </c>
      <c r="C102" s="1210" t="s">
        <v>488</v>
      </c>
      <c r="D102" s="875">
        <f>D17+75</f>
        <v>425</v>
      </c>
      <c r="E102" s="875">
        <f>E17+150</f>
        <v>600</v>
      </c>
      <c r="F102" s="875">
        <f>F17+150</f>
        <v>600</v>
      </c>
      <c r="G102" s="222" t="s">
        <v>51</v>
      </c>
      <c r="H102" s="403" t="s">
        <v>725</v>
      </c>
      <c r="I102" s="386" t="s">
        <v>107</v>
      </c>
      <c r="J102" s="38"/>
      <c r="K102" s="398" t="s">
        <v>728</v>
      </c>
      <c r="L102" s="379" t="s">
        <v>636</v>
      </c>
      <c r="M102" s="381">
        <v>43084</v>
      </c>
      <c r="N102" s="381">
        <v>43090</v>
      </c>
      <c r="O102" s="382"/>
      <c r="P102" s="105"/>
      <c r="Q102" s="7"/>
      <c r="R102" s="384" t="s">
        <v>1735</v>
      </c>
      <c r="S102" s="316"/>
      <c r="T102" s="78"/>
    </row>
    <row r="103" spans="1:20" s="377" customFormat="1" ht="20.100000000000001" customHeight="1">
      <c r="A103" s="1138" t="s">
        <v>2950</v>
      </c>
      <c r="B103" s="1191" t="s">
        <v>396</v>
      </c>
      <c r="C103" s="1210" t="s">
        <v>488</v>
      </c>
      <c r="D103" s="32">
        <f>D18+75</f>
        <v>415</v>
      </c>
      <c r="E103" s="32">
        <f>E18+150</f>
        <v>580</v>
      </c>
      <c r="F103" s="32">
        <f>F18+150</f>
        <v>580</v>
      </c>
      <c r="G103" s="225" t="s">
        <v>19</v>
      </c>
      <c r="H103" s="401" t="s">
        <v>725</v>
      </c>
      <c r="I103" s="386" t="s">
        <v>107</v>
      </c>
      <c r="J103" s="38"/>
      <c r="K103" s="398" t="s">
        <v>728</v>
      </c>
      <c r="L103" s="379" t="s">
        <v>636</v>
      </c>
      <c r="M103" s="399">
        <v>43082</v>
      </c>
      <c r="N103" s="399">
        <v>43088</v>
      </c>
      <c r="O103" s="382" t="s">
        <v>611</v>
      </c>
      <c r="P103" s="105"/>
      <c r="Q103" s="7"/>
      <c r="R103" s="384" t="s">
        <v>191</v>
      </c>
      <c r="S103" s="316" t="s">
        <v>1176</v>
      </c>
      <c r="T103" s="78"/>
    </row>
    <row r="104" spans="1:20" s="377" customFormat="1" ht="20.100000000000001" customHeight="1">
      <c r="A104" s="1138" t="s">
        <v>2950</v>
      </c>
      <c r="B104" s="1191" t="s">
        <v>396</v>
      </c>
      <c r="C104" s="1210" t="s">
        <v>488</v>
      </c>
      <c r="D104" s="529"/>
      <c r="E104" s="529"/>
      <c r="F104" s="529"/>
      <c r="G104" s="222" t="s">
        <v>22</v>
      </c>
      <c r="H104" s="401" t="s">
        <v>1665</v>
      </c>
      <c r="I104" s="386" t="s">
        <v>107</v>
      </c>
      <c r="J104" s="38"/>
      <c r="K104" s="398">
        <v>24</v>
      </c>
      <c r="L104" s="379" t="s">
        <v>636</v>
      </c>
      <c r="M104" s="392">
        <v>43062</v>
      </c>
      <c r="N104" s="392">
        <v>43086</v>
      </c>
      <c r="O104" s="393"/>
      <c r="P104" s="61"/>
      <c r="Q104" s="14" t="s">
        <v>1024</v>
      </c>
      <c r="R104" s="397" t="s">
        <v>191</v>
      </c>
      <c r="S104" s="316" t="s">
        <v>1176</v>
      </c>
      <c r="T104" s="78"/>
    </row>
    <row r="105" spans="1:20" s="377" customFormat="1" ht="20.100000000000001" customHeight="1">
      <c r="A105" s="1138" t="s">
        <v>2950</v>
      </c>
      <c r="B105" s="1191" t="s">
        <v>396</v>
      </c>
      <c r="C105" s="1210" t="s">
        <v>488</v>
      </c>
      <c r="D105" s="800" t="s">
        <v>4076</v>
      </c>
      <c r="E105" s="800">
        <v>600</v>
      </c>
      <c r="F105" s="800">
        <v>600</v>
      </c>
      <c r="G105" s="63" t="s">
        <v>29</v>
      </c>
      <c r="H105" s="401" t="s">
        <v>1665</v>
      </c>
      <c r="I105" s="386" t="s">
        <v>107</v>
      </c>
      <c r="J105" s="38"/>
      <c r="K105" s="398">
        <v>21</v>
      </c>
      <c r="L105" s="379" t="s">
        <v>636</v>
      </c>
      <c r="M105" s="404">
        <v>43083</v>
      </c>
      <c r="N105" s="404">
        <v>43086</v>
      </c>
      <c r="O105" s="405"/>
      <c r="P105" s="751"/>
      <c r="Q105" s="7"/>
      <c r="R105" s="397" t="s">
        <v>191</v>
      </c>
      <c r="S105" s="316" t="s">
        <v>2898</v>
      </c>
      <c r="T105" s="78"/>
    </row>
    <row r="106" spans="1:20" s="377" customFormat="1" ht="20.100000000000001" customHeight="1">
      <c r="A106" s="1138" t="s">
        <v>2950</v>
      </c>
      <c r="B106" s="1191" t="s">
        <v>396</v>
      </c>
      <c r="C106" s="1210" t="s">
        <v>488</v>
      </c>
      <c r="D106" s="530">
        <f>D22+25+25</f>
        <v>400</v>
      </c>
      <c r="E106" s="530">
        <f>E22+50+50</f>
        <v>500</v>
      </c>
      <c r="F106" s="530">
        <f>F22+50+50</f>
        <v>500</v>
      </c>
      <c r="G106" s="705" t="s">
        <v>158</v>
      </c>
      <c r="H106" s="401" t="s">
        <v>681</v>
      </c>
      <c r="I106" s="386" t="s">
        <v>107</v>
      </c>
      <c r="J106" s="38"/>
      <c r="K106" s="398" t="s">
        <v>680</v>
      </c>
      <c r="L106" s="379" t="s">
        <v>639</v>
      </c>
      <c r="M106" s="391">
        <v>43084</v>
      </c>
      <c r="N106" s="391">
        <v>43087</v>
      </c>
      <c r="O106" s="393"/>
      <c r="P106" s="750"/>
      <c r="Q106" s="52" t="s">
        <v>4072</v>
      </c>
      <c r="R106" s="397" t="s">
        <v>1746</v>
      </c>
      <c r="S106" s="315" t="s">
        <v>2895</v>
      </c>
      <c r="T106" s="137"/>
    </row>
    <row r="107" spans="1:20" s="377" customFormat="1" ht="20.100000000000001" customHeight="1">
      <c r="A107" s="1138" t="s">
        <v>2950</v>
      </c>
      <c r="B107" s="1191" t="s">
        <v>396</v>
      </c>
      <c r="C107" s="1210" t="s">
        <v>488</v>
      </c>
      <c r="D107" s="531">
        <f>D23+75</f>
        <v>425</v>
      </c>
      <c r="E107" s="531">
        <f>E23+150</f>
        <v>600</v>
      </c>
      <c r="F107" s="531">
        <f>F23+150</f>
        <v>600</v>
      </c>
      <c r="G107" s="222" t="s">
        <v>51</v>
      </c>
      <c r="H107" s="403" t="s">
        <v>681</v>
      </c>
      <c r="I107" s="386" t="s">
        <v>128</v>
      </c>
      <c r="J107" s="38"/>
      <c r="K107" s="398" t="s">
        <v>680</v>
      </c>
      <c r="L107" s="379" t="s">
        <v>639</v>
      </c>
      <c r="M107" s="381">
        <v>43084</v>
      </c>
      <c r="N107" s="381">
        <v>43090</v>
      </c>
      <c r="O107" s="393"/>
      <c r="P107" s="750"/>
      <c r="Q107" s="52" t="s">
        <v>4072</v>
      </c>
      <c r="R107" s="397" t="s">
        <v>1732</v>
      </c>
      <c r="S107" s="316"/>
      <c r="T107" s="78"/>
    </row>
    <row r="108" spans="1:20" ht="20.100000000000001" customHeight="1">
      <c r="A108" s="1138" t="s">
        <v>2950</v>
      </c>
      <c r="B108" s="1191" t="s">
        <v>396</v>
      </c>
      <c r="C108" s="1210" t="s">
        <v>488</v>
      </c>
      <c r="D108" s="11">
        <f>D24+150</f>
        <v>525</v>
      </c>
      <c r="E108" s="11">
        <f>E24+250</f>
        <v>750</v>
      </c>
      <c r="F108" s="11">
        <f>F24+250</f>
        <v>750</v>
      </c>
      <c r="G108" s="678" t="s">
        <v>5</v>
      </c>
      <c r="H108" s="676">
        <v>5</v>
      </c>
      <c r="I108" s="38" t="s">
        <v>107</v>
      </c>
      <c r="J108" s="38"/>
      <c r="K108" s="38" t="s">
        <v>680</v>
      </c>
      <c r="L108" s="51" t="s">
        <v>639</v>
      </c>
      <c r="M108" s="6">
        <v>43066</v>
      </c>
      <c r="N108" s="6">
        <v>43080</v>
      </c>
      <c r="O108" s="675" t="s">
        <v>769</v>
      </c>
      <c r="P108" s="677"/>
      <c r="Q108" s="52" t="s">
        <v>4072</v>
      </c>
      <c r="R108" s="49" t="s">
        <v>763</v>
      </c>
      <c r="S108" s="315" t="s">
        <v>2893</v>
      </c>
      <c r="T108" s="78"/>
    </row>
    <row r="109" spans="1:20" s="377" customFormat="1" ht="20.100000000000001" customHeight="1">
      <c r="A109" s="1138" t="s">
        <v>2950</v>
      </c>
      <c r="B109" s="1191" t="s">
        <v>396</v>
      </c>
      <c r="C109" s="1210" t="s">
        <v>488</v>
      </c>
      <c r="D109" s="11">
        <f>D25+75</f>
        <v>425</v>
      </c>
      <c r="E109" s="11">
        <f>E25+100</f>
        <v>500</v>
      </c>
      <c r="F109" s="11">
        <f>F25+100</f>
        <v>500</v>
      </c>
      <c r="G109" s="678" t="s">
        <v>37</v>
      </c>
      <c r="H109" s="401">
        <v>5</v>
      </c>
      <c r="I109" s="386" t="s">
        <v>107</v>
      </c>
      <c r="J109" s="38"/>
      <c r="K109" s="386" t="s">
        <v>680</v>
      </c>
      <c r="L109" s="379" t="s">
        <v>639</v>
      </c>
      <c r="M109" s="392">
        <v>43084</v>
      </c>
      <c r="N109" s="392">
        <v>43087</v>
      </c>
      <c r="O109" s="387"/>
      <c r="P109" s="677"/>
      <c r="Q109" s="52" t="s">
        <v>4072</v>
      </c>
      <c r="R109" s="397" t="s">
        <v>815</v>
      </c>
      <c r="S109" s="327" t="s">
        <v>2896</v>
      </c>
      <c r="T109" s="78"/>
    </row>
    <row r="110" spans="1:20" s="377" customFormat="1" ht="20.100000000000001" customHeight="1">
      <c r="A110" s="1138" t="s">
        <v>2950</v>
      </c>
      <c r="B110" s="1191" t="s">
        <v>396</v>
      </c>
      <c r="C110" s="1210" t="s">
        <v>488</v>
      </c>
      <c r="D110" s="11">
        <f>D26+25+50</f>
        <v>375</v>
      </c>
      <c r="E110" s="11">
        <f>E26+50+100</f>
        <v>550</v>
      </c>
      <c r="F110" s="11">
        <f>F26+50+100</f>
        <v>550</v>
      </c>
      <c r="G110" s="678" t="s">
        <v>232</v>
      </c>
      <c r="H110" s="401" t="s">
        <v>681</v>
      </c>
      <c r="I110" s="386" t="s">
        <v>107</v>
      </c>
      <c r="J110" s="37"/>
      <c r="K110" s="398" t="s">
        <v>680</v>
      </c>
      <c r="L110" s="386" t="s">
        <v>641</v>
      </c>
      <c r="M110" s="399">
        <v>43082</v>
      </c>
      <c r="N110" s="399">
        <v>43086</v>
      </c>
      <c r="O110" s="393" t="s">
        <v>601</v>
      </c>
      <c r="P110" s="677"/>
      <c r="Q110" s="52"/>
      <c r="R110" s="397" t="s">
        <v>2004</v>
      </c>
      <c r="S110" s="336"/>
      <c r="T110" s="78"/>
    </row>
    <row r="111" spans="1:20" s="377" customFormat="1" ht="20.100000000000001" customHeight="1">
      <c r="A111" s="1138" t="s">
        <v>2950</v>
      </c>
      <c r="B111" s="1191" t="s">
        <v>396</v>
      </c>
      <c r="C111" s="1210" t="s">
        <v>2437</v>
      </c>
      <c r="D111" s="11">
        <f>D27+75</f>
        <v>415</v>
      </c>
      <c r="E111" s="11">
        <f>E27+150</f>
        <v>580</v>
      </c>
      <c r="F111" s="11">
        <f>F27+150</f>
        <v>580</v>
      </c>
      <c r="G111" s="225" t="s">
        <v>19</v>
      </c>
      <c r="H111" s="401" t="s">
        <v>1780</v>
      </c>
      <c r="I111" s="386" t="s">
        <v>107</v>
      </c>
      <c r="J111" s="37"/>
      <c r="K111" s="398" t="s">
        <v>1784</v>
      </c>
      <c r="L111" s="386" t="s">
        <v>641</v>
      </c>
      <c r="M111" s="399">
        <v>43082</v>
      </c>
      <c r="N111" s="399">
        <v>43088</v>
      </c>
      <c r="O111" s="382" t="s">
        <v>611</v>
      </c>
      <c r="P111" s="677"/>
      <c r="Q111" s="7"/>
      <c r="R111" s="397" t="s">
        <v>1789</v>
      </c>
      <c r="S111" s="316" t="s">
        <v>1176</v>
      </c>
      <c r="T111" s="78"/>
    </row>
    <row r="112" spans="1:20" s="377" customFormat="1" ht="20.100000000000001" customHeight="1">
      <c r="A112" s="1138" t="s">
        <v>2950</v>
      </c>
      <c r="B112" s="1191" t="s">
        <v>396</v>
      </c>
      <c r="C112" s="1210" t="s">
        <v>488</v>
      </c>
      <c r="D112" s="11">
        <f>D28+150</f>
        <v>500</v>
      </c>
      <c r="E112" s="11">
        <f>E28+300</f>
        <v>700</v>
      </c>
      <c r="F112" s="11">
        <f>F28+300</f>
        <v>700</v>
      </c>
      <c r="G112" s="705" t="s">
        <v>28</v>
      </c>
      <c r="H112" s="401" t="s">
        <v>681</v>
      </c>
      <c r="I112" s="386" t="s">
        <v>107</v>
      </c>
      <c r="J112" s="38" t="s">
        <v>447</v>
      </c>
      <c r="K112" s="398" t="s">
        <v>680</v>
      </c>
      <c r="L112" s="386" t="s">
        <v>641</v>
      </c>
      <c r="M112" s="392">
        <v>43077</v>
      </c>
      <c r="N112" s="392">
        <v>43086</v>
      </c>
      <c r="O112" s="382"/>
      <c r="P112" s="677"/>
      <c r="Q112" s="7"/>
      <c r="R112" s="397" t="s">
        <v>186</v>
      </c>
      <c r="S112" s="322" t="s">
        <v>1176</v>
      </c>
      <c r="T112" s="78"/>
    </row>
    <row r="113" spans="1:20" s="377" customFormat="1" ht="20.100000000000001" customHeight="1">
      <c r="A113" s="1138" t="s">
        <v>2950</v>
      </c>
      <c r="B113" s="1191" t="s">
        <v>396</v>
      </c>
      <c r="C113" s="1210" t="s">
        <v>2437</v>
      </c>
      <c r="D113" s="875">
        <f>D29+50</f>
        <v>400</v>
      </c>
      <c r="E113" s="875">
        <f>E29+100</f>
        <v>500</v>
      </c>
      <c r="F113" s="875">
        <f>F29+100</f>
        <v>500</v>
      </c>
      <c r="G113" s="110" t="s">
        <v>6</v>
      </c>
      <c r="H113" s="401" t="s">
        <v>721</v>
      </c>
      <c r="I113" s="386" t="s">
        <v>107</v>
      </c>
      <c r="J113" s="38"/>
      <c r="K113" s="386" t="s">
        <v>727</v>
      </c>
      <c r="L113" s="379" t="s">
        <v>636</v>
      </c>
      <c r="M113" s="391">
        <v>43084</v>
      </c>
      <c r="N113" s="391">
        <v>43087</v>
      </c>
      <c r="O113" s="382"/>
      <c r="P113" s="105"/>
      <c r="Q113" s="52"/>
      <c r="R113" s="389" t="s">
        <v>335</v>
      </c>
      <c r="S113" s="315" t="s">
        <v>2895</v>
      </c>
      <c r="T113" s="137"/>
    </row>
    <row r="114" spans="1:20" s="377" customFormat="1" ht="20.100000000000001" customHeight="1">
      <c r="A114" s="1138" t="s">
        <v>2950</v>
      </c>
      <c r="B114" s="1191" t="s">
        <v>396</v>
      </c>
      <c r="C114" s="1210" t="s">
        <v>488</v>
      </c>
      <c r="D114" s="851">
        <f>D30+75</f>
        <v>425</v>
      </c>
      <c r="E114" s="851">
        <f>E30+150</f>
        <v>600</v>
      </c>
      <c r="F114" s="851">
        <f>F30+150</f>
        <v>600</v>
      </c>
      <c r="G114" s="222" t="s">
        <v>51</v>
      </c>
      <c r="H114" s="403" t="s">
        <v>721</v>
      </c>
      <c r="I114" s="386" t="s">
        <v>107</v>
      </c>
      <c r="J114" s="38"/>
      <c r="K114" s="386" t="s">
        <v>727</v>
      </c>
      <c r="L114" s="379" t="s">
        <v>636</v>
      </c>
      <c r="M114" s="381">
        <v>43084</v>
      </c>
      <c r="N114" s="381">
        <v>43090</v>
      </c>
      <c r="O114" s="395"/>
      <c r="P114" s="677"/>
      <c r="Q114" s="52"/>
      <c r="R114" s="389" t="s">
        <v>167</v>
      </c>
      <c r="S114" s="316"/>
      <c r="T114" s="689"/>
    </row>
    <row r="115" spans="1:20" s="377" customFormat="1" ht="20.100000000000001" customHeight="1">
      <c r="A115" s="1138" t="s">
        <v>2950</v>
      </c>
      <c r="B115" s="1191" t="s">
        <v>396</v>
      </c>
      <c r="C115" s="1210" t="s">
        <v>488</v>
      </c>
      <c r="D115" s="875">
        <f>D33+75</f>
        <v>425</v>
      </c>
      <c r="E115" s="875">
        <f>E33+100</f>
        <v>500</v>
      </c>
      <c r="F115" s="875">
        <f>F33+100</f>
        <v>500</v>
      </c>
      <c r="G115" s="110" t="s">
        <v>102</v>
      </c>
      <c r="H115" s="401" t="s">
        <v>721</v>
      </c>
      <c r="I115" s="386" t="s">
        <v>107</v>
      </c>
      <c r="J115" s="38"/>
      <c r="K115" s="386" t="s">
        <v>727</v>
      </c>
      <c r="L115" s="379" t="s">
        <v>636</v>
      </c>
      <c r="M115" s="392">
        <v>43084</v>
      </c>
      <c r="N115" s="392">
        <v>43087</v>
      </c>
      <c r="O115" s="382"/>
      <c r="P115" s="105"/>
      <c r="Q115" s="52"/>
      <c r="R115" s="397" t="s">
        <v>1777</v>
      </c>
      <c r="S115" s="327" t="s">
        <v>2896</v>
      </c>
      <c r="T115" s="78"/>
    </row>
    <row r="116" spans="1:20" s="377" customFormat="1" ht="20.100000000000001" customHeight="1">
      <c r="A116" s="1138" t="s">
        <v>2950</v>
      </c>
      <c r="B116" s="1191" t="s">
        <v>396</v>
      </c>
      <c r="C116" s="1210" t="s">
        <v>488</v>
      </c>
      <c r="D116" s="881">
        <f>D34+100</f>
        <v>475</v>
      </c>
      <c r="E116" s="881">
        <f>E34+200</f>
        <v>675</v>
      </c>
      <c r="F116" s="881">
        <f>F34+200</f>
        <v>675</v>
      </c>
      <c r="G116" s="110" t="s">
        <v>61</v>
      </c>
      <c r="H116" s="401" t="s">
        <v>721</v>
      </c>
      <c r="I116" s="386" t="s">
        <v>107</v>
      </c>
      <c r="J116" s="38"/>
      <c r="K116" s="386" t="s">
        <v>727</v>
      </c>
      <c r="L116" s="379" t="s">
        <v>636</v>
      </c>
      <c r="M116" s="404">
        <v>43085</v>
      </c>
      <c r="N116" s="404">
        <v>43086</v>
      </c>
      <c r="O116" s="393" t="s">
        <v>601</v>
      </c>
      <c r="P116" s="61"/>
      <c r="Q116" s="52"/>
      <c r="R116" s="397" t="s">
        <v>1854</v>
      </c>
      <c r="S116" s="316" t="s">
        <v>2897</v>
      </c>
      <c r="T116" s="78"/>
    </row>
    <row r="117" spans="1:20" s="377" customFormat="1" ht="20.100000000000001" customHeight="1">
      <c r="A117" s="1138" t="s">
        <v>2950</v>
      </c>
      <c r="B117" s="1191" t="s">
        <v>396</v>
      </c>
      <c r="C117" s="1211" t="s">
        <v>488</v>
      </c>
      <c r="D117" s="800" t="s">
        <v>4083</v>
      </c>
      <c r="E117" s="800" t="s">
        <v>4511</v>
      </c>
      <c r="F117" s="800" t="s">
        <v>4511</v>
      </c>
      <c r="G117" s="812" t="s">
        <v>29</v>
      </c>
      <c r="H117" s="401" t="s">
        <v>721</v>
      </c>
      <c r="I117" s="386" t="s">
        <v>107</v>
      </c>
      <c r="J117" s="38"/>
      <c r="K117" s="386" t="s">
        <v>727</v>
      </c>
      <c r="L117" s="379" t="s">
        <v>636</v>
      </c>
      <c r="M117" s="404">
        <v>43085</v>
      </c>
      <c r="N117" s="404">
        <v>43086</v>
      </c>
      <c r="O117" s="382"/>
      <c r="P117" s="105"/>
      <c r="Q117" s="52"/>
      <c r="R117" s="397" t="s">
        <v>167</v>
      </c>
      <c r="S117" s="316" t="s">
        <v>2898</v>
      </c>
      <c r="T117" s="78"/>
    </row>
    <row r="118" spans="1:20" s="377" customFormat="1" ht="20.100000000000001" customHeight="1">
      <c r="A118" s="1138" t="s">
        <v>2950</v>
      </c>
      <c r="B118" s="1191" t="s">
        <v>396</v>
      </c>
      <c r="C118" s="1210" t="s">
        <v>488</v>
      </c>
      <c r="D118" s="816">
        <f>+D37+75</f>
        <v>425</v>
      </c>
      <c r="E118" s="816">
        <f>+E37+150</f>
        <v>600</v>
      </c>
      <c r="F118" s="816">
        <f>+F37+150</f>
        <v>600</v>
      </c>
      <c r="G118" s="222" t="s">
        <v>51</v>
      </c>
      <c r="H118" s="413" t="s">
        <v>721</v>
      </c>
      <c r="I118" s="379" t="s">
        <v>107</v>
      </c>
      <c r="J118" s="51"/>
      <c r="K118" s="379" t="s">
        <v>660</v>
      </c>
      <c r="L118" s="379" t="s">
        <v>639</v>
      </c>
      <c r="M118" s="381">
        <v>43084</v>
      </c>
      <c r="N118" s="381">
        <v>43090</v>
      </c>
      <c r="O118" s="407"/>
      <c r="P118" s="677"/>
      <c r="Q118" s="52"/>
      <c r="R118" s="397" t="s">
        <v>1730</v>
      </c>
      <c r="S118" s="316"/>
      <c r="T118" s="78"/>
    </row>
    <row r="119" spans="1:20" ht="20.100000000000001" customHeight="1">
      <c r="A119" s="1138" t="s">
        <v>2950</v>
      </c>
      <c r="B119" s="1191" t="s">
        <v>396</v>
      </c>
      <c r="C119" s="1210" t="s">
        <v>488</v>
      </c>
      <c r="D119" s="13">
        <f>D38+150</f>
        <v>525</v>
      </c>
      <c r="E119" s="13">
        <f>E38+250</f>
        <v>750</v>
      </c>
      <c r="F119" s="13">
        <f>F38+250</f>
        <v>750</v>
      </c>
      <c r="G119" s="678" t="s">
        <v>5</v>
      </c>
      <c r="H119" s="674" t="s">
        <v>721</v>
      </c>
      <c r="I119" s="51" t="s">
        <v>107</v>
      </c>
      <c r="J119" s="51"/>
      <c r="K119" s="51" t="s">
        <v>660</v>
      </c>
      <c r="L119" s="51" t="s">
        <v>639</v>
      </c>
      <c r="M119" s="6">
        <v>43066</v>
      </c>
      <c r="N119" s="6">
        <v>43080</v>
      </c>
      <c r="O119" s="675" t="s">
        <v>600</v>
      </c>
      <c r="P119" s="14"/>
      <c r="Q119" s="52"/>
      <c r="R119" s="49" t="s">
        <v>762</v>
      </c>
      <c r="S119" s="315" t="s">
        <v>2893</v>
      </c>
      <c r="T119" s="78"/>
    </row>
    <row r="120" spans="1:20" s="377" customFormat="1" ht="20.100000000000001" customHeight="1">
      <c r="A120" s="1138" t="s">
        <v>2950</v>
      </c>
      <c r="B120" s="1191" t="s">
        <v>396</v>
      </c>
      <c r="C120" s="1210" t="s">
        <v>488</v>
      </c>
      <c r="D120" s="13">
        <f>D39+25+50</f>
        <v>375</v>
      </c>
      <c r="E120" s="13">
        <f>E39+50+100</f>
        <v>550</v>
      </c>
      <c r="F120" s="13">
        <f>F39+50+100</f>
        <v>550</v>
      </c>
      <c r="G120" s="678" t="s">
        <v>232</v>
      </c>
      <c r="H120" s="385" t="s">
        <v>721</v>
      </c>
      <c r="I120" s="379" t="s">
        <v>107</v>
      </c>
      <c r="J120" s="51"/>
      <c r="K120" s="379" t="s">
        <v>660</v>
      </c>
      <c r="L120" s="379" t="s">
        <v>639</v>
      </c>
      <c r="M120" s="399">
        <v>43082</v>
      </c>
      <c r="N120" s="399">
        <v>43086</v>
      </c>
      <c r="O120" s="393" t="s">
        <v>601</v>
      </c>
      <c r="P120" s="14"/>
      <c r="Q120" s="52"/>
      <c r="R120" s="397" t="s">
        <v>1843</v>
      </c>
      <c r="S120" s="316"/>
      <c r="T120" s="78"/>
    </row>
    <row r="121" spans="1:20" s="377" customFormat="1" ht="20.100000000000001" customHeight="1">
      <c r="A121" s="1138" t="s">
        <v>2950</v>
      </c>
      <c r="B121" s="1191" t="s">
        <v>396</v>
      </c>
      <c r="C121" s="1210" t="s">
        <v>488</v>
      </c>
      <c r="D121" s="875">
        <f>D40+75</f>
        <v>425</v>
      </c>
      <c r="E121" s="875">
        <f>E40+100</f>
        <v>500</v>
      </c>
      <c r="F121" s="875">
        <f>F40+100</f>
        <v>500</v>
      </c>
      <c r="G121" s="110" t="s">
        <v>69</v>
      </c>
      <c r="H121" s="385" t="s">
        <v>721</v>
      </c>
      <c r="I121" s="379" t="s">
        <v>107</v>
      </c>
      <c r="J121" s="38" t="s">
        <v>447</v>
      </c>
      <c r="K121" s="379" t="s">
        <v>660</v>
      </c>
      <c r="L121" s="379" t="s">
        <v>636</v>
      </c>
      <c r="M121" s="392">
        <v>43084</v>
      </c>
      <c r="N121" s="392">
        <v>43087</v>
      </c>
      <c r="O121" s="382"/>
      <c r="P121" s="105"/>
      <c r="Q121" s="52"/>
      <c r="R121" s="397" t="s">
        <v>1778</v>
      </c>
      <c r="S121" s="327" t="s">
        <v>2896</v>
      </c>
      <c r="T121" s="78"/>
    </row>
    <row r="122" spans="1:20" s="377" customFormat="1" ht="20.100000000000001" customHeight="1">
      <c r="A122" s="1138" t="s">
        <v>2950</v>
      </c>
      <c r="B122" s="1191" t="s">
        <v>396</v>
      </c>
      <c r="C122" s="1210" t="s">
        <v>488</v>
      </c>
      <c r="D122" s="11">
        <f>D41+75</f>
        <v>365</v>
      </c>
      <c r="E122" s="11">
        <f>E41+150</f>
        <v>480</v>
      </c>
      <c r="F122" s="11">
        <f>F41+150</f>
        <v>480</v>
      </c>
      <c r="G122" s="225" t="s">
        <v>19</v>
      </c>
      <c r="H122" s="401" t="s">
        <v>1773</v>
      </c>
      <c r="I122" s="398" t="s">
        <v>107</v>
      </c>
      <c r="J122" s="37"/>
      <c r="K122" s="398">
        <v>20</v>
      </c>
      <c r="L122" s="386" t="s">
        <v>643</v>
      </c>
      <c r="M122" s="399">
        <v>43082</v>
      </c>
      <c r="N122" s="399">
        <v>43088</v>
      </c>
      <c r="O122" s="382" t="s">
        <v>611</v>
      </c>
      <c r="P122" s="677"/>
      <c r="Q122" s="7"/>
      <c r="R122" s="397" t="s">
        <v>1783</v>
      </c>
      <c r="S122" s="316" t="s">
        <v>1176</v>
      </c>
      <c r="T122" s="78"/>
    </row>
    <row r="123" spans="1:20" s="377" customFormat="1" ht="20.100000000000001" customHeight="1">
      <c r="A123" s="1138" t="s">
        <v>2950</v>
      </c>
      <c r="B123" s="1191" t="s">
        <v>396</v>
      </c>
      <c r="C123" s="1212" t="s">
        <v>488</v>
      </c>
      <c r="D123" s="529"/>
      <c r="E123" s="529"/>
      <c r="F123" s="529"/>
      <c r="G123" s="222" t="s">
        <v>22</v>
      </c>
      <c r="H123" s="401" t="s">
        <v>706</v>
      </c>
      <c r="I123" s="398" t="s">
        <v>107</v>
      </c>
      <c r="J123" s="37"/>
      <c r="K123" s="398">
        <v>20</v>
      </c>
      <c r="L123" s="386" t="s">
        <v>643</v>
      </c>
      <c r="M123" s="392">
        <v>43079</v>
      </c>
      <c r="N123" s="392">
        <v>43086</v>
      </c>
      <c r="O123" s="382"/>
      <c r="P123" s="105"/>
      <c r="Q123" s="14" t="s">
        <v>1024</v>
      </c>
      <c r="R123" s="397" t="s">
        <v>1783</v>
      </c>
      <c r="S123" s="316" t="s">
        <v>1176</v>
      </c>
      <c r="T123" s="78"/>
    </row>
    <row r="124" spans="1:20" ht="20.100000000000001" customHeight="1">
      <c r="A124" s="1138" t="s">
        <v>2950</v>
      </c>
      <c r="B124" s="1138" t="s">
        <v>396</v>
      </c>
      <c r="C124" s="1138" t="s">
        <v>438</v>
      </c>
      <c r="D124" s="32">
        <f>D5+400</f>
        <v>775</v>
      </c>
      <c r="E124" s="32">
        <f>E5+500</f>
        <v>1000</v>
      </c>
      <c r="F124" s="32">
        <f>F5+500</f>
        <v>1000</v>
      </c>
      <c r="G124" s="678" t="s">
        <v>5</v>
      </c>
      <c r="H124" s="674" t="s">
        <v>1756</v>
      </c>
      <c r="I124" s="51" t="s">
        <v>107</v>
      </c>
      <c r="J124" s="38"/>
      <c r="K124" s="38" t="s">
        <v>680</v>
      </c>
      <c r="L124" s="51" t="s">
        <v>636</v>
      </c>
      <c r="M124" s="6">
        <v>43066</v>
      </c>
      <c r="N124" s="6">
        <v>43080</v>
      </c>
      <c r="O124" s="675" t="s">
        <v>600</v>
      </c>
      <c r="P124" s="105"/>
      <c r="Q124" s="52" t="s">
        <v>4094</v>
      </c>
      <c r="R124" s="612" t="s">
        <v>1419</v>
      </c>
      <c r="S124" s="315" t="s">
        <v>2893</v>
      </c>
      <c r="T124" s="78"/>
    </row>
    <row r="125" spans="1:20" ht="20.100000000000001" customHeight="1">
      <c r="A125" s="1138" t="s">
        <v>2950</v>
      </c>
      <c r="B125" s="1138" t="s">
        <v>396</v>
      </c>
      <c r="C125" s="1138" t="s">
        <v>438</v>
      </c>
      <c r="D125" s="32">
        <f>D24+400</f>
        <v>775</v>
      </c>
      <c r="E125" s="32">
        <f>E24+500</f>
        <v>1000</v>
      </c>
      <c r="F125" s="32">
        <f>F24+500</f>
        <v>1000</v>
      </c>
      <c r="G125" s="678" t="s">
        <v>5</v>
      </c>
      <c r="H125" s="35">
        <v>5</v>
      </c>
      <c r="I125" s="38" t="s">
        <v>107</v>
      </c>
      <c r="J125" s="38"/>
      <c r="K125" s="38" t="s">
        <v>727</v>
      </c>
      <c r="L125" s="51" t="s">
        <v>639</v>
      </c>
      <c r="M125" s="6">
        <v>43066</v>
      </c>
      <c r="N125" s="6">
        <v>43080</v>
      </c>
      <c r="O125" s="675" t="s">
        <v>769</v>
      </c>
      <c r="P125" s="105"/>
      <c r="Q125" s="52" t="s">
        <v>4072</v>
      </c>
      <c r="R125" s="49" t="s">
        <v>763</v>
      </c>
      <c r="S125" s="315" t="s">
        <v>2893</v>
      </c>
      <c r="T125" s="78"/>
    </row>
    <row r="126" spans="1:20" ht="20.100000000000001" customHeight="1">
      <c r="A126" s="1138" t="s">
        <v>2950</v>
      </c>
      <c r="B126" s="1138" t="s">
        <v>396</v>
      </c>
      <c r="C126" s="1138" t="s">
        <v>438</v>
      </c>
      <c r="D126" s="32">
        <f>D38+400</f>
        <v>775</v>
      </c>
      <c r="E126" s="32">
        <f>E38+500</f>
        <v>1000</v>
      </c>
      <c r="F126" s="32">
        <f>F38+500</f>
        <v>1000</v>
      </c>
      <c r="G126" s="678" t="s">
        <v>5</v>
      </c>
      <c r="H126" s="676" t="s">
        <v>721</v>
      </c>
      <c r="I126" s="38" t="s">
        <v>107</v>
      </c>
      <c r="J126" s="38"/>
      <c r="K126" s="38" t="s">
        <v>680</v>
      </c>
      <c r="L126" s="51" t="s">
        <v>639</v>
      </c>
      <c r="M126" s="6">
        <v>43066</v>
      </c>
      <c r="N126" s="6">
        <v>43080</v>
      </c>
      <c r="O126" s="675" t="s">
        <v>600</v>
      </c>
      <c r="P126" s="105"/>
      <c r="Q126" s="52"/>
      <c r="R126" s="49" t="s">
        <v>762</v>
      </c>
      <c r="S126" s="315" t="s">
        <v>2893</v>
      </c>
      <c r="T126" s="78"/>
    </row>
    <row r="127" spans="1:20" ht="20.100000000000001" customHeight="1">
      <c r="A127" s="1142" t="s">
        <v>2950</v>
      </c>
      <c r="B127" s="1142" t="s">
        <v>396</v>
      </c>
      <c r="C127" s="1142" t="s">
        <v>539</v>
      </c>
      <c r="D127" s="32">
        <f>D5+400</f>
        <v>775</v>
      </c>
      <c r="E127" s="32">
        <f>E5+700</f>
        <v>1200</v>
      </c>
      <c r="F127" s="32">
        <f>F5+700</f>
        <v>1200</v>
      </c>
      <c r="G127" s="678" t="s">
        <v>5</v>
      </c>
      <c r="H127" s="674" t="s">
        <v>1756</v>
      </c>
      <c r="I127" s="51" t="s">
        <v>107</v>
      </c>
      <c r="J127" s="38"/>
      <c r="K127" s="38" t="s">
        <v>680</v>
      </c>
      <c r="L127" s="51" t="s">
        <v>636</v>
      </c>
      <c r="M127" s="6">
        <v>43066</v>
      </c>
      <c r="N127" s="6">
        <v>43080</v>
      </c>
      <c r="O127" s="675" t="s">
        <v>600</v>
      </c>
      <c r="P127" s="105"/>
      <c r="Q127" s="52" t="s">
        <v>4094</v>
      </c>
      <c r="R127" s="612" t="s">
        <v>1419</v>
      </c>
      <c r="S127" s="315" t="s">
        <v>2893</v>
      </c>
      <c r="T127" s="78"/>
    </row>
    <row r="128" spans="1:20" ht="20.100000000000001" customHeight="1">
      <c r="A128" s="1160" t="s">
        <v>2950</v>
      </c>
      <c r="B128" s="1160" t="s">
        <v>396</v>
      </c>
      <c r="C128" s="1160" t="s">
        <v>539</v>
      </c>
      <c r="D128" s="32">
        <f>D18+450</f>
        <v>790</v>
      </c>
      <c r="E128" s="32">
        <f>E18+700</f>
        <v>1130</v>
      </c>
      <c r="F128" s="32">
        <f>F18+700</f>
        <v>1130</v>
      </c>
      <c r="G128" s="225" t="s">
        <v>19</v>
      </c>
      <c r="H128" s="401" t="s">
        <v>725</v>
      </c>
      <c r="I128" s="386" t="s">
        <v>107</v>
      </c>
      <c r="J128" s="38"/>
      <c r="K128" s="398" t="s">
        <v>728</v>
      </c>
      <c r="L128" s="379" t="s">
        <v>636</v>
      </c>
      <c r="M128" s="399">
        <v>43082</v>
      </c>
      <c r="N128" s="399">
        <v>43088</v>
      </c>
      <c r="O128" s="382" t="s">
        <v>611</v>
      </c>
      <c r="P128" s="105"/>
      <c r="Q128" s="7"/>
      <c r="R128" s="384" t="s">
        <v>191</v>
      </c>
      <c r="S128" s="316" t="s">
        <v>1176</v>
      </c>
      <c r="T128" s="854"/>
    </row>
    <row r="129" spans="1:20" ht="20.100000000000001" customHeight="1">
      <c r="A129" s="1160" t="s">
        <v>2950</v>
      </c>
      <c r="B129" s="1160" t="s">
        <v>396</v>
      </c>
      <c r="C129" s="1160" t="s">
        <v>539</v>
      </c>
      <c r="D129" s="32">
        <f>D24+400</f>
        <v>775</v>
      </c>
      <c r="E129" s="32">
        <f>E24+700</f>
        <v>1200</v>
      </c>
      <c r="F129" s="32">
        <f>F24+700</f>
        <v>1200</v>
      </c>
      <c r="G129" s="678" t="s">
        <v>5</v>
      </c>
      <c r="H129" s="676">
        <v>5</v>
      </c>
      <c r="I129" s="38" t="s">
        <v>107</v>
      </c>
      <c r="J129" s="38"/>
      <c r="K129" s="38" t="s">
        <v>680</v>
      </c>
      <c r="L129" s="51" t="s">
        <v>639</v>
      </c>
      <c r="M129" s="6">
        <v>43066</v>
      </c>
      <c r="N129" s="6">
        <v>43080</v>
      </c>
      <c r="O129" s="675" t="s">
        <v>769</v>
      </c>
      <c r="P129" s="105"/>
      <c r="Q129" s="52" t="s">
        <v>4072</v>
      </c>
      <c r="R129" s="49" t="s">
        <v>763</v>
      </c>
      <c r="S129" s="315" t="s">
        <v>2893</v>
      </c>
      <c r="T129" s="689"/>
    </row>
    <row r="130" spans="1:20" ht="20.100000000000001" customHeight="1">
      <c r="A130" s="1160" t="s">
        <v>2950</v>
      </c>
      <c r="B130" s="1160" t="s">
        <v>396</v>
      </c>
      <c r="C130" s="1160" t="s">
        <v>539</v>
      </c>
      <c r="D130" s="32">
        <f>D27+450</f>
        <v>790</v>
      </c>
      <c r="E130" s="32">
        <f>E27+700</f>
        <v>1130</v>
      </c>
      <c r="F130" s="32">
        <f>F27+700</f>
        <v>1130</v>
      </c>
      <c r="G130" s="225" t="s">
        <v>19</v>
      </c>
      <c r="H130" s="401" t="s">
        <v>903</v>
      </c>
      <c r="I130" s="386" t="s">
        <v>107</v>
      </c>
      <c r="J130" s="37"/>
      <c r="K130" s="398" t="s">
        <v>900</v>
      </c>
      <c r="L130" s="386" t="s">
        <v>641</v>
      </c>
      <c r="M130" s="399">
        <v>43082</v>
      </c>
      <c r="N130" s="399">
        <v>43088</v>
      </c>
      <c r="O130" s="382" t="s">
        <v>611</v>
      </c>
      <c r="P130" s="677"/>
      <c r="Q130" s="7"/>
      <c r="R130" s="397" t="s">
        <v>1788</v>
      </c>
      <c r="S130" s="316" t="s">
        <v>1176</v>
      </c>
      <c r="T130" s="853"/>
    </row>
    <row r="131" spans="1:20" ht="20.100000000000001" customHeight="1">
      <c r="A131" s="1160" t="s">
        <v>2950</v>
      </c>
      <c r="B131" s="1160" t="s">
        <v>396</v>
      </c>
      <c r="C131" s="1160" t="s">
        <v>539</v>
      </c>
      <c r="D131" s="32">
        <f>D38+400</f>
        <v>775</v>
      </c>
      <c r="E131" s="32">
        <f>E38+700</f>
        <v>1200</v>
      </c>
      <c r="F131" s="32">
        <f>F38+700</f>
        <v>1200</v>
      </c>
      <c r="G131" s="678" t="s">
        <v>5</v>
      </c>
      <c r="H131" s="676" t="s">
        <v>721</v>
      </c>
      <c r="I131" s="38" t="s">
        <v>107</v>
      </c>
      <c r="J131" s="38"/>
      <c r="K131" s="38" t="s">
        <v>660</v>
      </c>
      <c r="L131" s="51" t="s">
        <v>639</v>
      </c>
      <c r="M131" s="6">
        <v>43066</v>
      </c>
      <c r="N131" s="6">
        <v>43080</v>
      </c>
      <c r="O131" s="675" t="s">
        <v>600</v>
      </c>
      <c r="P131" s="105"/>
      <c r="Q131" s="52"/>
      <c r="R131" s="49" t="s">
        <v>762</v>
      </c>
      <c r="S131" s="315" t="s">
        <v>2893</v>
      </c>
      <c r="T131" s="689"/>
    </row>
    <row r="132" spans="1:20" ht="20.100000000000001" customHeight="1">
      <c r="A132" s="1161" t="s">
        <v>2950</v>
      </c>
      <c r="B132" s="1161" t="s">
        <v>396</v>
      </c>
      <c r="C132" s="1161" t="s">
        <v>539</v>
      </c>
      <c r="D132" s="32">
        <f>D41+450</f>
        <v>740</v>
      </c>
      <c r="E132" s="32">
        <f>E41+700</f>
        <v>1030</v>
      </c>
      <c r="F132" s="32">
        <f>F41+700</f>
        <v>1030</v>
      </c>
      <c r="G132" s="225" t="s">
        <v>19</v>
      </c>
      <c r="H132" s="401" t="s">
        <v>1233</v>
      </c>
      <c r="I132" s="398" t="s">
        <v>107</v>
      </c>
      <c r="J132" s="37"/>
      <c r="K132" s="398">
        <v>20</v>
      </c>
      <c r="L132" s="386" t="s">
        <v>643</v>
      </c>
      <c r="M132" s="399">
        <v>43082</v>
      </c>
      <c r="N132" s="399">
        <v>43088</v>
      </c>
      <c r="O132" s="382" t="s">
        <v>611</v>
      </c>
      <c r="P132" s="677"/>
      <c r="Q132" s="7"/>
      <c r="R132" s="397" t="s">
        <v>1783</v>
      </c>
      <c r="S132" s="316" t="s">
        <v>1176</v>
      </c>
      <c r="T132" s="853"/>
    </row>
    <row r="133" spans="1:20" s="377" customFormat="1" ht="20.100000000000001" customHeight="1">
      <c r="A133" s="1190" t="s">
        <v>2950</v>
      </c>
      <c r="B133" s="1189" t="s">
        <v>398</v>
      </c>
      <c r="C133" s="1190" t="s">
        <v>4283</v>
      </c>
      <c r="D133" s="531">
        <f>D16+0</f>
        <v>350</v>
      </c>
      <c r="E133" s="531">
        <f>E16+0</f>
        <v>400</v>
      </c>
      <c r="F133" s="531">
        <f>F16+0</f>
        <v>400</v>
      </c>
      <c r="G133" s="67" t="s">
        <v>233</v>
      </c>
      <c r="H133" s="385" t="s">
        <v>659</v>
      </c>
      <c r="I133" s="386" t="s">
        <v>23</v>
      </c>
      <c r="J133" s="38"/>
      <c r="K133" s="398" t="s">
        <v>665</v>
      </c>
      <c r="L133" s="379" t="s">
        <v>1245</v>
      </c>
      <c r="M133" s="399">
        <v>43082</v>
      </c>
      <c r="N133" s="399">
        <v>43086</v>
      </c>
      <c r="O133" s="393" t="s">
        <v>601</v>
      </c>
      <c r="P133" s="106" t="s">
        <v>840</v>
      </c>
      <c r="Q133" s="167"/>
      <c r="R133" s="397" t="s">
        <v>247</v>
      </c>
      <c r="S133" s="316"/>
      <c r="T133" s="716"/>
    </row>
    <row r="134" spans="1:20" s="377" customFormat="1" ht="20.100000000000001" customHeight="1">
      <c r="A134" s="1190" t="s">
        <v>2950</v>
      </c>
      <c r="B134" s="1189" t="s">
        <v>398</v>
      </c>
      <c r="C134" s="1189" t="s">
        <v>540</v>
      </c>
      <c r="D134" s="32">
        <f>D18+25</f>
        <v>365</v>
      </c>
      <c r="E134" s="32">
        <f>E18+50</f>
        <v>480</v>
      </c>
      <c r="F134" s="32">
        <f>F18+50</f>
        <v>480</v>
      </c>
      <c r="G134" s="222" t="s">
        <v>64</v>
      </c>
      <c r="H134" s="401" t="s">
        <v>725</v>
      </c>
      <c r="I134" s="386" t="s">
        <v>107</v>
      </c>
      <c r="J134" s="38"/>
      <c r="K134" s="398">
        <v>23</v>
      </c>
      <c r="L134" s="379" t="s">
        <v>636</v>
      </c>
      <c r="M134" s="399">
        <v>43082</v>
      </c>
      <c r="N134" s="399">
        <v>43088</v>
      </c>
      <c r="O134" s="382" t="s">
        <v>611</v>
      </c>
      <c r="P134" s="107"/>
      <c r="Q134" s="7"/>
      <c r="R134" s="384" t="s">
        <v>191</v>
      </c>
      <c r="S134" s="316" t="s">
        <v>1176</v>
      </c>
      <c r="T134" s="78"/>
    </row>
    <row r="135" spans="1:20" s="377" customFormat="1" ht="20.100000000000001" customHeight="1">
      <c r="A135" s="1190" t="s">
        <v>2950</v>
      </c>
      <c r="B135" s="1189" t="s">
        <v>398</v>
      </c>
      <c r="C135" s="1189" t="s">
        <v>540</v>
      </c>
      <c r="D135" s="529">
        <v>450</v>
      </c>
      <c r="E135" s="529">
        <v>650</v>
      </c>
      <c r="F135" s="529">
        <v>650</v>
      </c>
      <c r="G135" s="699" t="s">
        <v>22</v>
      </c>
      <c r="H135" s="401" t="s">
        <v>1665</v>
      </c>
      <c r="I135" s="386" t="s">
        <v>107</v>
      </c>
      <c r="J135" s="38"/>
      <c r="K135" s="398">
        <v>23</v>
      </c>
      <c r="L135" s="379" t="s">
        <v>636</v>
      </c>
      <c r="M135" s="392">
        <v>43062</v>
      </c>
      <c r="N135" s="392">
        <v>43086</v>
      </c>
      <c r="O135" s="382"/>
      <c r="P135" s="105"/>
      <c r="Q135" s="7"/>
      <c r="R135" s="397" t="s">
        <v>191</v>
      </c>
      <c r="S135" s="316" t="s">
        <v>1176</v>
      </c>
      <c r="T135" s="78"/>
    </row>
    <row r="136" spans="1:20" s="377" customFormat="1" ht="20.100000000000001" customHeight="1">
      <c r="A136" s="1190" t="s">
        <v>2950</v>
      </c>
      <c r="B136" s="1189" t="s">
        <v>398</v>
      </c>
      <c r="C136" s="1189" t="s">
        <v>540</v>
      </c>
      <c r="D136" s="800" t="s">
        <v>4083</v>
      </c>
      <c r="E136" s="800">
        <v>450</v>
      </c>
      <c r="F136" s="800">
        <v>450</v>
      </c>
      <c r="G136" s="63" t="s">
        <v>29</v>
      </c>
      <c r="H136" s="401" t="s">
        <v>1665</v>
      </c>
      <c r="I136" s="386" t="s">
        <v>107</v>
      </c>
      <c r="J136" s="38"/>
      <c r="K136" s="398">
        <v>23</v>
      </c>
      <c r="L136" s="379" t="s">
        <v>636</v>
      </c>
      <c r="M136" s="404">
        <v>43083</v>
      </c>
      <c r="N136" s="404">
        <v>43086</v>
      </c>
      <c r="O136" s="400"/>
      <c r="P136" s="750"/>
      <c r="Q136" s="7"/>
      <c r="R136" s="397" t="s">
        <v>191</v>
      </c>
      <c r="S136" s="316" t="s">
        <v>2898</v>
      </c>
      <c r="T136" s="717"/>
    </row>
    <row r="137" spans="1:20" s="377" customFormat="1" ht="20.100000000000001" customHeight="1">
      <c r="A137" s="1190" t="s">
        <v>2950</v>
      </c>
      <c r="B137" s="1189" t="s">
        <v>398</v>
      </c>
      <c r="C137" s="1189" t="s">
        <v>540</v>
      </c>
      <c r="D137" s="531">
        <v>425</v>
      </c>
      <c r="E137" s="531"/>
      <c r="F137" s="531">
        <v>550</v>
      </c>
      <c r="G137" s="218" t="s">
        <v>52</v>
      </c>
      <c r="H137" s="385" t="s">
        <v>725</v>
      </c>
      <c r="I137" s="386" t="s">
        <v>17</v>
      </c>
      <c r="J137" s="38"/>
      <c r="K137" s="38" t="s">
        <v>2947</v>
      </c>
      <c r="L137" s="379" t="s">
        <v>641</v>
      </c>
      <c r="M137" s="381">
        <v>43082</v>
      </c>
      <c r="N137" s="381">
        <v>43086</v>
      </c>
      <c r="O137" s="394" t="s">
        <v>1949</v>
      </c>
      <c r="P137" s="677"/>
      <c r="Q137" s="7"/>
      <c r="R137" s="397" t="s">
        <v>826</v>
      </c>
      <c r="S137" s="316"/>
      <c r="T137" s="717"/>
    </row>
    <row r="138" spans="1:20" s="377" customFormat="1" ht="20.100000000000001" customHeight="1">
      <c r="A138" s="1190" t="s">
        <v>2950</v>
      </c>
      <c r="B138" s="1189" t="s">
        <v>398</v>
      </c>
      <c r="C138" s="1189" t="s">
        <v>540</v>
      </c>
      <c r="D138" s="2">
        <f>D27+25</f>
        <v>365</v>
      </c>
      <c r="E138" s="2">
        <f>E27+50</f>
        <v>480</v>
      </c>
      <c r="F138" s="2">
        <f>F27+50</f>
        <v>480</v>
      </c>
      <c r="G138" s="225" t="s">
        <v>19</v>
      </c>
      <c r="H138" s="401" t="s">
        <v>1780</v>
      </c>
      <c r="I138" s="386" t="s">
        <v>107</v>
      </c>
      <c r="J138" s="38"/>
      <c r="K138" s="386" t="s">
        <v>1784</v>
      </c>
      <c r="L138" s="386" t="s">
        <v>641</v>
      </c>
      <c r="M138" s="399">
        <v>43082</v>
      </c>
      <c r="N138" s="399">
        <v>43088</v>
      </c>
      <c r="O138" s="382" t="s">
        <v>611</v>
      </c>
      <c r="P138" s="677"/>
      <c r="Q138" s="7"/>
      <c r="R138" s="397" t="s">
        <v>1789</v>
      </c>
      <c r="S138" s="316" t="s">
        <v>1176</v>
      </c>
      <c r="T138" s="689"/>
    </row>
    <row r="139" spans="1:20" s="377" customFormat="1" ht="20.100000000000001" customHeight="1">
      <c r="A139" s="1190" t="s">
        <v>2950</v>
      </c>
      <c r="B139" s="1189" t="s">
        <v>398</v>
      </c>
      <c r="C139" s="1189" t="s">
        <v>540</v>
      </c>
      <c r="D139" s="11">
        <f>D28+50</f>
        <v>400</v>
      </c>
      <c r="E139" s="11">
        <f>E28+50</f>
        <v>450</v>
      </c>
      <c r="F139" s="11">
        <f>F28+50</f>
        <v>450</v>
      </c>
      <c r="G139" s="705" t="s">
        <v>28</v>
      </c>
      <c r="H139" s="385">
        <v>5</v>
      </c>
      <c r="I139" s="386" t="s">
        <v>107</v>
      </c>
      <c r="J139" s="38"/>
      <c r="K139" s="38" t="s">
        <v>4161</v>
      </c>
      <c r="L139" s="386" t="s">
        <v>641</v>
      </c>
      <c r="M139" s="392">
        <v>43084</v>
      </c>
      <c r="N139" s="392">
        <v>43086</v>
      </c>
      <c r="O139" s="382"/>
      <c r="P139" s="105" t="s">
        <v>1526</v>
      </c>
      <c r="Q139" s="7"/>
      <c r="R139" s="397" t="s">
        <v>186</v>
      </c>
      <c r="S139" s="322" t="s">
        <v>1176</v>
      </c>
      <c r="T139" s="78"/>
    </row>
    <row r="140" spans="1:20" s="377" customFormat="1" ht="20.100000000000001" customHeight="1">
      <c r="A140" s="1190" t="s">
        <v>2950</v>
      </c>
      <c r="B140" s="1189" t="s">
        <v>398</v>
      </c>
      <c r="C140" s="1189" t="s">
        <v>540</v>
      </c>
      <c r="D140" s="759">
        <f>D29+10</f>
        <v>360</v>
      </c>
      <c r="E140" s="759">
        <f>E29+10</f>
        <v>410</v>
      </c>
      <c r="F140" s="759">
        <f>F29+10</f>
        <v>410</v>
      </c>
      <c r="G140" s="110" t="s">
        <v>6</v>
      </c>
      <c r="H140" s="378" t="s">
        <v>721</v>
      </c>
      <c r="I140" s="379" t="s">
        <v>17</v>
      </c>
      <c r="J140" s="679"/>
      <c r="K140" s="380">
        <v>21</v>
      </c>
      <c r="L140" s="380" t="s">
        <v>636</v>
      </c>
      <c r="M140" s="391">
        <v>43084</v>
      </c>
      <c r="N140" s="391">
        <v>43087</v>
      </c>
      <c r="O140" s="393"/>
      <c r="P140" s="106"/>
      <c r="Q140" s="52"/>
      <c r="R140" s="389" t="s">
        <v>335</v>
      </c>
      <c r="S140" s="315" t="s">
        <v>2895</v>
      </c>
      <c r="T140" s="137"/>
    </row>
    <row r="141" spans="1:20" s="377" customFormat="1" ht="20.100000000000001" customHeight="1">
      <c r="A141" s="1190" t="s">
        <v>2950</v>
      </c>
      <c r="B141" s="1189" t="s">
        <v>398</v>
      </c>
      <c r="C141" s="1189" t="s">
        <v>540</v>
      </c>
      <c r="D141" s="32">
        <v>350</v>
      </c>
      <c r="E141" s="32">
        <v>450</v>
      </c>
      <c r="F141" s="32">
        <v>450</v>
      </c>
      <c r="G141" s="226" t="s">
        <v>51</v>
      </c>
      <c r="H141" s="378" t="s">
        <v>721</v>
      </c>
      <c r="I141" s="379" t="s">
        <v>17</v>
      </c>
      <c r="J141" s="679"/>
      <c r="K141" s="380">
        <v>21</v>
      </c>
      <c r="L141" s="380" t="s">
        <v>636</v>
      </c>
      <c r="M141" s="381">
        <v>43084</v>
      </c>
      <c r="N141" s="381">
        <v>43090</v>
      </c>
      <c r="O141" s="382"/>
      <c r="P141" s="105" t="s">
        <v>943</v>
      </c>
      <c r="Q141" s="52"/>
      <c r="R141" s="389" t="s">
        <v>1301</v>
      </c>
      <c r="S141" s="316"/>
      <c r="T141" s="78"/>
    </row>
    <row r="142" spans="1:20" ht="20.100000000000001" customHeight="1">
      <c r="A142" s="1190" t="s">
        <v>2950</v>
      </c>
      <c r="B142" s="1189" t="s">
        <v>398</v>
      </c>
      <c r="C142" s="1189" t="s">
        <v>540</v>
      </c>
      <c r="D142" s="32">
        <f>D31+25</f>
        <v>400</v>
      </c>
      <c r="E142" s="32">
        <f>E31+50</f>
        <v>550</v>
      </c>
      <c r="F142" s="32">
        <f>F31+50</f>
        <v>550</v>
      </c>
      <c r="G142" s="678" t="s">
        <v>5</v>
      </c>
      <c r="H142" s="22" t="s">
        <v>721</v>
      </c>
      <c r="I142" s="51" t="s">
        <v>17</v>
      </c>
      <c r="J142" s="679"/>
      <c r="K142" s="50">
        <v>21</v>
      </c>
      <c r="L142" s="50" t="s">
        <v>636</v>
      </c>
      <c r="M142" s="6">
        <v>43066</v>
      </c>
      <c r="N142" s="6">
        <v>43080</v>
      </c>
      <c r="O142" s="675" t="s">
        <v>600</v>
      </c>
      <c r="P142" s="105"/>
      <c r="Q142" s="52"/>
      <c r="R142" s="49" t="s">
        <v>1760</v>
      </c>
      <c r="S142" s="315" t="s">
        <v>2893</v>
      </c>
      <c r="T142" s="78"/>
    </row>
    <row r="143" spans="1:20" s="377" customFormat="1" ht="20.100000000000001" customHeight="1">
      <c r="A143" s="1190" t="s">
        <v>2950</v>
      </c>
      <c r="B143" s="1189" t="s">
        <v>398</v>
      </c>
      <c r="C143" s="1189" t="s">
        <v>540</v>
      </c>
      <c r="D143" s="11">
        <f t="shared" ref="D143:F144" si="2">D33+0</f>
        <v>350</v>
      </c>
      <c r="E143" s="11">
        <f t="shared" si="2"/>
        <v>400</v>
      </c>
      <c r="F143" s="11">
        <f t="shared" si="2"/>
        <v>400</v>
      </c>
      <c r="G143" s="110" t="s">
        <v>37</v>
      </c>
      <c r="H143" s="378" t="s">
        <v>721</v>
      </c>
      <c r="I143" s="379" t="s">
        <v>17</v>
      </c>
      <c r="J143" s="679"/>
      <c r="K143" s="380">
        <v>21</v>
      </c>
      <c r="L143" s="380" t="s">
        <v>636</v>
      </c>
      <c r="M143" s="392">
        <v>43084</v>
      </c>
      <c r="N143" s="392">
        <v>43087</v>
      </c>
      <c r="O143" s="382"/>
      <c r="P143" s="105" t="s">
        <v>605</v>
      </c>
      <c r="Q143" s="52"/>
      <c r="R143" s="397" t="s">
        <v>1777</v>
      </c>
      <c r="S143" s="327" t="s">
        <v>2896</v>
      </c>
      <c r="T143" s="78"/>
    </row>
    <row r="144" spans="1:20" s="377" customFormat="1" ht="20.100000000000001" customHeight="1">
      <c r="A144" s="1190" t="s">
        <v>2950</v>
      </c>
      <c r="B144" s="1189" t="s">
        <v>398</v>
      </c>
      <c r="C144" s="1189" t="s">
        <v>540</v>
      </c>
      <c r="D144" s="793">
        <f t="shared" si="2"/>
        <v>375</v>
      </c>
      <c r="E144" s="793">
        <f t="shared" si="2"/>
        <v>475</v>
      </c>
      <c r="F144" s="793">
        <f t="shared" si="2"/>
        <v>475</v>
      </c>
      <c r="G144" s="110" t="s">
        <v>13</v>
      </c>
      <c r="H144" s="378" t="s">
        <v>721</v>
      </c>
      <c r="I144" s="379" t="s">
        <v>17</v>
      </c>
      <c r="J144" s="679"/>
      <c r="K144" s="380">
        <v>21</v>
      </c>
      <c r="L144" s="379" t="s">
        <v>636</v>
      </c>
      <c r="M144" s="404">
        <v>43085</v>
      </c>
      <c r="N144" s="404">
        <v>43086</v>
      </c>
      <c r="O144" s="393" t="s">
        <v>601</v>
      </c>
      <c r="P144" s="61"/>
      <c r="Q144" s="52"/>
      <c r="R144" s="397" t="s">
        <v>1854</v>
      </c>
      <c r="S144" s="316" t="s">
        <v>2897</v>
      </c>
      <c r="T144" s="78"/>
    </row>
    <row r="145" spans="1:20" s="377" customFormat="1" ht="20.100000000000001" customHeight="1">
      <c r="A145" s="1190" t="s">
        <v>2950</v>
      </c>
      <c r="B145" s="1189" t="s">
        <v>398</v>
      </c>
      <c r="C145" s="1209" t="s">
        <v>540</v>
      </c>
      <c r="D145" s="800" t="s">
        <v>4513</v>
      </c>
      <c r="E145" s="800" t="s">
        <v>4514</v>
      </c>
      <c r="F145" s="800" t="s">
        <v>4514</v>
      </c>
      <c r="G145" s="812" t="s">
        <v>29</v>
      </c>
      <c r="H145" s="378" t="s">
        <v>721</v>
      </c>
      <c r="I145" s="386" t="s">
        <v>107</v>
      </c>
      <c r="J145" s="679"/>
      <c r="K145" s="380">
        <v>21</v>
      </c>
      <c r="L145" s="380" t="s">
        <v>636</v>
      </c>
      <c r="M145" s="404">
        <v>43085</v>
      </c>
      <c r="N145" s="404">
        <v>43086</v>
      </c>
      <c r="O145" s="382"/>
      <c r="P145" s="105"/>
      <c r="Q145" s="52"/>
      <c r="R145" s="397" t="s">
        <v>167</v>
      </c>
      <c r="S145" s="316" t="s">
        <v>2898</v>
      </c>
      <c r="T145" s="78"/>
    </row>
    <row r="146" spans="1:20" s="377" customFormat="1" ht="20.100000000000001" customHeight="1">
      <c r="A146" s="1190" t="s">
        <v>2950</v>
      </c>
      <c r="B146" s="1189" t="s">
        <v>398</v>
      </c>
      <c r="C146" s="1189" t="s">
        <v>540</v>
      </c>
      <c r="D146" s="876">
        <f>D36+10</f>
        <v>360</v>
      </c>
      <c r="E146" s="876">
        <f>E36+10</f>
        <v>410</v>
      </c>
      <c r="F146" s="876">
        <f>F36+10</f>
        <v>410</v>
      </c>
      <c r="G146" s="705" t="s">
        <v>6</v>
      </c>
      <c r="H146" s="378" t="s">
        <v>721</v>
      </c>
      <c r="I146" s="379" t="s">
        <v>17</v>
      </c>
      <c r="J146" s="50"/>
      <c r="K146" s="380" t="s">
        <v>680</v>
      </c>
      <c r="L146" s="379" t="s">
        <v>639</v>
      </c>
      <c r="M146" s="391">
        <v>43084</v>
      </c>
      <c r="N146" s="391">
        <v>43087</v>
      </c>
      <c r="O146" s="405"/>
      <c r="P146" s="105"/>
      <c r="Q146" s="52"/>
      <c r="R146" s="397" t="s">
        <v>1745</v>
      </c>
      <c r="S146" s="315" t="s">
        <v>2895</v>
      </c>
      <c r="T146" s="305"/>
    </row>
    <row r="147" spans="1:20" s="377" customFormat="1" ht="20.100000000000001" customHeight="1">
      <c r="A147" s="1190" t="s">
        <v>2950</v>
      </c>
      <c r="B147" s="1189" t="s">
        <v>398</v>
      </c>
      <c r="C147" s="1189" t="s">
        <v>540</v>
      </c>
      <c r="D147" s="32">
        <v>350</v>
      </c>
      <c r="E147" s="32">
        <v>450</v>
      </c>
      <c r="F147" s="32">
        <v>450</v>
      </c>
      <c r="G147" s="226" t="s">
        <v>51</v>
      </c>
      <c r="H147" s="378" t="s">
        <v>721</v>
      </c>
      <c r="I147" s="379" t="s">
        <v>17</v>
      </c>
      <c r="J147" s="50"/>
      <c r="K147" s="380" t="s">
        <v>680</v>
      </c>
      <c r="L147" s="379" t="s">
        <v>639</v>
      </c>
      <c r="M147" s="381">
        <v>43084</v>
      </c>
      <c r="N147" s="381">
        <v>43090</v>
      </c>
      <c r="O147" s="405"/>
      <c r="P147" s="105" t="s">
        <v>943</v>
      </c>
      <c r="Q147" s="52"/>
      <c r="R147" s="397" t="s">
        <v>1730</v>
      </c>
      <c r="S147" s="322"/>
      <c r="T147" s="680"/>
    </row>
    <row r="148" spans="1:20" ht="20.100000000000001" customHeight="1">
      <c r="A148" s="1190" t="s">
        <v>2950</v>
      </c>
      <c r="B148" s="1189" t="s">
        <v>398</v>
      </c>
      <c r="C148" s="1189" t="s">
        <v>540</v>
      </c>
      <c r="D148" s="32">
        <f>D38+25</f>
        <v>400</v>
      </c>
      <c r="E148" s="32">
        <f>E38+50</f>
        <v>550</v>
      </c>
      <c r="F148" s="32">
        <f>F38+50</f>
        <v>550</v>
      </c>
      <c r="G148" s="678" t="s">
        <v>5</v>
      </c>
      <c r="H148" s="22" t="s">
        <v>721</v>
      </c>
      <c r="I148" s="51" t="s">
        <v>17</v>
      </c>
      <c r="J148" s="50"/>
      <c r="K148" s="50" t="s">
        <v>680</v>
      </c>
      <c r="L148" s="51" t="s">
        <v>639</v>
      </c>
      <c r="M148" s="6">
        <v>43066</v>
      </c>
      <c r="N148" s="6">
        <v>43080</v>
      </c>
      <c r="O148" s="675" t="s">
        <v>600</v>
      </c>
      <c r="P148" s="105"/>
      <c r="Q148" s="52"/>
      <c r="R148" s="49" t="s">
        <v>762</v>
      </c>
      <c r="S148" s="315" t="s">
        <v>2893</v>
      </c>
      <c r="T148" s="680"/>
    </row>
    <row r="149" spans="1:20" s="377" customFormat="1" ht="20.100000000000001" customHeight="1">
      <c r="A149" s="1190" t="s">
        <v>2950</v>
      </c>
      <c r="B149" s="1189" t="s">
        <v>398</v>
      </c>
      <c r="C149" s="1189" t="s">
        <v>540</v>
      </c>
      <c r="D149" s="32">
        <f t="shared" ref="D149:F149" si="3">D39</f>
        <v>300</v>
      </c>
      <c r="E149" s="32">
        <f t="shared" si="3"/>
        <v>400</v>
      </c>
      <c r="F149" s="32">
        <f t="shared" si="3"/>
        <v>400</v>
      </c>
      <c r="G149" s="678" t="s">
        <v>232</v>
      </c>
      <c r="H149" s="378" t="s">
        <v>721</v>
      </c>
      <c r="I149" s="379" t="s">
        <v>17</v>
      </c>
      <c r="J149" s="50"/>
      <c r="K149" s="380" t="s">
        <v>680</v>
      </c>
      <c r="L149" s="379" t="s">
        <v>639</v>
      </c>
      <c r="M149" s="399">
        <v>43082</v>
      </c>
      <c r="N149" s="399">
        <v>43086</v>
      </c>
      <c r="O149" s="393" t="s">
        <v>601</v>
      </c>
      <c r="P149" s="106" t="s">
        <v>840</v>
      </c>
      <c r="Q149" s="52"/>
      <c r="R149" s="397" t="s">
        <v>1843</v>
      </c>
      <c r="S149" s="322"/>
      <c r="T149" s="680"/>
    </row>
    <row r="150" spans="1:20" s="377" customFormat="1" ht="20.100000000000001" customHeight="1">
      <c r="A150" s="1190" t="s">
        <v>2950</v>
      </c>
      <c r="B150" s="1189" t="s">
        <v>398</v>
      </c>
      <c r="C150" s="1189" t="s">
        <v>540</v>
      </c>
      <c r="D150" s="32">
        <f>D40+0</f>
        <v>350</v>
      </c>
      <c r="E150" s="32">
        <f>E40+0</f>
        <v>400</v>
      </c>
      <c r="F150" s="32">
        <f>F40+0</f>
        <v>400</v>
      </c>
      <c r="G150" s="678" t="s">
        <v>37</v>
      </c>
      <c r="H150" s="378" t="s">
        <v>721</v>
      </c>
      <c r="I150" s="379" t="s">
        <v>17</v>
      </c>
      <c r="J150" s="50"/>
      <c r="K150" s="380" t="s">
        <v>680</v>
      </c>
      <c r="L150" s="379" t="s">
        <v>636</v>
      </c>
      <c r="M150" s="392">
        <v>43084</v>
      </c>
      <c r="N150" s="392">
        <v>43087</v>
      </c>
      <c r="O150" s="387"/>
      <c r="P150" s="105" t="s">
        <v>605</v>
      </c>
      <c r="Q150" s="52"/>
      <c r="R150" s="397" t="s">
        <v>1775</v>
      </c>
      <c r="S150" s="327" t="s">
        <v>2896</v>
      </c>
      <c r="T150" s="680"/>
    </row>
    <row r="151" spans="1:20" s="377" customFormat="1" ht="20.100000000000001" customHeight="1">
      <c r="A151" s="1190" t="s">
        <v>2950</v>
      </c>
      <c r="B151" s="1189" t="s">
        <v>398</v>
      </c>
      <c r="C151" s="1189" t="s">
        <v>540</v>
      </c>
      <c r="D151" s="2">
        <f>D41+25</f>
        <v>315</v>
      </c>
      <c r="E151" s="2">
        <f>E41+50</f>
        <v>380</v>
      </c>
      <c r="F151" s="2">
        <f>F41+50</f>
        <v>380</v>
      </c>
      <c r="G151" s="222" t="s">
        <v>19</v>
      </c>
      <c r="H151" s="378" t="s">
        <v>1773</v>
      </c>
      <c r="I151" s="386" t="s">
        <v>17</v>
      </c>
      <c r="J151" s="38"/>
      <c r="K151" s="398">
        <v>21</v>
      </c>
      <c r="L151" s="398" t="s">
        <v>643</v>
      </c>
      <c r="M151" s="399">
        <v>43082</v>
      </c>
      <c r="N151" s="399">
        <v>43088</v>
      </c>
      <c r="O151" s="382" t="s">
        <v>611</v>
      </c>
      <c r="P151" s="677"/>
      <c r="Q151" s="7"/>
      <c r="R151" s="397" t="s">
        <v>1783</v>
      </c>
      <c r="S151" s="316" t="s">
        <v>1176</v>
      </c>
      <c r="T151" s="689"/>
    </row>
    <row r="152" spans="1:20" s="377" customFormat="1" ht="20.100000000000001" customHeight="1">
      <c r="A152" s="1190" t="s">
        <v>2950</v>
      </c>
      <c r="B152" s="1189" t="s">
        <v>398</v>
      </c>
      <c r="C152" s="1189" t="s">
        <v>2745</v>
      </c>
      <c r="D152" s="529">
        <v>350</v>
      </c>
      <c r="E152" s="529">
        <v>450</v>
      </c>
      <c r="F152" s="529">
        <v>450</v>
      </c>
      <c r="G152" s="699" t="s">
        <v>22</v>
      </c>
      <c r="H152" s="378" t="s">
        <v>706</v>
      </c>
      <c r="I152" s="386" t="s">
        <v>17</v>
      </c>
      <c r="J152" s="38"/>
      <c r="K152" s="398">
        <v>21</v>
      </c>
      <c r="L152" s="398" t="s">
        <v>643</v>
      </c>
      <c r="M152" s="392">
        <v>43079</v>
      </c>
      <c r="N152" s="392">
        <v>43086</v>
      </c>
      <c r="O152" s="382"/>
      <c r="P152" s="105"/>
      <c r="Q152" s="7"/>
      <c r="R152" s="397" t="s">
        <v>1783</v>
      </c>
      <c r="S152" s="316" t="s">
        <v>1176</v>
      </c>
      <c r="T152" s="78"/>
    </row>
    <row r="153" spans="1:20" s="377" customFormat="1" ht="20.100000000000001" customHeight="1">
      <c r="A153" s="1190" t="s">
        <v>2950</v>
      </c>
      <c r="B153" s="1189" t="s">
        <v>398</v>
      </c>
      <c r="C153" s="1189" t="s">
        <v>540</v>
      </c>
      <c r="D153" s="935">
        <v>490</v>
      </c>
      <c r="E153" s="935">
        <v>820</v>
      </c>
      <c r="F153" s="935">
        <v>520</v>
      </c>
      <c r="G153" s="70" t="s">
        <v>568</v>
      </c>
      <c r="H153" s="378" t="s">
        <v>1798</v>
      </c>
      <c r="I153" s="386" t="s">
        <v>17</v>
      </c>
      <c r="J153" s="38"/>
      <c r="K153" s="398">
        <v>21</v>
      </c>
      <c r="L153" s="398" t="s">
        <v>643</v>
      </c>
      <c r="M153" s="381">
        <v>43086</v>
      </c>
      <c r="N153" s="381">
        <v>43086</v>
      </c>
      <c r="O153" s="383"/>
      <c r="P153" s="107"/>
      <c r="Q153" s="7"/>
      <c r="R153" s="397" t="s">
        <v>1783</v>
      </c>
      <c r="S153" s="322"/>
      <c r="T153" s="78"/>
    </row>
    <row r="154" spans="1:20" s="377" customFormat="1" ht="20.100000000000001" customHeight="1">
      <c r="A154" s="1189" t="s">
        <v>2950</v>
      </c>
      <c r="B154" s="1189" t="s">
        <v>2746</v>
      </c>
      <c r="C154" s="1190" t="s">
        <v>4284</v>
      </c>
      <c r="D154" s="533">
        <f>D133+150</f>
        <v>500</v>
      </c>
      <c r="E154" s="533">
        <f>E133+300+50</f>
        <v>750</v>
      </c>
      <c r="F154" s="533">
        <f>F133+300+50</f>
        <v>750</v>
      </c>
      <c r="G154" s="67" t="s">
        <v>233</v>
      </c>
      <c r="H154" s="385" t="s">
        <v>659</v>
      </c>
      <c r="I154" s="386" t="s">
        <v>23</v>
      </c>
      <c r="J154" s="38"/>
      <c r="K154" s="398" t="s">
        <v>685</v>
      </c>
      <c r="L154" s="379" t="s">
        <v>1245</v>
      </c>
      <c r="M154" s="399">
        <v>43082</v>
      </c>
      <c r="N154" s="399">
        <v>43086</v>
      </c>
      <c r="O154" s="393" t="s">
        <v>601</v>
      </c>
      <c r="P154" s="106" t="s">
        <v>840</v>
      </c>
      <c r="Q154" s="167"/>
      <c r="R154" s="397" t="s">
        <v>247</v>
      </c>
      <c r="S154" s="316"/>
      <c r="T154" s="689"/>
    </row>
    <row r="155" spans="1:20" s="377" customFormat="1" ht="20.100000000000001" customHeight="1">
      <c r="A155" s="1189" t="s">
        <v>2950</v>
      </c>
      <c r="B155" s="1189" t="s">
        <v>2746</v>
      </c>
      <c r="C155" s="1189" t="s">
        <v>4162</v>
      </c>
      <c r="D155" s="32">
        <f>D18+200</f>
        <v>540</v>
      </c>
      <c r="E155" s="32">
        <f>E18+400</f>
        <v>830</v>
      </c>
      <c r="F155" s="32">
        <f>F18+400</f>
        <v>830</v>
      </c>
      <c r="G155" s="222" t="s">
        <v>81</v>
      </c>
      <c r="H155" s="401" t="s">
        <v>725</v>
      </c>
      <c r="I155" s="386" t="s">
        <v>107</v>
      </c>
      <c r="J155" s="38"/>
      <c r="K155" s="398">
        <v>25</v>
      </c>
      <c r="L155" s="379" t="s">
        <v>636</v>
      </c>
      <c r="M155" s="399">
        <v>43082</v>
      </c>
      <c r="N155" s="399">
        <v>43088</v>
      </c>
      <c r="O155" s="382" t="s">
        <v>611</v>
      </c>
      <c r="P155" s="107"/>
      <c r="Q155" s="7"/>
      <c r="R155" s="384" t="s">
        <v>191</v>
      </c>
      <c r="S155" s="316" t="s">
        <v>1176</v>
      </c>
      <c r="T155" s="78"/>
    </row>
    <row r="156" spans="1:20" s="377" customFormat="1" ht="20.100000000000001" customHeight="1">
      <c r="A156" s="1189" t="s">
        <v>2950</v>
      </c>
      <c r="B156" s="1189" t="s">
        <v>2746</v>
      </c>
      <c r="C156" s="1189" t="s">
        <v>4162</v>
      </c>
      <c r="D156" s="529">
        <v>600</v>
      </c>
      <c r="E156" s="529">
        <v>850</v>
      </c>
      <c r="F156" s="529">
        <v>850</v>
      </c>
      <c r="G156" s="699" t="s">
        <v>22</v>
      </c>
      <c r="H156" s="401" t="s">
        <v>1665</v>
      </c>
      <c r="I156" s="386" t="s">
        <v>107</v>
      </c>
      <c r="J156" s="38"/>
      <c r="K156" s="398">
        <v>25</v>
      </c>
      <c r="L156" s="379" t="s">
        <v>636</v>
      </c>
      <c r="M156" s="392">
        <v>43062</v>
      </c>
      <c r="N156" s="392">
        <v>43086</v>
      </c>
      <c r="O156" s="388"/>
      <c r="P156" s="61"/>
      <c r="Q156" s="7"/>
      <c r="R156" s="397" t="s">
        <v>191</v>
      </c>
      <c r="S156" s="316" t="s">
        <v>1176</v>
      </c>
      <c r="T156" s="78"/>
    </row>
    <row r="157" spans="1:20" s="377" customFormat="1" ht="20.100000000000001" customHeight="1">
      <c r="A157" s="1189" t="s">
        <v>2950</v>
      </c>
      <c r="B157" s="1189" t="s">
        <v>2746</v>
      </c>
      <c r="C157" s="1189" t="s">
        <v>4162</v>
      </c>
      <c r="D157" s="533">
        <v>775</v>
      </c>
      <c r="E157" s="533">
        <v>850</v>
      </c>
      <c r="F157" s="533">
        <v>850</v>
      </c>
      <c r="G157" s="63" t="s">
        <v>29</v>
      </c>
      <c r="H157" s="401" t="s">
        <v>1665</v>
      </c>
      <c r="I157" s="386" t="s">
        <v>107</v>
      </c>
      <c r="J157" s="38"/>
      <c r="K157" s="398">
        <v>25</v>
      </c>
      <c r="L157" s="379" t="s">
        <v>636</v>
      </c>
      <c r="M157" s="404">
        <v>43083</v>
      </c>
      <c r="N157" s="404">
        <v>43086</v>
      </c>
      <c r="O157" s="400"/>
      <c r="P157" s="750"/>
      <c r="Q157" s="7"/>
      <c r="R157" s="397" t="s">
        <v>191</v>
      </c>
      <c r="S157" s="316" t="s">
        <v>2898</v>
      </c>
      <c r="T157" s="689"/>
    </row>
    <row r="158" spans="1:20" s="377" customFormat="1" ht="20.100000000000001" customHeight="1">
      <c r="A158" s="1189" t="s">
        <v>2950</v>
      </c>
      <c r="B158" s="1189" t="s">
        <v>2746</v>
      </c>
      <c r="C158" s="1189" t="s">
        <v>4162</v>
      </c>
      <c r="D158" s="533">
        <v>575</v>
      </c>
      <c r="E158" s="533"/>
      <c r="F158" s="533">
        <v>850</v>
      </c>
      <c r="G158" s="218" t="s">
        <v>52</v>
      </c>
      <c r="H158" s="385" t="s">
        <v>725</v>
      </c>
      <c r="I158" s="386" t="s">
        <v>11</v>
      </c>
      <c r="J158" s="38"/>
      <c r="K158" s="38" t="s">
        <v>2948</v>
      </c>
      <c r="L158" s="379" t="s">
        <v>641</v>
      </c>
      <c r="M158" s="381">
        <v>43082</v>
      </c>
      <c r="N158" s="381">
        <v>43086</v>
      </c>
      <c r="O158" s="394" t="s">
        <v>1949</v>
      </c>
      <c r="P158" s="677"/>
      <c r="Q158" s="7"/>
      <c r="R158" s="397" t="s">
        <v>826</v>
      </c>
      <c r="S158" s="316"/>
      <c r="T158" s="689"/>
    </row>
    <row r="159" spans="1:20" s="377" customFormat="1" ht="20.100000000000001" customHeight="1">
      <c r="A159" s="1189" t="s">
        <v>2950</v>
      </c>
      <c r="B159" s="1189" t="s">
        <v>2746</v>
      </c>
      <c r="C159" s="1189" t="s">
        <v>4162</v>
      </c>
      <c r="D159" s="533">
        <f>D27+200</f>
        <v>540</v>
      </c>
      <c r="E159" s="533">
        <f>E27+400</f>
        <v>830</v>
      </c>
      <c r="F159" s="533">
        <f>F27+400</f>
        <v>830</v>
      </c>
      <c r="G159" s="225" t="s">
        <v>19</v>
      </c>
      <c r="H159" s="401" t="s">
        <v>1780</v>
      </c>
      <c r="I159" s="386" t="s">
        <v>11</v>
      </c>
      <c r="J159" s="30"/>
      <c r="K159" s="398" t="s">
        <v>1784</v>
      </c>
      <c r="L159" s="386" t="s">
        <v>641</v>
      </c>
      <c r="M159" s="399">
        <v>43082</v>
      </c>
      <c r="N159" s="399">
        <v>43088</v>
      </c>
      <c r="O159" s="382" t="s">
        <v>611</v>
      </c>
      <c r="P159" s="106"/>
      <c r="Q159" s="7"/>
      <c r="R159" s="397" t="s">
        <v>1789</v>
      </c>
      <c r="S159" s="316" t="s">
        <v>1176</v>
      </c>
      <c r="T159" s="689"/>
    </row>
    <row r="160" spans="1:20" s="377" customFormat="1" ht="20.100000000000001" customHeight="1">
      <c r="A160" s="1189" t="s">
        <v>2950</v>
      </c>
      <c r="B160" s="1189" t="s">
        <v>2746</v>
      </c>
      <c r="C160" s="1189" t="s">
        <v>492</v>
      </c>
      <c r="D160" s="32">
        <f>D139+200</f>
        <v>600</v>
      </c>
      <c r="E160" s="32">
        <f>E139+450</f>
        <v>900</v>
      </c>
      <c r="F160" s="32">
        <f>F139+450</f>
        <v>900</v>
      </c>
      <c r="G160" s="705" t="s">
        <v>28</v>
      </c>
      <c r="H160" s="385">
        <v>5</v>
      </c>
      <c r="I160" s="379" t="s">
        <v>11</v>
      </c>
      <c r="J160" s="51"/>
      <c r="K160" s="380">
        <v>24</v>
      </c>
      <c r="L160" s="379" t="s">
        <v>641</v>
      </c>
      <c r="M160" s="392">
        <v>43084</v>
      </c>
      <c r="N160" s="392">
        <v>43086</v>
      </c>
      <c r="O160" s="382"/>
      <c r="P160" s="105" t="s">
        <v>1526</v>
      </c>
      <c r="Q160" s="7"/>
      <c r="R160" s="397" t="s">
        <v>186</v>
      </c>
      <c r="S160" s="322" t="s">
        <v>2899</v>
      </c>
      <c r="T160" s="78"/>
    </row>
    <row r="161" spans="1:20" s="377" customFormat="1" ht="20.100000000000001" customHeight="1">
      <c r="A161" s="1189" t="s">
        <v>2950</v>
      </c>
      <c r="B161" s="1189" t="s">
        <v>2746</v>
      </c>
      <c r="C161" s="1189" t="s">
        <v>4162</v>
      </c>
      <c r="D161" s="759">
        <f>D140+200+0</f>
        <v>560</v>
      </c>
      <c r="E161" s="759">
        <f>E140+400+-50</f>
        <v>760</v>
      </c>
      <c r="F161" s="759">
        <f>F140+400+-50</f>
        <v>760</v>
      </c>
      <c r="G161" s="625" t="s">
        <v>212</v>
      </c>
      <c r="H161" s="401" t="s">
        <v>721</v>
      </c>
      <c r="I161" s="406" t="s">
        <v>11</v>
      </c>
      <c r="J161" s="30"/>
      <c r="K161" s="398" t="s">
        <v>660</v>
      </c>
      <c r="L161" s="379" t="s">
        <v>636</v>
      </c>
      <c r="M161" s="391">
        <v>43084</v>
      </c>
      <c r="N161" s="391">
        <v>43087</v>
      </c>
      <c r="O161" s="393"/>
      <c r="P161" s="106"/>
      <c r="Q161" s="52"/>
      <c r="R161" s="389" t="s">
        <v>335</v>
      </c>
      <c r="S161" s="315" t="s">
        <v>2895</v>
      </c>
      <c r="T161" s="305"/>
    </row>
    <row r="162" spans="1:20" s="377" customFormat="1" ht="20.100000000000001" customHeight="1">
      <c r="A162" s="1189" t="s">
        <v>2950</v>
      </c>
      <c r="B162" s="1189" t="s">
        <v>2746</v>
      </c>
      <c r="C162" s="1189" t="s">
        <v>4162</v>
      </c>
      <c r="D162" s="13">
        <f>D141+200-0</f>
        <v>550</v>
      </c>
      <c r="E162" s="13">
        <f>E141+400-0</f>
        <v>850</v>
      </c>
      <c r="F162" s="13">
        <f>F141+400-0</f>
        <v>850</v>
      </c>
      <c r="G162" s="222" t="s">
        <v>51</v>
      </c>
      <c r="H162" s="401" t="s">
        <v>721</v>
      </c>
      <c r="I162" s="406" t="s">
        <v>11</v>
      </c>
      <c r="J162" s="30"/>
      <c r="K162" s="398" t="s">
        <v>660</v>
      </c>
      <c r="L162" s="379" t="s">
        <v>636</v>
      </c>
      <c r="M162" s="381">
        <v>43084</v>
      </c>
      <c r="N162" s="381">
        <v>43090</v>
      </c>
      <c r="O162" s="405"/>
      <c r="P162" s="105" t="s">
        <v>943</v>
      </c>
      <c r="Q162" s="52"/>
      <c r="R162" s="389" t="s">
        <v>167</v>
      </c>
      <c r="S162" s="316"/>
      <c r="T162" s="680"/>
    </row>
    <row r="163" spans="1:20" ht="20.100000000000001" customHeight="1">
      <c r="A163" s="1189" t="s">
        <v>2950</v>
      </c>
      <c r="B163" s="1189" t="s">
        <v>2746</v>
      </c>
      <c r="C163" s="1189" t="s">
        <v>4162</v>
      </c>
      <c r="D163" s="13">
        <f>D142+250</f>
        <v>650</v>
      </c>
      <c r="E163" s="13">
        <f>E142+500</f>
        <v>1050</v>
      </c>
      <c r="F163" s="13">
        <f>F142+500</f>
        <v>1050</v>
      </c>
      <c r="G163" s="110" t="s">
        <v>5</v>
      </c>
      <c r="H163" s="676" t="s">
        <v>721</v>
      </c>
      <c r="I163" s="34" t="s">
        <v>11</v>
      </c>
      <c r="J163" s="30"/>
      <c r="K163" s="37" t="s">
        <v>660</v>
      </c>
      <c r="L163" s="51" t="s">
        <v>636</v>
      </c>
      <c r="M163" s="6">
        <v>43066</v>
      </c>
      <c r="N163" s="6">
        <v>43080</v>
      </c>
      <c r="O163" s="675" t="s">
        <v>600</v>
      </c>
      <c r="P163" s="105"/>
      <c r="Q163" s="52"/>
      <c r="R163" s="49" t="s">
        <v>1760</v>
      </c>
      <c r="S163" s="315" t="s">
        <v>2893</v>
      </c>
      <c r="T163" s="680"/>
    </row>
    <row r="164" spans="1:20" s="377" customFormat="1" ht="20.100000000000001" customHeight="1">
      <c r="A164" s="1189" t="s">
        <v>2950</v>
      </c>
      <c r="B164" s="1189" t="s">
        <v>2746</v>
      </c>
      <c r="C164" s="1189" t="s">
        <v>4162</v>
      </c>
      <c r="D164" s="32">
        <f>D33+200</f>
        <v>550</v>
      </c>
      <c r="E164" s="32">
        <f>E33+300</f>
        <v>700</v>
      </c>
      <c r="F164" s="32">
        <f>F33+300</f>
        <v>700</v>
      </c>
      <c r="G164" s="110" t="s">
        <v>37</v>
      </c>
      <c r="H164" s="401" t="s">
        <v>721</v>
      </c>
      <c r="I164" s="406" t="s">
        <v>11</v>
      </c>
      <c r="J164" s="30"/>
      <c r="K164" s="398" t="s">
        <v>660</v>
      </c>
      <c r="L164" s="379" t="s">
        <v>636</v>
      </c>
      <c r="M164" s="392">
        <v>43084</v>
      </c>
      <c r="N164" s="392">
        <v>43087</v>
      </c>
      <c r="O164" s="382"/>
      <c r="P164" s="105" t="s">
        <v>605</v>
      </c>
      <c r="Q164" s="52"/>
      <c r="R164" s="397" t="s">
        <v>1777</v>
      </c>
      <c r="S164" s="327" t="s">
        <v>2896</v>
      </c>
      <c r="T164" s="78"/>
    </row>
    <row r="165" spans="1:20" s="377" customFormat="1" ht="20.100000000000001" customHeight="1">
      <c r="A165" s="1189" t="s">
        <v>2950</v>
      </c>
      <c r="B165" s="1189" t="s">
        <v>2746</v>
      </c>
      <c r="C165" s="1189" t="s">
        <v>4162</v>
      </c>
      <c r="D165" s="793">
        <f>D144+250</f>
        <v>625</v>
      </c>
      <c r="E165" s="793">
        <f>E144+450</f>
        <v>925</v>
      </c>
      <c r="F165" s="793">
        <f>F144+450</f>
        <v>925</v>
      </c>
      <c r="G165" s="110" t="s">
        <v>13</v>
      </c>
      <c r="H165" s="401" t="s">
        <v>721</v>
      </c>
      <c r="I165" s="406" t="s">
        <v>11</v>
      </c>
      <c r="J165" s="30"/>
      <c r="K165" s="398" t="s">
        <v>660</v>
      </c>
      <c r="L165" s="379" t="s">
        <v>636</v>
      </c>
      <c r="M165" s="404">
        <v>43085</v>
      </c>
      <c r="N165" s="404">
        <v>43086</v>
      </c>
      <c r="O165" s="393" t="s">
        <v>601</v>
      </c>
      <c r="P165" s="61"/>
      <c r="Q165" s="52"/>
      <c r="R165" s="397" t="s">
        <v>1854</v>
      </c>
      <c r="S165" s="316" t="s">
        <v>2897</v>
      </c>
      <c r="T165" s="78"/>
    </row>
    <row r="166" spans="1:20" s="377" customFormat="1" ht="20.100000000000001" customHeight="1">
      <c r="A166" s="1189" t="s">
        <v>2950</v>
      </c>
      <c r="B166" s="1189" t="s">
        <v>2746</v>
      </c>
      <c r="C166" s="1189" t="s">
        <v>4162</v>
      </c>
      <c r="D166" s="800" t="s">
        <v>4518</v>
      </c>
      <c r="E166" s="800" t="s">
        <v>4519</v>
      </c>
      <c r="F166" s="800" t="s">
        <v>4519</v>
      </c>
      <c r="G166" s="812" t="s">
        <v>29</v>
      </c>
      <c r="H166" s="401" t="s">
        <v>721</v>
      </c>
      <c r="I166" s="386" t="s">
        <v>107</v>
      </c>
      <c r="J166" s="30"/>
      <c r="K166" s="398" t="s">
        <v>660</v>
      </c>
      <c r="L166" s="379" t="s">
        <v>636</v>
      </c>
      <c r="M166" s="404">
        <v>43085</v>
      </c>
      <c r="N166" s="404">
        <v>43086</v>
      </c>
      <c r="O166" s="382"/>
      <c r="P166" s="105"/>
      <c r="Q166" s="52"/>
      <c r="R166" s="397" t="s">
        <v>167</v>
      </c>
      <c r="S166" s="316" t="s">
        <v>2898</v>
      </c>
      <c r="T166" s="78"/>
    </row>
    <row r="167" spans="1:20" s="377" customFormat="1" ht="20.100000000000001" customHeight="1">
      <c r="A167" s="1189" t="s">
        <v>2950</v>
      </c>
      <c r="B167" s="1189" t="s">
        <v>2746</v>
      </c>
      <c r="C167" s="1189" t="s">
        <v>4162</v>
      </c>
      <c r="D167" s="816">
        <f>D146+200</f>
        <v>560</v>
      </c>
      <c r="E167" s="816">
        <f>E146+400-50</f>
        <v>760</v>
      </c>
      <c r="F167" s="816">
        <f>F146+400-50</f>
        <v>760</v>
      </c>
      <c r="G167" s="110" t="s">
        <v>6</v>
      </c>
      <c r="H167" s="401" t="s">
        <v>721</v>
      </c>
      <c r="I167" s="406" t="s">
        <v>11</v>
      </c>
      <c r="J167" s="30"/>
      <c r="K167" s="398" t="s">
        <v>684</v>
      </c>
      <c r="L167" s="379" t="s">
        <v>639</v>
      </c>
      <c r="M167" s="391">
        <v>43084</v>
      </c>
      <c r="N167" s="391">
        <v>43087</v>
      </c>
      <c r="O167" s="405"/>
      <c r="P167" s="105"/>
      <c r="Q167" s="52"/>
      <c r="R167" s="389" t="s">
        <v>1694</v>
      </c>
      <c r="S167" s="315" t="s">
        <v>2895</v>
      </c>
      <c r="T167" s="305"/>
    </row>
    <row r="168" spans="1:20" s="377" customFormat="1" ht="20.100000000000001" customHeight="1">
      <c r="A168" s="1189" t="s">
        <v>2950</v>
      </c>
      <c r="B168" s="1189" t="s">
        <v>2746</v>
      </c>
      <c r="C168" s="1189" t="s">
        <v>4162</v>
      </c>
      <c r="D168" s="13">
        <f>D147+200-0</f>
        <v>550</v>
      </c>
      <c r="E168" s="13">
        <f>E147+400-0</f>
        <v>850</v>
      </c>
      <c r="F168" s="13">
        <f>F147+400-0</f>
        <v>850</v>
      </c>
      <c r="G168" s="222" t="s">
        <v>51</v>
      </c>
      <c r="H168" s="401" t="s">
        <v>721</v>
      </c>
      <c r="I168" s="406" t="s">
        <v>11</v>
      </c>
      <c r="J168" s="30"/>
      <c r="K168" s="398" t="s">
        <v>684</v>
      </c>
      <c r="L168" s="379" t="s">
        <v>639</v>
      </c>
      <c r="M168" s="381">
        <v>43084</v>
      </c>
      <c r="N168" s="381">
        <v>43090</v>
      </c>
      <c r="O168" s="405"/>
      <c r="P168" s="105" t="s">
        <v>943</v>
      </c>
      <c r="Q168" s="52"/>
      <c r="R168" s="397" t="s">
        <v>1730</v>
      </c>
      <c r="S168" s="322"/>
      <c r="T168" s="680"/>
    </row>
    <row r="169" spans="1:20" ht="20.100000000000001" customHeight="1">
      <c r="A169" s="1189" t="s">
        <v>2950</v>
      </c>
      <c r="B169" s="1189" t="s">
        <v>2746</v>
      </c>
      <c r="C169" s="1189" t="s">
        <v>4162</v>
      </c>
      <c r="D169" s="32">
        <f>D148+250</f>
        <v>650</v>
      </c>
      <c r="E169" s="32">
        <f>E148+500</f>
        <v>1050</v>
      </c>
      <c r="F169" s="32">
        <f>F148+500</f>
        <v>1050</v>
      </c>
      <c r="G169" s="625" t="s">
        <v>5</v>
      </c>
      <c r="H169" s="674" t="s">
        <v>1757</v>
      </c>
      <c r="I169" s="30" t="s">
        <v>11</v>
      </c>
      <c r="J169" s="30"/>
      <c r="K169" s="30" t="s">
        <v>684</v>
      </c>
      <c r="L169" s="51" t="s">
        <v>639</v>
      </c>
      <c r="M169" s="6">
        <v>43066</v>
      </c>
      <c r="N169" s="6">
        <v>43080</v>
      </c>
      <c r="O169" s="675" t="s">
        <v>769</v>
      </c>
      <c r="P169" s="105"/>
      <c r="Q169" s="52"/>
      <c r="R169" s="49" t="s">
        <v>762</v>
      </c>
      <c r="S169" s="315" t="s">
        <v>2893</v>
      </c>
      <c r="T169" s="680"/>
    </row>
    <row r="170" spans="1:20" s="377" customFormat="1" ht="20.100000000000001" customHeight="1">
      <c r="A170" s="1189" t="s">
        <v>2950</v>
      </c>
      <c r="B170" s="1189" t="s">
        <v>2746</v>
      </c>
      <c r="C170" s="1189" t="s">
        <v>4162</v>
      </c>
      <c r="D170" s="32">
        <f>D39+150+0</f>
        <v>450</v>
      </c>
      <c r="E170" s="32">
        <f>E39+300+0</f>
        <v>700</v>
      </c>
      <c r="F170" s="32">
        <f>F39+300+0</f>
        <v>700</v>
      </c>
      <c r="G170" s="625" t="s">
        <v>232</v>
      </c>
      <c r="H170" s="385" t="s">
        <v>721</v>
      </c>
      <c r="I170" s="414" t="s">
        <v>11</v>
      </c>
      <c r="J170" s="30"/>
      <c r="K170" s="414" t="s">
        <v>684</v>
      </c>
      <c r="L170" s="379" t="s">
        <v>639</v>
      </c>
      <c r="M170" s="399">
        <v>43082</v>
      </c>
      <c r="N170" s="399">
        <v>43086</v>
      </c>
      <c r="O170" s="393" t="s">
        <v>601</v>
      </c>
      <c r="P170" s="106" t="s">
        <v>840</v>
      </c>
      <c r="Q170" s="52"/>
      <c r="R170" s="397" t="s">
        <v>1843</v>
      </c>
      <c r="S170" s="712"/>
      <c r="T170" s="680"/>
    </row>
    <row r="171" spans="1:20" s="377" customFormat="1" ht="20.100000000000001" customHeight="1">
      <c r="A171" s="1189" t="s">
        <v>2950</v>
      </c>
      <c r="B171" s="1189" t="s">
        <v>2746</v>
      </c>
      <c r="C171" s="1189" t="s">
        <v>4162</v>
      </c>
      <c r="D171" s="32">
        <f>D40+200</f>
        <v>550</v>
      </c>
      <c r="E171" s="32">
        <f>E40+300</f>
        <v>700</v>
      </c>
      <c r="F171" s="32">
        <f>F40+300</f>
        <v>700</v>
      </c>
      <c r="G171" s="625" t="s">
        <v>37</v>
      </c>
      <c r="H171" s="385" t="s">
        <v>1757</v>
      </c>
      <c r="I171" s="414" t="s">
        <v>11</v>
      </c>
      <c r="J171" s="30"/>
      <c r="K171" s="414" t="s">
        <v>684</v>
      </c>
      <c r="L171" s="379" t="s">
        <v>636</v>
      </c>
      <c r="M171" s="392">
        <v>43084</v>
      </c>
      <c r="N171" s="392">
        <v>43087</v>
      </c>
      <c r="O171" s="387"/>
      <c r="P171" s="105" t="s">
        <v>605</v>
      </c>
      <c r="Q171" s="52"/>
      <c r="R171" s="397" t="s">
        <v>1775</v>
      </c>
      <c r="S171" s="327" t="s">
        <v>2896</v>
      </c>
      <c r="T171" s="680"/>
    </row>
    <row r="172" spans="1:20" s="377" customFormat="1" ht="20.100000000000001" customHeight="1">
      <c r="A172" s="1189" t="s">
        <v>2950</v>
      </c>
      <c r="B172" s="1189" t="s">
        <v>2746</v>
      </c>
      <c r="C172" s="1189" t="s">
        <v>4162</v>
      </c>
      <c r="D172" s="533">
        <f>D41+200</f>
        <v>490</v>
      </c>
      <c r="E172" s="533">
        <f>E41+400</f>
        <v>730</v>
      </c>
      <c r="F172" s="533">
        <f>F41+400</f>
        <v>730</v>
      </c>
      <c r="G172" s="222" t="s">
        <v>19</v>
      </c>
      <c r="H172" s="378" t="s">
        <v>1773</v>
      </c>
      <c r="I172" s="386" t="s">
        <v>11</v>
      </c>
      <c r="J172" s="38"/>
      <c r="K172" s="398">
        <v>24</v>
      </c>
      <c r="L172" s="398" t="s">
        <v>643</v>
      </c>
      <c r="M172" s="399">
        <v>43082</v>
      </c>
      <c r="N172" s="399">
        <v>43088</v>
      </c>
      <c r="O172" s="382" t="s">
        <v>611</v>
      </c>
      <c r="P172" s="106"/>
      <c r="Q172" s="7"/>
      <c r="R172" s="397" t="s">
        <v>1783</v>
      </c>
      <c r="S172" s="316" t="s">
        <v>1176</v>
      </c>
      <c r="T172" s="689"/>
    </row>
    <row r="173" spans="1:20" s="377" customFormat="1" ht="20.100000000000001" customHeight="1">
      <c r="A173" s="1189" t="s">
        <v>2950</v>
      </c>
      <c r="B173" s="1189" t="s">
        <v>2746</v>
      </c>
      <c r="C173" s="1189" t="s">
        <v>4162</v>
      </c>
      <c r="D173" s="529">
        <v>475</v>
      </c>
      <c r="E173" s="529">
        <v>700</v>
      </c>
      <c r="F173" s="529">
        <v>700</v>
      </c>
      <c r="G173" s="699" t="s">
        <v>22</v>
      </c>
      <c r="H173" s="378" t="s">
        <v>706</v>
      </c>
      <c r="I173" s="386" t="s">
        <v>11</v>
      </c>
      <c r="J173" s="38"/>
      <c r="K173" s="398">
        <v>24</v>
      </c>
      <c r="L173" s="398" t="s">
        <v>643</v>
      </c>
      <c r="M173" s="392">
        <v>43079</v>
      </c>
      <c r="N173" s="392">
        <v>43086</v>
      </c>
      <c r="O173" s="388"/>
      <c r="P173" s="61"/>
      <c r="Q173" s="7"/>
      <c r="R173" s="397" t="s">
        <v>1783</v>
      </c>
      <c r="S173" s="316" t="s">
        <v>1176</v>
      </c>
      <c r="T173" s="78"/>
    </row>
    <row r="174" spans="1:20" s="377" customFormat="1" ht="20.100000000000001" customHeight="1">
      <c r="A174" s="1189" t="s">
        <v>2950</v>
      </c>
      <c r="B174" s="1189" t="s">
        <v>2746</v>
      </c>
      <c r="C174" s="1189" t="s">
        <v>4162</v>
      </c>
      <c r="D174" s="935">
        <v>665</v>
      </c>
      <c r="E174" s="935">
        <v>1120</v>
      </c>
      <c r="F174" s="935">
        <v>920</v>
      </c>
      <c r="G174" s="70" t="s">
        <v>568</v>
      </c>
      <c r="H174" s="378" t="s">
        <v>1798</v>
      </c>
      <c r="I174" s="386" t="s">
        <v>11</v>
      </c>
      <c r="J174" s="38"/>
      <c r="K174" s="398">
        <v>24</v>
      </c>
      <c r="L174" s="398" t="s">
        <v>643</v>
      </c>
      <c r="M174" s="381">
        <v>43086</v>
      </c>
      <c r="N174" s="381">
        <v>43086</v>
      </c>
      <c r="O174" s="387"/>
      <c r="P174" s="105"/>
      <c r="Q174" s="7"/>
      <c r="R174" s="397" t="s">
        <v>1783</v>
      </c>
      <c r="S174" s="712"/>
      <c r="T174" s="78"/>
    </row>
    <row r="175" spans="1:20" s="377" customFormat="1" ht="20.100000000000001" customHeight="1">
      <c r="A175" s="1138" t="s">
        <v>2950</v>
      </c>
      <c r="B175" s="1191" t="s">
        <v>398</v>
      </c>
      <c r="C175" s="1191" t="s">
        <v>319</v>
      </c>
      <c r="D175" s="32">
        <f>D4+100-50</f>
        <v>400</v>
      </c>
      <c r="E175" s="32">
        <f>E4+100-50</f>
        <v>500</v>
      </c>
      <c r="F175" s="32">
        <f>F4+100-50</f>
        <v>500</v>
      </c>
      <c r="G175" s="222" t="s">
        <v>51</v>
      </c>
      <c r="H175" s="378">
        <v>1</v>
      </c>
      <c r="I175" s="379" t="s">
        <v>107</v>
      </c>
      <c r="J175" s="51"/>
      <c r="K175" s="379">
        <v>20</v>
      </c>
      <c r="L175" s="380" t="s">
        <v>636</v>
      </c>
      <c r="M175" s="381">
        <v>43084</v>
      </c>
      <c r="N175" s="381">
        <v>43090</v>
      </c>
      <c r="O175" s="408"/>
      <c r="P175" s="105"/>
      <c r="Q175" s="52" t="s">
        <v>4094</v>
      </c>
      <c r="R175" s="384" t="s">
        <v>1734</v>
      </c>
      <c r="S175" s="316"/>
      <c r="T175" s="717"/>
    </row>
    <row r="176" spans="1:20" s="377" customFormat="1" ht="20.100000000000001" customHeight="1">
      <c r="A176" s="1138" t="s">
        <v>2950</v>
      </c>
      <c r="B176" s="1191" t="s">
        <v>398</v>
      </c>
      <c r="C176" s="1191" t="s">
        <v>319</v>
      </c>
      <c r="D176" s="32">
        <f>D36+110-50</f>
        <v>410</v>
      </c>
      <c r="E176" s="32">
        <f>E36+210-100</f>
        <v>510</v>
      </c>
      <c r="F176" s="32">
        <f>F36+210-100</f>
        <v>510</v>
      </c>
      <c r="G176" s="67" t="s">
        <v>6</v>
      </c>
      <c r="H176" s="385" t="s">
        <v>721</v>
      </c>
      <c r="I176" s="379" t="s">
        <v>17</v>
      </c>
      <c r="J176" s="51"/>
      <c r="K176" s="379" t="s">
        <v>684</v>
      </c>
      <c r="L176" s="379" t="s">
        <v>639</v>
      </c>
      <c r="M176" s="391">
        <v>43084</v>
      </c>
      <c r="N176" s="391">
        <v>43087</v>
      </c>
      <c r="O176" s="407"/>
      <c r="P176" s="677"/>
      <c r="Q176" s="52"/>
      <c r="R176" s="397" t="s">
        <v>1745</v>
      </c>
      <c r="S176" s="315" t="s">
        <v>2895</v>
      </c>
      <c r="T176" s="137"/>
    </row>
    <row r="177" spans="1:20" s="377" customFormat="1" ht="20.100000000000001" customHeight="1">
      <c r="A177" s="1138" t="s">
        <v>2950</v>
      </c>
      <c r="B177" s="1191" t="s">
        <v>398</v>
      </c>
      <c r="C177" s="1191" t="s">
        <v>319</v>
      </c>
      <c r="D177" s="32">
        <f>D37+100-50</f>
        <v>400</v>
      </c>
      <c r="E177" s="32">
        <f>E37+100-50</f>
        <v>500</v>
      </c>
      <c r="F177" s="32">
        <f>F37+100-50</f>
        <v>500</v>
      </c>
      <c r="G177" s="222" t="s">
        <v>51</v>
      </c>
      <c r="H177" s="385" t="s">
        <v>721</v>
      </c>
      <c r="I177" s="379" t="s">
        <v>17</v>
      </c>
      <c r="J177" s="51"/>
      <c r="K177" s="379" t="s">
        <v>684</v>
      </c>
      <c r="L177" s="379" t="s">
        <v>639</v>
      </c>
      <c r="M177" s="381">
        <v>43084</v>
      </c>
      <c r="N177" s="381">
        <v>43090</v>
      </c>
      <c r="O177" s="407"/>
      <c r="P177" s="677"/>
      <c r="Q177" s="52"/>
      <c r="R177" s="397" t="s">
        <v>1730</v>
      </c>
      <c r="S177" s="316"/>
      <c r="T177" s="689"/>
    </row>
    <row r="178" spans="1:20" ht="20.100000000000001" customHeight="1">
      <c r="A178" s="1138" t="s">
        <v>2950</v>
      </c>
      <c r="B178" s="1191" t="s">
        <v>398</v>
      </c>
      <c r="C178" s="1191" t="s">
        <v>319</v>
      </c>
      <c r="D178" s="32">
        <f>D38+100+0</f>
        <v>475</v>
      </c>
      <c r="E178" s="32">
        <f>E38+200+0</f>
        <v>700</v>
      </c>
      <c r="F178" s="32">
        <f>F38+200+0</f>
        <v>700</v>
      </c>
      <c r="G178" s="625" t="s">
        <v>5</v>
      </c>
      <c r="H178" s="674" t="s">
        <v>721</v>
      </c>
      <c r="I178" s="51" t="s">
        <v>17</v>
      </c>
      <c r="J178" s="51"/>
      <c r="K178" s="51" t="s">
        <v>684</v>
      </c>
      <c r="L178" s="51" t="s">
        <v>639</v>
      </c>
      <c r="M178" s="6">
        <v>43066</v>
      </c>
      <c r="N178" s="6">
        <v>43080</v>
      </c>
      <c r="O178" s="675" t="s">
        <v>600</v>
      </c>
      <c r="P178" s="61"/>
      <c r="Q178" s="52"/>
      <c r="R178" s="612" t="s">
        <v>762</v>
      </c>
      <c r="S178" s="315" t="s">
        <v>2893</v>
      </c>
      <c r="T178" s="689"/>
    </row>
    <row r="179" spans="1:20" s="377" customFormat="1" ht="20.100000000000001" customHeight="1">
      <c r="A179" s="1138" t="s">
        <v>2950</v>
      </c>
      <c r="B179" s="1191" t="s">
        <v>398</v>
      </c>
      <c r="C179" s="1191" t="s">
        <v>319</v>
      </c>
      <c r="D179" s="32"/>
      <c r="E179" s="32"/>
      <c r="F179" s="32"/>
      <c r="G179" s="625" t="s">
        <v>232</v>
      </c>
      <c r="H179" s="385" t="s">
        <v>721</v>
      </c>
      <c r="I179" s="379" t="s">
        <v>17</v>
      </c>
      <c r="J179" s="51"/>
      <c r="K179" s="379" t="s">
        <v>684</v>
      </c>
      <c r="L179" s="379" t="s">
        <v>639</v>
      </c>
      <c r="M179" s="399">
        <v>43082</v>
      </c>
      <c r="N179" s="399">
        <v>43086</v>
      </c>
      <c r="O179" s="393" t="s">
        <v>601</v>
      </c>
      <c r="P179" s="61"/>
      <c r="Q179" s="52"/>
      <c r="R179" s="397" t="s">
        <v>1843</v>
      </c>
      <c r="S179" s="712"/>
      <c r="T179" s="689"/>
    </row>
    <row r="180" spans="1:20" s="377" customFormat="1" ht="20.100000000000001" customHeight="1">
      <c r="A180" s="1138" t="s">
        <v>2950</v>
      </c>
      <c r="B180" s="1191" t="s">
        <v>398</v>
      </c>
      <c r="C180" s="1191" t="s">
        <v>319</v>
      </c>
      <c r="D180" s="32">
        <f>D40+100</f>
        <v>450</v>
      </c>
      <c r="E180" s="32">
        <f>E40+200</f>
        <v>600</v>
      </c>
      <c r="F180" s="32">
        <f>F40+200</f>
        <v>600</v>
      </c>
      <c r="G180" s="625" t="s">
        <v>37</v>
      </c>
      <c r="H180" s="385" t="s">
        <v>721</v>
      </c>
      <c r="I180" s="379" t="s">
        <v>17</v>
      </c>
      <c r="J180" s="51"/>
      <c r="K180" s="379" t="s">
        <v>684</v>
      </c>
      <c r="L180" s="379" t="s">
        <v>636</v>
      </c>
      <c r="M180" s="392">
        <v>43084</v>
      </c>
      <c r="N180" s="392">
        <v>43087</v>
      </c>
      <c r="O180" s="387"/>
      <c r="P180" s="61"/>
      <c r="Q180" s="52"/>
      <c r="R180" s="389" t="s">
        <v>1775</v>
      </c>
      <c r="S180" s="327" t="s">
        <v>2896</v>
      </c>
      <c r="T180" s="689"/>
    </row>
    <row r="181" spans="1:20" s="377" customFormat="1" ht="20.100000000000001" customHeight="1">
      <c r="A181" s="1138" t="s">
        <v>2950</v>
      </c>
      <c r="B181" s="1191" t="s">
        <v>398</v>
      </c>
      <c r="C181" s="1191" t="s">
        <v>319</v>
      </c>
      <c r="D181" s="32">
        <f>D34+150</f>
        <v>525</v>
      </c>
      <c r="E181" s="32">
        <f>E34+300</f>
        <v>775</v>
      </c>
      <c r="F181" s="32">
        <f>F34+300</f>
        <v>775</v>
      </c>
      <c r="G181" s="625" t="s">
        <v>13</v>
      </c>
      <c r="H181" s="401" t="s">
        <v>721</v>
      </c>
      <c r="I181" s="386" t="s">
        <v>107</v>
      </c>
      <c r="J181" s="38"/>
      <c r="K181" s="386" t="s">
        <v>752</v>
      </c>
      <c r="L181" s="379" t="s">
        <v>636</v>
      </c>
      <c r="M181" s="404">
        <v>43085</v>
      </c>
      <c r="N181" s="404">
        <v>43086</v>
      </c>
      <c r="O181" s="393" t="s">
        <v>601</v>
      </c>
      <c r="P181" s="61"/>
      <c r="Q181" s="52"/>
      <c r="R181" s="397" t="s">
        <v>1854</v>
      </c>
      <c r="S181" s="316" t="s">
        <v>2897</v>
      </c>
      <c r="T181" s="689"/>
    </row>
    <row r="182" spans="1:20" s="377" customFormat="1" ht="20.100000000000001" customHeight="1">
      <c r="A182" s="1138" t="s">
        <v>2950</v>
      </c>
      <c r="B182" s="1191" t="s">
        <v>398</v>
      </c>
      <c r="C182" s="1191" t="s">
        <v>319</v>
      </c>
      <c r="D182" s="528"/>
      <c r="E182" s="528"/>
      <c r="F182" s="528"/>
      <c r="G182" s="222" t="s">
        <v>22</v>
      </c>
      <c r="H182" s="378" t="s">
        <v>706</v>
      </c>
      <c r="I182" s="386" t="s">
        <v>17</v>
      </c>
      <c r="J182" s="51"/>
      <c r="K182" s="379" t="s">
        <v>684</v>
      </c>
      <c r="L182" s="398" t="s">
        <v>643</v>
      </c>
      <c r="M182" s="392">
        <v>43079</v>
      </c>
      <c r="N182" s="392">
        <v>43086</v>
      </c>
      <c r="O182" s="388"/>
      <c r="P182" s="61"/>
      <c r="Q182" s="14" t="s">
        <v>1024</v>
      </c>
      <c r="R182" s="397" t="s">
        <v>1783</v>
      </c>
      <c r="S182" s="316" t="s">
        <v>1176</v>
      </c>
      <c r="T182" s="717"/>
    </row>
    <row r="183" spans="1:20" s="377" customFormat="1" ht="20.100000000000001" customHeight="1">
      <c r="A183" s="1190" t="s">
        <v>2950</v>
      </c>
      <c r="B183" s="1189" t="s">
        <v>338</v>
      </c>
      <c r="C183" s="1190" t="s">
        <v>543</v>
      </c>
      <c r="D183" s="32">
        <v>400</v>
      </c>
      <c r="E183" s="32">
        <v>550</v>
      </c>
      <c r="F183" s="32">
        <v>550</v>
      </c>
      <c r="G183" s="221" t="s">
        <v>51</v>
      </c>
      <c r="H183" s="378">
        <v>1</v>
      </c>
      <c r="I183" s="379" t="s">
        <v>17</v>
      </c>
      <c r="J183" s="50"/>
      <c r="K183" s="380" t="s">
        <v>680</v>
      </c>
      <c r="L183" s="379" t="s">
        <v>636</v>
      </c>
      <c r="M183" s="381">
        <v>43084</v>
      </c>
      <c r="N183" s="381">
        <v>43090</v>
      </c>
      <c r="O183" s="393"/>
      <c r="P183" s="106"/>
      <c r="Q183" s="52" t="s">
        <v>4094</v>
      </c>
      <c r="R183" s="384" t="s">
        <v>1734</v>
      </c>
      <c r="S183" s="322"/>
      <c r="T183" s="603"/>
    </row>
    <row r="184" spans="1:20" ht="20.100000000000001" customHeight="1">
      <c r="A184" s="1190" t="s">
        <v>2950</v>
      </c>
      <c r="B184" s="1189" t="s">
        <v>338</v>
      </c>
      <c r="C184" s="1189" t="s">
        <v>543</v>
      </c>
      <c r="D184" s="530">
        <f>D5+25</f>
        <v>400</v>
      </c>
      <c r="E184" s="530">
        <f>E5+50</f>
        <v>550</v>
      </c>
      <c r="F184" s="530">
        <f>F5+50</f>
        <v>550</v>
      </c>
      <c r="G184" s="625" t="s">
        <v>5</v>
      </c>
      <c r="H184" s="22">
        <v>1</v>
      </c>
      <c r="I184" s="51" t="s">
        <v>17</v>
      </c>
      <c r="J184" s="50"/>
      <c r="K184" s="50" t="s">
        <v>680</v>
      </c>
      <c r="L184" s="51" t="s">
        <v>636</v>
      </c>
      <c r="M184" s="6">
        <v>43073</v>
      </c>
      <c r="N184" s="6">
        <v>43080</v>
      </c>
      <c r="O184" s="675" t="s">
        <v>600</v>
      </c>
      <c r="P184" s="53" t="s">
        <v>3004</v>
      </c>
      <c r="Q184" s="52" t="s">
        <v>4094</v>
      </c>
      <c r="R184" s="49" t="s">
        <v>1419</v>
      </c>
      <c r="S184" s="315" t="s">
        <v>2893</v>
      </c>
      <c r="T184" s="603"/>
    </row>
    <row r="185" spans="1:20" s="377" customFormat="1" ht="20.100000000000001" customHeight="1">
      <c r="A185" s="1190" t="s">
        <v>2950</v>
      </c>
      <c r="B185" s="1189" t="s">
        <v>338</v>
      </c>
      <c r="C185" s="1189" t="s">
        <v>543</v>
      </c>
      <c r="D185" s="759">
        <v>425</v>
      </c>
      <c r="E185" s="759">
        <v>550</v>
      </c>
      <c r="F185" s="759">
        <v>550</v>
      </c>
      <c r="G185" s="3" t="s">
        <v>6</v>
      </c>
      <c r="H185" s="378">
        <v>1</v>
      </c>
      <c r="I185" s="379" t="s">
        <v>17</v>
      </c>
      <c r="J185" s="50"/>
      <c r="K185" s="380" t="s">
        <v>680</v>
      </c>
      <c r="L185" s="379" t="s">
        <v>636</v>
      </c>
      <c r="M185" s="391">
        <v>43087</v>
      </c>
      <c r="N185" s="391">
        <v>43087</v>
      </c>
      <c r="O185" s="393"/>
      <c r="P185" s="106"/>
      <c r="Q185" s="52" t="s">
        <v>4094</v>
      </c>
      <c r="R185" s="384" t="s">
        <v>1743</v>
      </c>
      <c r="S185" s="315" t="s">
        <v>2895</v>
      </c>
      <c r="T185" s="305"/>
    </row>
    <row r="186" spans="1:20" s="377" customFormat="1" ht="20.100000000000001" customHeight="1">
      <c r="A186" s="1190" t="s">
        <v>2950</v>
      </c>
      <c r="B186" s="1189" t="s">
        <v>338</v>
      </c>
      <c r="C186" s="1189" t="s">
        <v>543</v>
      </c>
      <c r="D186" s="32">
        <v>515</v>
      </c>
      <c r="E186" s="32">
        <v>680</v>
      </c>
      <c r="F186" s="32">
        <v>680</v>
      </c>
      <c r="G186" s="109" t="s">
        <v>53</v>
      </c>
      <c r="H186" s="390">
        <v>1</v>
      </c>
      <c r="I186" s="386" t="s">
        <v>17</v>
      </c>
      <c r="J186" s="37"/>
      <c r="K186" s="398" t="s">
        <v>900</v>
      </c>
      <c r="L186" s="379" t="s">
        <v>636</v>
      </c>
      <c r="M186" s="392">
        <v>43056</v>
      </c>
      <c r="N186" s="392">
        <v>43087</v>
      </c>
      <c r="O186" s="393"/>
      <c r="P186" s="53" t="s">
        <v>3004</v>
      </c>
      <c r="Q186" s="52" t="s">
        <v>4094</v>
      </c>
      <c r="R186" s="384" t="s">
        <v>1719</v>
      </c>
      <c r="S186" s="327" t="s">
        <v>2896</v>
      </c>
      <c r="T186" s="603"/>
    </row>
    <row r="187" spans="1:20" ht="20.100000000000001" customHeight="1">
      <c r="A187" s="1190" t="s">
        <v>2950</v>
      </c>
      <c r="B187" s="1189" t="s">
        <v>338</v>
      </c>
      <c r="C187" s="1189" t="s">
        <v>543</v>
      </c>
      <c r="D187" s="32">
        <f>D184</f>
        <v>400</v>
      </c>
      <c r="E187" s="32">
        <f t="shared" ref="E187:F187" si="4">E184</f>
        <v>550</v>
      </c>
      <c r="F187" s="32">
        <f t="shared" si="4"/>
        <v>550</v>
      </c>
      <c r="G187" s="625" t="s">
        <v>5</v>
      </c>
      <c r="H187" s="35">
        <v>1</v>
      </c>
      <c r="I187" s="38" t="s">
        <v>17</v>
      </c>
      <c r="J187" s="37"/>
      <c r="K187" s="37" t="s">
        <v>743</v>
      </c>
      <c r="L187" s="38" t="s">
        <v>643</v>
      </c>
      <c r="M187" s="6">
        <v>43073</v>
      </c>
      <c r="N187" s="6">
        <v>43080</v>
      </c>
      <c r="O187" s="675" t="s">
        <v>600</v>
      </c>
      <c r="P187" s="53" t="s">
        <v>3004</v>
      </c>
      <c r="Q187" s="7"/>
      <c r="R187" s="49" t="s">
        <v>2420</v>
      </c>
      <c r="S187" s="315" t="s">
        <v>2893</v>
      </c>
      <c r="T187" s="603"/>
    </row>
    <row r="188" spans="1:20" s="377" customFormat="1" ht="20.100000000000001" customHeight="1">
      <c r="A188" s="1190" t="s">
        <v>2950</v>
      </c>
      <c r="B188" s="1189" t="s">
        <v>338</v>
      </c>
      <c r="C188" s="1189" t="s">
        <v>543</v>
      </c>
      <c r="D188" s="11">
        <v>714</v>
      </c>
      <c r="E188" s="11">
        <v>1104</v>
      </c>
      <c r="F188" s="11">
        <v>1140</v>
      </c>
      <c r="G188" s="70" t="s">
        <v>559</v>
      </c>
      <c r="H188" s="390">
        <v>1</v>
      </c>
      <c r="I188" s="386" t="s">
        <v>17</v>
      </c>
      <c r="J188" s="37"/>
      <c r="K188" s="398" t="s">
        <v>1445</v>
      </c>
      <c r="L188" s="386" t="s">
        <v>653</v>
      </c>
      <c r="M188" s="381">
        <v>43045</v>
      </c>
      <c r="N188" s="381">
        <v>43093</v>
      </c>
      <c r="O188" s="388"/>
      <c r="P188" s="61"/>
      <c r="Q188" s="7"/>
      <c r="R188" s="397"/>
      <c r="S188" s="316" t="s">
        <v>2900</v>
      </c>
      <c r="T188" s="680"/>
    </row>
    <row r="189" spans="1:20" s="377" customFormat="1" ht="20.100000000000001" customHeight="1">
      <c r="A189" s="1190" t="s">
        <v>2950</v>
      </c>
      <c r="B189" s="1189" t="s">
        <v>338</v>
      </c>
      <c r="C189" s="1189" t="s">
        <v>543</v>
      </c>
      <c r="D189" s="531">
        <v>475</v>
      </c>
      <c r="E189" s="531">
        <v>575</v>
      </c>
      <c r="F189" s="531">
        <v>575</v>
      </c>
      <c r="G189" s="218" t="s">
        <v>52</v>
      </c>
      <c r="H189" s="385" t="s">
        <v>725</v>
      </c>
      <c r="I189" s="386" t="s">
        <v>17</v>
      </c>
      <c r="J189" s="38"/>
      <c r="K189" s="386" t="s">
        <v>660</v>
      </c>
      <c r="L189" s="379" t="s">
        <v>641</v>
      </c>
      <c r="M189" s="381">
        <v>43082</v>
      </c>
      <c r="N189" s="381">
        <v>43086</v>
      </c>
      <c r="O189" s="394" t="s">
        <v>1949</v>
      </c>
      <c r="P189" s="677"/>
      <c r="Q189" s="7"/>
      <c r="R189" s="397" t="s">
        <v>826</v>
      </c>
      <c r="S189" s="316"/>
      <c r="T189" s="78"/>
    </row>
    <row r="190" spans="1:20" s="377" customFormat="1" ht="20.100000000000001" customHeight="1">
      <c r="A190" s="1190" t="s">
        <v>2950</v>
      </c>
      <c r="B190" s="1189" t="s">
        <v>338</v>
      </c>
      <c r="C190" s="1189" t="s">
        <v>543</v>
      </c>
      <c r="D190" s="32">
        <v>350</v>
      </c>
      <c r="E190" s="32">
        <v>450</v>
      </c>
      <c r="F190" s="32">
        <v>450</v>
      </c>
      <c r="G190" s="218" t="s">
        <v>10</v>
      </c>
      <c r="H190" s="385" t="s">
        <v>725</v>
      </c>
      <c r="I190" s="386" t="s">
        <v>17</v>
      </c>
      <c r="J190" s="38"/>
      <c r="K190" s="386" t="s">
        <v>660</v>
      </c>
      <c r="L190" s="379" t="s">
        <v>641</v>
      </c>
      <c r="M190" s="547">
        <v>43082</v>
      </c>
      <c r="N190" s="547">
        <v>43087</v>
      </c>
      <c r="O190" s="395"/>
      <c r="P190" s="677"/>
      <c r="Q190" s="7"/>
      <c r="R190" s="397" t="s">
        <v>836</v>
      </c>
      <c r="S190" s="316" t="s">
        <v>1176</v>
      </c>
      <c r="T190" s="78"/>
    </row>
    <row r="191" spans="1:20" s="377" customFormat="1" ht="20.100000000000001" customHeight="1">
      <c r="A191" s="1190" t="s">
        <v>2950</v>
      </c>
      <c r="B191" s="1189" t="s">
        <v>338</v>
      </c>
      <c r="C191" s="1189" t="s">
        <v>543</v>
      </c>
      <c r="D191" s="531">
        <v>350</v>
      </c>
      <c r="E191" s="531">
        <v>500</v>
      </c>
      <c r="F191" s="531">
        <v>500</v>
      </c>
      <c r="G191" s="70" t="s">
        <v>232</v>
      </c>
      <c r="H191" s="385" t="s">
        <v>659</v>
      </c>
      <c r="I191" s="386" t="s">
        <v>23</v>
      </c>
      <c r="J191" s="38"/>
      <c r="K191" s="398" t="s">
        <v>728</v>
      </c>
      <c r="L191" s="379" t="s">
        <v>1245</v>
      </c>
      <c r="M191" s="399">
        <v>43082</v>
      </c>
      <c r="N191" s="399">
        <v>43086</v>
      </c>
      <c r="O191" s="393" t="s">
        <v>601</v>
      </c>
      <c r="P191" s="106"/>
      <c r="Q191" s="167"/>
      <c r="R191" s="397" t="s">
        <v>247</v>
      </c>
      <c r="S191" s="316"/>
      <c r="T191" s="78"/>
    </row>
    <row r="192" spans="1:20" s="377" customFormat="1" ht="20.100000000000001" customHeight="1">
      <c r="A192" s="1190" t="s">
        <v>2950</v>
      </c>
      <c r="B192" s="1189" t="s">
        <v>338</v>
      </c>
      <c r="C192" s="1189" t="s">
        <v>543</v>
      </c>
      <c r="D192" s="11">
        <f>D18+75</f>
        <v>415</v>
      </c>
      <c r="E192" s="11">
        <f>E18+150+50</f>
        <v>630</v>
      </c>
      <c r="F192" s="11">
        <f>F18+150+50</f>
        <v>630</v>
      </c>
      <c r="G192" s="228" t="s">
        <v>19</v>
      </c>
      <c r="H192" s="385" t="s">
        <v>725</v>
      </c>
      <c r="I192" s="386" t="s">
        <v>17</v>
      </c>
      <c r="J192" s="38"/>
      <c r="K192" s="398">
        <v>23</v>
      </c>
      <c r="L192" s="379" t="s">
        <v>636</v>
      </c>
      <c r="M192" s="399">
        <v>43082</v>
      </c>
      <c r="N192" s="399">
        <v>43088</v>
      </c>
      <c r="O192" s="382" t="s">
        <v>611</v>
      </c>
      <c r="P192" s="105"/>
      <c r="Q192" s="7"/>
      <c r="R192" s="384" t="s">
        <v>191</v>
      </c>
      <c r="S192" s="316" t="s">
        <v>1176</v>
      </c>
      <c r="T192" s="680"/>
    </row>
    <row r="193" spans="1:20" s="377" customFormat="1" ht="20.100000000000001" customHeight="1">
      <c r="A193" s="1190" t="s">
        <v>2950</v>
      </c>
      <c r="B193" s="1189" t="s">
        <v>338</v>
      </c>
      <c r="C193" s="1189" t="s">
        <v>543</v>
      </c>
      <c r="D193" s="32">
        <v>400</v>
      </c>
      <c r="E193" s="32">
        <v>550</v>
      </c>
      <c r="F193" s="32">
        <v>550</v>
      </c>
      <c r="G193" s="218" t="s">
        <v>51</v>
      </c>
      <c r="H193" s="385" t="s">
        <v>725</v>
      </c>
      <c r="I193" s="386" t="s">
        <v>17</v>
      </c>
      <c r="J193" s="38"/>
      <c r="K193" s="398">
        <v>23</v>
      </c>
      <c r="L193" s="379" t="s">
        <v>636</v>
      </c>
      <c r="M193" s="381">
        <v>43084</v>
      </c>
      <c r="N193" s="381">
        <v>43090</v>
      </c>
      <c r="O193" s="382"/>
      <c r="P193" s="105"/>
      <c r="Q193" s="7"/>
      <c r="R193" s="384" t="s">
        <v>1735</v>
      </c>
      <c r="S193" s="316"/>
      <c r="T193" s="680"/>
    </row>
    <row r="194" spans="1:20" s="377" customFormat="1" ht="20.100000000000001" customHeight="1">
      <c r="A194" s="1190" t="s">
        <v>2950</v>
      </c>
      <c r="B194" s="1189" t="s">
        <v>338</v>
      </c>
      <c r="C194" s="1189" t="s">
        <v>543</v>
      </c>
      <c r="D194" s="32">
        <v>475</v>
      </c>
      <c r="E194" s="32">
        <v>675</v>
      </c>
      <c r="F194" s="32">
        <v>675</v>
      </c>
      <c r="G194" s="70" t="s">
        <v>13</v>
      </c>
      <c r="H194" s="401" t="s">
        <v>1665</v>
      </c>
      <c r="I194" s="386" t="s">
        <v>17</v>
      </c>
      <c r="J194" s="38"/>
      <c r="K194" s="398">
        <v>23</v>
      </c>
      <c r="L194" s="379" t="s">
        <v>636</v>
      </c>
      <c r="M194" s="404">
        <v>43082</v>
      </c>
      <c r="N194" s="404">
        <v>43086</v>
      </c>
      <c r="O194" s="393" t="s">
        <v>601</v>
      </c>
      <c r="P194" s="61"/>
      <c r="Q194" s="7"/>
      <c r="R194" s="397" t="s">
        <v>191</v>
      </c>
      <c r="S194" s="316" t="s">
        <v>2897</v>
      </c>
      <c r="T194" s="78"/>
    </row>
    <row r="195" spans="1:20" s="377" customFormat="1" ht="20.100000000000001" customHeight="1">
      <c r="A195" s="1190" t="s">
        <v>2950</v>
      </c>
      <c r="B195" s="1189" t="s">
        <v>338</v>
      </c>
      <c r="C195" s="1189" t="s">
        <v>543</v>
      </c>
      <c r="D195" s="529">
        <v>500</v>
      </c>
      <c r="E195" s="529">
        <v>650</v>
      </c>
      <c r="F195" s="529">
        <v>650</v>
      </c>
      <c r="G195" s="699" t="s">
        <v>22</v>
      </c>
      <c r="H195" s="401" t="s">
        <v>1665</v>
      </c>
      <c r="I195" s="386" t="s">
        <v>17</v>
      </c>
      <c r="J195" s="38"/>
      <c r="K195" s="398">
        <v>23</v>
      </c>
      <c r="L195" s="379" t="s">
        <v>636</v>
      </c>
      <c r="M195" s="392">
        <v>43083</v>
      </c>
      <c r="N195" s="392">
        <v>43086</v>
      </c>
      <c r="O195" s="393"/>
      <c r="P195" s="53"/>
      <c r="Q195" s="167" t="s">
        <v>4314</v>
      </c>
      <c r="R195" s="397" t="s">
        <v>191</v>
      </c>
      <c r="S195" s="316" t="s">
        <v>1176</v>
      </c>
      <c r="T195" s="78"/>
    </row>
    <row r="196" spans="1:20" s="377" customFormat="1" ht="20.100000000000001" customHeight="1">
      <c r="A196" s="1190" t="s">
        <v>2950</v>
      </c>
      <c r="B196" s="1189" t="s">
        <v>338</v>
      </c>
      <c r="C196" s="1189" t="s">
        <v>543</v>
      </c>
      <c r="D196" s="531">
        <v>525</v>
      </c>
      <c r="E196" s="531">
        <v>600</v>
      </c>
      <c r="F196" s="531">
        <v>600</v>
      </c>
      <c r="G196" s="63" t="s">
        <v>29</v>
      </c>
      <c r="H196" s="401" t="s">
        <v>1665</v>
      </c>
      <c r="I196" s="386" t="s">
        <v>17</v>
      </c>
      <c r="J196" s="38"/>
      <c r="K196" s="398">
        <v>23</v>
      </c>
      <c r="L196" s="379" t="s">
        <v>636</v>
      </c>
      <c r="M196" s="404">
        <v>43083</v>
      </c>
      <c r="N196" s="404">
        <v>43086</v>
      </c>
      <c r="O196" s="400"/>
      <c r="P196" s="750"/>
      <c r="Q196" s="7"/>
      <c r="R196" s="397" t="s">
        <v>191</v>
      </c>
      <c r="S196" s="316" t="s">
        <v>2898</v>
      </c>
      <c r="T196" s="78"/>
    </row>
    <row r="197" spans="1:20" s="377" customFormat="1" ht="20.100000000000001" customHeight="1">
      <c r="A197" s="1190" t="s">
        <v>2950</v>
      </c>
      <c r="B197" s="1189" t="s">
        <v>338</v>
      </c>
      <c r="C197" s="1189" t="s">
        <v>543</v>
      </c>
      <c r="D197" s="11">
        <f>D27+75</f>
        <v>415</v>
      </c>
      <c r="E197" s="11">
        <f>E27+150+50</f>
        <v>630</v>
      </c>
      <c r="F197" s="11">
        <f>F27+150+50</f>
        <v>630</v>
      </c>
      <c r="G197" s="228" t="s">
        <v>19</v>
      </c>
      <c r="H197" s="401">
        <v>5</v>
      </c>
      <c r="I197" s="379" t="s">
        <v>107</v>
      </c>
      <c r="J197" s="38"/>
      <c r="K197" s="386" t="s">
        <v>660</v>
      </c>
      <c r="L197" s="386" t="s">
        <v>641</v>
      </c>
      <c r="M197" s="399">
        <v>43082</v>
      </c>
      <c r="N197" s="399">
        <v>43088</v>
      </c>
      <c r="O197" s="382" t="s">
        <v>611</v>
      </c>
      <c r="P197" s="677"/>
      <c r="Q197" s="7"/>
      <c r="R197" s="397" t="s">
        <v>1789</v>
      </c>
      <c r="S197" s="316" t="s">
        <v>1176</v>
      </c>
      <c r="T197" s="680"/>
    </row>
    <row r="198" spans="1:20" s="377" customFormat="1" ht="20.100000000000001" customHeight="1">
      <c r="A198" s="1190" t="s">
        <v>2950</v>
      </c>
      <c r="B198" s="1189" t="s">
        <v>338</v>
      </c>
      <c r="C198" s="1189" t="s">
        <v>543</v>
      </c>
      <c r="D198" s="532">
        <v>475</v>
      </c>
      <c r="E198" s="532">
        <v>800</v>
      </c>
      <c r="F198" s="532">
        <v>800</v>
      </c>
      <c r="G198" s="65" t="s">
        <v>34</v>
      </c>
      <c r="H198" s="401">
        <v>5</v>
      </c>
      <c r="I198" s="379" t="s">
        <v>107</v>
      </c>
      <c r="J198" s="38"/>
      <c r="K198" s="386" t="s">
        <v>660</v>
      </c>
      <c r="L198" s="386" t="s">
        <v>650</v>
      </c>
      <c r="M198" s="392">
        <v>43077</v>
      </c>
      <c r="N198" s="392">
        <v>43086</v>
      </c>
      <c r="O198" s="395"/>
      <c r="P198" s="677"/>
      <c r="Q198" s="7"/>
      <c r="R198" s="397" t="s">
        <v>186</v>
      </c>
      <c r="S198" s="322" t="s">
        <v>1176</v>
      </c>
      <c r="T198" s="689"/>
    </row>
    <row r="199" spans="1:20" s="377" customFormat="1" ht="20.100000000000001" customHeight="1">
      <c r="A199" s="1190" t="s">
        <v>2950</v>
      </c>
      <c r="B199" s="1189" t="s">
        <v>338</v>
      </c>
      <c r="C199" s="1189" t="s">
        <v>543</v>
      </c>
      <c r="D199" s="531">
        <f>D41+75</f>
        <v>365</v>
      </c>
      <c r="E199" s="531">
        <f>E41+150+50</f>
        <v>530</v>
      </c>
      <c r="F199" s="531">
        <f>F41+150+50</f>
        <v>530</v>
      </c>
      <c r="G199" s="228" t="s">
        <v>19</v>
      </c>
      <c r="H199" s="401" t="s">
        <v>1773</v>
      </c>
      <c r="I199" s="386" t="s">
        <v>107</v>
      </c>
      <c r="J199" s="38"/>
      <c r="K199" s="386" t="s">
        <v>1784</v>
      </c>
      <c r="L199" s="379" t="s">
        <v>643</v>
      </c>
      <c r="M199" s="399">
        <v>43082</v>
      </c>
      <c r="N199" s="399">
        <v>43088</v>
      </c>
      <c r="O199" s="382" t="s">
        <v>611</v>
      </c>
      <c r="P199" s="677"/>
      <c r="Q199" s="7"/>
      <c r="R199" s="397" t="s">
        <v>1783</v>
      </c>
      <c r="S199" s="316" t="s">
        <v>1176</v>
      </c>
      <c r="T199" s="78"/>
    </row>
    <row r="200" spans="1:20" s="377" customFormat="1" ht="20.100000000000001" customHeight="1">
      <c r="A200" s="1191" t="s">
        <v>2950</v>
      </c>
      <c r="B200" s="1191" t="s">
        <v>3420</v>
      </c>
      <c r="C200" s="1191" t="s">
        <v>493</v>
      </c>
      <c r="D200" s="531">
        <f>D4+600</f>
        <v>950</v>
      </c>
      <c r="E200" s="531">
        <f>E4+900</f>
        <v>1350</v>
      </c>
      <c r="F200" s="531">
        <f>F4+900</f>
        <v>1350</v>
      </c>
      <c r="G200" s="222" t="s">
        <v>51</v>
      </c>
      <c r="H200" s="378">
        <v>1</v>
      </c>
      <c r="I200" s="379" t="s">
        <v>107</v>
      </c>
      <c r="J200" s="51"/>
      <c r="K200" s="379" t="s">
        <v>684</v>
      </c>
      <c r="L200" s="380" t="s">
        <v>636</v>
      </c>
      <c r="M200" s="381">
        <v>43084</v>
      </c>
      <c r="N200" s="381">
        <v>43090</v>
      </c>
      <c r="O200" s="395"/>
      <c r="P200" s="677"/>
      <c r="Q200" s="52" t="s">
        <v>4094</v>
      </c>
      <c r="R200" s="384" t="s">
        <v>1734</v>
      </c>
      <c r="S200" s="316"/>
      <c r="T200" s="78"/>
    </row>
    <row r="201" spans="1:20" s="377" customFormat="1" ht="20.100000000000001" customHeight="1">
      <c r="A201" s="1191" t="s">
        <v>2950</v>
      </c>
      <c r="B201" s="1191" t="s">
        <v>3420</v>
      </c>
      <c r="C201" s="1191" t="s">
        <v>493</v>
      </c>
      <c r="D201" s="531">
        <v>775</v>
      </c>
      <c r="E201" s="531">
        <v>1250</v>
      </c>
      <c r="F201" s="531">
        <v>1250</v>
      </c>
      <c r="G201" s="65" t="s">
        <v>6</v>
      </c>
      <c r="H201" s="378">
        <v>1</v>
      </c>
      <c r="I201" s="379" t="s">
        <v>107</v>
      </c>
      <c r="J201" s="51"/>
      <c r="K201" s="379" t="s">
        <v>684</v>
      </c>
      <c r="L201" s="380" t="s">
        <v>636</v>
      </c>
      <c r="M201" s="391">
        <v>43087</v>
      </c>
      <c r="N201" s="391">
        <v>43087</v>
      </c>
      <c r="O201" s="395"/>
      <c r="P201" s="677"/>
      <c r="Q201" s="52" t="s">
        <v>4094</v>
      </c>
      <c r="R201" s="384" t="s">
        <v>1743</v>
      </c>
      <c r="S201" s="315" t="s">
        <v>2895</v>
      </c>
      <c r="T201" s="137"/>
    </row>
    <row r="202" spans="1:20" ht="20.100000000000001" customHeight="1">
      <c r="A202" s="1191" t="s">
        <v>2950</v>
      </c>
      <c r="B202" s="1191" t="s">
        <v>3420</v>
      </c>
      <c r="C202" s="1191" t="s">
        <v>493</v>
      </c>
      <c r="D202" s="531">
        <f>D184+350</f>
        <v>750</v>
      </c>
      <c r="E202" s="531">
        <f>E184+600</f>
        <v>1150</v>
      </c>
      <c r="F202" s="531">
        <f>F184+600</f>
        <v>1150</v>
      </c>
      <c r="G202" s="625" t="s">
        <v>5</v>
      </c>
      <c r="H202" s="22">
        <v>1</v>
      </c>
      <c r="I202" s="51" t="s">
        <v>107</v>
      </c>
      <c r="J202" s="51"/>
      <c r="K202" s="51" t="s">
        <v>684</v>
      </c>
      <c r="L202" s="50" t="s">
        <v>636</v>
      </c>
      <c r="M202" s="6">
        <v>43073</v>
      </c>
      <c r="N202" s="6">
        <v>43080</v>
      </c>
      <c r="O202" s="675" t="s">
        <v>600</v>
      </c>
      <c r="P202" s="53" t="s">
        <v>3004</v>
      </c>
      <c r="Q202" s="52" t="s">
        <v>4094</v>
      </c>
      <c r="R202" s="612" t="s">
        <v>1419</v>
      </c>
      <c r="S202" s="315" t="s">
        <v>2893</v>
      </c>
      <c r="T202" s="137"/>
    </row>
    <row r="203" spans="1:20" s="377" customFormat="1" ht="20.100000000000001" customHeight="1">
      <c r="A203" s="1191" t="s">
        <v>2950</v>
      </c>
      <c r="B203" s="1191" t="s">
        <v>3420</v>
      </c>
      <c r="C203" s="1191" t="s">
        <v>493</v>
      </c>
      <c r="D203" s="531">
        <v>790</v>
      </c>
      <c r="E203" s="531">
        <v>1080</v>
      </c>
      <c r="F203" s="531">
        <v>1080</v>
      </c>
      <c r="G203" s="70" t="s">
        <v>37</v>
      </c>
      <c r="H203" s="378">
        <v>1</v>
      </c>
      <c r="I203" s="379" t="s">
        <v>107</v>
      </c>
      <c r="J203" s="51"/>
      <c r="K203" s="379" t="s">
        <v>684</v>
      </c>
      <c r="L203" s="380" t="s">
        <v>636</v>
      </c>
      <c r="M203" s="392">
        <v>43056</v>
      </c>
      <c r="N203" s="392">
        <v>43087</v>
      </c>
      <c r="O203" s="393"/>
      <c r="P203" s="53" t="s">
        <v>3004</v>
      </c>
      <c r="Q203" s="52" t="s">
        <v>4094</v>
      </c>
      <c r="R203" s="384" t="s">
        <v>1719</v>
      </c>
      <c r="S203" s="327" t="s">
        <v>2896</v>
      </c>
      <c r="T203" s="78"/>
    </row>
    <row r="204" spans="1:20" s="377" customFormat="1" ht="20.100000000000001" customHeight="1">
      <c r="A204" s="1191" t="s">
        <v>2950</v>
      </c>
      <c r="B204" s="1191" t="s">
        <v>3420</v>
      </c>
      <c r="C204" s="1191" t="s">
        <v>493</v>
      </c>
      <c r="D204" s="11">
        <v>1014</v>
      </c>
      <c r="E204" s="11">
        <v>1694</v>
      </c>
      <c r="F204" s="11">
        <v>1730</v>
      </c>
      <c r="G204" s="70" t="s">
        <v>559</v>
      </c>
      <c r="H204" s="390">
        <v>1</v>
      </c>
      <c r="I204" s="398" t="s">
        <v>124</v>
      </c>
      <c r="J204" s="37"/>
      <c r="K204" s="398">
        <v>27</v>
      </c>
      <c r="L204" s="386" t="s">
        <v>653</v>
      </c>
      <c r="M204" s="381">
        <v>43045</v>
      </c>
      <c r="N204" s="381">
        <v>43093</v>
      </c>
      <c r="O204" s="388"/>
      <c r="P204" s="61"/>
      <c r="Q204" s="7"/>
      <c r="R204" s="397"/>
      <c r="S204" s="316" t="s">
        <v>2900</v>
      </c>
      <c r="T204" s="689"/>
    </row>
    <row r="205" spans="1:20" s="377" customFormat="1" ht="20.100000000000001" customHeight="1">
      <c r="A205" s="1191" t="s">
        <v>2950</v>
      </c>
      <c r="B205" s="1191" t="s">
        <v>3420</v>
      </c>
      <c r="C205" s="1191" t="s">
        <v>493</v>
      </c>
      <c r="D205" s="532">
        <v>600</v>
      </c>
      <c r="E205" s="532">
        <v>950</v>
      </c>
      <c r="F205" s="532">
        <v>950</v>
      </c>
      <c r="G205" s="218" t="s">
        <v>10</v>
      </c>
      <c r="H205" s="56" t="s">
        <v>659</v>
      </c>
      <c r="I205" s="386" t="s">
        <v>107</v>
      </c>
      <c r="J205" s="38"/>
      <c r="K205" s="51" t="s">
        <v>1107</v>
      </c>
      <c r="L205" s="38" t="s">
        <v>3039</v>
      </c>
      <c r="M205" s="547">
        <v>43082</v>
      </c>
      <c r="N205" s="547">
        <v>43087</v>
      </c>
      <c r="O205" s="544"/>
      <c r="P205" s="572"/>
      <c r="Q205" s="52"/>
      <c r="R205" s="73" t="s">
        <v>3052</v>
      </c>
      <c r="S205" s="316" t="s">
        <v>1176</v>
      </c>
      <c r="T205" s="785"/>
    </row>
    <row r="206" spans="1:20" s="377" customFormat="1" ht="20.100000000000001" customHeight="1">
      <c r="A206" s="1191" t="s">
        <v>2950</v>
      </c>
      <c r="B206" s="1191" t="s">
        <v>3420</v>
      </c>
      <c r="C206" s="1191" t="s">
        <v>493</v>
      </c>
      <c r="D206" s="11">
        <f>D16+350+25</f>
        <v>725</v>
      </c>
      <c r="E206" s="11">
        <f>E16+600+200</f>
        <v>1200</v>
      </c>
      <c r="F206" s="11">
        <f>F16+600+200</f>
        <v>1200</v>
      </c>
      <c r="G206" s="67" t="s">
        <v>232</v>
      </c>
      <c r="H206" s="385" t="s">
        <v>659</v>
      </c>
      <c r="I206" s="386" t="s">
        <v>23</v>
      </c>
      <c r="J206" s="38"/>
      <c r="K206" s="398" t="s">
        <v>685</v>
      </c>
      <c r="L206" s="379" t="s">
        <v>641</v>
      </c>
      <c r="M206" s="399">
        <v>43082</v>
      </c>
      <c r="N206" s="399">
        <v>43086</v>
      </c>
      <c r="O206" s="393" t="s">
        <v>601</v>
      </c>
      <c r="P206" s="106"/>
      <c r="Q206" s="167"/>
      <c r="R206" s="397" t="s">
        <v>247</v>
      </c>
      <c r="S206" s="316"/>
      <c r="T206" s="689"/>
    </row>
    <row r="207" spans="1:20" s="377" customFormat="1" ht="20.100000000000001" customHeight="1">
      <c r="A207" s="1191" t="s">
        <v>2950</v>
      </c>
      <c r="B207" s="1191" t="s">
        <v>3420</v>
      </c>
      <c r="C207" s="1191" t="s">
        <v>493</v>
      </c>
      <c r="D207" s="532">
        <v>875</v>
      </c>
      <c r="E207" s="532">
        <v>1200</v>
      </c>
      <c r="F207" s="532">
        <v>1200</v>
      </c>
      <c r="G207" s="224" t="s">
        <v>52</v>
      </c>
      <c r="H207" s="385" t="s">
        <v>725</v>
      </c>
      <c r="I207" s="386" t="s">
        <v>107</v>
      </c>
      <c r="J207" s="38"/>
      <c r="K207" s="386" t="s">
        <v>688</v>
      </c>
      <c r="L207" s="379" t="s">
        <v>641</v>
      </c>
      <c r="M207" s="381">
        <v>43082</v>
      </c>
      <c r="N207" s="381">
        <v>43086</v>
      </c>
      <c r="O207" s="394" t="s">
        <v>1949</v>
      </c>
      <c r="P207" s="677"/>
      <c r="Q207" s="7"/>
      <c r="R207" s="397" t="s">
        <v>826</v>
      </c>
      <c r="S207" s="316"/>
      <c r="T207" s="78"/>
    </row>
    <row r="208" spans="1:20" s="377" customFormat="1" ht="20.100000000000001" customHeight="1">
      <c r="A208" s="1191" t="s">
        <v>2950</v>
      </c>
      <c r="B208" s="1191" t="s">
        <v>3420</v>
      </c>
      <c r="C208" s="1191" t="s">
        <v>493</v>
      </c>
      <c r="D208" s="532">
        <v>600</v>
      </c>
      <c r="E208" s="532">
        <v>1000</v>
      </c>
      <c r="F208" s="532">
        <v>1000</v>
      </c>
      <c r="G208" s="224" t="s">
        <v>10</v>
      </c>
      <c r="H208" s="385" t="s">
        <v>725</v>
      </c>
      <c r="I208" s="386" t="s">
        <v>107</v>
      </c>
      <c r="J208" s="38"/>
      <c r="K208" s="386" t="s">
        <v>665</v>
      </c>
      <c r="L208" s="379" t="s">
        <v>641</v>
      </c>
      <c r="M208" s="547">
        <v>43082</v>
      </c>
      <c r="N208" s="547">
        <v>43087</v>
      </c>
      <c r="O208" s="395"/>
      <c r="P208" s="677"/>
      <c r="Q208" s="7"/>
      <c r="R208" s="397" t="s">
        <v>836</v>
      </c>
      <c r="S208" s="316" t="s">
        <v>1176</v>
      </c>
      <c r="T208" s="78"/>
    </row>
    <row r="209" spans="1:20" s="377" customFormat="1" ht="20.100000000000001" customHeight="1">
      <c r="A209" s="1191" t="s">
        <v>2950</v>
      </c>
      <c r="B209" s="1191" t="s">
        <v>3420</v>
      </c>
      <c r="C209" s="1191" t="s">
        <v>493</v>
      </c>
      <c r="D209" s="11">
        <f>D17+600</f>
        <v>950</v>
      </c>
      <c r="E209" s="11">
        <f>E17+900</f>
        <v>1350</v>
      </c>
      <c r="F209" s="11">
        <f>F17+900</f>
        <v>1350</v>
      </c>
      <c r="G209" s="222" t="s">
        <v>51</v>
      </c>
      <c r="H209" s="401" t="s">
        <v>725</v>
      </c>
      <c r="I209" s="386" t="s">
        <v>107</v>
      </c>
      <c r="J209" s="38"/>
      <c r="K209" s="398" t="s">
        <v>728</v>
      </c>
      <c r="L209" s="379" t="s">
        <v>636</v>
      </c>
      <c r="M209" s="381">
        <v>43084</v>
      </c>
      <c r="N209" s="381">
        <v>43090</v>
      </c>
      <c r="O209" s="382"/>
      <c r="P209" s="105"/>
      <c r="Q209" s="7"/>
      <c r="R209" s="384" t="s">
        <v>1735</v>
      </c>
      <c r="S209" s="316"/>
      <c r="T209" s="689"/>
    </row>
    <row r="210" spans="1:20" s="377" customFormat="1" ht="20.100000000000001" customHeight="1">
      <c r="A210" s="1191" t="s">
        <v>2950</v>
      </c>
      <c r="B210" s="1191" t="s">
        <v>3420</v>
      </c>
      <c r="C210" s="1191" t="s">
        <v>493</v>
      </c>
      <c r="D210" s="11">
        <f>D20+475</f>
        <v>850</v>
      </c>
      <c r="E210" s="11">
        <f>E20+750</f>
        <v>1225</v>
      </c>
      <c r="F210" s="11">
        <f>F20+750</f>
        <v>1225</v>
      </c>
      <c r="G210" s="705" t="s">
        <v>13</v>
      </c>
      <c r="H210" s="401" t="s">
        <v>725</v>
      </c>
      <c r="I210" s="386" t="s">
        <v>107</v>
      </c>
      <c r="J210" s="38"/>
      <c r="K210" s="398">
        <v>25</v>
      </c>
      <c r="L210" s="379" t="s">
        <v>636</v>
      </c>
      <c r="M210" s="404">
        <v>43082</v>
      </c>
      <c r="N210" s="404">
        <v>43086</v>
      </c>
      <c r="O210" s="393" t="s">
        <v>601</v>
      </c>
      <c r="P210" s="105"/>
      <c r="Q210" s="7"/>
      <c r="R210" s="397" t="s">
        <v>191</v>
      </c>
      <c r="S210" s="316" t="s">
        <v>2897</v>
      </c>
      <c r="T210" s="689"/>
    </row>
    <row r="211" spans="1:20" s="377" customFormat="1" ht="20.100000000000001" customHeight="1">
      <c r="A211" s="1191" t="s">
        <v>2950</v>
      </c>
      <c r="B211" s="1191" t="s">
        <v>3420</v>
      </c>
      <c r="C211" s="1191" t="s">
        <v>493</v>
      </c>
      <c r="D211" s="532">
        <v>1175</v>
      </c>
      <c r="E211" s="532">
        <v>1650</v>
      </c>
      <c r="F211" s="532">
        <v>1650</v>
      </c>
      <c r="G211" s="63" t="s">
        <v>29</v>
      </c>
      <c r="H211" s="401" t="s">
        <v>1665</v>
      </c>
      <c r="I211" s="386" t="s">
        <v>107</v>
      </c>
      <c r="J211" s="38"/>
      <c r="K211" s="398">
        <v>25</v>
      </c>
      <c r="L211" s="379" t="s">
        <v>636</v>
      </c>
      <c r="M211" s="404">
        <v>43083</v>
      </c>
      <c r="N211" s="404">
        <v>43086</v>
      </c>
      <c r="O211" s="400"/>
      <c r="P211" s="750"/>
      <c r="Q211" s="7"/>
      <c r="R211" s="397" t="s">
        <v>191</v>
      </c>
      <c r="S211" s="316" t="s">
        <v>2898</v>
      </c>
      <c r="T211" s="78"/>
    </row>
    <row r="212" spans="1:20" s="377" customFormat="1" ht="20.100000000000001" customHeight="1">
      <c r="A212" s="1191" t="s">
        <v>2950</v>
      </c>
      <c r="B212" s="1191" t="s">
        <v>3420</v>
      </c>
      <c r="C212" s="1191" t="s">
        <v>493</v>
      </c>
      <c r="D212" s="11">
        <f>D23+600</f>
        <v>950</v>
      </c>
      <c r="E212" s="11">
        <f>E23+900</f>
        <v>1350</v>
      </c>
      <c r="F212" s="11">
        <f>F23+900</f>
        <v>1350</v>
      </c>
      <c r="G212" s="222" t="s">
        <v>51</v>
      </c>
      <c r="H212" s="401" t="s">
        <v>681</v>
      </c>
      <c r="I212" s="386" t="s">
        <v>107</v>
      </c>
      <c r="J212" s="38"/>
      <c r="K212" s="386" t="s">
        <v>680</v>
      </c>
      <c r="L212" s="379" t="s">
        <v>639</v>
      </c>
      <c r="M212" s="381">
        <v>43084</v>
      </c>
      <c r="N212" s="381">
        <v>43090</v>
      </c>
      <c r="O212" s="393"/>
      <c r="P212" s="750"/>
      <c r="Q212" s="52" t="s">
        <v>4072</v>
      </c>
      <c r="R212" s="397" t="s">
        <v>1732</v>
      </c>
      <c r="S212" s="316"/>
      <c r="T212" s="78"/>
    </row>
    <row r="213" spans="1:20" ht="20.100000000000001" customHeight="1">
      <c r="A213" s="1191" t="s">
        <v>2950</v>
      </c>
      <c r="B213" s="1191" t="s">
        <v>3420</v>
      </c>
      <c r="C213" s="1191" t="s">
        <v>493</v>
      </c>
      <c r="D213" s="532">
        <f>D184+350</f>
        <v>750</v>
      </c>
      <c r="E213" s="532">
        <f>E184+600</f>
        <v>1150</v>
      </c>
      <c r="F213" s="532">
        <f>F184+600</f>
        <v>1150</v>
      </c>
      <c r="G213" s="625" t="s">
        <v>5</v>
      </c>
      <c r="H213" s="35">
        <v>5</v>
      </c>
      <c r="I213" s="38" t="s">
        <v>107</v>
      </c>
      <c r="J213" s="38"/>
      <c r="K213" s="38" t="s">
        <v>680</v>
      </c>
      <c r="L213" s="51" t="s">
        <v>639</v>
      </c>
      <c r="M213" s="6">
        <v>43073</v>
      </c>
      <c r="N213" s="6">
        <v>43080</v>
      </c>
      <c r="O213" s="675" t="s">
        <v>600</v>
      </c>
      <c r="P213" s="53" t="s">
        <v>3004</v>
      </c>
      <c r="Q213" s="52" t="s">
        <v>4072</v>
      </c>
      <c r="R213" s="49" t="s">
        <v>763</v>
      </c>
      <c r="S213" s="315" t="s">
        <v>2893</v>
      </c>
      <c r="T213" s="689"/>
    </row>
    <row r="214" spans="1:20" s="377" customFormat="1" ht="20.100000000000001" customHeight="1">
      <c r="A214" s="1191" t="s">
        <v>2950</v>
      </c>
      <c r="B214" s="1191" t="s">
        <v>3420</v>
      </c>
      <c r="C214" s="1191" t="s">
        <v>493</v>
      </c>
      <c r="D214" s="531">
        <v>790</v>
      </c>
      <c r="E214" s="531">
        <v>1080</v>
      </c>
      <c r="F214" s="531">
        <v>1080</v>
      </c>
      <c r="G214" s="70" t="s">
        <v>37</v>
      </c>
      <c r="H214" s="390">
        <v>5</v>
      </c>
      <c r="I214" s="386" t="s">
        <v>107</v>
      </c>
      <c r="J214" s="38"/>
      <c r="K214" s="386" t="s">
        <v>680</v>
      </c>
      <c r="L214" s="379" t="s">
        <v>639</v>
      </c>
      <c r="M214" s="392">
        <v>43056</v>
      </c>
      <c r="N214" s="392">
        <v>43087</v>
      </c>
      <c r="O214" s="395"/>
      <c r="P214" s="53" t="s">
        <v>3004</v>
      </c>
      <c r="Q214" s="52" t="s">
        <v>4072</v>
      </c>
      <c r="R214" s="397" t="s">
        <v>815</v>
      </c>
      <c r="S214" s="327" t="s">
        <v>2896</v>
      </c>
      <c r="T214" s="689"/>
    </row>
    <row r="215" spans="1:20" s="377" customFormat="1" ht="20.100000000000001" customHeight="1">
      <c r="A215" s="1191" t="s">
        <v>2950</v>
      </c>
      <c r="B215" s="1191" t="s">
        <v>3420</v>
      </c>
      <c r="C215" s="1191" t="s">
        <v>493</v>
      </c>
      <c r="D215" s="532">
        <f>D30+600</f>
        <v>950</v>
      </c>
      <c r="E215" s="532">
        <f>E30+900</f>
        <v>1350</v>
      </c>
      <c r="F215" s="532">
        <f>F30+900</f>
        <v>1350</v>
      </c>
      <c r="G215" s="222" t="s">
        <v>51</v>
      </c>
      <c r="H215" s="401" t="s">
        <v>721</v>
      </c>
      <c r="I215" s="386" t="s">
        <v>107</v>
      </c>
      <c r="J215" s="38"/>
      <c r="K215" s="386" t="s">
        <v>727</v>
      </c>
      <c r="L215" s="379" t="s">
        <v>636</v>
      </c>
      <c r="M215" s="381">
        <v>43084</v>
      </c>
      <c r="N215" s="381">
        <v>43090</v>
      </c>
      <c r="O215" s="395"/>
      <c r="P215" s="677"/>
      <c r="Q215" s="52"/>
      <c r="R215" s="389" t="s">
        <v>167</v>
      </c>
      <c r="S215" s="316"/>
      <c r="T215" s="689"/>
    </row>
    <row r="216" spans="1:20" s="377" customFormat="1" ht="20.100000000000001" customHeight="1">
      <c r="A216" s="1191" t="s">
        <v>2950</v>
      </c>
      <c r="B216" s="1191" t="s">
        <v>3420</v>
      </c>
      <c r="C216" s="1191" t="s">
        <v>493</v>
      </c>
      <c r="D216" s="531">
        <v>790</v>
      </c>
      <c r="E216" s="531">
        <v>1080</v>
      </c>
      <c r="F216" s="531">
        <v>1080</v>
      </c>
      <c r="G216" s="70" t="s">
        <v>37</v>
      </c>
      <c r="H216" s="401" t="s">
        <v>721</v>
      </c>
      <c r="I216" s="386" t="s">
        <v>107</v>
      </c>
      <c r="J216" s="38"/>
      <c r="K216" s="386" t="s">
        <v>727</v>
      </c>
      <c r="L216" s="379" t="s">
        <v>636</v>
      </c>
      <c r="M216" s="392">
        <v>43056</v>
      </c>
      <c r="N216" s="392">
        <v>43087</v>
      </c>
      <c r="O216" s="395"/>
      <c r="P216" s="53" t="s">
        <v>3004</v>
      </c>
      <c r="Q216" s="52"/>
      <c r="R216" s="389" t="s">
        <v>1774</v>
      </c>
      <c r="S216" s="327" t="s">
        <v>2896</v>
      </c>
      <c r="T216" s="689"/>
    </row>
    <row r="217" spans="1:20" s="377" customFormat="1" ht="20.100000000000001" customHeight="1">
      <c r="A217" s="1191" t="s">
        <v>2950</v>
      </c>
      <c r="B217" s="1191" t="s">
        <v>3420</v>
      </c>
      <c r="C217" s="1191" t="s">
        <v>493</v>
      </c>
      <c r="D217" s="532">
        <f>D34+475</f>
        <v>850</v>
      </c>
      <c r="E217" s="532">
        <f>E34+750</f>
        <v>1225</v>
      </c>
      <c r="F217" s="532">
        <f>F34+750</f>
        <v>1225</v>
      </c>
      <c r="G217" s="705" t="s">
        <v>13</v>
      </c>
      <c r="H217" s="401" t="s">
        <v>721</v>
      </c>
      <c r="I217" s="386" t="s">
        <v>107</v>
      </c>
      <c r="J217" s="38"/>
      <c r="K217" s="386" t="s">
        <v>727</v>
      </c>
      <c r="L217" s="379" t="s">
        <v>636</v>
      </c>
      <c r="M217" s="404">
        <v>43085</v>
      </c>
      <c r="N217" s="404">
        <v>43086</v>
      </c>
      <c r="O217" s="393" t="s">
        <v>601</v>
      </c>
      <c r="P217" s="61"/>
      <c r="Q217" s="52"/>
      <c r="R217" s="397" t="s">
        <v>1854</v>
      </c>
      <c r="S217" s="316" t="s">
        <v>2897</v>
      </c>
      <c r="T217" s="78"/>
    </row>
    <row r="218" spans="1:20" s="377" customFormat="1" ht="20.100000000000001" customHeight="1">
      <c r="A218" s="1191" t="s">
        <v>2950</v>
      </c>
      <c r="B218" s="1191" t="s">
        <v>3420</v>
      </c>
      <c r="C218" s="1191" t="s">
        <v>493</v>
      </c>
      <c r="D218" s="532">
        <f>+D37+600</f>
        <v>950</v>
      </c>
      <c r="E218" s="532">
        <f>+E37+900</f>
        <v>1350</v>
      </c>
      <c r="F218" s="532">
        <f>+F37+900</f>
        <v>1350</v>
      </c>
      <c r="G218" s="222" t="s">
        <v>51</v>
      </c>
      <c r="H218" s="401" t="s">
        <v>721</v>
      </c>
      <c r="I218" s="386" t="s">
        <v>107</v>
      </c>
      <c r="J218" s="38"/>
      <c r="K218" s="386" t="s">
        <v>660</v>
      </c>
      <c r="L218" s="379" t="s">
        <v>639</v>
      </c>
      <c r="M218" s="381">
        <v>43084</v>
      </c>
      <c r="N218" s="381">
        <v>43090</v>
      </c>
      <c r="O218" s="395"/>
      <c r="P218" s="677"/>
      <c r="Q218" s="52"/>
      <c r="R218" s="397" t="s">
        <v>1730</v>
      </c>
      <c r="S218" s="316"/>
      <c r="T218" s="689"/>
    </row>
    <row r="219" spans="1:20" ht="20.100000000000001" customHeight="1">
      <c r="A219" s="1191" t="s">
        <v>2950</v>
      </c>
      <c r="B219" s="1191" t="s">
        <v>3420</v>
      </c>
      <c r="C219" s="1191" t="s">
        <v>493</v>
      </c>
      <c r="D219" s="532">
        <f>D184+350</f>
        <v>750</v>
      </c>
      <c r="E219" s="532">
        <f>E184+600</f>
        <v>1150</v>
      </c>
      <c r="F219" s="532">
        <f>F184+600</f>
        <v>1150</v>
      </c>
      <c r="G219" s="625" t="s">
        <v>5</v>
      </c>
      <c r="H219" s="676" t="s">
        <v>721</v>
      </c>
      <c r="I219" s="38" t="s">
        <v>107</v>
      </c>
      <c r="J219" s="38"/>
      <c r="K219" s="38" t="s">
        <v>660</v>
      </c>
      <c r="L219" s="51" t="s">
        <v>639</v>
      </c>
      <c r="M219" s="6">
        <v>43073</v>
      </c>
      <c r="N219" s="6">
        <v>43080</v>
      </c>
      <c r="O219" s="675" t="s">
        <v>600</v>
      </c>
      <c r="P219" s="53" t="s">
        <v>3004</v>
      </c>
      <c r="Q219" s="52"/>
      <c r="R219" s="49" t="s">
        <v>762</v>
      </c>
      <c r="S219" s="315" t="s">
        <v>2893</v>
      </c>
      <c r="T219" s="689"/>
    </row>
    <row r="220" spans="1:20" s="377" customFormat="1" ht="20.100000000000001" customHeight="1">
      <c r="A220" s="1191" t="s">
        <v>2950</v>
      </c>
      <c r="B220" s="1191" t="s">
        <v>3420</v>
      </c>
      <c r="C220" s="1191" t="s">
        <v>493</v>
      </c>
      <c r="D220" s="531">
        <v>790</v>
      </c>
      <c r="E220" s="531">
        <v>1080</v>
      </c>
      <c r="F220" s="531">
        <v>1080</v>
      </c>
      <c r="G220" s="70" t="s">
        <v>37</v>
      </c>
      <c r="H220" s="401" t="s">
        <v>721</v>
      </c>
      <c r="I220" s="386" t="s">
        <v>107</v>
      </c>
      <c r="J220" s="38"/>
      <c r="K220" s="386" t="s">
        <v>660</v>
      </c>
      <c r="L220" s="379" t="s">
        <v>636</v>
      </c>
      <c r="M220" s="392">
        <v>43056</v>
      </c>
      <c r="N220" s="392">
        <v>43087</v>
      </c>
      <c r="O220" s="395"/>
      <c r="P220" s="53" t="s">
        <v>3004</v>
      </c>
      <c r="Q220" s="52"/>
      <c r="R220" s="397" t="s">
        <v>1775</v>
      </c>
      <c r="S220" s="327" t="s">
        <v>2896</v>
      </c>
      <c r="T220" s="689"/>
    </row>
    <row r="221" spans="1:20" s="377" customFormat="1" ht="20.100000000000001" customHeight="1">
      <c r="A221" s="1191" t="s">
        <v>2950</v>
      </c>
      <c r="B221" s="1191" t="s">
        <v>3420</v>
      </c>
      <c r="C221" s="1191" t="s">
        <v>3419</v>
      </c>
      <c r="D221" s="11">
        <v>1054</v>
      </c>
      <c r="E221" s="11">
        <v>1784</v>
      </c>
      <c r="F221" s="11">
        <v>1820</v>
      </c>
      <c r="G221" s="70" t="s">
        <v>559</v>
      </c>
      <c r="H221" s="390">
        <v>1</v>
      </c>
      <c r="I221" s="398" t="s">
        <v>132</v>
      </c>
      <c r="J221" s="37"/>
      <c r="K221" s="398">
        <v>25</v>
      </c>
      <c r="L221" s="386" t="s">
        <v>653</v>
      </c>
      <c r="M221" s="381">
        <v>43045</v>
      </c>
      <c r="N221" s="381">
        <v>43093</v>
      </c>
      <c r="O221" s="388"/>
      <c r="P221" s="61"/>
      <c r="Q221" s="7"/>
      <c r="R221" s="397"/>
      <c r="S221" s="316" t="s">
        <v>2900</v>
      </c>
      <c r="T221" s="689"/>
    </row>
    <row r="222" spans="1:20" s="377" customFormat="1" ht="20.100000000000001" customHeight="1">
      <c r="A222" s="1191" t="s">
        <v>2950</v>
      </c>
      <c r="B222" s="1191" t="s">
        <v>3420</v>
      </c>
      <c r="C222" s="1191" t="s">
        <v>3419</v>
      </c>
      <c r="D222" s="531">
        <v>775</v>
      </c>
      <c r="E222" s="531">
        <v>1250</v>
      </c>
      <c r="F222" s="531">
        <v>1250</v>
      </c>
      <c r="G222" s="65" t="s">
        <v>6</v>
      </c>
      <c r="H222" s="378">
        <v>1</v>
      </c>
      <c r="I222" s="379" t="s">
        <v>107</v>
      </c>
      <c r="J222" s="51"/>
      <c r="K222" s="379" t="s">
        <v>684</v>
      </c>
      <c r="L222" s="380" t="s">
        <v>636</v>
      </c>
      <c r="M222" s="391">
        <v>43087</v>
      </c>
      <c r="N222" s="391">
        <v>43087</v>
      </c>
      <c r="O222" s="395"/>
      <c r="P222" s="677"/>
      <c r="Q222" s="52" t="s">
        <v>4094</v>
      </c>
      <c r="R222" s="384" t="s">
        <v>1743</v>
      </c>
      <c r="S222" s="315" t="s">
        <v>2895</v>
      </c>
      <c r="T222" s="137"/>
    </row>
    <row r="223" spans="1:20" ht="20.100000000000001" customHeight="1">
      <c r="A223" s="1191" t="s">
        <v>2950</v>
      </c>
      <c r="B223" s="1191" t="s">
        <v>3420</v>
      </c>
      <c r="C223" s="1191" t="s">
        <v>3419</v>
      </c>
      <c r="D223" s="531">
        <f>D184+450</f>
        <v>850</v>
      </c>
      <c r="E223" s="531">
        <f>E184+750</f>
        <v>1300</v>
      </c>
      <c r="F223" s="531">
        <f>F184+750</f>
        <v>1300</v>
      </c>
      <c r="G223" s="625" t="s">
        <v>5</v>
      </c>
      <c r="H223" s="22">
        <v>1</v>
      </c>
      <c r="I223" s="51" t="s">
        <v>107</v>
      </c>
      <c r="J223" s="51"/>
      <c r="K223" s="51" t="s">
        <v>684</v>
      </c>
      <c r="L223" s="50" t="s">
        <v>636</v>
      </c>
      <c r="M223" s="6">
        <v>43073</v>
      </c>
      <c r="N223" s="6">
        <v>43080</v>
      </c>
      <c r="O223" s="675" t="s">
        <v>600</v>
      </c>
      <c r="P223" s="53" t="s">
        <v>3004</v>
      </c>
      <c r="Q223" s="52" t="s">
        <v>4094</v>
      </c>
      <c r="R223" s="612" t="s">
        <v>1419</v>
      </c>
      <c r="S223" s="315" t="s">
        <v>2893</v>
      </c>
      <c r="T223" s="137"/>
    </row>
    <row r="224" spans="1:20" s="377" customFormat="1" ht="20.100000000000001" customHeight="1">
      <c r="A224" s="1191" t="s">
        <v>2950</v>
      </c>
      <c r="B224" s="1191" t="s">
        <v>3420</v>
      </c>
      <c r="C224" s="1191" t="s">
        <v>3419</v>
      </c>
      <c r="D224" s="531">
        <v>790</v>
      </c>
      <c r="E224" s="531">
        <v>1130</v>
      </c>
      <c r="F224" s="531">
        <v>1130</v>
      </c>
      <c r="G224" s="70" t="s">
        <v>37</v>
      </c>
      <c r="H224" s="378">
        <v>1</v>
      </c>
      <c r="I224" s="379" t="s">
        <v>107</v>
      </c>
      <c r="J224" s="51"/>
      <c r="K224" s="379" t="s">
        <v>684</v>
      </c>
      <c r="L224" s="380" t="s">
        <v>636</v>
      </c>
      <c r="M224" s="392">
        <v>43070</v>
      </c>
      <c r="N224" s="392">
        <v>43087</v>
      </c>
      <c r="O224" s="393"/>
      <c r="P224" s="53" t="s">
        <v>3004</v>
      </c>
      <c r="Q224" s="52" t="s">
        <v>4094</v>
      </c>
      <c r="R224" s="384" t="s">
        <v>1719</v>
      </c>
      <c r="S224" s="327" t="s">
        <v>2896</v>
      </c>
      <c r="T224" s="689"/>
    </row>
    <row r="225" spans="1:20" s="377" customFormat="1" ht="20.100000000000001" customHeight="1">
      <c r="A225" s="1191" t="s">
        <v>2950</v>
      </c>
      <c r="B225" s="1191" t="s">
        <v>3420</v>
      </c>
      <c r="C225" s="1191" t="s">
        <v>339</v>
      </c>
      <c r="D225" s="532">
        <v>1000</v>
      </c>
      <c r="E225" s="532">
        <v>1450</v>
      </c>
      <c r="F225" s="532">
        <v>1450</v>
      </c>
      <c r="G225" s="218" t="s">
        <v>10</v>
      </c>
      <c r="H225" s="56" t="s">
        <v>659</v>
      </c>
      <c r="I225" s="386" t="s">
        <v>107</v>
      </c>
      <c r="J225" s="38"/>
      <c r="K225" s="51" t="s">
        <v>1107</v>
      </c>
      <c r="L225" s="38" t="s">
        <v>3039</v>
      </c>
      <c r="M225" s="547">
        <v>43082</v>
      </c>
      <c r="N225" s="547">
        <v>43087</v>
      </c>
      <c r="O225" s="544"/>
      <c r="P225" s="572"/>
      <c r="Q225" s="52"/>
      <c r="R225" s="73" t="s">
        <v>3052</v>
      </c>
      <c r="S225" s="316" t="s">
        <v>1176</v>
      </c>
      <c r="T225" s="785"/>
    </row>
    <row r="226" spans="1:20" s="377" customFormat="1" ht="20.100000000000001" customHeight="1">
      <c r="A226" s="1191" t="s">
        <v>2950</v>
      </c>
      <c r="B226" s="1191" t="s">
        <v>3420</v>
      </c>
      <c r="C226" s="1191" t="s">
        <v>3419</v>
      </c>
      <c r="D226" s="532">
        <v>925</v>
      </c>
      <c r="E226" s="532">
        <v>1250</v>
      </c>
      <c r="F226" s="532">
        <v>1250</v>
      </c>
      <c r="G226" s="218" t="s">
        <v>52</v>
      </c>
      <c r="H226" s="385" t="s">
        <v>725</v>
      </c>
      <c r="I226" s="386" t="s">
        <v>107</v>
      </c>
      <c r="J226" s="38"/>
      <c r="K226" s="386" t="s">
        <v>688</v>
      </c>
      <c r="L226" s="379" t="s">
        <v>641</v>
      </c>
      <c r="M226" s="381">
        <v>43082</v>
      </c>
      <c r="N226" s="381">
        <v>43086</v>
      </c>
      <c r="O226" s="394" t="s">
        <v>1949</v>
      </c>
      <c r="P226" s="61"/>
      <c r="Q226" s="7"/>
      <c r="R226" s="397" t="s">
        <v>826</v>
      </c>
      <c r="S226" s="316"/>
      <c r="T226" s="78"/>
    </row>
    <row r="227" spans="1:20" s="377" customFormat="1" ht="20.100000000000001" customHeight="1">
      <c r="A227" s="1191" t="s">
        <v>2950</v>
      </c>
      <c r="B227" s="1191" t="s">
        <v>3420</v>
      </c>
      <c r="C227" s="1191" t="s">
        <v>3419</v>
      </c>
      <c r="D227" s="532">
        <v>1000</v>
      </c>
      <c r="E227" s="532">
        <v>1500</v>
      </c>
      <c r="F227" s="532">
        <v>1500</v>
      </c>
      <c r="G227" s="218" t="s">
        <v>10</v>
      </c>
      <c r="H227" s="385" t="s">
        <v>725</v>
      </c>
      <c r="I227" s="386" t="s">
        <v>107</v>
      </c>
      <c r="J227" s="38"/>
      <c r="K227" s="38" t="s">
        <v>3421</v>
      </c>
      <c r="L227" s="379" t="s">
        <v>641</v>
      </c>
      <c r="M227" s="547">
        <v>43082</v>
      </c>
      <c r="N227" s="547">
        <v>43087</v>
      </c>
      <c r="O227" s="395"/>
      <c r="P227" s="677"/>
      <c r="Q227" s="7"/>
      <c r="R227" s="397" t="s">
        <v>836</v>
      </c>
      <c r="S227" s="316" t="s">
        <v>1176</v>
      </c>
      <c r="T227" s="78"/>
    </row>
    <row r="228" spans="1:20" s="377" customFormat="1" ht="20.100000000000001" customHeight="1">
      <c r="A228" s="1191" t="s">
        <v>2950</v>
      </c>
      <c r="B228" s="1191" t="s">
        <v>3420</v>
      </c>
      <c r="C228" s="1191" t="s">
        <v>3419</v>
      </c>
      <c r="D228" s="532">
        <f>D20+525</f>
        <v>900</v>
      </c>
      <c r="E228" s="532">
        <f>E20+950</f>
        <v>1425</v>
      </c>
      <c r="F228" s="532">
        <f>F20+950</f>
        <v>1425</v>
      </c>
      <c r="G228" s="705" t="s">
        <v>13</v>
      </c>
      <c r="H228" s="401" t="s">
        <v>725</v>
      </c>
      <c r="I228" s="386" t="s">
        <v>107</v>
      </c>
      <c r="J228" s="38"/>
      <c r="K228" s="398">
        <v>25</v>
      </c>
      <c r="L228" s="379" t="s">
        <v>636</v>
      </c>
      <c r="M228" s="404">
        <v>43082</v>
      </c>
      <c r="N228" s="404">
        <v>43086</v>
      </c>
      <c r="O228" s="393" t="s">
        <v>601</v>
      </c>
      <c r="P228" s="105"/>
      <c r="Q228" s="7"/>
      <c r="R228" s="397" t="s">
        <v>191</v>
      </c>
      <c r="S228" s="316" t="s">
        <v>2897</v>
      </c>
      <c r="T228" s="78"/>
    </row>
    <row r="229" spans="1:20" s="377" customFormat="1" ht="20.100000000000001" customHeight="1">
      <c r="A229" s="1191" t="s">
        <v>2950</v>
      </c>
      <c r="B229" s="1191" t="s">
        <v>3420</v>
      </c>
      <c r="C229" s="1191" t="s">
        <v>3419</v>
      </c>
      <c r="D229" s="532">
        <v>1175</v>
      </c>
      <c r="E229" s="532">
        <v>1750</v>
      </c>
      <c r="F229" s="532">
        <v>1750</v>
      </c>
      <c r="G229" s="63" t="s">
        <v>29</v>
      </c>
      <c r="H229" s="401" t="s">
        <v>1665</v>
      </c>
      <c r="I229" s="386" t="s">
        <v>107</v>
      </c>
      <c r="J229" s="38"/>
      <c r="K229" s="398">
        <v>25</v>
      </c>
      <c r="L229" s="379" t="s">
        <v>636</v>
      </c>
      <c r="M229" s="404">
        <v>43083</v>
      </c>
      <c r="N229" s="404">
        <v>43086</v>
      </c>
      <c r="O229" s="400"/>
      <c r="P229" s="750"/>
      <c r="Q229" s="7"/>
      <c r="R229" s="397" t="s">
        <v>191</v>
      </c>
      <c r="S229" s="316" t="s">
        <v>2898</v>
      </c>
      <c r="T229" s="78"/>
    </row>
    <row r="230" spans="1:20" ht="20.100000000000001" customHeight="1">
      <c r="A230" s="1191" t="s">
        <v>2950</v>
      </c>
      <c r="B230" s="1191" t="s">
        <v>3420</v>
      </c>
      <c r="C230" s="1191" t="s">
        <v>3419</v>
      </c>
      <c r="D230" s="11">
        <f>D184+450</f>
        <v>850</v>
      </c>
      <c r="E230" s="11">
        <f>E184+750</f>
        <v>1300</v>
      </c>
      <c r="F230" s="11">
        <f>F184+750</f>
        <v>1300</v>
      </c>
      <c r="G230" s="625" t="s">
        <v>5</v>
      </c>
      <c r="H230" s="35">
        <v>5</v>
      </c>
      <c r="I230" s="38" t="s">
        <v>107</v>
      </c>
      <c r="J230" s="38"/>
      <c r="K230" s="38" t="s">
        <v>728</v>
      </c>
      <c r="L230" s="51" t="s">
        <v>639</v>
      </c>
      <c r="M230" s="6">
        <v>43073</v>
      </c>
      <c r="N230" s="6">
        <v>43080</v>
      </c>
      <c r="O230" s="675" t="s">
        <v>600</v>
      </c>
      <c r="P230" s="53" t="s">
        <v>3004</v>
      </c>
      <c r="Q230" s="52" t="s">
        <v>4072</v>
      </c>
      <c r="R230" s="49" t="s">
        <v>763</v>
      </c>
      <c r="S230" s="315" t="s">
        <v>2893</v>
      </c>
      <c r="T230" s="689"/>
    </row>
    <row r="231" spans="1:20" s="377" customFormat="1" ht="20.100000000000001" customHeight="1">
      <c r="A231" s="1191" t="s">
        <v>2950</v>
      </c>
      <c r="B231" s="1191" t="s">
        <v>3420</v>
      </c>
      <c r="C231" s="1191" t="s">
        <v>3419</v>
      </c>
      <c r="D231" s="531">
        <v>790</v>
      </c>
      <c r="E231" s="531">
        <v>1130</v>
      </c>
      <c r="F231" s="531">
        <v>1130</v>
      </c>
      <c r="G231" s="70" t="s">
        <v>37</v>
      </c>
      <c r="H231" s="390">
        <v>5</v>
      </c>
      <c r="I231" s="386" t="s">
        <v>107</v>
      </c>
      <c r="J231" s="38"/>
      <c r="K231" s="386" t="s">
        <v>728</v>
      </c>
      <c r="L231" s="379" t="s">
        <v>639</v>
      </c>
      <c r="M231" s="392">
        <v>43070</v>
      </c>
      <c r="N231" s="392">
        <v>43087</v>
      </c>
      <c r="O231" s="387"/>
      <c r="P231" s="53" t="s">
        <v>3004</v>
      </c>
      <c r="Q231" s="52" t="s">
        <v>4072</v>
      </c>
      <c r="R231" s="397" t="s">
        <v>815</v>
      </c>
      <c r="S231" s="327" t="s">
        <v>2896</v>
      </c>
      <c r="T231" s="689"/>
    </row>
    <row r="232" spans="1:20" s="377" customFormat="1" ht="20.100000000000001" customHeight="1">
      <c r="A232" s="1191" t="s">
        <v>2950</v>
      </c>
      <c r="B232" s="1191" t="s">
        <v>3420</v>
      </c>
      <c r="C232" s="1191" t="s">
        <v>3419</v>
      </c>
      <c r="D232" s="531">
        <v>790</v>
      </c>
      <c r="E232" s="531">
        <v>1130</v>
      </c>
      <c r="F232" s="531">
        <v>1130</v>
      </c>
      <c r="G232" s="70" t="s">
        <v>37</v>
      </c>
      <c r="H232" s="401" t="s">
        <v>721</v>
      </c>
      <c r="I232" s="386" t="s">
        <v>107</v>
      </c>
      <c r="J232" s="38"/>
      <c r="K232" s="386" t="s">
        <v>727</v>
      </c>
      <c r="L232" s="379" t="s">
        <v>636</v>
      </c>
      <c r="M232" s="392">
        <v>43070</v>
      </c>
      <c r="N232" s="392">
        <v>43087</v>
      </c>
      <c r="O232" s="387"/>
      <c r="P232" s="53" t="s">
        <v>3004</v>
      </c>
      <c r="Q232" s="52"/>
      <c r="R232" s="397" t="s">
        <v>1774</v>
      </c>
      <c r="S232" s="327" t="s">
        <v>2896</v>
      </c>
      <c r="T232" s="689"/>
    </row>
    <row r="233" spans="1:20" s="377" customFormat="1" ht="20.100000000000001" customHeight="1">
      <c r="A233" s="1191" t="s">
        <v>2950</v>
      </c>
      <c r="B233" s="1191" t="s">
        <v>3420</v>
      </c>
      <c r="C233" s="1191" t="s">
        <v>3419</v>
      </c>
      <c r="D233" s="11">
        <f>D34+525</f>
        <v>900</v>
      </c>
      <c r="E233" s="11">
        <f>E34+950</f>
        <v>1425</v>
      </c>
      <c r="F233" s="11">
        <f>F34+950</f>
        <v>1425</v>
      </c>
      <c r="G233" s="705" t="s">
        <v>13</v>
      </c>
      <c r="H233" s="401" t="s">
        <v>721</v>
      </c>
      <c r="I233" s="386" t="s">
        <v>107</v>
      </c>
      <c r="J233" s="38"/>
      <c r="K233" s="386" t="s">
        <v>727</v>
      </c>
      <c r="L233" s="379" t="s">
        <v>636</v>
      </c>
      <c r="M233" s="404">
        <v>43085</v>
      </c>
      <c r="N233" s="404">
        <v>43086</v>
      </c>
      <c r="O233" s="393" t="s">
        <v>601</v>
      </c>
      <c r="P233" s="61"/>
      <c r="Q233" s="52"/>
      <c r="R233" s="397" t="s">
        <v>1854</v>
      </c>
      <c r="S233" s="316" t="s">
        <v>2897</v>
      </c>
      <c r="T233" s="78"/>
    </row>
    <row r="234" spans="1:20" ht="20.100000000000001" customHeight="1">
      <c r="A234" s="1191" t="s">
        <v>2950</v>
      </c>
      <c r="B234" s="1191" t="s">
        <v>3420</v>
      </c>
      <c r="C234" s="1191" t="s">
        <v>3419</v>
      </c>
      <c r="D234" s="532">
        <f>D184+450</f>
        <v>850</v>
      </c>
      <c r="E234" s="532">
        <f>E184+750</f>
        <v>1300</v>
      </c>
      <c r="F234" s="532">
        <f>F184+750</f>
        <v>1300</v>
      </c>
      <c r="G234" s="625" t="s">
        <v>5</v>
      </c>
      <c r="H234" s="676" t="s">
        <v>721</v>
      </c>
      <c r="I234" s="38" t="s">
        <v>107</v>
      </c>
      <c r="J234" s="38"/>
      <c r="K234" s="38" t="s">
        <v>660</v>
      </c>
      <c r="L234" s="51" t="s">
        <v>639</v>
      </c>
      <c r="M234" s="6">
        <v>43073</v>
      </c>
      <c r="N234" s="6">
        <v>43080</v>
      </c>
      <c r="O234" s="675" t="s">
        <v>600</v>
      </c>
      <c r="P234" s="53" t="s">
        <v>3004</v>
      </c>
      <c r="Q234" s="52"/>
      <c r="R234" s="49" t="s">
        <v>762</v>
      </c>
      <c r="S234" s="315" t="s">
        <v>2893</v>
      </c>
      <c r="T234" s="689"/>
    </row>
    <row r="235" spans="1:20" s="377" customFormat="1" ht="20.100000000000001" customHeight="1">
      <c r="A235" s="1191" t="s">
        <v>2950</v>
      </c>
      <c r="B235" s="1191" t="s">
        <v>3420</v>
      </c>
      <c r="C235" s="1191" t="s">
        <v>3419</v>
      </c>
      <c r="D235" s="531">
        <v>790</v>
      </c>
      <c r="E235" s="531">
        <v>1130</v>
      </c>
      <c r="F235" s="531">
        <v>1130</v>
      </c>
      <c r="G235" s="70" t="s">
        <v>37</v>
      </c>
      <c r="H235" s="401" t="s">
        <v>721</v>
      </c>
      <c r="I235" s="386" t="s">
        <v>107</v>
      </c>
      <c r="J235" s="38"/>
      <c r="K235" s="386" t="s">
        <v>660</v>
      </c>
      <c r="L235" s="379" t="s">
        <v>636</v>
      </c>
      <c r="M235" s="392">
        <v>43070</v>
      </c>
      <c r="N235" s="392">
        <v>43087</v>
      </c>
      <c r="O235" s="387"/>
      <c r="P235" s="53" t="s">
        <v>3004</v>
      </c>
      <c r="Q235" s="52"/>
      <c r="R235" s="397" t="s">
        <v>1775</v>
      </c>
      <c r="S235" s="327" t="s">
        <v>2896</v>
      </c>
      <c r="T235" s="689"/>
    </row>
    <row r="236" spans="1:20" s="377" customFormat="1" ht="20.100000000000001" customHeight="1">
      <c r="A236" s="1138" t="s">
        <v>2950</v>
      </c>
      <c r="B236" s="1191" t="s">
        <v>338</v>
      </c>
      <c r="C236" s="1191" t="s">
        <v>399</v>
      </c>
      <c r="D236" s="11">
        <v>974</v>
      </c>
      <c r="E236" s="11">
        <v>1624</v>
      </c>
      <c r="F236" s="11">
        <v>1660</v>
      </c>
      <c r="G236" s="70" t="s">
        <v>559</v>
      </c>
      <c r="H236" s="390">
        <v>1</v>
      </c>
      <c r="I236" s="386" t="s">
        <v>17</v>
      </c>
      <c r="J236" s="39"/>
      <c r="K236" s="398">
        <v>24</v>
      </c>
      <c r="L236" s="386" t="s">
        <v>653</v>
      </c>
      <c r="M236" s="381">
        <v>43045</v>
      </c>
      <c r="N236" s="381">
        <v>43093</v>
      </c>
      <c r="O236" s="388"/>
      <c r="P236" s="61"/>
      <c r="Q236" s="7"/>
      <c r="R236" s="397"/>
      <c r="S236" s="316" t="s">
        <v>2900</v>
      </c>
      <c r="T236" s="689"/>
    </row>
    <row r="237" spans="1:20" s="377" customFormat="1" ht="20.100000000000001" customHeight="1">
      <c r="A237" s="1138" t="s">
        <v>2950</v>
      </c>
      <c r="B237" s="1191" t="s">
        <v>338</v>
      </c>
      <c r="C237" s="1191" t="s">
        <v>399</v>
      </c>
      <c r="D237" s="11">
        <v>1375</v>
      </c>
      <c r="E237" s="11"/>
      <c r="F237" s="11">
        <v>1500</v>
      </c>
      <c r="G237" s="218" t="s">
        <v>52</v>
      </c>
      <c r="H237" s="385" t="s">
        <v>725</v>
      </c>
      <c r="I237" s="386" t="s">
        <v>107</v>
      </c>
      <c r="J237" s="38"/>
      <c r="K237" s="386" t="s">
        <v>688</v>
      </c>
      <c r="L237" s="379" t="s">
        <v>641</v>
      </c>
      <c r="M237" s="381">
        <v>43082</v>
      </c>
      <c r="N237" s="381">
        <v>43086</v>
      </c>
      <c r="O237" s="394" t="s">
        <v>1949</v>
      </c>
      <c r="P237" s="61"/>
      <c r="Q237" s="7"/>
      <c r="R237" s="397" t="s">
        <v>826</v>
      </c>
      <c r="S237" s="316"/>
      <c r="T237" s="689"/>
    </row>
    <row r="238" spans="1:20" s="377" customFormat="1" ht="20.100000000000001" customHeight="1">
      <c r="A238" s="734" t="s">
        <v>2950</v>
      </c>
      <c r="B238" s="409" t="s">
        <v>338</v>
      </c>
      <c r="C238" s="409" t="s">
        <v>320</v>
      </c>
      <c r="D238" s="11">
        <v>1391</v>
      </c>
      <c r="E238" s="11">
        <v>2295</v>
      </c>
      <c r="F238" s="11">
        <v>2331</v>
      </c>
      <c r="G238" s="70" t="s">
        <v>559</v>
      </c>
      <c r="H238" s="390">
        <v>1</v>
      </c>
      <c r="I238" s="398" t="s">
        <v>124</v>
      </c>
      <c r="J238" s="37"/>
      <c r="K238" s="398">
        <v>25</v>
      </c>
      <c r="L238" s="386" t="s">
        <v>653</v>
      </c>
      <c r="M238" s="381">
        <v>43045</v>
      </c>
      <c r="N238" s="381">
        <v>43093</v>
      </c>
      <c r="O238" s="388"/>
      <c r="P238" s="61"/>
      <c r="Q238" s="7"/>
      <c r="R238" s="397"/>
      <c r="S238" s="316" t="s">
        <v>2900</v>
      </c>
      <c r="T238" s="689"/>
    </row>
    <row r="239" spans="1:20" ht="20.100000000000001" customHeight="1">
      <c r="A239" s="1138" t="s">
        <v>2950</v>
      </c>
      <c r="B239" s="1191" t="s">
        <v>338</v>
      </c>
      <c r="C239" s="1191" t="s">
        <v>400</v>
      </c>
      <c r="D239" s="11">
        <f>D184+500</f>
        <v>900</v>
      </c>
      <c r="E239" s="11">
        <f>E184+1000</f>
        <v>1550</v>
      </c>
      <c r="F239" s="11">
        <f>F184+1000</f>
        <v>1550</v>
      </c>
      <c r="G239" s="625" t="s">
        <v>5</v>
      </c>
      <c r="H239" s="22">
        <v>1</v>
      </c>
      <c r="I239" s="51" t="s">
        <v>107</v>
      </c>
      <c r="J239" s="51"/>
      <c r="K239" s="51" t="s">
        <v>684</v>
      </c>
      <c r="L239" s="50" t="s">
        <v>636</v>
      </c>
      <c r="M239" s="6">
        <v>43073</v>
      </c>
      <c r="N239" s="6">
        <v>43080</v>
      </c>
      <c r="O239" s="675" t="s">
        <v>600</v>
      </c>
      <c r="P239" s="53" t="s">
        <v>3004</v>
      </c>
      <c r="Q239" s="52" t="s">
        <v>4094</v>
      </c>
      <c r="R239" s="612" t="s">
        <v>1419</v>
      </c>
      <c r="S239" s="315" t="s">
        <v>2893</v>
      </c>
      <c r="T239" s="689"/>
    </row>
    <row r="240" spans="1:20" s="377" customFormat="1" ht="20.100000000000001" customHeight="1">
      <c r="A240" s="1138" t="s">
        <v>2950</v>
      </c>
      <c r="B240" s="1191" t="s">
        <v>338</v>
      </c>
      <c r="C240" s="1191" t="s">
        <v>1305</v>
      </c>
      <c r="D240" s="11">
        <v>1044</v>
      </c>
      <c r="E240" s="11">
        <v>1764</v>
      </c>
      <c r="F240" s="11">
        <v>1800</v>
      </c>
      <c r="G240" s="70" t="s">
        <v>559</v>
      </c>
      <c r="H240" s="390">
        <v>1</v>
      </c>
      <c r="I240" s="398" t="s">
        <v>124</v>
      </c>
      <c r="J240" s="37"/>
      <c r="K240" s="398">
        <v>30</v>
      </c>
      <c r="L240" s="386" t="s">
        <v>653</v>
      </c>
      <c r="M240" s="381">
        <v>43045</v>
      </c>
      <c r="N240" s="381">
        <v>43093</v>
      </c>
      <c r="O240" s="388"/>
      <c r="P240" s="61"/>
      <c r="Q240" s="7"/>
      <c r="R240" s="397"/>
      <c r="S240" s="316" t="s">
        <v>2900</v>
      </c>
      <c r="T240" s="689"/>
    </row>
    <row r="241" spans="1:20" ht="20.100000000000001" customHeight="1">
      <c r="A241" s="1138" t="s">
        <v>2950</v>
      </c>
      <c r="B241" s="1191" t="s">
        <v>338</v>
      </c>
      <c r="C241" s="1191" t="s">
        <v>400</v>
      </c>
      <c r="D241" s="11">
        <f>D184+500</f>
        <v>900</v>
      </c>
      <c r="E241" s="11">
        <f>E184+1000</f>
        <v>1550</v>
      </c>
      <c r="F241" s="11">
        <f>F184+1000</f>
        <v>1550</v>
      </c>
      <c r="G241" s="625" t="s">
        <v>5</v>
      </c>
      <c r="H241" s="35">
        <v>5</v>
      </c>
      <c r="I241" s="38" t="s">
        <v>107</v>
      </c>
      <c r="J241" s="38"/>
      <c r="K241" s="38" t="s">
        <v>728</v>
      </c>
      <c r="L241" s="51" t="s">
        <v>639</v>
      </c>
      <c r="M241" s="6">
        <v>43073</v>
      </c>
      <c r="N241" s="6">
        <v>43080</v>
      </c>
      <c r="O241" s="675" t="s">
        <v>600</v>
      </c>
      <c r="P241" s="53" t="s">
        <v>3004</v>
      </c>
      <c r="Q241" s="52" t="s">
        <v>4072</v>
      </c>
      <c r="R241" s="49" t="s">
        <v>763</v>
      </c>
      <c r="S241" s="315" t="s">
        <v>2893</v>
      </c>
      <c r="T241" s="689"/>
    </row>
    <row r="242" spans="1:20" ht="20.100000000000001" customHeight="1">
      <c r="A242" s="1138" t="s">
        <v>2950</v>
      </c>
      <c r="B242" s="1191" t="s">
        <v>338</v>
      </c>
      <c r="C242" s="1191" t="s">
        <v>400</v>
      </c>
      <c r="D242" s="11">
        <f>D184+500</f>
        <v>900</v>
      </c>
      <c r="E242" s="11">
        <f>E184+1000</f>
        <v>1550</v>
      </c>
      <c r="F242" s="11">
        <f>F184+1000</f>
        <v>1550</v>
      </c>
      <c r="G242" s="625" t="s">
        <v>5</v>
      </c>
      <c r="H242" s="676" t="s">
        <v>721</v>
      </c>
      <c r="I242" s="38" t="s">
        <v>107</v>
      </c>
      <c r="J242" s="38"/>
      <c r="K242" s="38" t="s">
        <v>660</v>
      </c>
      <c r="L242" s="51" t="s">
        <v>639</v>
      </c>
      <c r="M242" s="6">
        <v>43073</v>
      </c>
      <c r="N242" s="6">
        <v>43080</v>
      </c>
      <c r="O242" s="675" t="s">
        <v>600</v>
      </c>
      <c r="P242" s="53" t="s">
        <v>3004</v>
      </c>
      <c r="Q242" s="52"/>
      <c r="R242" s="49" t="s">
        <v>762</v>
      </c>
      <c r="S242" s="315" t="s">
        <v>2893</v>
      </c>
      <c r="T242" s="689"/>
    </row>
    <row r="243" spans="1:20" s="377" customFormat="1" ht="20.100000000000001" customHeight="1">
      <c r="A243" s="734" t="s">
        <v>2950</v>
      </c>
      <c r="B243" s="409" t="s">
        <v>338</v>
      </c>
      <c r="C243" s="409" t="s">
        <v>1534</v>
      </c>
      <c r="D243" s="11">
        <v>1214</v>
      </c>
      <c r="E243" s="11">
        <v>1804</v>
      </c>
      <c r="F243" s="11">
        <v>1840</v>
      </c>
      <c r="G243" s="70" t="s">
        <v>559</v>
      </c>
      <c r="H243" s="390">
        <v>1</v>
      </c>
      <c r="I243" s="398" t="s">
        <v>124</v>
      </c>
      <c r="J243" s="37"/>
      <c r="K243" s="398">
        <v>25</v>
      </c>
      <c r="L243" s="386" t="s">
        <v>653</v>
      </c>
      <c r="M243" s="381">
        <v>43045</v>
      </c>
      <c r="N243" s="381">
        <v>43093</v>
      </c>
      <c r="O243" s="388"/>
      <c r="P243" s="61"/>
      <c r="Q243" s="7"/>
      <c r="R243" s="397"/>
      <c r="S243" s="316" t="s">
        <v>2900</v>
      </c>
      <c r="T243" s="689"/>
    </row>
    <row r="244" spans="1:20" s="377" customFormat="1" ht="20.100000000000001" customHeight="1">
      <c r="A244" s="734" t="s">
        <v>2950</v>
      </c>
      <c r="B244" s="409" t="s">
        <v>338</v>
      </c>
      <c r="C244" s="409" t="s">
        <v>2309</v>
      </c>
      <c r="D244" s="11"/>
      <c r="E244" s="11"/>
      <c r="F244" s="11"/>
      <c r="G244" s="222" t="s">
        <v>2308</v>
      </c>
      <c r="H244" s="385" t="s">
        <v>725</v>
      </c>
      <c r="I244" s="386" t="s">
        <v>1357</v>
      </c>
      <c r="J244" s="37"/>
      <c r="K244" s="398" t="s">
        <v>2310</v>
      </c>
      <c r="L244" s="379" t="s">
        <v>641</v>
      </c>
      <c r="M244" s="381">
        <v>43082</v>
      </c>
      <c r="N244" s="381">
        <v>43086</v>
      </c>
      <c r="O244" s="394" t="s">
        <v>1949</v>
      </c>
      <c r="P244" s="14" t="s">
        <v>2274</v>
      </c>
      <c r="Q244" s="7"/>
      <c r="R244" s="397" t="s">
        <v>826</v>
      </c>
      <c r="S244" s="713" t="s">
        <v>2901</v>
      </c>
      <c r="T244" s="689"/>
    </row>
    <row r="245" spans="1:20" ht="20.100000000000001" customHeight="1">
      <c r="A245" s="1138" t="s">
        <v>2950</v>
      </c>
      <c r="B245" s="1191" t="s">
        <v>338</v>
      </c>
      <c r="C245" s="1138" t="s">
        <v>4285</v>
      </c>
      <c r="D245" s="11">
        <f>D184+300</f>
        <v>700</v>
      </c>
      <c r="E245" s="11">
        <f>E184+500</f>
        <v>1050</v>
      </c>
      <c r="F245" s="11">
        <f>F184+500</f>
        <v>1050</v>
      </c>
      <c r="G245" s="625" t="s">
        <v>5</v>
      </c>
      <c r="H245" s="22">
        <v>1</v>
      </c>
      <c r="I245" s="51" t="s">
        <v>107</v>
      </c>
      <c r="J245" s="51"/>
      <c r="K245" s="51" t="s">
        <v>684</v>
      </c>
      <c r="L245" s="50" t="s">
        <v>636</v>
      </c>
      <c r="M245" s="6">
        <v>43073</v>
      </c>
      <c r="N245" s="6">
        <v>43080</v>
      </c>
      <c r="O245" s="675" t="s">
        <v>600</v>
      </c>
      <c r="P245" s="53" t="s">
        <v>3004</v>
      </c>
      <c r="Q245" s="52" t="s">
        <v>4094</v>
      </c>
      <c r="R245" s="612" t="s">
        <v>1419</v>
      </c>
      <c r="S245" s="315" t="s">
        <v>2893</v>
      </c>
      <c r="T245" s="689"/>
    </row>
    <row r="246" spans="1:20" s="377" customFormat="1" ht="20.100000000000001" customHeight="1">
      <c r="A246" s="1138" t="s">
        <v>2950</v>
      </c>
      <c r="B246" s="1191" t="s">
        <v>338</v>
      </c>
      <c r="C246" s="1191" t="s">
        <v>401</v>
      </c>
      <c r="D246" s="531">
        <v>790</v>
      </c>
      <c r="E246" s="531">
        <v>1130</v>
      </c>
      <c r="F246" s="531">
        <v>1130</v>
      </c>
      <c r="G246" s="70" t="s">
        <v>37</v>
      </c>
      <c r="H246" s="378">
        <v>1</v>
      </c>
      <c r="I246" s="379" t="s">
        <v>107</v>
      </c>
      <c r="J246" s="51"/>
      <c r="K246" s="379" t="s">
        <v>684</v>
      </c>
      <c r="L246" s="380" t="s">
        <v>636</v>
      </c>
      <c r="M246" s="392">
        <v>43070</v>
      </c>
      <c r="N246" s="392">
        <v>43087</v>
      </c>
      <c r="O246" s="393"/>
      <c r="P246" s="53" t="s">
        <v>3004</v>
      </c>
      <c r="Q246" s="52" t="s">
        <v>4094</v>
      </c>
      <c r="R246" s="384" t="s">
        <v>1719</v>
      </c>
      <c r="S246" s="327" t="s">
        <v>2896</v>
      </c>
      <c r="T246" s="689"/>
    </row>
    <row r="247" spans="1:20" s="377" customFormat="1" ht="20.100000000000001" customHeight="1">
      <c r="A247" s="1138" t="s">
        <v>2950</v>
      </c>
      <c r="B247" s="1191" t="s">
        <v>338</v>
      </c>
      <c r="C247" s="1191" t="s">
        <v>401</v>
      </c>
      <c r="D247" s="11">
        <v>924</v>
      </c>
      <c r="E247" s="11">
        <v>1524</v>
      </c>
      <c r="F247" s="11">
        <v>1560</v>
      </c>
      <c r="G247" s="70" t="s">
        <v>559</v>
      </c>
      <c r="H247" s="390">
        <v>1</v>
      </c>
      <c r="I247" s="386" t="s">
        <v>17</v>
      </c>
      <c r="J247" s="39"/>
      <c r="K247" s="398">
        <v>25</v>
      </c>
      <c r="L247" s="386" t="s">
        <v>653</v>
      </c>
      <c r="M247" s="381">
        <v>43045</v>
      </c>
      <c r="N247" s="381">
        <v>43093</v>
      </c>
      <c r="O247" s="388"/>
      <c r="P247" s="61"/>
      <c r="Q247" s="7"/>
      <c r="R247" s="397"/>
      <c r="S247" s="316" t="s">
        <v>2900</v>
      </c>
      <c r="T247" s="689"/>
    </row>
    <row r="248" spans="1:20" s="377" customFormat="1" ht="20.100000000000001" customHeight="1">
      <c r="A248" s="1138" t="s">
        <v>2950</v>
      </c>
      <c r="B248" s="1191" t="s">
        <v>338</v>
      </c>
      <c r="C248" s="1191" t="s">
        <v>401</v>
      </c>
      <c r="D248" s="531">
        <v>825</v>
      </c>
      <c r="E248" s="531"/>
      <c r="F248" s="531">
        <v>1300</v>
      </c>
      <c r="G248" s="218" t="s">
        <v>52</v>
      </c>
      <c r="H248" s="385" t="s">
        <v>725</v>
      </c>
      <c r="I248" s="386" t="s">
        <v>107</v>
      </c>
      <c r="J248" s="38"/>
      <c r="K248" s="386" t="s">
        <v>663</v>
      </c>
      <c r="L248" s="379" t="s">
        <v>641</v>
      </c>
      <c r="M248" s="381">
        <v>43082</v>
      </c>
      <c r="N248" s="381">
        <v>43086</v>
      </c>
      <c r="O248" s="394" t="s">
        <v>1949</v>
      </c>
      <c r="P248" s="61"/>
      <c r="Q248" s="7"/>
      <c r="R248" s="397" t="s">
        <v>826</v>
      </c>
      <c r="S248" s="714"/>
      <c r="T248" s="689"/>
    </row>
    <row r="249" spans="1:20" s="377" customFormat="1" ht="20.100000000000001" customHeight="1">
      <c r="A249" s="1138" t="s">
        <v>2950</v>
      </c>
      <c r="B249" s="1191" t="s">
        <v>338</v>
      </c>
      <c r="C249" s="1191" t="s">
        <v>401</v>
      </c>
      <c r="D249" s="532">
        <v>1175</v>
      </c>
      <c r="E249" s="532">
        <v>1750</v>
      </c>
      <c r="F249" s="532">
        <v>1750</v>
      </c>
      <c r="G249" s="63" t="s">
        <v>29</v>
      </c>
      <c r="H249" s="401" t="s">
        <v>1665</v>
      </c>
      <c r="I249" s="386" t="s">
        <v>107</v>
      </c>
      <c r="J249" s="37"/>
      <c r="K249" s="398" t="s">
        <v>728</v>
      </c>
      <c r="L249" s="379" t="s">
        <v>636</v>
      </c>
      <c r="M249" s="404">
        <v>43083</v>
      </c>
      <c r="N249" s="404">
        <v>43086</v>
      </c>
      <c r="O249" s="388"/>
      <c r="P249" s="61"/>
      <c r="Q249" s="7"/>
      <c r="R249" s="397" t="s">
        <v>191</v>
      </c>
      <c r="S249" s="316" t="s">
        <v>2898</v>
      </c>
      <c r="T249" s="689"/>
    </row>
    <row r="250" spans="1:20" ht="20.100000000000001" customHeight="1">
      <c r="A250" s="1138" t="s">
        <v>2950</v>
      </c>
      <c r="B250" s="1191" t="s">
        <v>338</v>
      </c>
      <c r="C250" s="1191" t="s">
        <v>401</v>
      </c>
      <c r="D250" s="11">
        <f>D184+300</f>
        <v>700</v>
      </c>
      <c r="E250" s="11">
        <f>E184+500</f>
        <v>1050</v>
      </c>
      <c r="F250" s="11">
        <f>F184+500</f>
        <v>1050</v>
      </c>
      <c r="G250" s="625" t="s">
        <v>5</v>
      </c>
      <c r="H250" s="35">
        <v>5</v>
      </c>
      <c r="I250" s="38" t="s">
        <v>107</v>
      </c>
      <c r="J250" s="38"/>
      <c r="K250" s="38" t="s">
        <v>728</v>
      </c>
      <c r="L250" s="51" t="s">
        <v>639</v>
      </c>
      <c r="M250" s="6">
        <v>43073</v>
      </c>
      <c r="N250" s="6">
        <v>43080</v>
      </c>
      <c r="O250" s="675" t="s">
        <v>600</v>
      </c>
      <c r="P250" s="53" t="s">
        <v>3004</v>
      </c>
      <c r="Q250" s="52" t="s">
        <v>4072</v>
      </c>
      <c r="R250" s="49" t="s">
        <v>763</v>
      </c>
      <c r="S250" s="315" t="s">
        <v>2893</v>
      </c>
      <c r="T250" s="689"/>
    </row>
    <row r="251" spans="1:20" s="377" customFormat="1" ht="20.100000000000001" customHeight="1">
      <c r="A251" s="1138" t="s">
        <v>2950</v>
      </c>
      <c r="B251" s="1191" t="s">
        <v>338</v>
      </c>
      <c r="C251" s="1191" t="s">
        <v>401</v>
      </c>
      <c r="D251" s="531">
        <v>790</v>
      </c>
      <c r="E251" s="531">
        <v>1130</v>
      </c>
      <c r="F251" s="531">
        <v>1130</v>
      </c>
      <c r="G251" s="70" t="s">
        <v>37</v>
      </c>
      <c r="H251" s="390">
        <v>5</v>
      </c>
      <c r="I251" s="386" t="s">
        <v>107</v>
      </c>
      <c r="J251" s="38"/>
      <c r="K251" s="386" t="s">
        <v>728</v>
      </c>
      <c r="L251" s="379" t="s">
        <v>639</v>
      </c>
      <c r="M251" s="392">
        <v>43070</v>
      </c>
      <c r="N251" s="392">
        <v>43087</v>
      </c>
      <c r="O251" s="387"/>
      <c r="P251" s="53" t="s">
        <v>3004</v>
      </c>
      <c r="Q251" s="52" t="s">
        <v>4072</v>
      </c>
      <c r="R251" s="397" t="s">
        <v>815</v>
      </c>
      <c r="S251" s="327" t="s">
        <v>2896</v>
      </c>
      <c r="T251" s="689"/>
    </row>
    <row r="252" spans="1:20" s="377" customFormat="1" ht="20.100000000000001" customHeight="1">
      <c r="A252" s="1138" t="s">
        <v>2950</v>
      </c>
      <c r="B252" s="1191" t="s">
        <v>338</v>
      </c>
      <c r="C252" s="1191" t="s">
        <v>401</v>
      </c>
      <c r="D252" s="531">
        <v>790</v>
      </c>
      <c r="E252" s="531">
        <v>1130</v>
      </c>
      <c r="F252" s="531">
        <v>1130</v>
      </c>
      <c r="G252" s="70" t="s">
        <v>37</v>
      </c>
      <c r="H252" s="401" t="s">
        <v>721</v>
      </c>
      <c r="I252" s="386" t="s">
        <v>107</v>
      </c>
      <c r="J252" s="38"/>
      <c r="K252" s="386" t="s">
        <v>727</v>
      </c>
      <c r="L252" s="379" t="s">
        <v>636</v>
      </c>
      <c r="M252" s="392">
        <v>43070</v>
      </c>
      <c r="N252" s="392">
        <v>43087</v>
      </c>
      <c r="O252" s="387"/>
      <c r="P252" s="53" t="s">
        <v>3004</v>
      </c>
      <c r="Q252" s="52"/>
      <c r="R252" s="397" t="s">
        <v>1774</v>
      </c>
      <c r="S252" s="327" t="s">
        <v>2896</v>
      </c>
      <c r="T252" s="689"/>
    </row>
    <row r="253" spans="1:20" s="377" customFormat="1" ht="20.100000000000001" customHeight="1">
      <c r="A253" s="1138" t="s">
        <v>2950</v>
      </c>
      <c r="B253" s="1191" t="s">
        <v>338</v>
      </c>
      <c r="C253" s="1191" t="s">
        <v>401</v>
      </c>
      <c r="D253" s="11">
        <f>D34+550</f>
        <v>925</v>
      </c>
      <c r="E253" s="11">
        <f>E34+950</f>
        <v>1425</v>
      </c>
      <c r="F253" s="11">
        <f>F34+950</f>
        <v>1425</v>
      </c>
      <c r="G253" s="705" t="s">
        <v>13</v>
      </c>
      <c r="H253" s="401" t="s">
        <v>721</v>
      </c>
      <c r="I253" s="386" t="s">
        <v>107</v>
      </c>
      <c r="J253" s="38"/>
      <c r="K253" s="386" t="s">
        <v>727</v>
      </c>
      <c r="L253" s="379" t="s">
        <v>636</v>
      </c>
      <c r="M253" s="404">
        <v>43085</v>
      </c>
      <c r="N253" s="404">
        <v>43086</v>
      </c>
      <c r="O253" s="393" t="s">
        <v>601</v>
      </c>
      <c r="P253" s="61"/>
      <c r="Q253" s="52"/>
      <c r="R253" s="397" t="s">
        <v>1854</v>
      </c>
      <c r="S253" s="316" t="s">
        <v>2897</v>
      </c>
      <c r="T253" s="689"/>
    </row>
    <row r="254" spans="1:20" ht="20.100000000000001" customHeight="1">
      <c r="A254" s="1138" t="s">
        <v>2950</v>
      </c>
      <c r="B254" s="1191" t="s">
        <v>338</v>
      </c>
      <c r="C254" s="1191" t="s">
        <v>401</v>
      </c>
      <c r="D254" s="532">
        <f>D184+300</f>
        <v>700</v>
      </c>
      <c r="E254" s="532">
        <f>E184+500</f>
        <v>1050</v>
      </c>
      <c r="F254" s="532">
        <f>F184+500</f>
        <v>1050</v>
      </c>
      <c r="G254" s="625" t="s">
        <v>5</v>
      </c>
      <c r="H254" s="676" t="s">
        <v>721</v>
      </c>
      <c r="I254" s="38" t="s">
        <v>107</v>
      </c>
      <c r="J254" s="38"/>
      <c r="K254" s="38" t="s">
        <v>660</v>
      </c>
      <c r="L254" s="51" t="s">
        <v>639</v>
      </c>
      <c r="M254" s="6">
        <v>43073</v>
      </c>
      <c r="N254" s="6">
        <v>43080</v>
      </c>
      <c r="O254" s="675" t="s">
        <v>600</v>
      </c>
      <c r="P254" s="53" t="s">
        <v>3004</v>
      </c>
      <c r="Q254" s="52"/>
      <c r="R254" s="49" t="s">
        <v>762</v>
      </c>
      <c r="S254" s="315" t="s">
        <v>2893</v>
      </c>
      <c r="T254" s="689"/>
    </row>
    <row r="255" spans="1:20" s="377" customFormat="1" ht="20.100000000000001" customHeight="1">
      <c r="A255" s="1138" t="s">
        <v>2950</v>
      </c>
      <c r="B255" s="1191" t="s">
        <v>338</v>
      </c>
      <c r="C255" s="1191" t="s">
        <v>401</v>
      </c>
      <c r="D255" s="531">
        <v>790</v>
      </c>
      <c r="E255" s="531">
        <v>1130</v>
      </c>
      <c r="F255" s="531">
        <v>1130</v>
      </c>
      <c r="G255" s="70" t="s">
        <v>37</v>
      </c>
      <c r="H255" s="401" t="s">
        <v>721</v>
      </c>
      <c r="I255" s="386" t="s">
        <v>107</v>
      </c>
      <c r="J255" s="38"/>
      <c r="K255" s="386" t="s">
        <v>660</v>
      </c>
      <c r="L255" s="379" t="s">
        <v>636</v>
      </c>
      <c r="M255" s="392">
        <v>43070</v>
      </c>
      <c r="N255" s="392">
        <v>43087</v>
      </c>
      <c r="O255" s="387"/>
      <c r="P255" s="53" t="s">
        <v>3004</v>
      </c>
      <c r="Q255" s="52"/>
      <c r="R255" s="397" t="s">
        <v>1775</v>
      </c>
      <c r="S255" s="327" t="s">
        <v>2896</v>
      </c>
      <c r="T255" s="689"/>
    </row>
    <row r="256" spans="1:20" s="377" customFormat="1" ht="20.100000000000001" customHeight="1">
      <c r="A256" s="1189" t="s">
        <v>2950</v>
      </c>
      <c r="B256" s="1189" t="s">
        <v>321</v>
      </c>
      <c r="C256" s="1190" t="s">
        <v>4286</v>
      </c>
      <c r="D256" s="11">
        <f>D4+100</f>
        <v>450</v>
      </c>
      <c r="E256" s="11">
        <f>E4+150</f>
        <v>600</v>
      </c>
      <c r="F256" s="11">
        <f>F4+150</f>
        <v>600</v>
      </c>
      <c r="G256" s="222" t="s">
        <v>51</v>
      </c>
      <c r="H256" s="378">
        <v>1</v>
      </c>
      <c r="I256" s="379" t="s">
        <v>107</v>
      </c>
      <c r="J256" s="51" t="s">
        <v>1249</v>
      </c>
      <c r="K256" s="379" t="s">
        <v>684</v>
      </c>
      <c r="L256" s="380" t="s">
        <v>636</v>
      </c>
      <c r="M256" s="381">
        <v>43084</v>
      </c>
      <c r="N256" s="381">
        <v>43090</v>
      </c>
      <c r="O256" s="395"/>
      <c r="P256" s="105" t="s">
        <v>2423</v>
      </c>
      <c r="Q256" s="52" t="s">
        <v>4094</v>
      </c>
      <c r="R256" s="384" t="s">
        <v>1734</v>
      </c>
      <c r="S256" s="316"/>
      <c r="T256" s="78"/>
    </row>
    <row r="257" spans="1:20" ht="20.100000000000001" customHeight="1">
      <c r="A257" s="1189" t="s">
        <v>2950</v>
      </c>
      <c r="B257" s="1189" t="s">
        <v>321</v>
      </c>
      <c r="C257" s="1189" t="s">
        <v>321</v>
      </c>
      <c r="D257" s="11">
        <f>D5+150</f>
        <v>525</v>
      </c>
      <c r="E257" s="11">
        <f>E5+300</f>
        <v>800</v>
      </c>
      <c r="F257" s="11">
        <f>F5+300</f>
        <v>800</v>
      </c>
      <c r="G257" s="625" t="s">
        <v>5</v>
      </c>
      <c r="H257" s="22">
        <v>1</v>
      </c>
      <c r="I257" s="51" t="s">
        <v>107</v>
      </c>
      <c r="J257" s="51" t="s">
        <v>104</v>
      </c>
      <c r="K257" s="51" t="s">
        <v>684</v>
      </c>
      <c r="L257" s="50" t="s">
        <v>636</v>
      </c>
      <c r="M257" s="6">
        <v>43066</v>
      </c>
      <c r="N257" s="6">
        <v>43080</v>
      </c>
      <c r="O257" s="675" t="s">
        <v>600</v>
      </c>
      <c r="P257" s="76" t="s">
        <v>2476</v>
      </c>
      <c r="Q257" s="52" t="s">
        <v>4094</v>
      </c>
      <c r="R257" s="612" t="s">
        <v>1419</v>
      </c>
      <c r="S257" s="315" t="s">
        <v>2893</v>
      </c>
      <c r="T257" s="78"/>
    </row>
    <row r="258" spans="1:20" s="377" customFormat="1" ht="20.100000000000001" customHeight="1">
      <c r="A258" s="1189" t="s">
        <v>2950</v>
      </c>
      <c r="B258" s="1189" t="s">
        <v>321</v>
      </c>
      <c r="C258" s="1189" t="s">
        <v>321</v>
      </c>
      <c r="D258" s="11">
        <f>D7+75</f>
        <v>425</v>
      </c>
      <c r="E258" s="11">
        <f>E7+100</f>
        <v>500</v>
      </c>
      <c r="F258" s="11">
        <f>F7+100</f>
        <v>500</v>
      </c>
      <c r="G258" s="705" t="s">
        <v>37</v>
      </c>
      <c r="H258" s="390">
        <v>1</v>
      </c>
      <c r="I258" s="386" t="s">
        <v>107</v>
      </c>
      <c r="J258" s="38" t="s">
        <v>104</v>
      </c>
      <c r="K258" s="379" t="s">
        <v>684</v>
      </c>
      <c r="L258" s="380" t="s">
        <v>636</v>
      </c>
      <c r="M258" s="392">
        <v>43084</v>
      </c>
      <c r="N258" s="392">
        <v>43087</v>
      </c>
      <c r="O258" s="395"/>
      <c r="P258" s="105" t="s">
        <v>1663</v>
      </c>
      <c r="Q258" s="52" t="s">
        <v>4094</v>
      </c>
      <c r="R258" s="384" t="s">
        <v>1719</v>
      </c>
      <c r="S258" s="327" t="s">
        <v>2896</v>
      </c>
      <c r="T258" s="78"/>
    </row>
    <row r="259" spans="1:20" s="377" customFormat="1" ht="20.100000000000001" customHeight="1">
      <c r="A259" s="1189" t="s">
        <v>2950</v>
      </c>
      <c r="B259" s="1189" t="s">
        <v>321</v>
      </c>
      <c r="C259" s="1189" t="s">
        <v>321</v>
      </c>
      <c r="D259" s="531">
        <v>475</v>
      </c>
      <c r="E259" s="531"/>
      <c r="F259" s="531">
        <v>600</v>
      </c>
      <c r="G259" s="218" t="s">
        <v>52</v>
      </c>
      <c r="H259" s="385" t="s">
        <v>725</v>
      </c>
      <c r="I259" s="386" t="s">
        <v>107</v>
      </c>
      <c r="J259" s="38" t="s">
        <v>104</v>
      </c>
      <c r="K259" s="398" t="s">
        <v>728</v>
      </c>
      <c r="L259" s="379" t="s">
        <v>641</v>
      </c>
      <c r="M259" s="381">
        <v>43082</v>
      </c>
      <c r="N259" s="381">
        <v>43086</v>
      </c>
      <c r="O259" s="394" t="s">
        <v>1949</v>
      </c>
      <c r="P259" s="750" t="s">
        <v>4082</v>
      </c>
      <c r="Q259" s="7"/>
      <c r="R259" s="397" t="s">
        <v>826</v>
      </c>
      <c r="S259" s="316"/>
      <c r="T259" s="78"/>
    </row>
    <row r="260" spans="1:20" s="377" customFormat="1" ht="20.100000000000001" customHeight="1">
      <c r="A260" s="1189" t="s">
        <v>2950</v>
      </c>
      <c r="B260" s="1189" t="s">
        <v>321</v>
      </c>
      <c r="C260" s="1189" t="s">
        <v>321</v>
      </c>
      <c r="D260" s="531">
        <v>350</v>
      </c>
      <c r="E260" s="531">
        <v>450</v>
      </c>
      <c r="F260" s="531">
        <v>450</v>
      </c>
      <c r="G260" s="218" t="s">
        <v>10</v>
      </c>
      <c r="H260" s="56" t="s">
        <v>659</v>
      </c>
      <c r="I260" s="386" t="s">
        <v>107</v>
      </c>
      <c r="J260" s="38" t="s">
        <v>104</v>
      </c>
      <c r="K260" s="51" t="s">
        <v>1198</v>
      </c>
      <c r="L260" s="38" t="s">
        <v>3039</v>
      </c>
      <c r="M260" s="547">
        <v>43082</v>
      </c>
      <c r="N260" s="547">
        <v>43087</v>
      </c>
      <c r="O260" s="544"/>
      <c r="P260" s="572"/>
      <c r="Q260" s="52"/>
      <c r="R260" s="73" t="s">
        <v>3052</v>
      </c>
      <c r="S260" s="316" t="s">
        <v>1176</v>
      </c>
      <c r="T260" s="786"/>
    </row>
    <row r="261" spans="1:20" s="377" customFormat="1" ht="20.100000000000001" customHeight="1">
      <c r="A261" s="1189" t="s">
        <v>2950</v>
      </c>
      <c r="B261" s="1189" t="s">
        <v>321</v>
      </c>
      <c r="C261" s="1189" t="s">
        <v>321</v>
      </c>
      <c r="D261" s="533">
        <f>D16+25</f>
        <v>375</v>
      </c>
      <c r="E261" s="533">
        <f>E16+50+0</f>
        <v>450</v>
      </c>
      <c r="F261" s="533">
        <f>F16+50+0</f>
        <v>450</v>
      </c>
      <c r="G261" s="67" t="s">
        <v>232</v>
      </c>
      <c r="H261" s="385" t="s">
        <v>659</v>
      </c>
      <c r="I261" s="386" t="s">
        <v>23</v>
      </c>
      <c r="J261" s="38" t="s">
        <v>104</v>
      </c>
      <c r="K261" s="398" t="s">
        <v>687</v>
      </c>
      <c r="L261" s="379" t="s">
        <v>1245</v>
      </c>
      <c r="M261" s="399">
        <v>43082</v>
      </c>
      <c r="N261" s="399">
        <v>43086</v>
      </c>
      <c r="O261" s="393" t="s">
        <v>601</v>
      </c>
      <c r="P261" s="106" t="s">
        <v>1331</v>
      </c>
      <c r="Q261" s="167"/>
      <c r="R261" s="397" t="s">
        <v>247</v>
      </c>
      <c r="S261" s="316"/>
      <c r="T261" s="689"/>
    </row>
    <row r="262" spans="1:20" s="377" customFormat="1" ht="20.100000000000001" customHeight="1">
      <c r="A262" s="1189" t="s">
        <v>2950</v>
      </c>
      <c r="B262" s="1189" t="s">
        <v>321</v>
      </c>
      <c r="C262" s="1189" t="s">
        <v>321</v>
      </c>
      <c r="D262" s="32">
        <f>D17+100</f>
        <v>450</v>
      </c>
      <c r="E262" s="32">
        <f>E17+150</f>
        <v>600</v>
      </c>
      <c r="F262" s="32">
        <f>F17+150</f>
        <v>600</v>
      </c>
      <c r="G262" s="222" t="s">
        <v>51</v>
      </c>
      <c r="H262" s="401" t="s">
        <v>725</v>
      </c>
      <c r="I262" s="386" t="s">
        <v>107</v>
      </c>
      <c r="J262" s="38" t="s">
        <v>104</v>
      </c>
      <c r="K262" s="398" t="s">
        <v>728</v>
      </c>
      <c r="L262" s="380" t="s">
        <v>636</v>
      </c>
      <c r="M262" s="381">
        <v>43084</v>
      </c>
      <c r="N262" s="381">
        <v>43090</v>
      </c>
      <c r="O262" s="382"/>
      <c r="P262" s="105" t="s">
        <v>2423</v>
      </c>
      <c r="Q262" s="7"/>
      <c r="R262" s="384" t="s">
        <v>1735</v>
      </c>
      <c r="S262" s="316"/>
      <c r="T262" s="78"/>
    </row>
    <row r="263" spans="1:20" s="377" customFormat="1" ht="20.100000000000001" customHeight="1">
      <c r="A263" s="1189" t="s">
        <v>2950</v>
      </c>
      <c r="B263" s="1189" t="s">
        <v>321</v>
      </c>
      <c r="C263" s="1189" t="s">
        <v>321</v>
      </c>
      <c r="D263" s="13">
        <f>D18+100</f>
        <v>440</v>
      </c>
      <c r="E263" s="13">
        <f>E18+200+30</f>
        <v>660</v>
      </c>
      <c r="F263" s="13">
        <f>F18+200+30</f>
        <v>660</v>
      </c>
      <c r="G263" s="228" t="s">
        <v>19</v>
      </c>
      <c r="H263" s="401" t="s">
        <v>725</v>
      </c>
      <c r="I263" s="386" t="s">
        <v>107</v>
      </c>
      <c r="J263" s="38" t="s">
        <v>104</v>
      </c>
      <c r="K263" s="398" t="s">
        <v>728</v>
      </c>
      <c r="L263" s="379" t="s">
        <v>636</v>
      </c>
      <c r="M263" s="399">
        <v>43082</v>
      </c>
      <c r="N263" s="399">
        <v>43088</v>
      </c>
      <c r="O263" s="382" t="s">
        <v>611</v>
      </c>
      <c r="P263" s="61"/>
      <c r="Q263" s="7"/>
      <c r="R263" s="384" t="s">
        <v>191</v>
      </c>
      <c r="S263" s="316" t="s">
        <v>1176</v>
      </c>
      <c r="T263" s="78"/>
    </row>
    <row r="264" spans="1:20" s="377" customFormat="1" ht="20.100000000000001" customHeight="1">
      <c r="A264" s="1189" t="s">
        <v>2950</v>
      </c>
      <c r="B264" s="1189" t="s">
        <v>321</v>
      </c>
      <c r="C264" s="1189" t="s">
        <v>321</v>
      </c>
      <c r="D264" s="529">
        <v>425</v>
      </c>
      <c r="E264" s="529">
        <v>500</v>
      </c>
      <c r="F264" s="529">
        <v>500</v>
      </c>
      <c r="G264" s="699" t="s">
        <v>22</v>
      </c>
      <c r="H264" s="401" t="s">
        <v>1665</v>
      </c>
      <c r="I264" s="386" t="s">
        <v>107</v>
      </c>
      <c r="J264" s="38" t="s">
        <v>104</v>
      </c>
      <c r="K264" s="398">
        <v>22</v>
      </c>
      <c r="L264" s="379" t="s">
        <v>636</v>
      </c>
      <c r="M264" s="392">
        <v>43062</v>
      </c>
      <c r="N264" s="392">
        <v>43086</v>
      </c>
      <c r="O264" s="393"/>
      <c r="P264" s="750" t="s">
        <v>1071</v>
      </c>
      <c r="Q264" s="7"/>
      <c r="R264" s="397" t="s">
        <v>191</v>
      </c>
      <c r="S264" s="316" t="s">
        <v>1176</v>
      </c>
      <c r="T264" s="689"/>
    </row>
    <row r="265" spans="1:20" s="377" customFormat="1" ht="20.100000000000001" customHeight="1">
      <c r="A265" s="1189" t="s">
        <v>2950</v>
      </c>
      <c r="B265" s="1189" t="s">
        <v>321</v>
      </c>
      <c r="C265" s="1189" t="s">
        <v>321</v>
      </c>
      <c r="D265" s="531">
        <v>425</v>
      </c>
      <c r="E265" s="531">
        <v>450</v>
      </c>
      <c r="F265" s="531">
        <v>450</v>
      </c>
      <c r="G265" s="63" t="s">
        <v>29</v>
      </c>
      <c r="H265" s="401" t="s">
        <v>1665</v>
      </c>
      <c r="I265" s="386" t="s">
        <v>107</v>
      </c>
      <c r="J265" s="38" t="s">
        <v>2390</v>
      </c>
      <c r="K265" s="398">
        <v>22</v>
      </c>
      <c r="L265" s="379" t="s">
        <v>636</v>
      </c>
      <c r="M265" s="404">
        <v>43061</v>
      </c>
      <c r="N265" s="404">
        <v>43086</v>
      </c>
      <c r="O265" s="400"/>
      <c r="P265" s="750"/>
      <c r="Q265" s="7"/>
      <c r="R265" s="397" t="s">
        <v>191</v>
      </c>
      <c r="S265" s="316" t="s">
        <v>2898</v>
      </c>
      <c r="T265" s="689"/>
    </row>
    <row r="266" spans="1:20" s="377" customFormat="1" ht="20.100000000000001" customHeight="1">
      <c r="A266" s="1189" t="s">
        <v>2950</v>
      </c>
      <c r="B266" s="1189" t="s">
        <v>321</v>
      </c>
      <c r="C266" s="1189" t="s">
        <v>321</v>
      </c>
      <c r="D266" s="759">
        <f>D22+25+25</f>
        <v>400</v>
      </c>
      <c r="E266" s="759">
        <f>E22+50+50</f>
        <v>500</v>
      </c>
      <c r="F266" s="759">
        <f>F22+50+50</f>
        <v>500</v>
      </c>
      <c r="G266" s="705" t="s">
        <v>158</v>
      </c>
      <c r="H266" s="401" t="s">
        <v>681</v>
      </c>
      <c r="I266" s="386" t="s">
        <v>107</v>
      </c>
      <c r="J266" s="38" t="s">
        <v>104</v>
      </c>
      <c r="K266" s="398" t="s">
        <v>680</v>
      </c>
      <c r="L266" s="379" t="s">
        <v>639</v>
      </c>
      <c r="M266" s="391">
        <v>43084</v>
      </c>
      <c r="N266" s="391">
        <v>43087</v>
      </c>
      <c r="O266" s="400"/>
      <c r="P266" s="105" t="s">
        <v>906</v>
      </c>
      <c r="Q266" s="52" t="s">
        <v>4072</v>
      </c>
      <c r="R266" s="397" t="s">
        <v>1746</v>
      </c>
      <c r="S266" s="315" t="s">
        <v>2895</v>
      </c>
      <c r="T266" s="137"/>
    </row>
    <row r="267" spans="1:20" s="377" customFormat="1" ht="20.100000000000001" customHeight="1">
      <c r="A267" s="1189" t="s">
        <v>2950</v>
      </c>
      <c r="B267" s="1189" t="s">
        <v>321</v>
      </c>
      <c r="C267" s="1189" t="s">
        <v>321</v>
      </c>
      <c r="D267" s="533">
        <f>D23+100</f>
        <v>450</v>
      </c>
      <c r="E267" s="533">
        <f>E23+150</f>
        <v>600</v>
      </c>
      <c r="F267" s="533">
        <f>F23+150</f>
        <v>600</v>
      </c>
      <c r="G267" s="222" t="s">
        <v>51</v>
      </c>
      <c r="H267" s="401" t="s">
        <v>681</v>
      </c>
      <c r="I267" s="386" t="s">
        <v>107</v>
      </c>
      <c r="J267" s="38" t="s">
        <v>104</v>
      </c>
      <c r="K267" s="398" t="s">
        <v>680</v>
      </c>
      <c r="L267" s="379" t="s">
        <v>639</v>
      </c>
      <c r="M267" s="381">
        <v>43084</v>
      </c>
      <c r="N267" s="381">
        <v>43090</v>
      </c>
      <c r="O267" s="393"/>
      <c r="P267" s="105" t="s">
        <v>2423</v>
      </c>
      <c r="Q267" s="52" t="s">
        <v>4072</v>
      </c>
      <c r="R267" s="397" t="s">
        <v>1732</v>
      </c>
      <c r="S267" s="316"/>
      <c r="T267" s="689"/>
    </row>
    <row r="268" spans="1:20" ht="20.100000000000001" customHeight="1">
      <c r="A268" s="1189" t="s">
        <v>2950</v>
      </c>
      <c r="B268" s="1189" t="s">
        <v>321</v>
      </c>
      <c r="C268" s="1189" t="s">
        <v>321</v>
      </c>
      <c r="D268" s="11">
        <f>D24+150</f>
        <v>525</v>
      </c>
      <c r="E268" s="11">
        <f>E24+300</f>
        <v>800</v>
      </c>
      <c r="F268" s="11">
        <f>F24+300</f>
        <v>800</v>
      </c>
      <c r="G268" s="625" t="s">
        <v>5</v>
      </c>
      <c r="H268" s="676">
        <v>5</v>
      </c>
      <c r="I268" s="38" t="s">
        <v>107</v>
      </c>
      <c r="J268" s="38" t="s">
        <v>1252</v>
      </c>
      <c r="K268" s="38" t="s">
        <v>680</v>
      </c>
      <c r="L268" s="51" t="s">
        <v>639</v>
      </c>
      <c r="M268" s="6">
        <v>43066</v>
      </c>
      <c r="N268" s="6">
        <v>43080</v>
      </c>
      <c r="O268" s="675" t="s">
        <v>600</v>
      </c>
      <c r="P268" s="76" t="s">
        <v>2476</v>
      </c>
      <c r="Q268" s="52" t="s">
        <v>4072</v>
      </c>
      <c r="R268" s="49" t="s">
        <v>763</v>
      </c>
      <c r="S268" s="315" t="s">
        <v>2893</v>
      </c>
      <c r="T268" s="680"/>
    </row>
    <row r="269" spans="1:20" s="377" customFormat="1" ht="20.100000000000001" customHeight="1">
      <c r="A269" s="1189" t="s">
        <v>2950</v>
      </c>
      <c r="B269" s="1189" t="s">
        <v>321</v>
      </c>
      <c r="C269" s="1189" t="s">
        <v>321</v>
      </c>
      <c r="D269" s="11">
        <f>D25+75</f>
        <v>425</v>
      </c>
      <c r="E269" s="11">
        <f>E25+100</f>
        <v>500</v>
      </c>
      <c r="F269" s="11">
        <f>F25+100</f>
        <v>500</v>
      </c>
      <c r="G269" s="67" t="s">
        <v>37</v>
      </c>
      <c r="H269" s="401">
        <v>5</v>
      </c>
      <c r="I269" s="386" t="s">
        <v>107</v>
      </c>
      <c r="J269" s="38" t="s">
        <v>104</v>
      </c>
      <c r="K269" s="386" t="s">
        <v>680</v>
      </c>
      <c r="L269" s="379" t="s">
        <v>639</v>
      </c>
      <c r="M269" s="392">
        <v>43084</v>
      </c>
      <c r="N269" s="392">
        <v>43087</v>
      </c>
      <c r="O269" s="382"/>
      <c r="P269" s="105" t="s">
        <v>1663</v>
      </c>
      <c r="Q269" s="52" t="s">
        <v>4072</v>
      </c>
      <c r="R269" s="397" t="s">
        <v>815</v>
      </c>
      <c r="S269" s="327" t="s">
        <v>2896</v>
      </c>
      <c r="T269" s="680"/>
    </row>
    <row r="270" spans="1:20" s="377" customFormat="1" ht="20.100000000000001" customHeight="1">
      <c r="A270" s="1189" t="s">
        <v>2950</v>
      </c>
      <c r="B270" s="1189" t="s">
        <v>321</v>
      </c>
      <c r="C270" s="1189" t="s">
        <v>321</v>
      </c>
      <c r="D270" s="11">
        <f>D26+25</f>
        <v>325</v>
      </c>
      <c r="E270" s="11">
        <f>E26+50+0</f>
        <v>450</v>
      </c>
      <c r="F270" s="11">
        <f>F26+50+0</f>
        <v>450</v>
      </c>
      <c r="G270" s="67" t="s">
        <v>232</v>
      </c>
      <c r="H270" s="401">
        <v>5</v>
      </c>
      <c r="I270" s="386" t="s">
        <v>107</v>
      </c>
      <c r="J270" s="38" t="s">
        <v>104</v>
      </c>
      <c r="K270" s="386">
        <v>29</v>
      </c>
      <c r="L270" s="386" t="s">
        <v>641</v>
      </c>
      <c r="M270" s="399">
        <v>43082</v>
      </c>
      <c r="N270" s="399">
        <v>43086</v>
      </c>
      <c r="O270" s="393" t="s">
        <v>601</v>
      </c>
      <c r="P270" s="106" t="s">
        <v>1331</v>
      </c>
      <c r="Q270" s="52"/>
      <c r="R270" s="397" t="s">
        <v>2004</v>
      </c>
      <c r="S270" s="336"/>
      <c r="T270" s="680"/>
    </row>
    <row r="271" spans="1:20" s="377" customFormat="1" ht="20.100000000000001" customHeight="1">
      <c r="A271" s="1189" t="s">
        <v>2950</v>
      </c>
      <c r="B271" s="1189" t="s">
        <v>321</v>
      </c>
      <c r="C271" s="1189" t="s">
        <v>321</v>
      </c>
      <c r="D271" s="13">
        <f>D27+100</f>
        <v>440</v>
      </c>
      <c r="E271" s="13">
        <f>E27+200+30</f>
        <v>660</v>
      </c>
      <c r="F271" s="13">
        <f>F27+200+30</f>
        <v>660</v>
      </c>
      <c r="G271" s="228" t="s">
        <v>19</v>
      </c>
      <c r="H271" s="401">
        <v>5</v>
      </c>
      <c r="I271" s="386" t="s">
        <v>107</v>
      </c>
      <c r="J271" s="38" t="s">
        <v>104</v>
      </c>
      <c r="K271" s="386">
        <v>29</v>
      </c>
      <c r="L271" s="386" t="s">
        <v>641</v>
      </c>
      <c r="M271" s="399">
        <v>43082</v>
      </c>
      <c r="N271" s="399">
        <v>43088</v>
      </c>
      <c r="O271" s="382" t="s">
        <v>611</v>
      </c>
      <c r="P271" s="61"/>
      <c r="Q271" s="7"/>
      <c r="R271" s="397" t="s">
        <v>1789</v>
      </c>
      <c r="S271" s="316" t="s">
        <v>1176</v>
      </c>
      <c r="T271" s="680"/>
    </row>
    <row r="272" spans="1:20" s="377" customFormat="1" ht="20.100000000000001" customHeight="1">
      <c r="A272" s="1189" t="s">
        <v>2950</v>
      </c>
      <c r="B272" s="1189" t="s">
        <v>321</v>
      </c>
      <c r="C272" s="1189" t="s">
        <v>321</v>
      </c>
      <c r="D272" s="851">
        <f>D28+50-25</f>
        <v>375</v>
      </c>
      <c r="E272" s="851">
        <f>E28+100+-50</f>
        <v>450</v>
      </c>
      <c r="F272" s="851">
        <f>F28+100+-50</f>
        <v>450</v>
      </c>
      <c r="G272" s="110" t="s">
        <v>137</v>
      </c>
      <c r="H272" s="401">
        <v>5</v>
      </c>
      <c r="I272" s="386" t="s">
        <v>107</v>
      </c>
      <c r="J272" s="38" t="s">
        <v>4191</v>
      </c>
      <c r="K272" s="386">
        <v>29</v>
      </c>
      <c r="L272" s="386" t="s">
        <v>650</v>
      </c>
      <c r="M272" s="392">
        <v>43077</v>
      </c>
      <c r="N272" s="392">
        <v>43086</v>
      </c>
      <c r="O272" s="395"/>
      <c r="P272" s="105" t="s">
        <v>1525</v>
      </c>
      <c r="Q272" s="7"/>
      <c r="R272" s="397" t="s">
        <v>186</v>
      </c>
      <c r="S272" s="322" t="s">
        <v>1176</v>
      </c>
      <c r="T272" s="78"/>
    </row>
    <row r="273" spans="1:20" s="377" customFormat="1" ht="20.100000000000001" customHeight="1">
      <c r="A273" s="1189" t="s">
        <v>2950</v>
      </c>
      <c r="B273" s="1189" t="s">
        <v>321</v>
      </c>
      <c r="C273" s="1189" t="s">
        <v>321</v>
      </c>
      <c r="D273" s="32">
        <f>D29+25+25</f>
        <v>400</v>
      </c>
      <c r="E273" s="32">
        <f>E29+50+50</f>
        <v>500</v>
      </c>
      <c r="F273" s="32">
        <f>F29+50+50</f>
        <v>500</v>
      </c>
      <c r="G273" s="705" t="s">
        <v>6</v>
      </c>
      <c r="H273" s="401" t="s">
        <v>721</v>
      </c>
      <c r="I273" s="386" t="s">
        <v>107</v>
      </c>
      <c r="J273" s="38" t="s">
        <v>104</v>
      </c>
      <c r="K273" s="386" t="s">
        <v>727</v>
      </c>
      <c r="L273" s="380" t="s">
        <v>636</v>
      </c>
      <c r="M273" s="391">
        <v>43084</v>
      </c>
      <c r="N273" s="391">
        <v>43087</v>
      </c>
      <c r="O273" s="400"/>
      <c r="P273" s="105" t="s">
        <v>906</v>
      </c>
      <c r="Q273" s="52"/>
      <c r="R273" s="389" t="s">
        <v>335</v>
      </c>
      <c r="S273" s="315" t="s">
        <v>2895</v>
      </c>
      <c r="T273" s="137"/>
    </row>
    <row r="274" spans="1:20" s="377" customFormat="1" ht="20.100000000000001" customHeight="1">
      <c r="A274" s="1189" t="s">
        <v>2950</v>
      </c>
      <c r="B274" s="1189" t="s">
        <v>321</v>
      </c>
      <c r="C274" s="1189" t="s">
        <v>3418</v>
      </c>
      <c r="D274" s="851">
        <f>D30+100</f>
        <v>450</v>
      </c>
      <c r="E274" s="851">
        <f>E30+150</f>
        <v>600</v>
      </c>
      <c r="F274" s="851">
        <f>F30+150</f>
        <v>600</v>
      </c>
      <c r="G274" s="222" t="s">
        <v>51</v>
      </c>
      <c r="H274" s="401" t="s">
        <v>721</v>
      </c>
      <c r="I274" s="386" t="s">
        <v>107</v>
      </c>
      <c r="J274" s="38" t="s">
        <v>104</v>
      </c>
      <c r="K274" s="386" t="s">
        <v>727</v>
      </c>
      <c r="L274" s="380" t="s">
        <v>636</v>
      </c>
      <c r="M274" s="381">
        <v>43084</v>
      </c>
      <c r="N274" s="381">
        <v>43090</v>
      </c>
      <c r="O274" s="395"/>
      <c r="P274" s="105" t="s">
        <v>2423</v>
      </c>
      <c r="Q274" s="52"/>
      <c r="R274" s="389" t="s">
        <v>167</v>
      </c>
      <c r="S274" s="316"/>
      <c r="T274" s="78"/>
    </row>
    <row r="275" spans="1:20" s="377" customFormat="1" ht="20.100000000000001" customHeight="1">
      <c r="A275" s="1189" t="s">
        <v>2950</v>
      </c>
      <c r="B275" s="1189" t="s">
        <v>321</v>
      </c>
      <c r="C275" s="1189" t="s">
        <v>3418</v>
      </c>
      <c r="D275" s="32">
        <f>D33+75</f>
        <v>425</v>
      </c>
      <c r="E275" s="32">
        <f>E33+100</f>
        <v>500</v>
      </c>
      <c r="F275" s="32">
        <f>F33+100</f>
        <v>500</v>
      </c>
      <c r="G275" s="705" t="s">
        <v>102</v>
      </c>
      <c r="H275" s="401" t="s">
        <v>721</v>
      </c>
      <c r="I275" s="386" t="s">
        <v>107</v>
      </c>
      <c r="J275" s="38" t="s">
        <v>104</v>
      </c>
      <c r="K275" s="386" t="s">
        <v>727</v>
      </c>
      <c r="L275" s="380" t="s">
        <v>636</v>
      </c>
      <c r="M275" s="392">
        <v>43084</v>
      </c>
      <c r="N275" s="392">
        <v>43087</v>
      </c>
      <c r="O275" s="382"/>
      <c r="P275" s="105" t="s">
        <v>1663</v>
      </c>
      <c r="Q275" s="52"/>
      <c r="R275" s="397" t="s">
        <v>1777</v>
      </c>
      <c r="S275" s="327" t="s">
        <v>2896</v>
      </c>
      <c r="T275" s="78"/>
    </row>
    <row r="276" spans="1:20" s="377" customFormat="1" ht="20.100000000000001" customHeight="1">
      <c r="A276" s="1189" t="s">
        <v>2950</v>
      </c>
      <c r="B276" s="1189" t="s">
        <v>321</v>
      </c>
      <c r="C276" s="1189" t="s">
        <v>3418</v>
      </c>
      <c r="D276" s="882">
        <f>D34+450</f>
        <v>825</v>
      </c>
      <c r="E276" s="882">
        <f>E34+650</f>
        <v>1125</v>
      </c>
      <c r="F276" s="882">
        <f>F34+650</f>
        <v>1125</v>
      </c>
      <c r="G276" s="705" t="s">
        <v>61</v>
      </c>
      <c r="H276" s="401" t="s">
        <v>721</v>
      </c>
      <c r="I276" s="386" t="s">
        <v>107</v>
      </c>
      <c r="J276" s="38" t="s">
        <v>104</v>
      </c>
      <c r="K276" s="386" t="s">
        <v>727</v>
      </c>
      <c r="L276" s="379" t="s">
        <v>636</v>
      </c>
      <c r="M276" s="404">
        <v>43085</v>
      </c>
      <c r="N276" s="404">
        <v>43086</v>
      </c>
      <c r="O276" s="393" t="s">
        <v>601</v>
      </c>
      <c r="P276" s="61"/>
      <c r="Q276" s="52"/>
      <c r="R276" s="397" t="s">
        <v>1854</v>
      </c>
      <c r="S276" s="316" t="s">
        <v>2897</v>
      </c>
      <c r="T276" s="689"/>
    </row>
    <row r="277" spans="1:20" s="377" customFormat="1" ht="20.100000000000001" customHeight="1">
      <c r="A277" s="1189" t="s">
        <v>2950</v>
      </c>
      <c r="B277" s="1189" t="s">
        <v>321</v>
      </c>
      <c r="C277" s="1209" t="s">
        <v>321</v>
      </c>
      <c r="D277" s="800" t="s">
        <v>4513</v>
      </c>
      <c r="E277" s="800" t="s">
        <v>4514</v>
      </c>
      <c r="F277" s="800" t="s">
        <v>4514</v>
      </c>
      <c r="G277" s="812" t="s">
        <v>29</v>
      </c>
      <c r="H277" s="401" t="s">
        <v>721</v>
      </c>
      <c r="I277" s="386" t="s">
        <v>107</v>
      </c>
      <c r="J277" s="38" t="s">
        <v>104</v>
      </c>
      <c r="K277" s="386" t="s">
        <v>727</v>
      </c>
      <c r="L277" s="380" t="s">
        <v>636</v>
      </c>
      <c r="M277" s="404">
        <v>43085</v>
      </c>
      <c r="N277" s="404">
        <v>43086</v>
      </c>
      <c r="O277" s="382"/>
      <c r="P277" s="105"/>
      <c r="Q277" s="52"/>
      <c r="R277" s="397" t="s">
        <v>167</v>
      </c>
      <c r="S277" s="316" t="s">
        <v>2898</v>
      </c>
      <c r="T277" s="78"/>
    </row>
    <row r="278" spans="1:20" s="377" customFormat="1" ht="20.100000000000001" customHeight="1">
      <c r="A278" s="1189" t="s">
        <v>2950</v>
      </c>
      <c r="B278" s="1189" t="s">
        <v>321</v>
      </c>
      <c r="C278" s="1189" t="s">
        <v>3418</v>
      </c>
      <c r="D278" s="816">
        <f>D37+100</f>
        <v>450</v>
      </c>
      <c r="E278" s="816">
        <f>E37+150</f>
        <v>600</v>
      </c>
      <c r="F278" s="816">
        <f>F37+150</f>
        <v>600</v>
      </c>
      <c r="G278" s="222" t="s">
        <v>51</v>
      </c>
      <c r="H278" s="385" t="s">
        <v>721</v>
      </c>
      <c r="I278" s="379" t="s">
        <v>107</v>
      </c>
      <c r="J278" s="51" t="s">
        <v>1249</v>
      </c>
      <c r="K278" s="386" t="s">
        <v>660</v>
      </c>
      <c r="L278" s="379" t="s">
        <v>639</v>
      </c>
      <c r="M278" s="381">
        <v>43084</v>
      </c>
      <c r="N278" s="381">
        <v>43090</v>
      </c>
      <c r="O278" s="395"/>
      <c r="P278" s="105" t="s">
        <v>2423</v>
      </c>
      <c r="Q278" s="52"/>
      <c r="R278" s="397" t="s">
        <v>1730</v>
      </c>
      <c r="S278" s="316"/>
      <c r="T278" s="680"/>
    </row>
    <row r="279" spans="1:20" ht="20.100000000000001" customHeight="1">
      <c r="A279" s="1189" t="s">
        <v>2950</v>
      </c>
      <c r="B279" s="1189" t="s">
        <v>321</v>
      </c>
      <c r="C279" s="1189" t="s">
        <v>3418</v>
      </c>
      <c r="D279" s="13">
        <f>D38+150</f>
        <v>525</v>
      </c>
      <c r="E279" s="13">
        <f>E38+300</f>
        <v>800</v>
      </c>
      <c r="F279" s="13">
        <f>F38+300</f>
        <v>800</v>
      </c>
      <c r="G279" s="625" t="s">
        <v>5</v>
      </c>
      <c r="H279" s="674" t="s">
        <v>721</v>
      </c>
      <c r="I279" s="51" t="s">
        <v>107</v>
      </c>
      <c r="J279" s="51" t="s">
        <v>104</v>
      </c>
      <c r="K279" s="38" t="s">
        <v>660</v>
      </c>
      <c r="L279" s="51" t="s">
        <v>639</v>
      </c>
      <c r="M279" s="6">
        <v>43066</v>
      </c>
      <c r="N279" s="6">
        <v>43080</v>
      </c>
      <c r="O279" s="675" t="s">
        <v>600</v>
      </c>
      <c r="P279" s="76" t="s">
        <v>2476</v>
      </c>
      <c r="Q279" s="52"/>
      <c r="R279" s="49" t="s">
        <v>762</v>
      </c>
      <c r="S279" s="315" t="s">
        <v>2893</v>
      </c>
      <c r="T279" s="680"/>
    </row>
    <row r="280" spans="1:20" s="377" customFormat="1" ht="20.100000000000001" customHeight="1">
      <c r="A280" s="1189" t="s">
        <v>2950</v>
      </c>
      <c r="B280" s="1189" t="s">
        <v>321</v>
      </c>
      <c r="C280" s="1189" t="s">
        <v>321</v>
      </c>
      <c r="D280" s="13">
        <f>D39+25</f>
        <v>325</v>
      </c>
      <c r="E280" s="13">
        <f>E39+50+0</f>
        <v>450</v>
      </c>
      <c r="F280" s="13">
        <f>F39+50+0</f>
        <v>450</v>
      </c>
      <c r="G280" s="625" t="s">
        <v>232</v>
      </c>
      <c r="H280" s="385" t="s">
        <v>721</v>
      </c>
      <c r="I280" s="379" t="s">
        <v>107</v>
      </c>
      <c r="J280" s="51" t="s">
        <v>104</v>
      </c>
      <c r="K280" s="386" t="s">
        <v>660</v>
      </c>
      <c r="L280" s="379" t="s">
        <v>639</v>
      </c>
      <c r="M280" s="399">
        <v>43082</v>
      </c>
      <c r="N280" s="399">
        <v>43086</v>
      </c>
      <c r="O280" s="393" t="s">
        <v>601</v>
      </c>
      <c r="P280" s="106" t="s">
        <v>1331</v>
      </c>
      <c r="Q280" s="52"/>
      <c r="R280" s="397" t="s">
        <v>1843</v>
      </c>
      <c r="S280" s="316"/>
      <c r="T280" s="680"/>
    </row>
    <row r="281" spans="1:20" s="377" customFormat="1" ht="20.100000000000001" customHeight="1">
      <c r="A281" s="1189" t="s">
        <v>2950</v>
      </c>
      <c r="B281" s="1189" t="s">
        <v>321</v>
      </c>
      <c r="C281" s="1189" t="s">
        <v>3418</v>
      </c>
      <c r="D281" s="32">
        <f>D40+75</f>
        <v>425</v>
      </c>
      <c r="E281" s="32">
        <f>E40+100</f>
        <v>500</v>
      </c>
      <c r="F281" s="32">
        <f>F40+100</f>
        <v>500</v>
      </c>
      <c r="G281" s="705" t="s">
        <v>69</v>
      </c>
      <c r="H281" s="385" t="s">
        <v>721</v>
      </c>
      <c r="I281" s="379" t="s">
        <v>107</v>
      </c>
      <c r="J281" s="51" t="s">
        <v>104</v>
      </c>
      <c r="K281" s="386" t="s">
        <v>660</v>
      </c>
      <c r="L281" s="379" t="s">
        <v>636</v>
      </c>
      <c r="M281" s="392">
        <v>43084</v>
      </c>
      <c r="N281" s="392">
        <v>43087</v>
      </c>
      <c r="O281" s="382"/>
      <c r="P281" s="105" t="s">
        <v>1663</v>
      </c>
      <c r="Q281" s="52"/>
      <c r="R281" s="397" t="s">
        <v>1778</v>
      </c>
      <c r="S281" s="327" t="s">
        <v>2896</v>
      </c>
      <c r="T281" s="689"/>
    </row>
    <row r="282" spans="1:20" s="377" customFormat="1" ht="20.100000000000001" customHeight="1">
      <c r="A282" s="1189" t="s">
        <v>2950</v>
      </c>
      <c r="B282" s="1189" t="s">
        <v>321</v>
      </c>
      <c r="C282" s="1189" t="s">
        <v>3418</v>
      </c>
      <c r="D282" s="11">
        <f>D41+100</f>
        <v>390</v>
      </c>
      <c r="E282" s="11">
        <f>E41+200+30</f>
        <v>560</v>
      </c>
      <c r="F282" s="11">
        <f>F41+200+30</f>
        <v>560</v>
      </c>
      <c r="G282" s="228" t="s">
        <v>19</v>
      </c>
      <c r="H282" s="401" t="s">
        <v>1773</v>
      </c>
      <c r="I282" s="398" t="s">
        <v>107</v>
      </c>
      <c r="J282" s="38" t="s">
        <v>104</v>
      </c>
      <c r="K282" s="398">
        <v>18</v>
      </c>
      <c r="L282" s="386" t="s">
        <v>643</v>
      </c>
      <c r="M282" s="399">
        <v>43082</v>
      </c>
      <c r="N282" s="399">
        <v>43088</v>
      </c>
      <c r="O282" s="382" t="s">
        <v>611</v>
      </c>
      <c r="P282" s="677"/>
      <c r="Q282" s="7"/>
      <c r="R282" s="397" t="s">
        <v>1783</v>
      </c>
      <c r="S282" s="316" t="s">
        <v>1176</v>
      </c>
      <c r="T282" s="680"/>
    </row>
    <row r="283" spans="1:20" s="377" customFormat="1" ht="20.100000000000001" customHeight="1">
      <c r="A283" s="1189" t="s">
        <v>2950</v>
      </c>
      <c r="B283" s="1189" t="s">
        <v>321</v>
      </c>
      <c r="C283" s="1189" t="s">
        <v>3418</v>
      </c>
      <c r="D283" s="529">
        <v>400</v>
      </c>
      <c r="E283" s="529">
        <v>500</v>
      </c>
      <c r="F283" s="529">
        <v>500</v>
      </c>
      <c r="G283" s="699" t="s">
        <v>22</v>
      </c>
      <c r="H283" s="401" t="s">
        <v>706</v>
      </c>
      <c r="I283" s="398" t="s">
        <v>107</v>
      </c>
      <c r="J283" s="38" t="s">
        <v>104</v>
      </c>
      <c r="K283" s="398">
        <v>18</v>
      </c>
      <c r="L283" s="386" t="s">
        <v>643</v>
      </c>
      <c r="M283" s="392">
        <v>43079</v>
      </c>
      <c r="N283" s="392">
        <v>43086</v>
      </c>
      <c r="O283" s="400"/>
      <c r="P283" s="750" t="s">
        <v>1071</v>
      </c>
      <c r="Q283" s="7"/>
      <c r="R283" s="397" t="s">
        <v>1783</v>
      </c>
      <c r="S283" s="316" t="s">
        <v>1176</v>
      </c>
      <c r="T283" s="78"/>
    </row>
    <row r="284" spans="1:20" s="377" customFormat="1" ht="20.100000000000001" customHeight="1">
      <c r="A284" s="1189" t="s">
        <v>2950</v>
      </c>
      <c r="B284" s="1189" t="s">
        <v>321</v>
      </c>
      <c r="C284" s="1189" t="s">
        <v>321</v>
      </c>
      <c r="D284" s="11">
        <f>D4+100</f>
        <v>450</v>
      </c>
      <c r="E284" s="11">
        <f>E4+150</f>
        <v>600</v>
      </c>
      <c r="F284" s="11">
        <f>F4+150</f>
        <v>600</v>
      </c>
      <c r="G284" s="222" t="s">
        <v>51</v>
      </c>
      <c r="H284" s="378">
        <v>1</v>
      </c>
      <c r="I284" s="379" t="s">
        <v>107</v>
      </c>
      <c r="J284" s="51" t="s">
        <v>1250</v>
      </c>
      <c r="K284" s="379">
        <v>24</v>
      </c>
      <c r="L284" s="379" t="s">
        <v>636</v>
      </c>
      <c r="M284" s="381">
        <v>43084</v>
      </c>
      <c r="N284" s="381">
        <v>43090</v>
      </c>
      <c r="O284" s="402"/>
      <c r="P284" s="105" t="s">
        <v>604</v>
      </c>
      <c r="Q284" s="52" t="s">
        <v>4094</v>
      </c>
      <c r="R284" s="384" t="s">
        <v>1734</v>
      </c>
      <c r="S284" s="316"/>
      <c r="T284" s="78"/>
    </row>
    <row r="285" spans="1:20" ht="20.100000000000001" customHeight="1">
      <c r="A285" s="1189" t="s">
        <v>2950</v>
      </c>
      <c r="B285" s="1189" t="s">
        <v>321</v>
      </c>
      <c r="C285" s="1189" t="s">
        <v>321</v>
      </c>
      <c r="D285" s="11">
        <f>D5+150</f>
        <v>525</v>
      </c>
      <c r="E285" s="11">
        <f>E5+300</f>
        <v>800</v>
      </c>
      <c r="F285" s="11">
        <f>F5+300</f>
        <v>800</v>
      </c>
      <c r="G285" s="67" t="s">
        <v>5</v>
      </c>
      <c r="H285" s="22">
        <v>1</v>
      </c>
      <c r="I285" s="51" t="s">
        <v>107</v>
      </c>
      <c r="J285" s="51" t="s">
        <v>63</v>
      </c>
      <c r="K285" s="51">
        <v>24</v>
      </c>
      <c r="L285" s="51" t="s">
        <v>636</v>
      </c>
      <c r="M285" s="6">
        <v>43066</v>
      </c>
      <c r="N285" s="6">
        <v>43080</v>
      </c>
      <c r="O285" s="675" t="s">
        <v>600</v>
      </c>
      <c r="P285" s="76" t="s">
        <v>2476</v>
      </c>
      <c r="Q285" s="52" t="s">
        <v>4094</v>
      </c>
      <c r="R285" s="612" t="s">
        <v>1419</v>
      </c>
      <c r="S285" s="315" t="s">
        <v>2893</v>
      </c>
      <c r="T285" s="78"/>
    </row>
    <row r="286" spans="1:20" s="377" customFormat="1" ht="20.100000000000001" customHeight="1">
      <c r="A286" s="1189" t="s">
        <v>2950</v>
      </c>
      <c r="B286" s="1189" t="s">
        <v>321</v>
      </c>
      <c r="C286" s="1189" t="s">
        <v>321</v>
      </c>
      <c r="D286" s="11">
        <f>D7+75</f>
        <v>425</v>
      </c>
      <c r="E286" s="11">
        <f>E7+100</f>
        <v>500</v>
      </c>
      <c r="F286" s="11">
        <f>F7+100</f>
        <v>500</v>
      </c>
      <c r="G286" s="705" t="s">
        <v>37</v>
      </c>
      <c r="H286" s="378">
        <v>1</v>
      </c>
      <c r="I286" s="379" t="s">
        <v>107</v>
      </c>
      <c r="J286" s="51" t="s">
        <v>63</v>
      </c>
      <c r="K286" s="379">
        <v>24</v>
      </c>
      <c r="L286" s="379" t="s">
        <v>636</v>
      </c>
      <c r="M286" s="392">
        <v>43084</v>
      </c>
      <c r="N286" s="392">
        <v>43087</v>
      </c>
      <c r="O286" s="395"/>
      <c r="P286" s="105" t="s">
        <v>2423</v>
      </c>
      <c r="Q286" s="52" t="s">
        <v>4094</v>
      </c>
      <c r="R286" s="384" t="s">
        <v>1719</v>
      </c>
      <c r="S286" s="327" t="s">
        <v>2896</v>
      </c>
      <c r="T286" s="78"/>
    </row>
    <row r="287" spans="1:20" s="377" customFormat="1" ht="20.100000000000001" customHeight="1">
      <c r="A287" s="1189" t="s">
        <v>2950</v>
      </c>
      <c r="B287" s="1189" t="s">
        <v>321</v>
      </c>
      <c r="C287" s="1189" t="s">
        <v>321</v>
      </c>
      <c r="D287" s="531">
        <v>350</v>
      </c>
      <c r="E287" s="531">
        <v>450</v>
      </c>
      <c r="F287" s="531">
        <v>450</v>
      </c>
      <c r="G287" s="218" t="s">
        <v>10</v>
      </c>
      <c r="H287" s="56" t="s">
        <v>659</v>
      </c>
      <c r="I287" s="386" t="s">
        <v>107</v>
      </c>
      <c r="J287" s="51" t="s">
        <v>63</v>
      </c>
      <c r="K287" s="51" t="s">
        <v>1198</v>
      </c>
      <c r="L287" s="38" t="s">
        <v>3039</v>
      </c>
      <c r="M287" s="547">
        <v>43082</v>
      </c>
      <c r="N287" s="547">
        <v>43087</v>
      </c>
      <c r="O287" s="544"/>
      <c r="P287" s="572"/>
      <c r="Q287" s="52"/>
      <c r="R287" s="73" t="s">
        <v>3052</v>
      </c>
      <c r="S287" s="316" t="s">
        <v>1176</v>
      </c>
      <c r="T287" s="789"/>
    </row>
    <row r="288" spans="1:20" s="377" customFormat="1" ht="20.100000000000001" customHeight="1">
      <c r="A288" s="1189" t="s">
        <v>2950</v>
      </c>
      <c r="B288" s="1189" t="s">
        <v>321</v>
      </c>
      <c r="C288" s="1189" t="s">
        <v>321</v>
      </c>
      <c r="D288" s="533">
        <f>D16+25</f>
        <v>375</v>
      </c>
      <c r="E288" s="533">
        <f>E16+50+0</f>
        <v>450</v>
      </c>
      <c r="F288" s="533">
        <f>F16+50+0</f>
        <v>450</v>
      </c>
      <c r="G288" s="67" t="s">
        <v>232</v>
      </c>
      <c r="H288" s="385" t="s">
        <v>659</v>
      </c>
      <c r="I288" s="386" t="s">
        <v>23</v>
      </c>
      <c r="J288" s="38" t="s">
        <v>2496</v>
      </c>
      <c r="K288" s="398" t="s">
        <v>663</v>
      </c>
      <c r="L288" s="379" t="s">
        <v>1245</v>
      </c>
      <c r="M288" s="399">
        <v>43082</v>
      </c>
      <c r="N288" s="399">
        <v>43086</v>
      </c>
      <c r="O288" s="393" t="s">
        <v>601</v>
      </c>
      <c r="P288" s="106" t="s">
        <v>1331</v>
      </c>
      <c r="Q288" s="167"/>
      <c r="R288" s="397" t="s">
        <v>247</v>
      </c>
      <c r="S288" s="316"/>
      <c r="T288" s="689"/>
    </row>
    <row r="289" spans="1:20" s="377" customFormat="1" ht="20.100000000000001" customHeight="1">
      <c r="A289" s="1189" t="s">
        <v>2950</v>
      </c>
      <c r="B289" s="1189" t="s">
        <v>321</v>
      </c>
      <c r="C289" s="1189" t="s">
        <v>321</v>
      </c>
      <c r="D289" s="32">
        <f>D17+100</f>
        <v>450</v>
      </c>
      <c r="E289" s="32">
        <f>E17+150</f>
        <v>600</v>
      </c>
      <c r="F289" s="32">
        <f>F17+150</f>
        <v>600</v>
      </c>
      <c r="G289" s="222" t="s">
        <v>51</v>
      </c>
      <c r="H289" s="403" t="s">
        <v>725</v>
      </c>
      <c r="I289" s="386" t="s">
        <v>107</v>
      </c>
      <c r="J289" s="38" t="s">
        <v>63</v>
      </c>
      <c r="K289" s="398" t="s">
        <v>728</v>
      </c>
      <c r="L289" s="379" t="s">
        <v>636</v>
      </c>
      <c r="M289" s="381">
        <v>43084</v>
      </c>
      <c r="N289" s="381">
        <v>43090</v>
      </c>
      <c r="O289" s="382"/>
      <c r="P289" s="105" t="s">
        <v>604</v>
      </c>
      <c r="Q289" s="7"/>
      <c r="R289" s="384" t="s">
        <v>1735</v>
      </c>
      <c r="S289" s="316"/>
      <c r="T289" s="78"/>
    </row>
    <row r="290" spans="1:20" s="377" customFormat="1" ht="20.100000000000001" customHeight="1">
      <c r="A290" s="1189" t="s">
        <v>2950</v>
      </c>
      <c r="B290" s="1189" t="s">
        <v>321</v>
      </c>
      <c r="C290" s="1189" t="s">
        <v>321</v>
      </c>
      <c r="D290" s="32">
        <f>D18+100</f>
        <v>440</v>
      </c>
      <c r="E290" s="32">
        <f>E18+200</f>
        <v>630</v>
      </c>
      <c r="F290" s="32">
        <f>F18+200</f>
        <v>630</v>
      </c>
      <c r="G290" s="222" t="s">
        <v>19</v>
      </c>
      <c r="H290" s="401" t="s">
        <v>725</v>
      </c>
      <c r="I290" s="386" t="s">
        <v>107</v>
      </c>
      <c r="J290" s="38" t="s">
        <v>63</v>
      </c>
      <c r="K290" s="398">
        <v>24</v>
      </c>
      <c r="L290" s="379" t="s">
        <v>636</v>
      </c>
      <c r="M290" s="399">
        <v>43082</v>
      </c>
      <c r="N290" s="399">
        <v>43088</v>
      </c>
      <c r="O290" s="382" t="s">
        <v>611</v>
      </c>
      <c r="P290" s="105"/>
      <c r="Q290" s="7"/>
      <c r="R290" s="384" t="s">
        <v>1791</v>
      </c>
      <c r="S290" s="316" t="s">
        <v>1176</v>
      </c>
      <c r="T290" s="78"/>
    </row>
    <row r="291" spans="1:20" s="377" customFormat="1" ht="20.100000000000001" customHeight="1">
      <c r="A291" s="1189" t="s">
        <v>2950</v>
      </c>
      <c r="B291" s="1189" t="s">
        <v>321</v>
      </c>
      <c r="C291" s="1189" t="s">
        <v>321</v>
      </c>
      <c r="D291" s="529">
        <v>425</v>
      </c>
      <c r="E291" s="529">
        <v>500</v>
      </c>
      <c r="F291" s="529">
        <v>500</v>
      </c>
      <c r="G291" s="699" t="s">
        <v>22</v>
      </c>
      <c r="H291" s="401" t="s">
        <v>1665</v>
      </c>
      <c r="I291" s="386" t="s">
        <v>107</v>
      </c>
      <c r="J291" s="38" t="s">
        <v>63</v>
      </c>
      <c r="K291" s="398">
        <v>24</v>
      </c>
      <c r="L291" s="379" t="s">
        <v>636</v>
      </c>
      <c r="M291" s="392">
        <v>43062</v>
      </c>
      <c r="N291" s="392">
        <v>43086</v>
      </c>
      <c r="O291" s="393"/>
      <c r="P291" s="750" t="s">
        <v>1071</v>
      </c>
      <c r="Q291" s="14"/>
      <c r="R291" s="397" t="s">
        <v>191</v>
      </c>
      <c r="S291" s="316" t="s">
        <v>1176</v>
      </c>
      <c r="T291" s="78"/>
    </row>
    <row r="292" spans="1:20" s="377" customFormat="1" ht="20.100000000000001" customHeight="1">
      <c r="A292" s="1189" t="s">
        <v>2950</v>
      </c>
      <c r="B292" s="1189" t="s">
        <v>321</v>
      </c>
      <c r="C292" s="1189" t="s">
        <v>321</v>
      </c>
      <c r="D292" s="531">
        <v>425</v>
      </c>
      <c r="E292" s="531">
        <v>450</v>
      </c>
      <c r="F292" s="531">
        <v>450</v>
      </c>
      <c r="G292" s="63" t="s">
        <v>29</v>
      </c>
      <c r="H292" s="401" t="s">
        <v>1665</v>
      </c>
      <c r="I292" s="386" t="s">
        <v>107</v>
      </c>
      <c r="J292" s="38" t="s">
        <v>2391</v>
      </c>
      <c r="K292" s="398">
        <v>22</v>
      </c>
      <c r="L292" s="379" t="s">
        <v>636</v>
      </c>
      <c r="M292" s="404">
        <v>43061</v>
      </c>
      <c r="N292" s="404">
        <v>43086</v>
      </c>
      <c r="O292" s="400"/>
      <c r="P292" s="750"/>
      <c r="Q292" s="7"/>
      <c r="R292" s="397" t="s">
        <v>191</v>
      </c>
      <c r="S292" s="316" t="s">
        <v>2898</v>
      </c>
      <c r="T292" s="78"/>
    </row>
    <row r="293" spans="1:20" s="377" customFormat="1" ht="20.100000000000001" customHeight="1">
      <c r="A293" s="1189" t="s">
        <v>2950</v>
      </c>
      <c r="B293" s="1189" t="s">
        <v>321</v>
      </c>
      <c r="C293" s="1189" t="s">
        <v>321</v>
      </c>
      <c r="D293" s="759">
        <f>D22+50+0</f>
        <v>400</v>
      </c>
      <c r="E293" s="759">
        <f>E22+100+0</f>
        <v>500</v>
      </c>
      <c r="F293" s="759">
        <f>F22+100+0</f>
        <v>500</v>
      </c>
      <c r="G293" s="705" t="s">
        <v>158</v>
      </c>
      <c r="H293" s="401" t="s">
        <v>681</v>
      </c>
      <c r="I293" s="386" t="s">
        <v>107</v>
      </c>
      <c r="J293" s="38" t="s">
        <v>63</v>
      </c>
      <c r="K293" s="398" t="s">
        <v>680</v>
      </c>
      <c r="L293" s="379" t="s">
        <v>639</v>
      </c>
      <c r="M293" s="391">
        <v>43084</v>
      </c>
      <c r="N293" s="391">
        <v>43087</v>
      </c>
      <c r="O293" s="382"/>
      <c r="P293" s="105" t="s">
        <v>906</v>
      </c>
      <c r="Q293" s="52" t="s">
        <v>4072</v>
      </c>
      <c r="R293" s="397" t="s">
        <v>1746</v>
      </c>
      <c r="S293" s="315" t="s">
        <v>2895</v>
      </c>
      <c r="T293" s="137"/>
    </row>
    <row r="294" spans="1:20" s="377" customFormat="1" ht="20.100000000000001" customHeight="1">
      <c r="A294" s="1189" t="s">
        <v>2950</v>
      </c>
      <c r="B294" s="1189" t="s">
        <v>321</v>
      </c>
      <c r="C294" s="1189" t="s">
        <v>321</v>
      </c>
      <c r="D294" s="533">
        <f>D23+100</f>
        <v>450</v>
      </c>
      <c r="E294" s="533">
        <f>E23+150</f>
        <v>600</v>
      </c>
      <c r="F294" s="533">
        <f>F23+150</f>
        <v>600</v>
      </c>
      <c r="G294" s="222" t="s">
        <v>51</v>
      </c>
      <c r="H294" s="403" t="s">
        <v>681</v>
      </c>
      <c r="I294" s="386" t="s">
        <v>128</v>
      </c>
      <c r="J294" s="38" t="s">
        <v>63</v>
      </c>
      <c r="K294" s="398" t="s">
        <v>680</v>
      </c>
      <c r="L294" s="379" t="s">
        <v>639</v>
      </c>
      <c r="M294" s="381">
        <v>43084</v>
      </c>
      <c r="N294" s="381">
        <v>43090</v>
      </c>
      <c r="O294" s="393"/>
      <c r="P294" s="105" t="s">
        <v>604</v>
      </c>
      <c r="Q294" s="52" t="s">
        <v>4072</v>
      </c>
      <c r="R294" s="397" t="s">
        <v>1732</v>
      </c>
      <c r="S294" s="316"/>
      <c r="T294" s="689"/>
    </row>
    <row r="295" spans="1:20" ht="20.100000000000001" customHeight="1">
      <c r="A295" s="1189" t="s">
        <v>2950</v>
      </c>
      <c r="B295" s="1189" t="s">
        <v>321</v>
      </c>
      <c r="C295" s="1189" t="s">
        <v>321</v>
      </c>
      <c r="D295" s="11">
        <f>D24+150</f>
        <v>525</v>
      </c>
      <c r="E295" s="11">
        <f>E24+300</f>
        <v>800</v>
      </c>
      <c r="F295" s="11">
        <f>F24+300</f>
        <v>800</v>
      </c>
      <c r="G295" s="67" t="s">
        <v>5</v>
      </c>
      <c r="H295" s="676">
        <v>5</v>
      </c>
      <c r="I295" s="51" t="s">
        <v>107</v>
      </c>
      <c r="J295" s="38" t="s">
        <v>1250</v>
      </c>
      <c r="K295" s="38" t="s">
        <v>680</v>
      </c>
      <c r="L295" s="51" t="s">
        <v>639</v>
      </c>
      <c r="M295" s="6">
        <v>43066</v>
      </c>
      <c r="N295" s="6">
        <v>43080</v>
      </c>
      <c r="O295" s="675" t="s">
        <v>769</v>
      </c>
      <c r="P295" s="76" t="s">
        <v>2476</v>
      </c>
      <c r="Q295" s="52" t="s">
        <v>4072</v>
      </c>
      <c r="R295" s="49" t="s">
        <v>763</v>
      </c>
      <c r="S295" s="315" t="s">
        <v>2893</v>
      </c>
      <c r="T295" s="78"/>
    </row>
    <row r="296" spans="1:20" s="377" customFormat="1" ht="20.100000000000001" customHeight="1">
      <c r="A296" s="1189" t="s">
        <v>2950</v>
      </c>
      <c r="B296" s="1189" t="s">
        <v>321</v>
      </c>
      <c r="C296" s="1189" t="s">
        <v>321</v>
      </c>
      <c r="D296" s="11">
        <f>D25+75</f>
        <v>425</v>
      </c>
      <c r="E296" s="11">
        <f>E25+100</f>
        <v>500</v>
      </c>
      <c r="F296" s="11">
        <f>F25+100</f>
        <v>500</v>
      </c>
      <c r="G296" s="67" t="s">
        <v>37</v>
      </c>
      <c r="H296" s="401">
        <v>5</v>
      </c>
      <c r="I296" s="379" t="s">
        <v>107</v>
      </c>
      <c r="J296" s="38" t="s">
        <v>63</v>
      </c>
      <c r="K296" s="386" t="s">
        <v>680</v>
      </c>
      <c r="L296" s="379" t="s">
        <v>639</v>
      </c>
      <c r="M296" s="392">
        <v>43084</v>
      </c>
      <c r="N296" s="392">
        <v>43087</v>
      </c>
      <c r="O296" s="382"/>
      <c r="P296" s="105" t="s">
        <v>2423</v>
      </c>
      <c r="Q296" s="52" t="s">
        <v>4072</v>
      </c>
      <c r="R296" s="397" t="s">
        <v>815</v>
      </c>
      <c r="S296" s="327" t="s">
        <v>2896</v>
      </c>
      <c r="T296" s="78"/>
    </row>
    <row r="297" spans="1:20" s="377" customFormat="1" ht="20.100000000000001" customHeight="1">
      <c r="A297" s="1189" t="s">
        <v>2950</v>
      </c>
      <c r="B297" s="1189" t="s">
        <v>321</v>
      </c>
      <c r="C297" s="1189" t="s">
        <v>321</v>
      </c>
      <c r="D297" s="11">
        <f>D26+25</f>
        <v>325</v>
      </c>
      <c r="E297" s="11">
        <f>E26+50+0</f>
        <v>450</v>
      </c>
      <c r="F297" s="11">
        <f>F26+50+0</f>
        <v>450</v>
      </c>
      <c r="G297" s="67" t="s">
        <v>232</v>
      </c>
      <c r="H297" s="401" t="s">
        <v>681</v>
      </c>
      <c r="I297" s="386" t="s">
        <v>107</v>
      </c>
      <c r="J297" s="38" t="s">
        <v>2504</v>
      </c>
      <c r="K297" s="386" t="s">
        <v>680</v>
      </c>
      <c r="L297" s="386" t="s">
        <v>641</v>
      </c>
      <c r="M297" s="399">
        <v>43082</v>
      </c>
      <c r="N297" s="399">
        <v>43086</v>
      </c>
      <c r="O297" s="393" t="s">
        <v>601</v>
      </c>
      <c r="P297" s="106" t="s">
        <v>1331</v>
      </c>
      <c r="Q297" s="52"/>
      <c r="R297" s="397" t="s">
        <v>2004</v>
      </c>
      <c r="S297" s="336"/>
      <c r="T297" s="78"/>
    </row>
    <row r="298" spans="1:20" s="377" customFormat="1" ht="20.100000000000001" customHeight="1">
      <c r="A298" s="1189" t="s">
        <v>2950</v>
      </c>
      <c r="B298" s="1189" t="s">
        <v>321</v>
      </c>
      <c r="C298" s="1189" t="s">
        <v>321</v>
      </c>
      <c r="D298" s="11">
        <f>D27+100</f>
        <v>440</v>
      </c>
      <c r="E298" s="11">
        <f>E27+200</f>
        <v>630</v>
      </c>
      <c r="F298" s="11">
        <f>F27+200</f>
        <v>630</v>
      </c>
      <c r="G298" s="225" t="s">
        <v>19</v>
      </c>
      <c r="H298" s="401" t="s">
        <v>1780</v>
      </c>
      <c r="I298" s="386" t="s">
        <v>107</v>
      </c>
      <c r="J298" s="38" t="s">
        <v>63</v>
      </c>
      <c r="K298" s="386" t="s">
        <v>1784</v>
      </c>
      <c r="L298" s="386" t="s">
        <v>641</v>
      </c>
      <c r="M298" s="399">
        <v>43082</v>
      </c>
      <c r="N298" s="399">
        <v>43088</v>
      </c>
      <c r="O298" s="382" t="s">
        <v>611</v>
      </c>
      <c r="P298" s="105"/>
      <c r="Q298" s="7"/>
      <c r="R298" s="397" t="s">
        <v>1789</v>
      </c>
      <c r="S298" s="316" t="s">
        <v>1176</v>
      </c>
      <c r="T298" s="78"/>
    </row>
    <row r="299" spans="1:20" s="377" customFormat="1" ht="20.100000000000001" customHeight="1">
      <c r="A299" s="1189" t="s">
        <v>2950</v>
      </c>
      <c r="B299" s="1189" t="s">
        <v>321</v>
      </c>
      <c r="C299" s="1189" t="s">
        <v>321</v>
      </c>
      <c r="D299" s="32">
        <f>D29+50+0</f>
        <v>400</v>
      </c>
      <c r="E299" s="32">
        <f>E29+100+0</f>
        <v>500</v>
      </c>
      <c r="F299" s="32">
        <f>F29+100+0</f>
        <v>500</v>
      </c>
      <c r="G299" s="705" t="s">
        <v>6</v>
      </c>
      <c r="H299" s="401" t="s">
        <v>721</v>
      </c>
      <c r="I299" s="386" t="s">
        <v>107</v>
      </c>
      <c r="J299" s="38" t="s">
        <v>63</v>
      </c>
      <c r="K299" s="386" t="s">
        <v>727</v>
      </c>
      <c r="L299" s="379" t="s">
        <v>636</v>
      </c>
      <c r="M299" s="391">
        <v>43084</v>
      </c>
      <c r="N299" s="391">
        <v>43087</v>
      </c>
      <c r="O299" s="382"/>
      <c r="P299" s="105" t="s">
        <v>906</v>
      </c>
      <c r="Q299" s="52"/>
      <c r="R299" s="389" t="s">
        <v>335</v>
      </c>
      <c r="S299" s="315" t="s">
        <v>2895</v>
      </c>
      <c r="T299" s="137"/>
    </row>
    <row r="300" spans="1:20" s="377" customFormat="1" ht="20.100000000000001" customHeight="1">
      <c r="A300" s="1189" t="s">
        <v>2950</v>
      </c>
      <c r="B300" s="1189" t="s">
        <v>321</v>
      </c>
      <c r="C300" s="1189" t="s">
        <v>321</v>
      </c>
      <c r="D300" s="851">
        <f>D30+100</f>
        <v>450</v>
      </c>
      <c r="E300" s="851">
        <f>E30+150</f>
        <v>600</v>
      </c>
      <c r="F300" s="851">
        <f>F30+150</f>
        <v>600</v>
      </c>
      <c r="G300" s="222" t="s">
        <v>51</v>
      </c>
      <c r="H300" s="403" t="s">
        <v>721</v>
      </c>
      <c r="I300" s="386" t="s">
        <v>107</v>
      </c>
      <c r="J300" s="38" t="s">
        <v>63</v>
      </c>
      <c r="K300" s="386" t="s">
        <v>727</v>
      </c>
      <c r="L300" s="379" t="s">
        <v>636</v>
      </c>
      <c r="M300" s="381">
        <v>43084</v>
      </c>
      <c r="N300" s="381">
        <v>43090</v>
      </c>
      <c r="O300" s="395"/>
      <c r="P300" s="105" t="s">
        <v>604</v>
      </c>
      <c r="Q300" s="52"/>
      <c r="R300" s="389" t="s">
        <v>167</v>
      </c>
      <c r="S300" s="316"/>
      <c r="T300" s="689"/>
    </row>
    <row r="301" spans="1:20" s="377" customFormat="1" ht="20.100000000000001" customHeight="1">
      <c r="A301" s="1189" t="s">
        <v>2950</v>
      </c>
      <c r="B301" s="1189" t="s">
        <v>321</v>
      </c>
      <c r="C301" s="1189" t="s">
        <v>321</v>
      </c>
      <c r="D301" s="32">
        <f>D33+75</f>
        <v>425</v>
      </c>
      <c r="E301" s="32">
        <f>E33+100</f>
        <v>500</v>
      </c>
      <c r="F301" s="32">
        <f>F33+100</f>
        <v>500</v>
      </c>
      <c r="G301" s="705" t="s">
        <v>37</v>
      </c>
      <c r="H301" s="401" t="s">
        <v>721</v>
      </c>
      <c r="I301" s="386" t="s">
        <v>107</v>
      </c>
      <c r="J301" s="38" t="s">
        <v>63</v>
      </c>
      <c r="K301" s="386" t="s">
        <v>727</v>
      </c>
      <c r="L301" s="379" t="s">
        <v>636</v>
      </c>
      <c r="M301" s="392">
        <v>43084</v>
      </c>
      <c r="N301" s="392">
        <v>43087</v>
      </c>
      <c r="O301" s="382"/>
      <c r="P301" s="105" t="s">
        <v>2423</v>
      </c>
      <c r="Q301" s="52"/>
      <c r="R301" s="397" t="s">
        <v>1777</v>
      </c>
      <c r="S301" s="327" t="s">
        <v>2896</v>
      </c>
      <c r="T301" s="78"/>
    </row>
    <row r="302" spans="1:20" s="377" customFormat="1" ht="20.100000000000001" customHeight="1">
      <c r="A302" s="1189" t="s">
        <v>2950</v>
      </c>
      <c r="B302" s="1189" t="s">
        <v>321</v>
      </c>
      <c r="C302" s="1189" t="s">
        <v>321</v>
      </c>
      <c r="D302" s="882">
        <f>D34+250</f>
        <v>625</v>
      </c>
      <c r="E302" s="882">
        <f>E34+450</f>
        <v>925</v>
      </c>
      <c r="F302" s="882">
        <f>F34+450</f>
        <v>925</v>
      </c>
      <c r="G302" s="705" t="s">
        <v>13</v>
      </c>
      <c r="H302" s="401" t="s">
        <v>721</v>
      </c>
      <c r="I302" s="386" t="s">
        <v>107</v>
      </c>
      <c r="J302" s="38" t="s">
        <v>63</v>
      </c>
      <c r="K302" s="386" t="s">
        <v>727</v>
      </c>
      <c r="L302" s="379" t="s">
        <v>636</v>
      </c>
      <c r="M302" s="404">
        <v>43085</v>
      </c>
      <c r="N302" s="404">
        <v>43086</v>
      </c>
      <c r="O302" s="393" t="s">
        <v>601</v>
      </c>
      <c r="P302" s="61"/>
      <c r="Q302" s="52"/>
      <c r="R302" s="397" t="s">
        <v>1854</v>
      </c>
      <c r="S302" s="316" t="s">
        <v>2897</v>
      </c>
      <c r="T302" s="78"/>
    </row>
    <row r="303" spans="1:20" s="377" customFormat="1" ht="20.100000000000001" customHeight="1">
      <c r="A303" s="1189" t="s">
        <v>2950</v>
      </c>
      <c r="B303" s="1189" t="s">
        <v>321</v>
      </c>
      <c r="C303" s="1209" t="s">
        <v>321</v>
      </c>
      <c r="D303" s="800" t="s">
        <v>4513</v>
      </c>
      <c r="E303" s="800" t="s">
        <v>4514</v>
      </c>
      <c r="F303" s="800" t="s">
        <v>4514</v>
      </c>
      <c r="G303" s="812" t="s">
        <v>29</v>
      </c>
      <c r="H303" s="401" t="s">
        <v>721</v>
      </c>
      <c r="I303" s="386" t="s">
        <v>107</v>
      </c>
      <c r="J303" s="38" t="s">
        <v>63</v>
      </c>
      <c r="K303" s="386" t="s">
        <v>727</v>
      </c>
      <c r="L303" s="379" t="s">
        <v>636</v>
      </c>
      <c r="M303" s="404">
        <v>43085</v>
      </c>
      <c r="N303" s="404">
        <v>43086</v>
      </c>
      <c r="O303" s="382"/>
      <c r="P303" s="105"/>
      <c r="Q303" s="52"/>
      <c r="R303" s="397" t="s">
        <v>167</v>
      </c>
      <c r="S303" s="316" t="s">
        <v>2898</v>
      </c>
      <c r="T303" s="78"/>
    </row>
    <row r="304" spans="1:20" s="377" customFormat="1" ht="20.100000000000001" customHeight="1">
      <c r="A304" s="1189" t="s">
        <v>2950</v>
      </c>
      <c r="B304" s="1189" t="s">
        <v>321</v>
      </c>
      <c r="C304" s="1189" t="s">
        <v>321</v>
      </c>
      <c r="D304" s="816">
        <f>D37+100</f>
        <v>450</v>
      </c>
      <c r="E304" s="816">
        <f>E37+150</f>
        <v>600</v>
      </c>
      <c r="F304" s="816">
        <f>F37+150</f>
        <v>600</v>
      </c>
      <c r="G304" s="222" t="s">
        <v>51</v>
      </c>
      <c r="H304" s="413" t="s">
        <v>721</v>
      </c>
      <c r="I304" s="386" t="s">
        <v>107</v>
      </c>
      <c r="J304" s="51" t="s">
        <v>1250</v>
      </c>
      <c r="K304" s="379" t="s">
        <v>660</v>
      </c>
      <c r="L304" s="379" t="s">
        <v>639</v>
      </c>
      <c r="M304" s="381">
        <v>43084</v>
      </c>
      <c r="N304" s="381">
        <v>43090</v>
      </c>
      <c r="O304" s="407"/>
      <c r="P304" s="105" t="s">
        <v>604</v>
      </c>
      <c r="Q304" s="52"/>
      <c r="R304" s="397" t="s">
        <v>1730</v>
      </c>
      <c r="S304" s="316"/>
      <c r="T304" s="78"/>
    </row>
    <row r="305" spans="1:20" ht="20.100000000000001" customHeight="1">
      <c r="A305" s="1189" t="s">
        <v>2950</v>
      </c>
      <c r="B305" s="1189" t="s">
        <v>321</v>
      </c>
      <c r="C305" s="1189" t="s">
        <v>321</v>
      </c>
      <c r="D305" s="13">
        <f>D38+150</f>
        <v>525</v>
      </c>
      <c r="E305" s="13">
        <f>E38+300</f>
        <v>800</v>
      </c>
      <c r="F305" s="13">
        <f>F38+300</f>
        <v>800</v>
      </c>
      <c r="G305" s="67" t="s">
        <v>5</v>
      </c>
      <c r="H305" s="674" t="s">
        <v>721</v>
      </c>
      <c r="I305" s="38" t="s">
        <v>107</v>
      </c>
      <c r="J305" s="51" t="s">
        <v>63</v>
      </c>
      <c r="K305" s="51" t="s">
        <v>660</v>
      </c>
      <c r="L305" s="51" t="s">
        <v>639</v>
      </c>
      <c r="M305" s="6">
        <v>43066</v>
      </c>
      <c r="N305" s="6">
        <v>43080</v>
      </c>
      <c r="O305" s="675" t="s">
        <v>600</v>
      </c>
      <c r="P305" s="76" t="s">
        <v>2476</v>
      </c>
      <c r="Q305" s="52"/>
      <c r="R305" s="49" t="s">
        <v>762</v>
      </c>
      <c r="S305" s="315" t="s">
        <v>2893</v>
      </c>
      <c r="T305" s="78"/>
    </row>
    <row r="306" spans="1:20" s="377" customFormat="1" ht="20.100000000000001" customHeight="1">
      <c r="A306" s="1189" t="s">
        <v>2950</v>
      </c>
      <c r="B306" s="1189" t="s">
        <v>321</v>
      </c>
      <c r="C306" s="1189" t="s">
        <v>321</v>
      </c>
      <c r="D306" s="13">
        <f>D39+25</f>
        <v>325</v>
      </c>
      <c r="E306" s="13">
        <f>E39+50+0</f>
        <v>450</v>
      </c>
      <c r="F306" s="13">
        <f>F39+50+0</f>
        <v>450</v>
      </c>
      <c r="G306" s="67" t="s">
        <v>232</v>
      </c>
      <c r="H306" s="385" t="s">
        <v>721</v>
      </c>
      <c r="I306" s="386" t="s">
        <v>107</v>
      </c>
      <c r="J306" s="51" t="s">
        <v>2507</v>
      </c>
      <c r="K306" s="379" t="s">
        <v>660</v>
      </c>
      <c r="L306" s="379" t="s">
        <v>639</v>
      </c>
      <c r="M306" s="399">
        <v>43082</v>
      </c>
      <c r="N306" s="399">
        <v>43086</v>
      </c>
      <c r="O306" s="393" t="s">
        <v>601</v>
      </c>
      <c r="P306" s="106" t="s">
        <v>1331</v>
      </c>
      <c r="Q306" s="52"/>
      <c r="R306" s="397" t="s">
        <v>1843</v>
      </c>
      <c r="S306" s="316"/>
      <c r="T306" s="78"/>
    </row>
    <row r="307" spans="1:20" s="377" customFormat="1" ht="20.100000000000001" customHeight="1">
      <c r="A307" s="1189" t="s">
        <v>2950</v>
      </c>
      <c r="B307" s="1189" t="s">
        <v>321</v>
      </c>
      <c r="C307" s="1189" t="s">
        <v>321</v>
      </c>
      <c r="D307" s="32">
        <f>D40+75</f>
        <v>425</v>
      </c>
      <c r="E307" s="32">
        <f>E40+100</f>
        <v>500</v>
      </c>
      <c r="F307" s="32">
        <f>F40+100</f>
        <v>500</v>
      </c>
      <c r="G307" s="705" t="s">
        <v>69</v>
      </c>
      <c r="H307" s="385" t="s">
        <v>721</v>
      </c>
      <c r="I307" s="386" t="s">
        <v>107</v>
      </c>
      <c r="J307" s="51" t="s">
        <v>63</v>
      </c>
      <c r="K307" s="379" t="s">
        <v>660</v>
      </c>
      <c r="L307" s="379" t="s">
        <v>636</v>
      </c>
      <c r="M307" s="392">
        <v>43084</v>
      </c>
      <c r="N307" s="392">
        <v>43087</v>
      </c>
      <c r="O307" s="382"/>
      <c r="P307" s="105" t="s">
        <v>2423</v>
      </c>
      <c r="Q307" s="52"/>
      <c r="R307" s="397" t="s">
        <v>1778</v>
      </c>
      <c r="S307" s="327" t="s">
        <v>2896</v>
      </c>
      <c r="T307" s="78"/>
    </row>
    <row r="308" spans="1:20" s="377" customFormat="1" ht="20.100000000000001" customHeight="1">
      <c r="A308" s="1189" t="s">
        <v>2950</v>
      </c>
      <c r="B308" s="1189" t="s">
        <v>321</v>
      </c>
      <c r="C308" s="1189" t="s">
        <v>321</v>
      </c>
      <c r="D308" s="32">
        <f>D41+100</f>
        <v>390</v>
      </c>
      <c r="E308" s="32">
        <f>E41+200</f>
        <v>530</v>
      </c>
      <c r="F308" s="32">
        <f>F41+200</f>
        <v>530</v>
      </c>
      <c r="G308" s="225" t="s">
        <v>19</v>
      </c>
      <c r="H308" s="385" t="s">
        <v>1773</v>
      </c>
      <c r="I308" s="386" t="s">
        <v>107</v>
      </c>
      <c r="J308" s="38" t="s">
        <v>63</v>
      </c>
      <c r="K308" s="379" t="s">
        <v>1793</v>
      </c>
      <c r="L308" s="379" t="s">
        <v>643</v>
      </c>
      <c r="M308" s="399">
        <v>43082</v>
      </c>
      <c r="N308" s="399">
        <v>43088</v>
      </c>
      <c r="O308" s="382" t="s">
        <v>611</v>
      </c>
      <c r="P308" s="105"/>
      <c r="Q308" s="7"/>
      <c r="R308" s="397" t="s">
        <v>1792</v>
      </c>
      <c r="S308" s="316" t="s">
        <v>1176</v>
      </c>
      <c r="T308" s="78"/>
    </row>
    <row r="309" spans="1:20" s="377" customFormat="1" ht="20.100000000000001" customHeight="1">
      <c r="A309" s="1189" t="s">
        <v>2950</v>
      </c>
      <c r="B309" s="1189" t="s">
        <v>321</v>
      </c>
      <c r="C309" s="1189" t="s">
        <v>321</v>
      </c>
      <c r="D309" s="529">
        <v>400</v>
      </c>
      <c r="E309" s="529">
        <v>500</v>
      </c>
      <c r="F309" s="529">
        <v>500</v>
      </c>
      <c r="G309" s="699" t="s">
        <v>22</v>
      </c>
      <c r="H309" s="385" t="s">
        <v>706</v>
      </c>
      <c r="I309" s="386" t="s">
        <v>107</v>
      </c>
      <c r="J309" s="38" t="s">
        <v>63</v>
      </c>
      <c r="K309" s="379" t="s">
        <v>750</v>
      </c>
      <c r="L309" s="379" t="s">
        <v>643</v>
      </c>
      <c r="M309" s="392">
        <v>43079</v>
      </c>
      <c r="N309" s="392">
        <v>43086</v>
      </c>
      <c r="O309" s="400"/>
      <c r="P309" s="750" t="s">
        <v>1071</v>
      </c>
      <c r="Q309" s="7"/>
      <c r="R309" s="397" t="s">
        <v>1783</v>
      </c>
      <c r="S309" s="316" t="s">
        <v>1176</v>
      </c>
      <c r="T309" s="78"/>
    </row>
    <row r="310" spans="1:20" s="377" customFormat="1" ht="20.100000000000001" customHeight="1">
      <c r="A310" s="1190" t="s">
        <v>2950</v>
      </c>
      <c r="B310" s="1189" t="s">
        <v>402</v>
      </c>
      <c r="C310" s="1189" t="s">
        <v>2421</v>
      </c>
      <c r="D310" s="13">
        <v>675</v>
      </c>
      <c r="E310" s="13">
        <v>950</v>
      </c>
      <c r="F310" s="13">
        <v>950</v>
      </c>
      <c r="G310" s="63" t="s">
        <v>29</v>
      </c>
      <c r="H310" s="676" t="s">
        <v>828</v>
      </c>
      <c r="I310" s="386" t="s">
        <v>154</v>
      </c>
      <c r="J310" s="38"/>
      <c r="K310" s="398" t="s">
        <v>2342</v>
      </c>
      <c r="L310" s="51" t="s">
        <v>3039</v>
      </c>
      <c r="M310" s="404">
        <v>43075</v>
      </c>
      <c r="N310" s="404">
        <v>43086</v>
      </c>
      <c r="O310" s="400"/>
      <c r="P310" s="750"/>
      <c r="Q310" s="7"/>
      <c r="R310" s="49" t="s">
        <v>3479</v>
      </c>
      <c r="S310" s="316" t="s">
        <v>2898</v>
      </c>
      <c r="T310" s="717"/>
    </row>
    <row r="311" spans="1:20" s="377" customFormat="1" ht="20.100000000000001" customHeight="1">
      <c r="A311" s="1190" t="s">
        <v>2950</v>
      </c>
      <c r="B311" s="1189" t="s">
        <v>402</v>
      </c>
      <c r="C311" s="1189" t="s">
        <v>1518</v>
      </c>
      <c r="D311" s="13">
        <f>D28+300-50</f>
        <v>600</v>
      </c>
      <c r="E311" s="13">
        <f>E28+600-200</f>
        <v>800</v>
      </c>
      <c r="F311" s="13">
        <f>F28+600-200</f>
        <v>800</v>
      </c>
      <c r="G311" s="705" t="s">
        <v>28</v>
      </c>
      <c r="H311" s="401">
        <v>5</v>
      </c>
      <c r="I311" s="386" t="s">
        <v>17</v>
      </c>
      <c r="J311" s="38"/>
      <c r="K311" s="386" t="s">
        <v>727</v>
      </c>
      <c r="L311" s="386" t="s">
        <v>641</v>
      </c>
      <c r="M311" s="392">
        <v>43077</v>
      </c>
      <c r="N311" s="392">
        <v>43086</v>
      </c>
      <c r="O311" s="395"/>
      <c r="P311" s="677"/>
      <c r="Q311" s="7"/>
      <c r="R311" s="397" t="s">
        <v>186</v>
      </c>
      <c r="S311" s="322" t="s">
        <v>1176</v>
      </c>
      <c r="T311" s="717"/>
    </row>
    <row r="312" spans="1:20" s="377" customFormat="1" ht="20.100000000000001" customHeight="1">
      <c r="A312" s="1190" t="s">
        <v>2950</v>
      </c>
      <c r="B312" s="1189" t="s">
        <v>402</v>
      </c>
      <c r="C312" s="1189" t="s">
        <v>1518</v>
      </c>
      <c r="D312" s="13">
        <f>D27+100+250</f>
        <v>690</v>
      </c>
      <c r="E312" s="13">
        <f>E27+200+550</f>
        <v>1180</v>
      </c>
      <c r="F312" s="13">
        <f>F27+200+550</f>
        <v>1180</v>
      </c>
      <c r="G312" s="225" t="s">
        <v>19</v>
      </c>
      <c r="H312" s="401">
        <v>5</v>
      </c>
      <c r="I312" s="386" t="s">
        <v>17</v>
      </c>
      <c r="J312" s="38"/>
      <c r="K312" s="386" t="s">
        <v>727</v>
      </c>
      <c r="L312" s="386" t="s">
        <v>641</v>
      </c>
      <c r="M312" s="399">
        <v>43082</v>
      </c>
      <c r="N312" s="399">
        <v>43088</v>
      </c>
      <c r="O312" s="382" t="s">
        <v>611</v>
      </c>
      <c r="P312" s="751"/>
      <c r="Q312" s="7"/>
      <c r="R312" s="397" t="s">
        <v>1788</v>
      </c>
      <c r="S312" s="316" t="s">
        <v>1176</v>
      </c>
      <c r="T312" s="680"/>
    </row>
    <row r="313" spans="1:20" s="377" customFormat="1" ht="20.100000000000001" customHeight="1">
      <c r="A313" s="1190" t="s">
        <v>2950</v>
      </c>
      <c r="B313" s="1189" t="s">
        <v>402</v>
      </c>
      <c r="C313" s="1189" t="s">
        <v>1518</v>
      </c>
      <c r="D313" s="11">
        <f>D22+350+25</f>
        <v>725</v>
      </c>
      <c r="E313" s="11">
        <f>E22+600+100</f>
        <v>1100</v>
      </c>
      <c r="F313" s="11">
        <f>F22+600+100</f>
        <v>1100</v>
      </c>
      <c r="G313" s="67" t="s">
        <v>6</v>
      </c>
      <c r="H313" s="385" t="s">
        <v>681</v>
      </c>
      <c r="I313" s="379" t="s">
        <v>1485</v>
      </c>
      <c r="J313" s="51"/>
      <c r="K313" s="379" t="s">
        <v>2043</v>
      </c>
      <c r="L313" s="379" t="s">
        <v>639</v>
      </c>
      <c r="M313" s="391">
        <v>43084</v>
      </c>
      <c r="N313" s="391">
        <v>43087</v>
      </c>
      <c r="O313" s="407"/>
      <c r="P313" s="677"/>
      <c r="Q313" s="52" t="s">
        <v>4072</v>
      </c>
      <c r="R313" s="397" t="s">
        <v>1746</v>
      </c>
      <c r="S313" s="315" t="s">
        <v>2895</v>
      </c>
      <c r="T313" s="305"/>
    </row>
    <row r="314" spans="1:20" s="377" customFormat="1" ht="20.100000000000001" customHeight="1">
      <c r="A314" s="1190" t="s">
        <v>2950</v>
      </c>
      <c r="B314" s="1189" t="s">
        <v>402</v>
      </c>
      <c r="C314" s="1189" t="s">
        <v>1518</v>
      </c>
      <c r="D314" s="11">
        <f>D23+400</f>
        <v>750</v>
      </c>
      <c r="E314" s="11">
        <f>E23+800</f>
        <v>1250</v>
      </c>
      <c r="F314" s="11">
        <f>F23+800</f>
        <v>1250</v>
      </c>
      <c r="G314" s="222" t="s">
        <v>51</v>
      </c>
      <c r="H314" s="385" t="s">
        <v>2124</v>
      </c>
      <c r="I314" s="379" t="s">
        <v>1485</v>
      </c>
      <c r="J314" s="51"/>
      <c r="K314" s="379" t="s">
        <v>663</v>
      </c>
      <c r="L314" s="379" t="s">
        <v>639</v>
      </c>
      <c r="M314" s="381">
        <v>43084</v>
      </c>
      <c r="N314" s="381">
        <v>43090</v>
      </c>
      <c r="O314" s="407"/>
      <c r="P314" s="677"/>
      <c r="Q314" s="52" t="s">
        <v>4072</v>
      </c>
      <c r="R314" s="397" t="s">
        <v>1731</v>
      </c>
      <c r="S314" s="316"/>
      <c r="T314" s="680"/>
    </row>
    <row r="315" spans="1:20" s="377" customFormat="1" ht="20.100000000000001" customHeight="1">
      <c r="A315" s="1190" t="s">
        <v>2950</v>
      </c>
      <c r="B315" s="1189" t="s">
        <v>402</v>
      </c>
      <c r="C315" s="1189" t="s">
        <v>1518</v>
      </c>
      <c r="D315" s="32">
        <f>D36+350+25</f>
        <v>725</v>
      </c>
      <c r="E315" s="32">
        <f>E36+600+100</f>
        <v>1100</v>
      </c>
      <c r="F315" s="32">
        <f>F36+600+100</f>
        <v>1100</v>
      </c>
      <c r="G315" s="67" t="s">
        <v>6</v>
      </c>
      <c r="H315" s="385" t="s">
        <v>721</v>
      </c>
      <c r="I315" s="379" t="s">
        <v>17</v>
      </c>
      <c r="J315" s="34"/>
      <c r="K315" s="379" t="s">
        <v>727</v>
      </c>
      <c r="L315" s="379" t="s">
        <v>639</v>
      </c>
      <c r="M315" s="391">
        <v>43084</v>
      </c>
      <c r="N315" s="391">
        <v>43087</v>
      </c>
      <c r="O315" s="407"/>
      <c r="P315" s="14"/>
      <c r="Q315" s="52"/>
      <c r="R315" s="397" t="s">
        <v>1694</v>
      </c>
      <c r="S315" s="315" t="s">
        <v>2895</v>
      </c>
      <c r="T315" s="689"/>
    </row>
    <row r="316" spans="1:20" s="377" customFormat="1" ht="20.100000000000001" customHeight="1">
      <c r="A316" s="1190" t="s">
        <v>2950</v>
      </c>
      <c r="B316" s="1189" t="s">
        <v>402</v>
      </c>
      <c r="C316" s="1189" t="s">
        <v>1518</v>
      </c>
      <c r="D316" s="32">
        <f>D37+400</f>
        <v>750</v>
      </c>
      <c r="E316" s="32">
        <f>E37+800</f>
        <v>1250</v>
      </c>
      <c r="F316" s="32">
        <f>F37+800</f>
        <v>1250</v>
      </c>
      <c r="G316" s="222" t="s">
        <v>51</v>
      </c>
      <c r="H316" s="385" t="s">
        <v>721</v>
      </c>
      <c r="I316" s="379" t="s">
        <v>17</v>
      </c>
      <c r="J316" s="34"/>
      <c r="K316" s="379" t="s">
        <v>727</v>
      </c>
      <c r="L316" s="379" t="s">
        <v>639</v>
      </c>
      <c r="M316" s="381">
        <v>43084</v>
      </c>
      <c r="N316" s="381">
        <v>43090</v>
      </c>
      <c r="O316" s="407"/>
      <c r="P316" s="14"/>
      <c r="Q316" s="52"/>
      <c r="R316" s="397" t="s">
        <v>1730</v>
      </c>
      <c r="S316" s="316"/>
      <c r="T316" s="689"/>
    </row>
    <row r="317" spans="1:20" ht="20.100000000000001" customHeight="1">
      <c r="A317" s="1190" t="s">
        <v>2950</v>
      </c>
      <c r="B317" s="1189" t="s">
        <v>402</v>
      </c>
      <c r="C317" s="1189" t="s">
        <v>1518</v>
      </c>
      <c r="D317" s="32">
        <f>D38+350</f>
        <v>725</v>
      </c>
      <c r="E317" s="32">
        <f>E38+650</f>
        <v>1150</v>
      </c>
      <c r="F317" s="32">
        <f>F38+650</f>
        <v>1150</v>
      </c>
      <c r="G317" s="678" t="s">
        <v>5</v>
      </c>
      <c r="H317" s="674" t="s">
        <v>721</v>
      </c>
      <c r="I317" s="51" t="s">
        <v>17</v>
      </c>
      <c r="J317" s="34"/>
      <c r="K317" s="51" t="s">
        <v>727</v>
      </c>
      <c r="L317" s="51" t="s">
        <v>639</v>
      </c>
      <c r="M317" s="6">
        <v>43073</v>
      </c>
      <c r="N317" s="6">
        <v>43080</v>
      </c>
      <c r="O317" s="675" t="s">
        <v>600</v>
      </c>
      <c r="P317" s="14"/>
      <c r="Q317" s="52"/>
      <c r="R317" s="49" t="s">
        <v>762</v>
      </c>
      <c r="S317" s="315" t="s">
        <v>2893</v>
      </c>
      <c r="T317" s="689"/>
    </row>
    <row r="318" spans="1:20" s="377" customFormat="1" ht="20.100000000000001" customHeight="1">
      <c r="A318" s="1190" t="s">
        <v>2950</v>
      </c>
      <c r="B318" s="1189" t="s">
        <v>402</v>
      </c>
      <c r="C318" s="1189" t="s">
        <v>1518</v>
      </c>
      <c r="D318" s="32">
        <f>D39+650-400</f>
        <v>550</v>
      </c>
      <c r="E318" s="32">
        <f>E39+1300+-800</f>
        <v>900</v>
      </c>
      <c r="F318" s="32">
        <f>F39+1300+-800</f>
        <v>900</v>
      </c>
      <c r="G318" s="678" t="s">
        <v>232</v>
      </c>
      <c r="H318" s="385" t="s">
        <v>721</v>
      </c>
      <c r="I318" s="379" t="s">
        <v>17</v>
      </c>
      <c r="J318" s="34"/>
      <c r="K318" s="379" t="s">
        <v>727</v>
      </c>
      <c r="L318" s="379" t="s">
        <v>639</v>
      </c>
      <c r="M318" s="399">
        <v>43082</v>
      </c>
      <c r="N318" s="399">
        <v>43086</v>
      </c>
      <c r="O318" s="393" t="s">
        <v>601</v>
      </c>
      <c r="P318" s="14"/>
      <c r="Q318" s="52"/>
      <c r="R318" s="397" t="s">
        <v>1694</v>
      </c>
      <c r="S318" s="316"/>
      <c r="T318" s="689"/>
    </row>
    <row r="319" spans="1:20" s="377" customFormat="1" ht="20.100000000000001" customHeight="1">
      <c r="A319" s="1190" t="s">
        <v>2950</v>
      </c>
      <c r="B319" s="1189" t="s">
        <v>402</v>
      </c>
      <c r="C319" s="1189" t="s">
        <v>1518</v>
      </c>
      <c r="D319" s="32">
        <f>D40+650-250</f>
        <v>750</v>
      </c>
      <c r="E319" s="32">
        <f>E40+1300-700</f>
        <v>1000</v>
      </c>
      <c r="F319" s="32">
        <f>F40+1300-700</f>
        <v>1000</v>
      </c>
      <c r="G319" s="705" t="s">
        <v>37</v>
      </c>
      <c r="H319" s="385" t="s">
        <v>721</v>
      </c>
      <c r="I319" s="379" t="s">
        <v>17</v>
      </c>
      <c r="J319" s="34"/>
      <c r="K319" s="379" t="s">
        <v>727</v>
      </c>
      <c r="L319" s="379" t="s">
        <v>639</v>
      </c>
      <c r="M319" s="392">
        <v>43084</v>
      </c>
      <c r="N319" s="392">
        <v>43087</v>
      </c>
      <c r="O319" s="393"/>
      <c r="P319" s="61"/>
      <c r="Q319" s="52"/>
      <c r="R319" s="397" t="s">
        <v>1775</v>
      </c>
      <c r="S319" s="327" t="s">
        <v>2896</v>
      </c>
      <c r="T319" s="689"/>
    </row>
    <row r="320" spans="1:20" s="377" customFormat="1" ht="20.100000000000001" customHeight="1">
      <c r="A320" s="1190" t="s">
        <v>2950</v>
      </c>
      <c r="B320" s="1189" t="s">
        <v>402</v>
      </c>
      <c r="C320" s="1189" t="s">
        <v>1518</v>
      </c>
      <c r="D320" s="883"/>
      <c r="E320" s="883"/>
      <c r="F320" s="883"/>
      <c r="G320" s="705" t="s">
        <v>61</v>
      </c>
      <c r="H320" s="385" t="s">
        <v>721</v>
      </c>
      <c r="I320" s="386" t="s">
        <v>107</v>
      </c>
      <c r="J320" s="51"/>
      <c r="K320" s="398">
        <v>23</v>
      </c>
      <c r="L320" s="379" t="s">
        <v>636</v>
      </c>
      <c r="M320" s="404">
        <v>43085</v>
      </c>
      <c r="N320" s="404">
        <v>43086</v>
      </c>
      <c r="O320" s="393" t="s">
        <v>601</v>
      </c>
      <c r="P320" s="61"/>
      <c r="Q320" s="52"/>
      <c r="R320" s="397" t="s">
        <v>1854</v>
      </c>
      <c r="S320" s="316" t="s">
        <v>2897</v>
      </c>
      <c r="T320" s="689"/>
    </row>
    <row r="321" spans="1:20" s="377" customFormat="1" ht="20.100000000000001" customHeight="1">
      <c r="A321" s="736" t="s">
        <v>2950</v>
      </c>
      <c r="B321" s="416" t="s">
        <v>402</v>
      </c>
      <c r="C321" s="416" t="s">
        <v>448</v>
      </c>
      <c r="D321" s="11"/>
      <c r="E321" s="11"/>
      <c r="F321" s="11"/>
      <c r="G321" s="67"/>
      <c r="H321" s="417"/>
      <c r="I321" s="379"/>
      <c r="J321" s="51"/>
      <c r="K321" s="380"/>
      <c r="L321" s="379"/>
      <c r="M321" s="379"/>
      <c r="N321" s="399"/>
      <c r="O321" s="402"/>
      <c r="P321" s="107"/>
      <c r="Q321" s="52"/>
      <c r="R321" s="384"/>
      <c r="S321" s="322"/>
      <c r="T321" s="680"/>
    </row>
    <row r="322" spans="1:20" s="377" customFormat="1" ht="20.100000000000001" customHeight="1">
      <c r="A322" s="1190" t="s">
        <v>2950</v>
      </c>
      <c r="B322" s="1189" t="s">
        <v>403</v>
      </c>
      <c r="C322" s="1190" t="s">
        <v>4287</v>
      </c>
      <c r="D322" s="11">
        <f>D4+100</f>
        <v>450</v>
      </c>
      <c r="E322" s="11">
        <f>E4+200</f>
        <v>650</v>
      </c>
      <c r="F322" s="11">
        <f>F4+200</f>
        <v>650</v>
      </c>
      <c r="G322" s="222" t="s">
        <v>51</v>
      </c>
      <c r="H322" s="378">
        <v>1</v>
      </c>
      <c r="I322" s="379" t="s">
        <v>107</v>
      </c>
      <c r="J322" s="51"/>
      <c r="K322" s="379">
        <v>24</v>
      </c>
      <c r="L322" s="379" t="s">
        <v>636</v>
      </c>
      <c r="M322" s="381">
        <v>43084</v>
      </c>
      <c r="N322" s="381">
        <v>43090</v>
      </c>
      <c r="O322" s="402"/>
      <c r="P322" s="107"/>
      <c r="Q322" s="52" t="s">
        <v>4094</v>
      </c>
      <c r="R322" s="384" t="s">
        <v>1734</v>
      </c>
      <c r="S322" s="316"/>
      <c r="T322" s="689"/>
    </row>
    <row r="323" spans="1:20" s="377" customFormat="1" ht="20.100000000000001" customHeight="1">
      <c r="A323" s="1190" t="s">
        <v>2950</v>
      </c>
      <c r="B323" s="1189" t="s">
        <v>403</v>
      </c>
      <c r="C323" s="1189" t="s">
        <v>403</v>
      </c>
      <c r="D323" s="11">
        <f>D7+50</f>
        <v>400</v>
      </c>
      <c r="E323" s="11">
        <f>E7+100</f>
        <v>500</v>
      </c>
      <c r="F323" s="11">
        <f>F7+100</f>
        <v>500</v>
      </c>
      <c r="G323" s="705" t="s">
        <v>37</v>
      </c>
      <c r="H323" s="378">
        <v>1</v>
      </c>
      <c r="I323" s="379" t="s">
        <v>107</v>
      </c>
      <c r="J323" s="38"/>
      <c r="K323" s="379">
        <v>24</v>
      </c>
      <c r="L323" s="380" t="s">
        <v>636</v>
      </c>
      <c r="M323" s="392">
        <v>43084</v>
      </c>
      <c r="N323" s="392">
        <v>43087</v>
      </c>
      <c r="O323" s="395"/>
      <c r="P323" s="105"/>
      <c r="Q323" s="52" t="s">
        <v>4094</v>
      </c>
      <c r="R323" s="384" t="s">
        <v>1719</v>
      </c>
      <c r="S323" s="327" t="s">
        <v>2896</v>
      </c>
      <c r="T323" s="689"/>
    </row>
    <row r="324" spans="1:20" s="377" customFormat="1" ht="20.100000000000001" customHeight="1">
      <c r="A324" s="1190" t="s">
        <v>2950</v>
      </c>
      <c r="B324" s="1189" t="s">
        <v>403</v>
      </c>
      <c r="C324" s="1189" t="s">
        <v>403</v>
      </c>
      <c r="D324" s="531">
        <f>D16+75+75</f>
        <v>500</v>
      </c>
      <c r="E324" s="531">
        <f>E16+150+200</f>
        <v>750</v>
      </c>
      <c r="F324" s="531">
        <f>F16+150+200</f>
        <v>750</v>
      </c>
      <c r="G324" s="67" t="s">
        <v>233</v>
      </c>
      <c r="H324" s="385" t="s">
        <v>659</v>
      </c>
      <c r="I324" s="386" t="s">
        <v>23</v>
      </c>
      <c r="J324" s="38"/>
      <c r="K324" s="398" t="s">
        <v>663</v>
      </c>
      <c r="L324" s="379" t="s">
        <v>1245</v>
      </c>
      <c r="M324" s="399">
        <v>43082</v>
      </c>
      <c r="N324" s="399">
        <v>43086</v>
      </c>
      <c r="O324" s="393" t="s">
        <v>601</v>
      </c>
      <c r="P324" s="751"/>
      <c r="Q324" s="167"/>
      <c r="R324" s="397" t="s">
        <v>247</v>
      </c>
      <c r="S324" s="316"/>
      <c r="T324" s="78"/>
    </row>
    <row r="325" spans="1:20" s="377" customFormat="1" ht="20.100000000000001" customHeight="1">
      <c r="A325" s="1190" t="s">
        <v>2950</v>
      </c>
      <c r="B325" s="1189" t="s">
        <v>403</v>
      </c>
      <c r="C325" s="1189" t="s">
        <v>403</v>
      </c>
      <c r="D325" s="32">
        <f>D17+100</f>
        <v>450</v>
      </c>
      <c r="E325" s="32">
        <f>E17+200</f>
        <v>650</v>
      </c>
      <c r="F325" s="32">
        <f>F17+200</f>
        <v>650</v>
      </c>
      <c r="G325" s="222" t="s">
        <v>51</v>
      </c>
      <c r="H325" s="401" t="s">
        <v>725</v>
      </c>
      <c r="I325" s="386" t="s">
        <v>107</v>
      </c>
      <c r="J325" s="38"/>
      <c r="K325" s="398" t="s">
        <v>728</v>
      </c>
      <c r="L325" s="379" t="s">
        <v>636</v>
      </c>
      <c r="M325" s="381">
        <v>43084</v>
      </c>
      <c r="N325" s="381">
        <v>43090</v>
      </c>
      <c r="O325" s="382"/>
      <c r="P325" s="105"/>
      <c r="Q325" s="7"/>
      <c r="R325" s="384" t="s">
        <v>1735</v>
      </c>
      <c r="S325" s="316"/>
      <c r="T325" s="78"/>
    </row>
    <row r="326" spans="1:20" s="377" customFormat="1" ht="20.100000000000001" customHeight="1">
      <c r="A326" s="1190" t="s">
        <v>2950</v>
      </c>
      <c r="B326" s="1189" t="s">
        <v>403</v>
      </c>
      <c r="C326" s="1189" t="s">
        <v>403</v>
      </c>
      <c r="D326" s="11">
        <f>D18+100</f>
        <v>440</v>
      </c>
      <c r="E326" s="11">
        <f>E18+200</f>
        <v>630</v>
      </c>
      <c r="F326" s="11">
        <f>F18+200</f>
        <v>630</v>
      </c>
      <c r="G326" s="222" t="s">
        <v>101</v>
      </c>
      <c r="H326" s="401" t="s">
        <v>725</v>
      </c>
      <c r="I326" s="386" t="s">
        <v>107</v>
      </c>
      <c r="J326" s="38" t="s">
        <v>1011</v>
      </c>
      <c r="K326" s="398">
        <v>26</v>
      </c>
      <c r="L326" s="379" t="s">
        <v>636</v>
      </c>
      <c r="M326" s="399">
        <v>43082</v>
      </c>
      <c r="N326" s="399">
        <v>43088</v>
      </c>
      <c r="O326" s="382" t="s">
        <v>611</v>
      </c>
      <c r="P326" s="105"/>
      <c r="Q326" s="7"/>
      <c r="R326" s="384" t="s">
        <v>191</v>
      </c>
      <c r="S326" s="316" t="s">
        <v>1176</v>
      </c>
      <c r="T326" s="78"/>
    </row>
    <row r="327" spans="1:20" s="377" customFormat="1" ht="20.100000000000001" customHeight="1">
      <c r="A327" s="1190" t="s">
        <v>2950</v>
      </c>
      <c r="B327" s="1189" t="s">
        <v>403</v>
      </c>
      <c r="C327" s="1189" t="s">
        <v>403</v>
      </c>
      <c r="D327" s="529"/>
      <c r="E327" s="529"/>
      <c r="F327" s="529"/>
      <c r="G327" s="222" t="s">
        <v>22</v>
      </c>
      <c r="H327" s="401" t="s">
        <v>1665</v>
      </c>
      <c r="I327" s="386" t="s">
        <v>107</v>
      </c>
      <c r="J327" s="38"/>
      <c r="K327" s="398">
        <v>26</v>
      </c>
      <c r="L327" s="379" t="s">
        <v>636</v>
      </c>
      <c r="M327" s="392">
        <v>43062</v>
      </c>
      <c r="N327" s="392">
        <v>43086</v>
      </c>
      <c r="O327" s="393"/>
      <c r="P327" s="105"/>
      <c r="Q327" s="14" t="s">
        <v>1024</v>
      </c>
      <c r="R327" s="397" t="s">
        <v>191</v>
      </c>
      <c r="S327" s="316" t="s">
        <v>1176</v>
      </c>
      <c r="T327" s="78"/>
    </row>
    <row r="328" spans="1:20" s="377" customFormat="1" ht="20.100000000000001" customHeight="1">
      <c r="A328" s="1190" t="s">
        <v>2950</v>
      </c>
      <c r="B328" s="1189" t="s">
        <v>403</v>
      </c>
      <c r="C328" s="1189" t="s">
        <v>403</v>
      </c>
      <c r="D328" s="529">
        <f>D20+175</f>
        <v>550</v>
      </c>
      <c r="E328" s="529">
        <f>E20+300</f>
        <v>775</v>
      </c>
      <c r="F328" s="529">
        <f>F20+300</f>
        <v>775</v>
      </c>
      <c r="G328" s="67" t="s">
        <v>13</v>
      </c>
      <c r="H328" s="401" t="s">
        <v>725</v>
      </c>
      <c r="I328" s="386" t="s">
        <v>107</v>
      </c>
      <c r="J328" s="38" t="s">
        <v>1011</v>
      </c>
      <c r="K328" s="398">
        <v>26</v>
      </c>
      <c r="L328" s="379" t="s">
        <v>636</v>
      </c>
      <c r="M328" s="404">
        <v>43082</v>
      </c>
      <c r="N328" s="404">
        <v>43086</v>
      </c>
      <c r="O328" s="393" t="s">
        <v>601</v>
      </c>
      <c r="P328" s="105"/>
      <c r="Q328" s="7"/>
      <c r="R328" s="397" t="s">
        <v>191</v>
      </c>
      <c r="S328" s="316" t="s">
        <v>2897</v>
      </c>
      <c r="T328" s="78"/>
    </row>
    <row r="329" spans="1:20" s="377" customFormat="1" ht="20.100000000000001" customHeight="1">
      <c r="A329" s="1190" t="s">
        <v>2950</v>
      </c>
      <c r="B329" s="1189" t="s">
        <v>403</v>
      </c>
      <c r="C329" s="1189" t="s">
        <v>403</v>
      </c>
      <c r="D329" s="531">
        <v>575</v>
      </c>
      <c r="E329" s="531">
        <v>750</v>
      </c>
      <c r="F329" s="531">
        <v>750</v>
      </c>
      <c r="G329" s="63" t="s">
        <v>29</v>
      </c>
      <c r="H329" s="401" t="s">
        <v>1665</v>
      </c>
      <c r="I329" s="386" t="s">
        <v>107</v>
      </c>
      <c r="J329" s="38" t="s">
        <v>1011</v>
      </c>
      <c r="K329" s="398">
        <v>26</v>
      </c>
      <c r="L329" s="379" t="s">
        <v>636</v>
      </c>
      <c r="M329" s="404">
        <v>43083</v>
      </c>
      <c r="N329" s="404">
        <v>43086</v>
      </c>
      <c r="O329" s="405"/>
      <c r="P329" s="751"/>
      <c r="Q329" s="7"/>
      <c r="R329" s="397" t="s">
        <v>191</v>
      </c>
      <c r="S329" s="316" t="s">
        <v>2898</v>
      </c>
      <c r="T329" s="78"/>
    </row>
    <row r="330" spans="1:20" s="377" customFormat="1" ht="20.100000000000001" customHeight="1">
      <c r="A330" s="1190" t="s">
        <v>2950</v>
      </c>
      <c r="B330" s="1189" t="s">
        <v>403</v>
      </c>
      <c r="C330" s="1189" t="s">
        <v>403</v>
      </c>
      <c r="D330" s="531">
        <f>D23+100</f>
        <v>450</v>
      </c>
      <c r="E330" s="531">
        <f>E23+200</f>
        <v>650</v>
      </c>
      <c r="F330" s="531">
        <f>F23+200</f>
        <v>650</v>
      </c>
      <c r="G330" s="222" t="s">
        <v>51</v>
      </c>
      <c r="H330" s="401" t="s">
        <v>681</v>
      </c>
      <c r="I330" s="386" t="s">
        <v>107</v>
      </c>
      <c r="J330" s="38"/>
      <c r="K330" s="398" t="s">
        <v>680</v>
      </c>
      <c r="L330" s="379" t="s">
        <v>639</v>
      </c>
      <c r="M330" s="381">
        <v>43084</v>
      </c>
      <c r="N330" s="381">
        <v>43090</v>
      </c>
      <c r="O330" s="393"/>
      <c r="P330" s="751"/>
      <c r="Q330" s="52" t="s">
        <v>4072</v>
      </c>
      <c r="R330" s="397" t="s">
        <v>1732</v>
      </c>
      <c r="S330" s="316"/>
      <c r="T330" s="78"/>
    </row>
    <row r="331" spans="1:20" ht="20.100000000000001" customHeight="1">
      <c r="A331" s="1190" t="s">
        <v>2950</v>
      </c>
      <c r="B331" s="1189" t="s">
        <v>403</v>
      </c>
      <c r="C331" s="1189" t="s">
        <v>403</v>
      </c>
      <c r="D331" s="11">
        <f>D24+200</f>
        <v>575</v>
      </c>
      <c r="E331" s="11">
        <f>E24+400</f>
        <v>900</v>
      </c>
      <c r="F331" s="11">
        <f>F24+400</f>
        <v>900</v>
      </c>
      <c r="G331" s="67" t="s">
        <v>5</v>
      </c>
      <c r="H331" s="676">
        <v>5</v>
      </c>
      <c r="I331" s="38" t="s">
        <v>128</v>
      </c>
      <c r="J331" s="38"/>
      <c r="K331" s="38" t="s">
        <v>680</v>
      </c>
      <c r="L331" s="51" t="s">
        <v>639</v>
      </c>
      <c r="M331" s="6">
        <v>43066</v>
      </c>
      <c r="N331" s="6">
        <v>43080</v>
      </c>
      <c r="O331" s="675" t="s">
        <v>600</v>
      </c>
      <c r="P331" s="677"/>
      <c r="Q331" s="52" t="s">
        <v>4072</v>
      </c>
      <c r="R331" s="49" t="s">
        <v>763</v>
      </c>
      <c r="S331" s="315" t="s">
        <v>2893</v>
      </c>
      <c r="T331" s="689"/>
    </row>
    <row r="332" spans="1:20" s="377" customFormat="1" ht="20.100000000000001" customHeight="1">
      <c r="A332" s="1190" t="s">
        <v>2950</v>
      </c>
      <c r="B332" s="1189" t="s">
        <v>403</v>
      </c>
      <c r="C332" s="1189" t="s">
        <v>403</v>
      </c>
      <c r="D332" s="11">
        <f>D25+50</f>
        <v>400</v>
      </c>
      <c r="E332" s="11">
        <f>E25+100</f>
        <v>500</v>
      </c>
      <c r="F332" s="11">
        <f>F25+100</f>
        <v>500</v>
      </c>
      <c r="G332" s="67" t="s">
        <v>37</v>
      </c>
      <c r="H332" s="401">
        <v>5</v>
      </c>
      <c r="I332" s="379" t="s">
        <v>107</v>
      </c>
      <c r="J332" s="38"/>
      <c r="K332" s="386" t="s">
        <v>680</v>
      </c>
      <c r="L332" s="379" t="s">
        <v>639</v>
      </c>
      <c r="M332" s="392">
        <v>43084</v>
      </c>
      <c r="N332" s="392">
        <v>43087</v>
      </c>
      <c r="O332" s="387"/>
      <c r="P332" s="677"/>
      <c r="Q332" s="52" t="s">
        <v>4072</v>
      </c>
      <c r="R332" s="397" t="s">
        <v>815</v>
      </c>
      <c r="S332" s="327" t="s">
        <v>2896</v>
      </c>
      <c r="T332" s="689"/>
    </row>
    <row r="333" spans="1:20" s="377" customFormat="1" ht="20.100000000000001" customHeight="1">
      <c r="A333" s="1190" t="s">
        <v>2950</v>
      </c>
      <c r="B333" s="1189" t="s">
        <v>403</v>
      </c>
      <c r="C333" s="1189" t="s">
        <v>403</v>
      </c>
      <c r="D333" s="11">
        <f>D26+75+50</f>
        <v>425</v>
      </c>
      <c r="E333" s="11">
        <f>E26+150+100</f>
        <v>650</v>
      </c>
      <c r="F333" s="11">
        <f>F26+150+100</f>
        <v>650</v>
      </c>
      <c r="G333" s="67" t="s">
        <v>232</v>
      </c>
      <c r="H333" s="401" t="s">
        <v>681</v>
      </c>
      <c r="I333" s="386" t="s">
        <v>107</v>
      </c>
      <c r="J333" s="38" t="s">
        <v>1011</v>
      </c>
      <c r="K333" s="398" t="s">
        <v>680</v>
      </c>
      <c r="L333" s="386" t="s">
        <v>641</v>
      </c>
      <c r="M333" s="399">
        <v>43082</v>
      </c>
      <c r="N333" s="399">
        <v>43086</v>
      </c>
      <c r="O333" s="393" t="s">
        <v>601</v>
      </c>
      <c r="P333" s="677"/>
      <c r="Q333" s="52"/>
      <c r="R333" s="397" t="s">
        <v>2004</v>
      </c>
      <c r="S333" s="336"/>
      <c r="T333" s="689"/>
    </row>
    <row r="334" spans="1:20" s="377" customFormat="1" ht="20.100000000000001" customHeight="1">
      <c r="A334" s="1190" t="s">
        <v>2950</v>
      </c>
      <c r="B334" s="1189" t="s">
        <v>403</v>
      </c>
      <c r="C334" s="1189" t="s">
        <v>403</v>
      </c>
      <c r="D334" s="11">
        <f>D27+100</f>
        <v>440</v>
      </c>
      <c r="E334" s="11">
        <f>E27+200</f>
        <v>630</v>
      </c>
      <c r="F334" s="11">
        <f>F27+200</f>
        <v>630</v>
      </c>
      <c r="G334" s="225" t="s">
        <v>19</v>
      </c>
      <c r="H334" s="401" t="s">
        <v>1780</v>
      </c>
      <c r="I334" s="386" t="s">
        <v>107</v>
      </c>
      <c r="J334" s="38" t="s">
        <v>1011</v>
      </c>
      <c r="K334" s="398" t="s">
        <v>1784</v>
      </c>
      <c r="L334" s="386" t="s">
        <v>641</v>
      </c>
      <c r="M334" s="399">
        <v>43082</v>
      </c>
      <c r="N334" s="399">
        <v>43088</v>
      </c>
      <c r="O334" s="382" t="s">
        <v>611</v>
      </c>
      <c r="P334" s="677"/>
      <c r="Q334" s="7"/>
      <c r="R334" s="397" t="s">
        <v>1789</v>
      </c>
      <c r="S334" s="316" t="s">
        <v>1176</v>
      </c>
      <c r="T334" s="689"/>
    </row>
    <row r="335" spans="1:20" s="377" customFormat="1" ht="20.100000000000001" customHeight="1">
      <c r="A335" s="1190" t="s">
        <v>2950</v>
      </c>
      <c r="B335" s="1189" t="s">
        <v>403</v>
      </c>
      <c r="C335" s="1189" t="s">
        <v>403</v>
      </c>
      <c r="D335" s="11">
        <f>D28+200</f>
        <v>550</v>
      </c>
      <c r="E335" s="11">
        <f>E28+400</f>
        <v>800</v>
      </c>
      <c r="F335" s="11">
        <f>F28+400</f>
        <v>800</v>
      </c>
      <c r="G335" s="705" t="s">
        <v>28</v>
      </c>
      <c r="H335" s="401" t="s">
        <v>681</v>
      </c>
      <c r="I335" s="386" t="s">
        <v>107</v>
      </c>
      <c r="J335" s="38"/>
      <c r="K335" s="398" t="s">
        <v>680</v>
      </c>
      <c r="L335" s="386" t="s">
        <v>641</v>
      </c>
      <c r="M335" s="392">
        <v>43077</v>
      </c>
      <c r="N335" s="392">
        <v>43086</v>
      </c>
      <c r="O335" s="382"/>
      <c r="P335" s="677"/>
      <c r="Q335" s="7"/>
      <c r="R335" s="397" t="s">
        <v>186</v>
      </c>
      <c r="S335" s="322" t="s">
        <v>1176</v>
      </c>
      <c r="T335" s="689"/>
    </row>
    <row r="336" spans="1:20" s="377" customFormat="1" ht="20.100000000000001" customHeight="1">
      <c r="A336" s="1190" t="s">
        <v>2950</v>
      </c>
      <c r="B336" s="1189" t="s">
        <v>403</v>
      </c>
      <c r="C336" s="1189" t="s">
        <v>403</v>
      </c>
      <c r="D336" s="32">
        <f>D29+100</f>
        <v>450</v>
      </c>
      <c r="E336" s="32">
        <f>E29+200-0</f>
        <v>600</v>
      </c>
      <c r="F336" s="32">
        <f>F29+200-0</f>
        <v>600</v>
      </c>
      <c r="G336" s="705" t="s">
        <v>6</v>
      </c>
      <c r="H336" s="401" t="s">
        <v>721</v>
      </c>
      <c r="I336" s="386" t="s">
        <v>107</v>
      </c>
      <c r="J336" s="38"/>
      <c r="K336" s="379" t="s">
        <v>727</v>
      </c>
      <c r="L336" s="379" t="s">
        <v>636</v>
      </c>
      <c r="M336" s="391">
        <v>43084</v>
      </c>
      <c r="N336" s="391">
        <v>43087</v>
      </c>
      <c r="O336" s="395"/>
      <c r="P336" s="677"/>
      <c r="Q336" s="52"/>
      <c r="R336" s="389" t="s">
        <v>335</v>
      </c>
      <c r="S336" s="315" t="s">
        <v>2895</v>
      </c>
      <c r="T336" s="137"/>
    </row>
    <row r="337" spans="1:20" s="377" customFormat="1" ht="20.100000000000001" customHeight="1">
      <c r="A337" s="1190" t="s">
        <v>2950</v>
      </c>
      <c r="B337" s="1189" t="s">
        <v>403</v>
      </c>
      <c r="C337" s="1189" t="s">
        <v>403</v>
      </c>
      <c r="D337" s="851">
        <f>D30+100</f>
        <v>450</v>
      </c>
      <c r="E337" s="851">
        <f>E30+200</f>
        <v>650</v>
      </c>
      <c r="F337" s="851">
        <f>F30+200</f>
        <v>650</v>
      </c>
      <c r="G337" s="222" t="s">
        <v>51</v>
      </c>
      <c r="H337" s="401" t="s">
        <v>721</v>
      </c>
      <c r="I337" s="386" t="s">
        <v>107</v>
      </c>
      <c r="J337" s="38"/>
      <c r="K337" s="386" t="s">
        <v>727</v>
      </c>
      <c r="L337" s="379" t="s">
        <v>636</v>
      </c>
      <c r="M337" s="381">
        <v>43084</v>
      </c>
      <c r="N337" s="381">
        <v>43090</v>
      </c>
      <c r="O337" s="395"/>
      <c r="P337" s="677"/>
      <c r="Q337" s="52"/>
      <c r="R337" s="389" t="s">
        <v>167</v>
      </c>
      <c r="S337" s="316"/>
      <c r="T337" s="689"/>
    </row>
    <row r="338" spans="1:20" s="377" customFormat="1" ht="20.100000000000001" customHeight="1">
      <c r="A338" s="1190" t="s">
        <v>2950</v>
      </c>
      <c r="B338" s="1189" t="s">
        <v>403</v>
      </c>
      <c r="C338" s="1189" t="s">
        <v>403</v>
      </c>
      <c r="D338" s="32">
        <f>D33+50</f>
        <v>400</v>
      </c>
      <c r="E338" s="32">
        <f>E33+100</f>
        <v>500</v>
      </c>
      <c r="F338" s="32">
        <f>F33+100</f>
        <v>500</v>
      </c>
      <c r="G338" s="705" t="s">
        <v>102</v>
      </c>
      <c r="H338" s="390" t="s">
        <v>1779</v>
      </c>
      <c r="I338" s="386" t="s">
        <v>107</v>
      </c>
      <c r="J338" s="38"/>
      <c r="K338" s="386" t="s">
        <v>727</v>
      </c>
      <c r="L338" s="379" t="s">
        <v>636</v>
      </c>
      <c r="M338" s="392">
        <v>43084</v>
      </c>
      <c r="N338" s="392">
        <v>43087</v>
      </c>
      <c r="O338" s="382"/>
      <c r="P338" s="105"/>
      <c r="Q338" s="52"/>
      <c r="R338" s="397" t="s">
        <v>1777</v>
      </c>
      <c r="S338" s="327" t="s">
        <v>2896</v>
      </c>
      <c r="T338" s="78"/>
    </row>
    <row r="339" spans="1:20" s="377" customFormat="1" ht="20.100000000000001" customHeight="1">
      <c r="A339" s="1190" t="s">
        <v>2950</v>
      </c>
      <c r="B339" s="1189" t="s">
        <v>403</v>
      </c>
      <c r="C339" s="1189" t="s">
        <v>403</v>
      </c>
      <c r="D339" s="793">
        <f>D34+175</f>
        <v>550</v>
      </c>
      <c r="E339" s="793">
        <f>E34+300</f>
        <v>775</v>
      </c>
      <c r="F339" s="793">
        <f>F34+300</f>
        <v>775</v>
      </c>
      <c r="G339" s="67" t="s">
        <v>1152</v>
      </c>
      <c r="H339" s="385" t="s">
        <v>721</v>
      </c>
      <c r="I339" s="386" t="s">
        <v>107</v>
      </c>
      <c r="J339" s="38" t="s">
        <v>1011</v>
      </c>
      <c r="K339" s="398" t="s">
        <v>1856</v>
      </c>
      <c r="L339" s="379" t="s">
        <v>636</v>
      </c>
      <c r="M339" s="404">
        <v>43085</v>
      </c>
      <c r="N339" s="404">
        <v>43086</v>
      </c>
      <c r="O339" s="393" t="s">
        <v>601</v>
      </c>
      <c r="P339" s="105"/>
      <c r="Q339" s="52"/>
      <c r="R339" s="397" t="s">
        <v>1854</v>
      </c>
      <c r="S339" s="316" t="s">
        <v>2897</v>
      </c>
      <c r="T339" s="78"/>
    </row>
    <row r="340" spans="1:20" s="377" customFormat="1" ht="20.100000000000001" customHeight="1">
      <c r="A340" s="1190" t="s">
        <v>2950</v>
      </c>
      <c r="B340" s="1189" t="s">
        <v>403</v>
      </c>
      <c r="C340" s="1209" t="s">
        <v>403</v>
      </c>
      <c r="D340" s="800" t="s">
        <v>4512</v>
      </c>
      <c r="E340" s="800" t="s">
        <v>2226</v>
      </c>
      <c r="F340" s="800" t="s">
        <v>2226</v>
      </c>
      <c r="G340" s="812" t="s">
        <v>29</v>
      </c>
      <c r="H340" s="390" t="s">
        <v>721</v>
      </c>
      <c r="I340" s="386" t="s">
        <v>107</v>
      </c>
      <c r="J340" s="38"/>
      <c r="K340" s="386" t="s">
        <v>727</v>
      </c>
      <c r="L340" s="379" t="s">
        <v>636</v>
      </c>
      <c r="M340" s="404">
        <v>43085</v>
      </c>
      <c r="N340" s="404">
        <v>43086</v>
      </c>
      <c r="O340" s="382"/>
      <c r="P340" s="105"/>
      <c r="Q340" s="52"/>
      <c r="R340" s="397" t="s">
        <v>167</v>
      </c>
      <c r="S340" s="316" t="s">
        <v>2898</v>
      </c>
      <c r="T340" s="78"/>
    </row>
    <row r="341" spans="1:20" s="377" customFormat="1" ht="20.100000000000001" customHeight="1">
      <c r="A341" s="1190" t="s">
        <v>2950</v>
      </c>
      <c r="B341" s="1189" t="s">
        <v>403</v>
      </c>
      <c r="C341" s="1189" t="s">
        <v>403</v>
      </c>
      <c r="D341" s="816">
        <f>D37+100</f>
        <v>450</v>
      </c>
      <c r="E341" s="816">
        <f>E37+200</f>
        <v>650</v>
      </c>
      <c r="F341" s="816">
        <f>F37+200</f>
        <v>650</v>
      </c>
      <c r="G341" s="222" t="s">
        <v>51</v>
      </c>
      <c r="H341" s="385" t="s">
        <v>721</v>
      </c>
      <c r="I341" s="379" t="s">
        <v>107</v>
      </c>
      <c r="J341" s="51"/>
      <c r="K341" s="379" t="s">
        <v>660</v>
      </c>
      <c r="L341" s="379" t="s">
        <v>639</v>
      </c>
      <c r="M341" s="381">
        <v>43084</v>
      </c>
      <c r="N341" s="381">
        <v>43090</v>
      </c>
      <c r="O341" s="407"/>
      <c r="P341" s="677"/>
      <c r="Q341" s="52"/>
      <c r="R341" s="397" t="s">
        <v>1730</v>
      </c>
      <c r="S341" s="316"/>
      <c r="T341" s="689"/>
    </row>
    <row r="342" spans="1:20" s="377" customFormat="1" ht="20.100000000000001" customHeight="1">
      <c r="A342" s="1190" t="s">
        <v>2950</v>
      </c>
      <c r="B342" s="1189" t="s">
        <v>403</v>
      </c>
      <c r="C342" s="1189" t="s">
        <v>403</v>
      </c>
      <c r="D342" s="13">
        <f>D39+75+50</f>
        <v>425</v>
      </c>
      <c r="E342" s="13">
        <f>E39+150+100</f>
        <v>650</v>
      </c>
      <c r="F342" s="13">
        <f>F39+150+100</f>
        <v>650</v>
      </c>
      <c r="G342" s="67" t="s">
        <v>232</v>
      </c>
      <c r="H342" s="385" t="s">
        <v>721</v>
      </c>
      <c r="I342" s="379" t="s">
        <v>107</v>
      </c>
      <c r="J342" s="51"/>
      <c r="K342" s="379" t="s">
        <v>660</v>
      </c>
      <c r="L342" s="379" t="s">
        <v>639</v>
      </c>
      <c r="M342" s="399">
        <v>43082</v>
      </c>
      <c r="N342" s="399">
        <v>43086</v>
      </c>
      <c r="O342" s="393" t="s">
        <v>601</v>
      </c>
      <c r="P342" s="677"/>
      <c r="Q342" s="52"/>
      <c r="R342" s="397" t="s">
        <v>1843</v>
      </c>
      <c r="S342" s="316"/>
      <c r="T342" s="689"/>
    </row>
    <row r="343" spans="1:20" s="377" customFormat="1" ht="20.100000000000001" customHeight="1">
      <c r="A343" s="1190" t="s">
        <v>2950</v>
      </c>
      <c r="B343" s="1189" t="s">
        <v>403</v>
      </c>
      <c r="C343" s="1189" t="s">
        <v>403</v>
      </c>
      <c r="D343" s="32">
        <f>D40+50</f>
        <v>400</v>
      </c>
      <c r="E343" s="32">
        <f>E40+100</f>
        <v>500</v>
      </c>
      <c r="F343" s="32">
        <f>F40+100</f>
        <v>500</v>
      </c>
      <c r="G343" s="705" t="s">
        <v>69</v>
      </c>
      <c r="H343" s="385" t="s">
        <v>721</v>
      </c>
      <c r="I343" s="386" t="s">
        <v>107</v>
      </c>
      <c r="J343" s="38"/>
      <c r="K343" s="379" t="s">
        <v>660</v>
      </c>
      <c r="L343" s="379" t="s">
        <v>636</v>
      </c>
      <c r="M343" s="392">
        <v>43084</v>
      </c>
      <c r="N343" s="392">
        <v>43087</v>
      </c>
      <c r="O343" s="382"/>
      <c r="P343" s="105"/>
      <c r="Q343" s="52"/>
      <c r="R343" s="397" t="s">
        <v>1778</v>
      </c>
      <c r="S343" s="327" t="s">
        <v>2896</v>
      </c>
      <c r="T343" s="78"/>
    </row>
    <row r="344" spans="1:20" s="377" customFormat="1" ht="20.100000000000001" customHeight="1">
      <c r="A344" s="1190" t="s">
        <v>2950</v>
      </c>
      <c r="B344" s="1189" t="s">
        <v>403</v>
      </c>
      <c r="C344" s="1189" t="s">
        <v>403</v>
      </c>
      <c r="D344" s="11">
        <f>D41+100</f>
        <v>390</v>
      </c>
      <c r="E344" s="11">
        <f>E41+200</f>
        <v>530</v>
      </c>
      <c r="F344" s="11">
        <f>F41+200</f>
        <v>530</v>
      </c>
      <c r="G344" s="222" t="s">
        <v>19</v>
      </c>
      <c r="H344" s="401" t="s">
        <v>1773</v>
      </c>
      <c r="I344" s="386" t="s">
        <v>107</v>
      </c>
      <c r="J344" s="38" t="s">
        <v>1011</v>
      </c>
      <c r="K344" s="398">
        <v>29</v>
      </c>
      <c r="L344" s="386" t="s">
        <v>643</v>
      </c>
      <c r="M344" s="399">
        <v>43082</v>
      </c>
      <c r="N344" s="399">
        <v>43088</v>
      </c>
      <c r="O344" s="382" t="s">
        <v>611</v>
      </c>
      <c r="P344" s="677"/>
      <c r="Q344" s="7"/>
      <c r="R344" s="397" t="s">
        <v>1783</v>
      </c>
      <c r="S344" s="316" t="s">
        <v>1176</v>
      </c>
      <c r="T344" s="689"/>
    </row>
    <row r="345" spans="1:20" s="377" customFormat="1" ht="20.100000000000001" customHeight="1">
      <c r="A345" s="1190" t="s">
        <v>2950</v>
      </c>
      <c r="B345" s="1189" t="s">
        <v>403</v>
      </c>
      <c r="C345" s="1189" t="s">
        <v>403</v>
      </c>
      <c r="D345" s="529"/>
      <c r="E345" s="529"/>
      <c r="F345" s="529"/>
      <c r="G345" s="222" t="s">
        <v>22</v>
      </c>
      <c r="H345" s="401" t="s">
        <v>706</v>
      </c>
      <c r="I345" s="386" t="s">
        <v>107</v>
      </c>
      <c r="J345" s="38" t="s">
        <v>1011</v>
      </c>
      <c r="K345" s="398">
        <v>29</v>
      </c>
      <c r="L345" s="386" t="s">
        <v>643</v>
      </c>
      <c r="M345" s="392">
        <v>43079</v>
      </c>
      <c r="N345" s="392">
        <v>43086</v>
      </c>
      <c r="O345" s="382"/>
      <c r="P345" s="105"/>
      <c r="Q345" s="14" t="s">
        <v>1024</v>
      </c>
      <c r="R345" s="397" t="s">
        <v>1783</v>
      </c>
      <c r="S345" s="316" t="s">
        <v>1176</v>
      </c>
      <c r="T345" s="78"/>
    </row>
    <row r="346" spans="1:20" s="377" customFormat="1" ht="20.100000000000001" customHeight="1">
      <c r="A346" s="1189" t="s">
        <v>2950</v>
      </c>
      <c r="B346" s="1189" t="s">
        <v>340</v>
      </c>
      <c r="C346" s="1190" t="s">
        <v>4288</v>
      </c>
      <c r="D346" s="11">
        <f>D4+550-0</f>
        <v>900</v>
      </c>
      <c r="E346" s="11">
        <f>E4+800-0</f>
        <v>1250</v>
      </c>
      <c r="F346" s="11">
        <f>F4+800-0</f>
        <v>1250</v>
      </c>
      <c r="G346" s="222" t="s">
        <v>51</v>
      </c>
      <c r="H346" s="378">
        <v>1</v>
      </c>
      <c r="I346" s="379" t="s">
        <v>107</v>
      </c>
      <c r="J346" s="38" t="s">
        <v>1150</v>
      </c>
      <c r="K346" s="379" t="s">
        <v>684</v>
      </c>
      <c r="L346" s="379" t="s">
        <v>636</v>
      </c>
      <c r="M346" s="381">
        <v>43084</v>
      </c>
      <c r="N346" s="381">
        <v>43090</v>
      </c>
      <c r="O346" s="418"/>
      <c r="P346" s="61" t="s">
        <v>597</v>
      </c>
      <c r="Q346" s="52" t="s">
        <v>4094</v>
      </c>
      <c r="R346" s="384" t="s">
        <v>1734</v>
      </c>
      <c r="S346" s="316"/>
      <c r="T346" s="78"/>
    </row>
    <row r="347" spans="1:20" s="377" customFormat="1" ht="20.100000000000001" customHeight="1">
      <c r="A347" s="1189" t="s">
        <v>2950</v>
      </c>
      <c r="B347" s="1189" t="s">
        <v>340</v>
      </c>
      <c r="C347" s="1189" t="s">
        <v>494</v>
      </c>
      <c r="D347" s="11">
        <v>775</v>
      </c>
      <c r="E347" s="11">
        <v>1050</v>
      </c>
      <c r="F347" s="11">
        <v>1050</v>
      </c>
      <c r="G347" s="75" t="s">
        <v>37</v>
      </c>
      <c r="H347" s="378">
        <v>1</v>
      </c>
      <c r="I347" s="379" t="s">
        <v>107</v>
      </c>
      <c r="J347" s="38" t="s">
        <v>1150</v>
      </c>
      <c r="K347" s="379" t="s">
        <v>684</v>
      </c>
      <c r="L347" s="379" t="s">
        <v>636</v>
      </c>
      <c r="M347" s="392">
        <v>43056</v>
      </c>
      <c r="N347" s="392">
        <v>43087</v>
      </c>
      <c r="O347" s="395"/>
      <c r="P347" s="105"/>
      <c r="Q347" s="52" t="s">
        <v>4094</v>
      </c>
      <c r="R347" s="384" t="s">
        <v>1719</v>
      </c>
      <c r="S347" s="327" t="s">
        <v>2896</v>
      </c>
      <c r="T347" s="78"/>
    </row>
    <row r="348" spans="1:20" ht="20.100000000000001" customHeight="1">
      <c r="A348" s="1189" t="s">
        <v>2950</v>
      </c>
      <c r="B348" s="1189" t="s">
        <v>340</v>
      </c>
      <c r="C348" s="1189" t="s">
        <v>494</v>
      </c>
      <c r="D348" s="525">
        <v>950</v>
      </c>
      <c r="E348" s="525">
        <v>1200</v>
      </c>
      <c r="F348" s="525">
        <v>1200</v>
      </c>
      <c r="G348" s="64" t="s">
        <v>5</v>
      </c>
      <c r="H348" s="674" t="s">
        <v>1756</v>
      </c>
      <c r="I348" s="51" t="s">
        <v>107</v>
      </c>
      <c r="J348" s="38" t="s">
        <v>277</v>
      </c>
      <c r="K348" s="51" t="s">
        <v>1758</v>
      </c>
      <c r="L348" s="51" t="s">
        <v>636</v>
      </c>
      <c r="M348" s="6">
        <v>43073</v>
      </c>
      <c r="N348" s="6">
        <v>43080</v>
      </c>
      <c r="O348" s="675" t="s">
        <v>600</v>
      </c>
      <c r="P348" s="107"/>
      <c r="Q348" s="52" t="s">
        <v>4094</v>
      </c>
      <c r="R348" s="612" t="s">
        <v>1419</v>
      </c>
      <c r="S348" s="315" t="s">
        <v>2893</v>
      </c>
      <c r="T348" s="78"/>
    </row>
    <row r="349" spans="1:20" s="377" customFormat="1" ht="20.100000000000001" customHeight="1">
      <c r="A349" s="1189" t="s">
        <v>2950</v>
      </c>
      <c r="B349" s="1189" t="s">
        <v>340</v>
      </c>
      <c r="C349" s="1189" t="s">
        <v>494</v>
      </c>
      <c r="D349" s="534">
        <v>793</v>
      </c>
      <c r="E349" s="534">
        <v>1290</v>
      </c>
      <c r="F349" s="534">
        <v>1326</v>
      </c>
      <c r="G349" s="65" t="s">
        <v>1157</v>
      </c>
      <c r="H349" s="390" t="s">
        <v>1158</v>
      </c>
      <c r="I349" s="398" t="s">
        <v>124</v>
      </c>
      <c r="J349" s="51" t="s">
        <v>3055</v>
      </c>
      <c r="K349" s="380" t="s">
        <v>660</v>
      </c>
      <c r="L349" s="386" t="s">
        <v>643</v>
      </c>
      <c r="M349" s="381">
        <v>43045</v>
      </c>
      <c r="N349" s="381">
        <v>43093</v>
      </c>
      <c r="O349" s="393"/>
      <c r="P349" s="107" t="s">
        <v>597</v>
      </c>
      <c r="Q349" s="7"/>
      <c r="R349" s="384"/>
      <c r="S349" s="316" t="s">
        <v>2900</v>
      </c>
      <c r="T349" s="680"/>
    </row>
    <row r="350" spans="1:20" s="377" customFormat="1" ht="20.100000000000001" customHeight="1">
      <c r="A350" s="1189" t="s">
        <v>2950</v>
      </c>
      <c r="B350" s="1189" t="s">
        <v>340</v>
      </c>
      <c r="C350" s="1189" t="s">
        <v>494</v>
      </c>
      <c r="D350" s="534">
        <v>700</v>
      </c>
      <c r="E350" s="534">
        <v>975</v>
      </c>
      <c r="F350" s="534">
        <v>975</v>
      </c>
      <c r="G350" s="65" t="s">
        <v>3448</v>
      </c>
      <c r="H350" s="56" t="s">
        <v>659</v>
      </c>
      <c r="I350" s="51" t="s">
        <v>3311</v>
      </c>
      <c r="J350" s="38" t="s">
        <v>1150</v>
      </c>
      <c r="K350" s="51" t="s">
        <v>686</v>
      </c>
      <c r="L350" s="38" t="s">
        <v>3039</v>
      </c>
      <c r="M350" s="551">
        <v>43082</v>
      </c>
      <c r="N350" s="551">
        <v>43083</v>
      </c>
      <c r="O350" s="544"/>
      <c r="P350" s="684" t="s">
        <v>3449</v>
      </c>
      <c r="Q350" s="52"/>
      <c r="R350" s="73" t="s">
        <v>3387</v>
      </c>
      <c r="S350" s="316"/>
      <c r="T350" s="788"/>
    </row>
    <row r="351" spans="1:20" s="377" customFormat="1" ht="20.100000000000001" customHeight="1">
      <c r="A351" s="1189" t="s">
        <v>2950</v>
      </c>
      <c r="B351" s="1189" t="s">
        <v>340</v>
      </c>
      <c r="C351" s="1189" t="s">
        <v>494</v>
      </c>
      <c r="D351" s="11">
        <v>625</v>
      </c>
      <c r="E351" s="11">
        <v>950</v>
      </c>
      <c r="F351" s="11">
        <v>950</v>
      </c>
      <c r="G351" s="65" t="s">
        <v>232</v>
      </c>
      <c r="H351" s="385" t="s">
        <v>659</v>
      </c>
      <c r="I351" s="386" t="s">
        <v>23</v>
      </c>
      <c r="J351" s="38" t="s">
        <v>1150</v>
      </c>
      <c r="K351" s="398" t="s">
        <v>663</v>
      </c>
      <c r="L351" s="379" t="s">
        <v>1245</v>
      </c>
      <c r="M351" s="399">
        <v>43082</v>
      </c>
      <c r="N351" s="399">
        <v>43086</v>
      </c>
      <c r="O351" s="393" t="s">
        <v>601</v>
      </c>
      <c r="P351" s="751"/>
      <c r="Q351" s="167"/>
      <c r="R351" s="397" t="s">
        <v>247</v>
      </c>
      <c r="S351" s="316"/>
      <c r="T351" s="78"/>
    </row>
    <row r="352" spans="1:20" s="377" customFormat="1" ht="20.100000000000001" customHeight="1">
      <c r="A352" s="1189" t="s">
        <v>2950</v>
      </c>
      <c r="B352" s="1189" t="s">
        <v>340</v>
      </c>
      <c r="C352" s="1189" t="s">
        <v>494</v>
      </c>
      <c r="D352" s="532">
        <v>1075</v>
      </c>
      <c r="E352" s="532"/>
      <c r="F352" s="532">
        <v>1200</v>
      </c>
      <c r="G352" s="218" t="s">
        <v>52</v>
      </c>
      <c r="H352" s="385" t="s">
        <v>725</v>
      </c>
      <c r="I352" s="386" t="s">
        <v>107</v>
      </c>
      <c r="J352" s="38" t="s">
        <v>74</v>
      </c>
      <c r="K352" s="386" t="s">
        <v>685</v>
      </c>
      <c r="L352" s="379" t="s">
        <v>641</v>
      </c>
      <c r="M352" s="381">
        <v>43082</v>
      </c>
      <c r="N352" s="381">
        <v>43086</v>
      </c>
      <c r="O352" s="394" t="s">
        <v>1949</v>
      </c>
      <c r="P352" s="61" t="s">
        <v>2321</v>
      </c>
      <c r="Q352" s="7"/>
      <c r="R352" s="397" t="s">
        <v>826</v>
      </c>
      <c r="S352" s="316"/>
      <c r="T352" s="716"/>
    </row>
    <row r="353" spans="1:20" s="377" customFormat="1" ht="20.100000000000001" customHeight="1">
      <c r="A353" s="1189" t="s">
        <v>2950</v>
      </c>
      <c r="B353" s="1189" t="s">
        <v>340</v>
      </c>
      <c r="C353" s="1189" t="s">
        <v>494</v>
      </c>
      <c r="D353" s="532"/>
      <c r="E353" s="532"/>
      <c r="F353" s="532"/>
      <c r="G353" s="222" t="s">
        <v>22</v>
      </c>
      <c r="H353" s="401" t="s">
        <v>725</v>
      </c>
      <c r="I353" s="386" t="s">
        <v>107</v>
      </c>
      <c r="J353" s="38" t="s">
        <v>74</v>
      </c>
      <c r="K353" s="398">
        <v>25</v>
      </c>
      <c r="L353" s="379" t="s">
        <v>636</v>
      </c>
      <c r="M353" s="392">
        <v>43062</v>
      </c>
      <c r="N353" s="392">
        <v>43086</v>
      </c>
      <c r="O353" s="382"/>
      <c r="P353" s="61"/>
      <c r="Q353" s="14" t="s">
        <v>1024</v>
      </c>
      <c r="R353" s="397" t="s">
        <v>191</v>
      </c>
      <c r="S353" s="316" t="s">
        <v>1176</v>
      </c>
      <c r="T353" s="716"/>
    </row>
    <row r="354" spans="1:20" s="377" customFormat="1" ht="20.100000000000001" customHeight="1">
      <c r="A354" s="1189" t="s">
        <v>2950</v>
      </c>
      <c r="B354" s="1189" t="s">
        <v>340</v>
      </c>
      <c r="C354" s="1189" t="s">
        <v>494</v>
      </c>
      <c r="D354" s="11">
        <f>D17+550-0</f>
        <v>900</v>
      </c>
      <c r="E354" s="11">
        <f>E17+800-0</f>
        <v>1250</v>
      </c>
      <c r="F354" s="11">
        <f>F17+800-0</f>
        <v>1250</v>
      </c>
      <c r="G354" s="222" t="s">
        <v>51</v>
      </c>
      <c r="H354" s="403" t="s">
        <v>725</v>
      </c>
      <c r="I354" s="379" t="s">
        <v>107</v>
      </c>
      <c r="J354" s="38" t="s">
        <v>1150</v>
      </c>
      <c r="K354" s="380" t="s">
        <v>728</v>
      </c>
      <c r="L354" s="379" t="s">
        <v>636</v>
      </c>
      <c r="M354" s="381">
        <v>43084</v>
      </c>
      <c r="N354" s="381">
        <v>43090</v>
      </c>
      <c r="O354" s="418"/>
      <c r="P354" s="61" t="s">
        <v>597</v>
      </c>
      <c r="Q354" s="7"/>
      <c r="R354" s="384" t="s">
        <v>1735</v>
      </c>
      <c r="S354" s="316"/>
      <c r="T354" s="716"/>
    </row>
    <row r="355" spans="1:20" s="377" customFormat="1" ht="20.100000000000001" customHeight="1">
      <c r="A355" s="1189" t="s">
        <v>2950</v>
      </c>
      <c r="B355" s="1189" t="s">
        <v>340</v>
      </c>
      <c r="C355" s="1189" t="s">
        <v>494</v>
      </c>
      <c r="D355" s="532">
        <v>1125</v>
      </c>
      <c r="E355" s="532">
        <v>1750</v>
      </c>
      <c r="F355" s="532">
        <v>1750</v>
      </c>
      <c r="G355" s="63" t="s">
        <v>29</v>
      </c>
      <c r="H355" s="401" t="s">
        <v>1665</v>
      </c>
      <c r="I355" s="386" t="s">
        <v>107</v>
      </c>
      <c r="J355" s="38"/>
      <c r="K355" s="398">
        <v>25</v>
      </c>
      <c r="L355" s="379" t="s">
        <v>636</v>
      </c>
      <c r="M355" s="404">
        <v>43083</v>
      </c>
      <c r="N355" s="404">
        <v>43086</v>
      </c>
      <c r="O355" s="400"/>
      <c r="P355" s="750"/>
      <c r="Q355" s="7"/>
      <c r="R355" s="397" t="s">
        <v>191</v>
      </c>
      <c r="S355" s="316" t="s">
        <v>2898</v>
      </c>
      <c r="T355" s="78"/>
    </row>
    <row r="356" spans="1:20" s="377" customFormat="1" ht="20.100000000000001" customHeight="1">
      <c r="A356" s="1189" t="s">
        <v>2950</v>
      </c>
      <c r="B356" s="1189" t="s">
        <v>340</v>
      </c>
      <c r="C356" s="1189" t="s">
        <v>494</v>
      </c>
      <c r="D356" s="525">
        <v>710</v>
      </c>
      <c r="E356" s="525">
        <v>1060</v>
      </c>
      <c r="F356" s="525">
        <v>1060</v>
      </c>
      <c r="G356" s="65" t="s">
        <v>158</v>
      </c>
      <c r="H356" s="401" t="s">
        <v>681</v>
      </c>
      <c r="I356" s="379" t="s">
        <v>107</v>
      </c>
      <c r="J356" s="51" t="s">
        <v>1975</v>
      </c>
      <c r="K356" s="380" t="s">
        <v>680</v>
      </c>
      <c r="L356" s="379" t="s">
        <v>639</v>
      </c>
      <c r="M356" s="391">
        <v>43084</v>
      </c>
      <c r="N356" s="391">
        <v>43087</v>
      </c>
      <c r="O356" s="402"/>
      <c r="P356" s="107"/>
      <c r="Q356" s="52" t="s">
        <v>4072</v>
      </c>
      <c r="R356" s="384" t="s">
        <v>1746</v>
      </c>
      <c r="S356" s="315" t="s">
        <v>2895</v>
      </c>
      <c r="T356" s="137"/>
    </row>
    <row r="357" spans="1:20" s="377" customFormat="1" ht="20.100000000000001" customHeight="1">
      <c r="A357" s="1189" t="s">
        <v>2950</v>
      </c>
      <c r="B357" s="1189" t="s">
        <v>340</v>
      </c>
      <c r="C357" s="1189" t="s">
        <v>494</v>
      </c>
      <c r="D357" s="534">
        <f>D23+550-0</f>
        <v>900</v>
      </c>
      <c r="E357" s="534">
        <f>E23+800-0</f>
        <v>1250</v>
      </c>
      <c r="F357" s="534">
        <f>F23+800-0</f>
        <v>1250</v>
      </c>
      <c r="G357" s="222" t="s">
        <v>51</v>
      </c>
      <c r="H357" s="403" t="s">
        <v>681</v>
      </c>
      <c r="I357" s="386" t="s">
        <v>128</v>
      </c>
      <c r="J357" s="38" t="s">
        <v>1150</v>
      </c>
      <c r="K357" s="398" t="s">
        <v>680</v>
      </c>
      <c r="L357" s="379" t="s">
        <v>639</v>
      </c>
      <c r="M357" s="381">
        <v>43084</v>
      </c>
      <c r="N357" s="381">
        <v>43090</v>
      </c>
      <c r="O357" s="418"/>
      <c r="P357" s="61" t="s">
        <v>597</v>
      </c>
      <c r="Q357" s="52" t="s">
        <v>4072</v>
      </c>
      <c r="R357" s="397" t="s">
        <v>1732</v>
      </c>
      <c r="S357" s="316"/>
      <c r="T357" s="78"/>
    </row>
    <row r="358" spans="1:20" ht="20.100000000000001" customHeight="1">
      <c r="A358" s="1189" t="s">
        <v>2950</v>
      </c>
      <c r="B358" s="1189" t="s">
        <v>340</v>
      </c>
      <c r="C358" s="1189" t="s">
        <v>494</v>
      </c>
      <c r="D358" s="525">
        <v>950</v>
      </c>
      <c r="E358" s="525">
        <v>1200</v>
      </c>
      <c r="F358" s="525">
        <v>1200</v>
      </c>
      <c r="G358" s="64" t="s">
        <v>5</v>
      </c>
      <c r="H358" s="674" t="s">
        <v>1224</v>
      </c>
      <c r="I358" s="38" t="s">
        <v>128</v>
      </c>
      <c r="J358" s="38" t="s">
        <v>277</v>
      </c>
      <c r="K358" s="38" t="s">
        <v>680</v>
      </c>
      <c r="L358" s="51" t="s">
        <v>639</v>
      </c>
      <c r="M358" s="6">
        <v>43073</v>
      </c>
      <c r="N358" s="6">
        <v>43080</v>
      </c>
      <c r="O358" s="675" t="s">
        <v>600</v>
      </c>
      <c r="P358" s="61"/>
      <c r="Q358" s="52" t="s">
        <v>4072</v>
      </c>
      <c r="R358" s="49" t="s">
        <v>1407</v>
      </c>
      <c r="S358" s="315" t="s">
        <v>2893</v>
      </c>
      <c r="T358" s="689"/>
    </row>
    <row r="359" spans="1:20" s="377" customFormat="1" ht="20.100000000000001" customHeight="1">
      <c r="A359" s="1189" t="s">
        <v>2950</v>
      </c>
      <c r="B359" s="1189" t="s">
        <v>340</v>
      </c>
      <c r="C359" s="1189" t="s">
        <v>494</v>
      </c>
      <c r="D359" s="11">
        <v>775</v>
      </c>
      <c r="E359" s="11">
        <v>1050</v>
      </c>
      <c r="F359" s="11">
        <v>1050</v>
      </c>
      <c r="G359" s="64" t="s">
        <v>37</v>
      </c>
      <c r="H359" s="401" t="s">
        <v>681</v>
      </c>
      <c r="I359" s="379" t="s">
        <v>107</v>
      </c>
      <c r="J359" s="38" t="s">
        <v>1150</v>
      </c>
      <c r="K359" s="398" t="s">
        <v>680</v>
      </c>
      <c r="L359" s="379" t="s">
        <v>639</v>
      </c>
      <c r="M359" s="392">
        <v>43056</v>
      </c>
      <c r="N359" s="392">
        <v>43087</v>
      </c>
      <c r="O359" s="387"/>
      <c r="P359" s="61"/>
      <c r="Q359" s="52" t="s">
        <v>4072</v>
      </c>
      <c r="R359" s="397" t="s">
        <v>815</v>
      </c>
      <c r="S359" s="327" t="s">
        <v>2896</v>
      </c>
      <c r="T359" s="689"/>
    </row>
    <row r="360" spans="1:20" s="377" customFormat="1" ht="20.100000000000001" customHeight="1">
      <c r="A360" s="1189" t="s">
        <v>2950</v>
      </c>
      <c r="B360" s="1189" t="s">
        <v>340</v>
      </c>
      <c r="C360" s="1189" t="s">
        <v>494</v>
      </c>
      <c r="D360" s="11">
        <v>550</v>
      </c>
      <c r="E360" s="11">
        <v>800</v>
      </c>
      <c r="F360" s="11">
        <v>800</v>
      </c>
      <c r="G360" s="65" t="s">
        <v>232</v>
      </c>
      <c r="H360" s="401">
        <v>5</v>
      </c>
      <c r="I360" s="379" t="s">
        <v>17</v>
      </c>
      <c r="J360" s="38" t="s">
        <v>74</v>
      </c>
      <c r="K360" s="386">
        <v>23</v>
      </c>
      <c r="L360" s="386" t="s">
        <v>641</v>
      </c>
      <c r="M360" s="399">
        <v>43082</v>
      </c>
      <c r="N360" s="399">
        <v>43086</v>
      </c>
      <c r="O360" s="393" t="s">
        <v>601</v>
      </c>
      <c r="P360" s="61"/>
      <c r="Q360" s="52"/>
      <c r="R360" s="397" t="s">
        <v>2004</v>
      </c>
      <c r="S360" s="336"/>
      <c r="T360" s="689"/>
    </row>
    <row r="361" spans="1:20" s="377" customFormat="1" ht="20.100000000000001" customHeight="1">
      <c r="A361" s="1189" t="s">
        <v>2950</v>
      </c>
      <c r="B361" s="1189" t="s">
        <v>340</v>
      </c>
      <c r="C361" s="1189" t="s">
        <v>494</v>
      </c>
      <c r="D361" s="13">
        <f>D27+350</f>
        <v>690</v>
      </c>
      <c r="E361" s="13">
        <f>E27+500</f>
        <v>930</v>
      </c>
      <c r="F361" s="13">
        <f>F27+500</f>
        <v>930</v>
      </c>
      <c r="G361" s="225" t="s">
        <v>19</v>
      </c>
      <c r="H361" s="401">
        <v>5</v>
      </c>
      <c r="I361" s="379" t="s">
        <v>17</v>
      </c>
      <c r="J361" s="38" t="s">
        <v>74</v>
      </c>
      <c r="K361" s="386">
        <v>23</v>
      </c>
      <c r="L361" s="386" t="s">
        <v>641</v>
      </c>
      <c r="M361" s="399">
        <v>43082</v>
      </c>
      <c r="N361" s="399">
        <v>43088</v>
      </c>
      <c r="O361" s="382" t="s">
        <v>611</v>
      </c>
      <c r="P361" s="72" t="s">
        <v>2749</v>
      </c>
      <c r="Q361" s="7"/>
      <c r="R361" s="397" t="s">
        <v>1789</v>
      </c>
      <c r="S361" s="316" t="s">
        <v>1176</v>
      </c>
      <c r="T361" s="680"/>
    </row>
    <row r="362" spans="1:20" s="377" customFormat="1" ht="20.100000000000001" customHeight="1">
      <c r="A362" s="1189" t="s">
        <v>2950</v>
      </c>
      <c r="B362" s="1189" t="s">
        <v>340</v>
      </c>
      <c r="C362" s="1189" t="s">
        <v>494</v>
      </c>
      <c r="D362" s="525">
        <v>550</v>
      </c>
      <c r="E362" s="525">
        <v>900</v>
      </c>
      <c r="F362" s="525">
        <v>900</v>
      </c>
      <c r="G362" s="75" t="s">
        <v>137</v>
      </c>
      <c r="H362" s="401">
        <v>5</v>
      </c>
      <c r="I362" s="379" t="s">
        <v>17</v>
      </c>
      <c r="J362" s="38" t="s">
        <v>74</v>
      </c>
      <c r="K362" s="386">
        <v>23</v>
      </c>
      <c r="L362" s="386" t="s">
        <v>650</v>
      </c>
      <c r="M362" s="392">
        <v>43077</v>
      </c>
      <c r="N362" s="392">
        <v>43086</v>
      </c>
      <c r="O362" s="395"/>
      <c r="P362" s="61" t="s">
        <v>619</v>
      </c>
      <c r="Q362" s="7"/>
      <c r="R362" s="397" t="s">
        <v>186</v>
      </c>
      <c r="S362" s="322" t="s">
        <v>1176</v>
      </c>
      <c r="T362" s="717"/>
    </row>
    <row r="363" spans="1:20" s="377" customFormat="1" ht="20.100000000000001" customHeight="1">
      <c r="A363" s="1189" t="s">
        <v>2950</v>
      </c>
      <c r="B363" s="1189" t="s">
        <v>340</v>
      </c>
      <c r="C363" s="1189" t="s">
        <v>494</v>
      </c>
      <c r="D363" s="525">
        <v>600</v>
      </c>
      <c r="E363" s="525">
        <v>1000</v>
      </c>
      <c r="F363" s="525">
        <v>1000</v>
      </c>
      <c r="G363" s="75" t="s">
        <v>28</v>
      </c>
      <c r="H363" s="401">
        <v>5</v>
      </c>
      <c r="I363" s="386" t="s">
        <v>107</v>
      </c>
      <c r="J363" s="51" t="s">
        <v>1975</v>
      </c>
      <c r="K363" s="386">
        <v>23</v>
      </c>
      <c r="L363" s="386" t="s">
        <v>641</v>
      </c>
      <c r="M363" s="392">
        <v>43077</v>
      </c>
      <c r="N363" s="392">
        <v>43086</v>
      </c>
      <c r="O363" s="395"/>
      <c r="P363" s="61" t="s">
        <v>619</v>
      </c>
      <c r="Q363" s="7"/>
      <c r="R363" s="397" t="s">
        <v>186</v>
      </c>
      <c r="S363" s="322" t="s">
        <v>1176</v>
      </c>
      <c r="T363" s="768"/>
    </row>
    <row r="364" spans="1:20" s="377" customFormat="1" ht="20.100000000000001" customHeight="1">
      <c r="A364" s="1189" t="s">
        <v>2950</v>
      </c>
      <c r="B364" s="1189" t="s">
        <v>340</v>
      </c>
      <c r="C364" s="1189" t="s">
        <v>494</v>
      </c>
      <c r="D364" s="525">
        <v>710</v>
      </c>
      <c r="E364" s="525">
        <v>1060</v>
      </c>
      <c r="F364" s="525">
        <v>1060</v>
      </c>
      <c r="G364" s="63" t="s">
        <v>6</v>
      </c>
      <c r="H364" s="385" t="s">
        <v>721</v>
      </c>
      <c r="I364" s="379" t="s">
        <v>107</v>
      </c>
      <c r="J364" s="51" t="s">
        <v>1975</v>
      </c>
      <c r="K364" s="379" t="s">
        <v>727</v>
      </c>
      <c r="L364" s="379" t="s">
        <v>636</v>
      </c>
      <c r="M364" s="391">
        <v>43084</v>
      </c>
      <c r="N364" s="391">
        <v>43087</v>
      </c>
      <c r="O364" s="402"/>
      <c r="P364" s="61"/>
      <c r="Q364" s="52"/>
      <c r="R364" s="389" t="s">
        <v>335</v>
      </c>
      <c r="S364" s="315" t="s">
        <v>2895</v>
      </c>
      <c r="T364" s="137"/>
    </row>
    <row r="365" spans="1:20" s="377" customFormat="1" ht="20.100000000000001" customHeight="1">
      <c r="A365" s="1189" t="s">
        <v>2950</v>
      </c>
      <c r="B365" s="1189" t="s">
        <v>340</v>
      </c>
      <c r="C365" s="1189" t="s">
        <v>494</v>
      </c>
      <c r="D365" s="526">
        <f>D30+550-0</f>
        <v>900</v>
      </c>
      <c r="E365" s="526">
        <f>E30+800-0</f>
        <v>1250</v>
      </c>
      <c r="F365" s="526">
        <f>F30+800-0</f>
        <v>1250</v>
      </c>
      <c r="G365" s="222" t="s">
        <v>51</v>
      </c>
      <c r="H365" s="413" t="s">
        <v>721</v>
      </c>
      <c r="I365" s="379" t="s">
        <v>107</v>
      </c>
      <c r="J365" s="38" t="s">
        <v>1150</v>
      </c>
      <c r="K365" s="379" t="s">
        <v>727</v>
      </c>
      <c r="L365" s="379" t="s">
        <v>636</v>
      </c>
      <c r="M365" s="381">
        <v>43084</v>
      </c>
      <c r="N365" s="381">
        <v>43090</v>
      </c>
      <c r="O365" s="407"/>
      <c r="P365" s="61" t="s">
        <v>597</v>
      </c>
      <c r="Q365" s="52"/>
      <c r="R365" s="397" t="s">
        <v>167</v>
      </c>
      <c r="S365" s="316"/>
      <c r="T365" s="689"/>
    </row>
    <row r="366" spans="1:20" s="377" customFormat="1" ht="20.100000000000001" customHeight="1">
      <c r="A366" s="1189" t="s">
        <v>2950</v>
      </c>
      <c r="B366" s="1189" t="s">
        <v>340</v>
      </c>
      <c r="C366" s="1189" t="s">
        <v>494</v>
      </c>
      <c r="D366" s="11">
        <v>775</v>
      </c>
      <c r="E366" s="11">
        <v>1050</v>
      </c>
      <c r="F366" s="11">
        <v>1050</v>
      </c>
      <c r="G366" s="75" t="s">
        <v>149</v>
      </c>
      <c r="H366" s="385" t="s">
        <v>721</v>
      </c>
      <c r="I366" s="386" t="s">
        <v>107</v>
      </c>
      <c r="J366" s="38" t="s">
        <v>1150</v>
      </c>
      <c r="K366" s="379" t="s">
        <v>727</v>
      </c>
      <c r="L366" s="379" t="s">
        <v>636</v>
      </c>
      <c r="M366" s="392">
        <v>43056</v>
      </c>
      <c r="N366" s="392">
        <v>43087</v>
      </c>
      <c r="O366" s="382"/>
      <c r="P366" s="105"/>
      <c r="Q366" s="52"/>
      <c r="R366" s="397" t="s">
        <v>1777</v>
      </c>
      <c r="S366" s="327" t="s">
        <v>2896</v>
      </c>
      <c r="T366" s="603"/>
    </row>
    <row r="367" spans="1:20" s="377" customFormat="1" ht="20.100000000000001" customHeight="1">
      <c r="A367" s="1189" t="s">
        <v>2950</v>
      </c>
      <c r="B367" s="1189" t="s">
        <v>340</v>
      </c>
      <c r="C367" s="1189" t="s">
        <v>494</v>
      </c>
      <c r="D367" s="882">
        <f>D34+400+180</f>
        <v>955</v>
      </c>
      <c r="E367" s="882">
        <f>E34+650+235</f>
        <v>1360</v>
      </c>
      <c r="F367" s="882">
        <f>F34+650+235</f>
        <v>1360</v>
      </c>
      <c r="G367" s="705" t="s">
        <v>61</v>
      </c>
      <c r="H367" s="385" t="s">
        <v>721</v>
      </c>
      <c r="I367" s="386" t="s">
        <v>107</v>
      </c>
      <c r="J367" s="38" t="s">
        <v>1150</v>
      </c>
      <c r="K367" s="398" t="s">
        <v>1856</v>
      </c>
      <c r="L367" s="379" t="s">
        <v>636</v>
      </c>
      <c r="M367" s="404">
        <v>43085</v>
      </c>
      <c r="N367" s="404">
        <v>43086</v>
      </c>
      <c r="O367" s="393" t="s">
        <v>601</v>
      </c>
      <c r="P367" s="61" t="s">
        <v>597</v>
      </c>
      <c r="Q367" s="52"/>
      <c r="R367" s="397" t="s">
        <v>1854</v>
      </c>
      <c r="S367" s="316" t="s">
        <v>2897</v>
      </c>
      <c r="T367" s="78"/>
    </row>
    <row r="368" spans="1:20" s="377" customFormat="1" ht="20.100000000000001" customHeight="1">
      <c r="A368" s="1189" t="s">
        <v>2950</v>
      </c>
      <c r="B368" s="1189" t="s">
        <v>340</v>
      </c>
      <c r="C368" s="1209" t="s">
        <v>494</v>
      </c>
      <c r="D368" s="800" t="s">
        <v>4520</v>
      </c>
      <c r="E368" s="800" t="s">
        <v>3491</v>
      </c>
      <c r="F368" s="800" t="s">
        <v>3491</v>
      </c>
      <c r="G368" s="812" t="s">
        <v>29</v>
      </c>
      <c r="H368" s="385" t="s">
        <v>721</v>
      </c>
      <c r="I368" s="386" t="s">
        <v>107</v>
      </c>
      <c r="J368" s="38"/>
      <c r="K368" s="379" t="s">
        <v>727</v>
      </c>
      <c r="L368" s="379" t="s">
        <v>636</v>
      </c>
      <c r="M368" s="404">
        <v>43085</v>
      </c>
      <c r="N368" s="404">
        <v>43086</v>
      </c>
      <c r="O368" s="387"/>
      <c r="P368" s="61"/>
      <c r="Q368" s="52"/>
      <c r="R368" s="397" t="s">
        <v>167</v>
      </c>
      <c r="S368" s="316" t="s">
        <v>2898</v>
      </c>
      <c r="T368" s="603"/>
    </row>
    <row r="369" spans="1:20" s="377" customFormat="1" ht="20.100000000000001" customHeight="1">
      <c r="A369" s="1189" t="s">
        <v>2950</v>
      </c>
      <c r="B369" s="1189" t="s">
        <v>340</v>
      </c>
      <c r="C369" s="1189" t="s">
        <v>494</v>
      </c>
      <c r="D369" s="877">
        <f>D37+550-0</f>
        <v>900</v>
      </c>
      <c r="E369" s="877">
        <f>E37+800-0</f>
        <v>1250</v>
      </c>
      <c r="F369" s="877">
        <f>F37+800-0</f>
        <v>1250</v>
      </c>
      <c r="G369" s="222" t="s">
        <v>51</v>
      </c>
      <c r="H369" s="413" t="s">
        <v>721</v>
      </c>
      <c r="I369" s="379" t="s">
        <v>107</v>
      </c>
      <c r="J369" s="38" t="s">
        <v>1150</v>
      </c>
      <c r="K369" s="379" t="s">
        <v>660</v>
      </c>
      <c r="L369" s="379" t="s">
        <v>639</v>
      </c>
      <c r="M369" s="381">
        <v>43084</v>
      </c>
      <c r="N369" s="381">
        <v>43090</v>
      </c>
      <c r="O369" s="407"/>
      <c r="P369" s="61" t="s">
        <v>597</v>
      </c>
      <c r="Q369" s="52"/>
      <c r="R369" s="397" t="s">
        <v>1730</v>
      </c>
      <c r="S369" s="316"/>
      <c r="T369" s="689"/>
    </row>
    <row r="370" spans="1:20" ht="20.100000000000001" customHeight="1">
      <c r="A370" s="1189" t="s">
        <v>2950</v>
      </c>
      <c r="B370" s="1189" t="s">
        <v>340</v>
      </c>
      <c r="C370" s="1189" t="s">
        <v>494</v>
      </c>
      <c r="D370" s="525">
        <v>950</v>
      </c>
      <c r="E370" s="525">
        <v>1200</v>
      </c>
      <c r="F370" s="525">
        <v>1200</v>
      </c>
      <c r="G370" s="64" t="s">
        <v>5</v>
      </c>
      <c r="H370" s="674" t="s">
        <v>721</v>
      </c>
      <c r="I370" s="51" t="s">
        <v>107</v>
      </c>
      <c r="J370" s="38" t="s">
        <v>277</v>
      </c>
      <c r="K370" s="51" t="s">
        <v>660</v>
      </c>
      <c r="L370" s="51" t="s">
        <v>639</v>
      </c>
      <c r="M370" s="6">
        <v>43073</v>
      </c>
      <c r="N370" s="6">
        <v>43080</v>
      </c>
      <c r="O370" s="675" t="s">
        <v>600</v>
      </c>
      <c r="P370" s="61"/>
      <c r="Q370" s="52"/>
      <c r="R370" s="49" t="s">
        <v>762</v>
      </c>
      <c r="S370" s="315" t="s">
        <v>2893</v>
      </c>
      <c r="T370" s="689"/>
    </row>
    <row r="371" spans="1:20" s="377" customFormat="1" ht="20.100000000000001" customHeight="1">
      <c r="A371" s="1189" t="s">
        <v>2950</v>
      </c>
      <c r="B371" s="1189" t="s">
        <v>340</v>
      </c>
      <c r="C371" s="1189" t="s">
        <v>494</v>
      </c>
      <c r="D371" s="11">
        <v>600</v>
      </c>
      <c r="E371" s="11">
        <v>950</v>
      </c>
      <c r="F371" s="11">
        <v>950</v>
      </c>
      <c r="G371" s="65" t="s">
        <v>232</v>
      </c>
      <c r="H371" s="385" t="s">
        <v>721</v>
      </c>
      <c r="I371" s="379" t="s">
        <v>11</v>
      </c>
      <c r="J371" s="38" t="s">
        <v>1150</v>
      </c>
      <c r="K371" s="379" t="s">
        <v>660</v>
      </c>
      <c r="L371" s="379" t="s">
        <v>639</v>
      </c>
      <c r="M371" s="399">
        <v>43082</v>
      </c>
      <c r="N371" s="399">
        <v>43086</v>
      </c>
      <c r="O371" s="393" t="s">
        <v>601</v>
      </c>
      <c r="P371" s="61"/>
      <c r="Q371" s="52"/>
      <c r="R371" s="397" t="s">
        <v>1843</v>
      </c>
      <c r="S371" s="316"/>
      <c r="T371" s="689"/>
    </row>
    <row r="372" spans="1:20" s="377" customFormat="1" ht="20.100000000000001" customHeight="1">
      <c r="A372" s="1189" t="s">
        <v>2950</v>
      </c>
      <c r="B372" s="1189" t="s">
        <v>340</v>
      </c>
      <c r="C372" s="1189" t="s">
        <v>494</v>
      </c>
      <c r="D372" s="11">
        <v>775</v>
      </c>
      <c r="E372" s="11">
        <v>1050</v>
      </c>
      <c r="F372" s="11">
        <v>1050</v>
      </c>
      <c r="G372" s="75" t="s">
        <v>69</v>
      </c>
      <c r="H372" s="385" t="s">
        <v>721</v>
      </c>
      <c r="I372" s="379" t="s">
        <v>107</v>
      </c>
      <c r="J372" s="38" t="s">
        <v>1150</v>
      </c>
      <c r="K372" s="379" t="s">
        <v>660</v>
      </c>
      <c r="L372" s="379" t="s">
        <v>636</v>
      </c>
      <c r="M372" s="392">
        <v>43056</v>
      </c>
      <c r="N372" s="392">
        <v>43087</v>
      </c>
      <c r="O372" s="382"/>
      <c r="P372" s="105"/>
      <c r="Q372" s="52"/>
      <c r="R372" s="397" t="s">
        <v>1778</v>
      </c>
      <c r="S372" s="327" t="s">
        <v>2896</v>
      </c>
      <c r="T372" s="78"/>
    </row>
    <row r="373" spans="1:20" s="377" customFormat="1" ht="20.100000000000001" customHeight="1">
      <c r="A373" s="1189" t="s">
        <v>2950</v>
      </c>
      <c r="B373" s="1189" t="s">
        <v>340</v>
      </c>
      <c r="C373" s="1189" t="s">
        <v>494</v>
      </c>
      <c r="D373" s="11"/>
      <c r="E373" s="11"/>
      <c r="F373" s="11"/>
      <c r="G373" s="222" t="s">
        <v>22</v>
      </c>
      <c r="H373" s="401" t="s">
        <v>706</v>
      </c>
      <c r="I373" s="386" t="s">
        <v>107</v>
      </c>
      <c r="J373" s="38" t="s">
        <v>74</v>
      </c>
      <c r="K373" s="398">
        <v>22</v>
      </c>
      <c r="L373" s="386" t="s">
        <v>643</v>
      </c>
      <c r="M373" s="392">
        <v>43079</v>
      </c>
      <c r="N373" s="392">
        <v>43086</v>
      </c>
      <c r="O373" s="382"/>
      <c r="P373" s="105"/>
      <c r="Q373" s="14" t="s">
        <v>1024</v>
      </c>
      <c r="R373" s="397" t="s">
        <v>1783</v>
      </c>
      <c r="S373" s="316" t="s">
        <v>1176</v>
      </c>
      <c r="T373" s="78"/>
    </row>
    <row r="374" spans="1:20" s="377" customFormat="1" ht="20.100000000000001" customHeight="1">
      <c r="A374" s="1189" t="s">
        <v>2950</v>
      </c>
      <c r="B374" s="1189" t="s">
        <v>340</v>
      </c>
      <c r="C374" s="1189" t="s">
        <v>494</v>
      </c>
      <c r="D374" s="525">
        <f>D41+400</f>
        <v>690</v>
      </c>
      <c r="E374" s="525">
        <f>E41+600</f>
        <v>930</v>
      </c>
      <c r="F374" s="525">
        <f>F41+600</f>
        <v>930</v>
      </c>
      <c r="G374" s="225" t="s">
        <v>19</v>
      </c>
      <c r="H374" s="401" t="s">
        <v>1773</v>
      </c>
      <c r="I374" s="386" t="s">
        <v>107</v>
      </c>
      <c r="J374" s="37" t="s">
        <v>74</v>
      </c>
      <c r="K374" s="398">
        <v>22</v>
      </c>
      <c r="L374" s="386" t="s">
        <v>643</v>
      </c>
      <c r="M374" s="399">
        <v>43082</v>
      </c>
      <c r="N374" s="399">
        <v>43088</v>
      </c>
      <c r="O374" s="382" t="s">
        <v>611</v>
      </c>
      <c r="P374" s="72" t="s">
        <v>2749</v>
      </c>
      <c r="Q374" s="7"/>
      <c r="R374" s="397" t="s">
        <v>1783</v>
      </c>
      <c r="S374" s="316" t="s">
        <v>1176</v>
      </c>
      <c r="T374" s="689"/>
    </row>
    <row r="375" spans="1:20" ht="20.100000000000001" customHeight="1">
      <c r="A375" s="1190" t="s">
        <v>1302</v>
      </c>
      <c r="B375" s="1189" t="s">
        <v>340</v>
      </c>
      <c r="C375" s="1189" t="s">
        <v>770</v>
      </c>
      <c r="D375" s="11">
        <f>D348+600</f>
        <v>1550</v>
      </c>
      <c r="E375" s="11">
        <f>E348+650</f>
        <v>1850</v>
      </c>
      <c r="F375" s="11">
        <f>F348+650</f>
        <v>1850</v>
      </c>
      <c r="G375" s="67" t="s">
        <v>5</v>
      </c>
      <c r="H375" s="674" t="s">
        <v>1756</v>
      </c>
      <c r="I375" s="38" t="s">
        <v>1812</v>
      </c>
      <c r="J375" s="38"/>
      <c r="K375" s="38" t="s">
        <v>688</v>
      </c>
      <c r="L375" s="51" t="s">
        <v>636</v>
      </c>
      <c r="M375" s="6">
        <v>43073</v>
      </c>
      <c r="N375" s="6">
        <v>43080</v>
      </c>
      <c r="O375" s="675" t="s">
        <v>600</v>
      </c>
      <c r="P375" s="61"/>
      <c r="Q375" s="52" t="s">
        <v>4094</v>
      </c>
      <c r="R375" s="612" t="s">
        <v>1419</v>
      </c>
      <c r="S375" s="315" t="s">
        <v>2893</v>
      </c>
      <c r="T375" s="78"/>
    </row>
    <row r="376" spans="1:20" s="377" customFormat="1" ht="20.100000000000001" customHeight="1">
      <c r="A376" s="1190" t="s">
        <v>1302</v>
      </c>
      <c r="B376" s="1189" t="s">
        <v>340</v>
      </c>
      <c r="C376" s="1189" t="s">
        <v>770</v>
      </c>
      <c r="D376" s="532">
        <v>1125</v>
      </c>
      <c r="E376" s="532"/>
      <c r="F376" s="532">
        <v>1150</v>
      </c>
      <c r="G376" s="218" t="s">
        <v>52</v>
      </c>
      <c r="H376" s="385" t="s">
        <v>725</v>
      </c>
      <c r="I376" s="386" t="s">
        <v>107</v>
      </c>
      <c r="J376" s="38"/>
      <c r="K376" s="386" t="s">
        <v>685</v>
      </c>
      <c r="L376" s="379" t="s">
        <v>641</v>
      </c>
      <c r="M376" s="381">
        <v>43082</v>
      </c>
      <c r="N376" s="381">
        <v>43086</v>
      </c>
      <c r="O376" s="394" t="s">
        <v>1949</v>
      </c>
      <c r="P376" s="61"/>
      <c r="Q376" s="7"/>
      <c r="R376" s="397" t="s">
        <v>826</v>
      </c>
      <c r="S376" s="315"/>
      <c r="T376" s="78"/>
    </row>
    <row r="377" spans="1:20" ht="20.100000000000001" customHeight="1">
      <c r="A377" s="1190" t="s">
        <v>2950</v>
      </c>
      <c r="B377" s="1189" t="s">
        <v>340</v>
      </c>
      <c r="C377" s="1189" t="s">
        <v>770</v>
      </c>
      <c r="D377" s="11">
        <f>D358+600</f>
        <v>1550</v>
      </c>
      <c r="E377" s="11">
        <f>E358+650</f>
        <v>1850</v>
      </c>
      <c r="F377" s="11">
        <f>F358+650</f>
        <v>1850</v>
      </c>
      <c r="G377" s="67" t="s">
        <v>5</v>
      </c>
      <c r="H377" s="674" t="s">
        <v>1224</v>
      </c>
      <c r="I377" s="38" t="s">
        <v>1812</v>
      </c>
      <c r="J377" s="38"/>
      <c r="K377" s="38" t="s">
        <v>764</v>
      </c>
      <c r="L377" s="51" t="s">
        <v>639</v>
      </c>
      <c r="M377" s="6">
        <v>43073</v>
      </c>
      <c r="N377" s="6">
        <v>43080</v>
      </c>
      <c r="O377" s="675" t="s">
        <v>600</v>
      </c>
      <c r="P377" s="61"/>
      <c r="Q377" s="52" t="s">
        <v>4072</v>
      </c>
      <c r="R377" s="49" t="s">
        <v>763</v>
      </c>
      <c r="S377" s="315" t="s">
        <v>2893</v>
      </c>
      <c r="T377" s="689"/>
    </row>
    <row r="378" spans="1:20" s="377" customFormat="1" ht="20.100000000000001" customHeight="1">
      <c r="A378" s="1190" t="s">
        <v>2950</v>
      </c>
      <c r="B378" s="1189" t="s">
        <v>340</v>
      </c>
      <c r="C378" s="1189" t="s">
        <v>770</v>
      </c>
      <c r="D378" s="11">
        <f>D34+400</f>
        <v>775</v>
      </c>
      <c r="E378" s="11">
        <f>E34+800</f>
        <v>1275</v>
      </c>
      <c r="F378" s="11">
        <f>F34+800</f>
        <v>1275</v>
      </c>
      <c r="G378" s="705" t="s">
        <v>13</v>
      </c>
      <c r="H378" s="385" t="s">
        <v>721</v>
      </c>
      <c r="I378" s="386" t="s">
        <v>107</v>
      </c>
      <c r="J378" s="51"/>
      <c r="K378" s="398">
        <v>24</v>
      </c>
      <c r="L378" s="379" t="s">
        <v>636</v>
      </c>
      <c r="M378" s="404">
        <v>43085</v>
      </c>
      <c r="N378" s="404">
        <v>43086</v>
      </c>
      <c r="O378" s="393" t="s">
        <v>601</v>
      </c>
      <c r="P378" s="61"/>
      <c r="Q378" s="52"/>
      <c r="R378" s="397" t="s">
        <v>1854</v>
      </c>
      <c r="S378" s="316" t="s">
        <v>2897</v>
      </c>
      <c r="T378" s="689"/>
    </row>
    <row r="379" spans="1:20" ht="20.100000000000001" customHeight="1">
      <c r="A379" s="1190" t="s">
        <v>2950</v>
      </c>
      <c r="B379" s="1189" t="s">
        <v>340</v>
      </c>
      <c r="C379" s="1189" t="s">
        <v>770</v>
      </c>
      <c r="D379" s="11">
        <f>D370+600</f>
        <v>1550</v>
      </c>
      <c r="E379" s="11">
        <f>E370+650</f>
        <v>1850</v>
      </c>
      <c r="F379" s="11">
        <f>F370+650</f>
        <v>1850</v>
      </c>
      <c r="G379" s="67" t="s">
        <v>5</v>
      </c>
      <c r="H379" s="674" t="s">
        <v>721</v>
      </c>
      <c r="I379" s="38" t="s">
        <v>1812</v>
      </c>
      <c r="J379" s="38"/>
      <c r="K379" s="38" t="s">
        <v>685</v>
      </c>
      <c r="L379" s="51" t="s">
        <v>639</v>
      </c>
      <c r="M379" s="6">
        <v>43073</v>
      </c>
      <c r="N379" s="6">
        <v>43080</v>
      </c>
      <c r="O379" s="675" t="s">
        <v>600</v>
      </c>
      <c r="P379" s="61"/>
      <c r="Q379" s="52"/>
      <c r="R379" s="49" t="s">
        <v>762</v>
      </c>
      <c r="S379" s="315" t="s">
        <v>2893</v>
      </c>
      <c r="T379" s="689"/>
    </row>
    <row r="380" spans="1:20" s="377" customFormat="1" ht="20.100000000000001" customHeight="1">
      <c r="A380" s="1190" t="s">
        <v>1302</v>
      </c>
      <c r="B380" s="1189" t="s">
        <v>340</v>
      </c>
      <c r="C380" s="1189" t="s">
        <v>1417</v>
      </c>
      <c r="D380" s="11">
        <f>D7+1050+15</f>
        <v>1415</v>
      </c>
      <c r="E380" s="11">
        <f>E7+1360+30</f>
        <v>1790</v>
      </c>
      <c r="F380" s="11">
        <f>F7+1360+30</f>
        <v>1790</v>
      </c>
      <c r="G380" s="705" t="s">
        <v>37</v>
      </c>
      <c r="H380" s="378">
        <v>1</v>
      </c>
      <c r="I380" s="379" t="s">
        <v>107</v>
      </c>
      <c r="J380" s="38"/>
      <c r="K380" s="379" t="s">
        <v>684</v>
      </c>
      <c r="L380" s="379" t="s">
        <v>636</v>
      </c>
      <c r="M380" s="392">
        <v>43084</v>
      </c>
      <c r="N380" s="392">
        <v>43087</v>
      </c>
      <c r="O380" s="395"/>
      <c r="P380" s="105"/>
      <c r="Q380" s="52" t="s">
        <v>4094</v>
      </c>
      <c r="R380" s="384" t="s">
        <v>1719</v>
      </c>
      <c r="S380" s="327" t="s">
        <v>2896</v>
      </c>
      <c r="T380" s="689"/>
    </row>
    <row r="381" spans="1:20" s="377" customFormat="1" ht="20.100000000000001" customHeight="1">
      <c r="A381" s="1190" t="s">
        <v>1302</v>
      </c>
      <c r="B381" s="1189" t="s">
        <v>340</v>
      </c>
      <c r="C381" s="1189" t="s">
        <v>1417</v>
      </c>
      <c r="D381" s="11">
        <f>D25+1050+15</f>
        <v>1415</v>
      </c>
      <c r="E381" s="11">
        <f>E25+1360+30</f>
        <v>1790</v>
      </c>
      <c r="F381" s="11">
        <f>F25+1360+30</f>
        <v>1790</v>
      </c>
      <c r="G381" s="705" t="s">
        <v>37</v>
      </c>
      <c r="H381" s="378" t="s">
        <v>1780</v>
      </c>
      <c r="I381" s="379" t="s">
        <v>107</v>
      </c>
      <c r="J381" s="38"/>
      <c r="K381" s="379" t="s">
        <v>1781</v>
      </c>
      <c r="L381" s="379" t="s">
        <v>639</v>
      </c>
      <c r="M381" s="392">
        <v>43084</v>
      </c>
      <c r="N381" s="392">
        <v>43087</v>
      </c>
      <c r="O381" s="395"/>
      <c r="P381" s="105"/>
      <c r="Q381" s="52" t="s">
        <v>4072</v>
      </c>
      <c r="R381" s="397" t="s">
        <v>815</v>
      </c>
      <c r="S381" s="327" t="s">
        <v>2896</v>
      </c>
      <c r="T381" s="689"/>
    </row>
    <row r="382" spans="1:20" s="377" customFormat="1" ht="20.100000000000001" customHeight="1">
      <c r="A382" s="1190" t="s">
        <v>1302</v>
      </c>
      <c r="B382" s="1189" t="s">
        <v>340</v>
      </c>
      <c r="C382" s="1189" t="s">
        <v>1417</v>
      </c>
      <c r="D382" s="11">
        <f>D33+1050+15</f>
        <v>1415</v>
      </c>
      <c r="E382" s="11">
        <f>E33+1360+30</f>
        <v>1790</v>
      </c>
      <c r="F382" s="11">
        <f>F33+1360+30</f>
        <v>1790</v>
      </c>
      <c r="G382" s="705" t="s">
        <v>37</v>
      </c>
      <c r="H382" s="390" t="s">
        <v>1779</v>
      </c>
      <c r="I382" s="386" t="s">
        <v>107</v>
      </c>
      <c r="J382" s="38"/>
      <c r="K382" s="398" t="s">
        <v>660</v>
      </c>
      <c r="L382" s="379" t="s">
        <v>636</v>
      </c>
      <c r="M382" s="392">
        <v>43084</v>
      </c>
      <c r="N382" s="392">
        <v>43087</v>
      </c>
      <c r="O382" s="382"/>
      <c r="P382" s="105"/>
      <c r="Q382" s="52"/>
      <c r="R382" s="397" t="s">
        <v>1777</v>
      </c>
      <c r="S382" s="327" t="s">
        <v>2896</v>
      </c>
      <c r="T382" s="689"/>
    </row>
    <row r="383" spans="1:20" s="377" customFormat="1" ht="20.100000000000001" customHeight="1">
      <c r="A383" s="1190" t="s">
        <v>1302</v>
      </c>
      <c r="B383" s="1189" t="s">
        <v>340</v>
      </c>
      <c r="C383" s="1189" t="s">
        <v>1417</v>
      </c>
      <c r="D383" s="11">
        <f>D40+1050+15</f>
        <v>1415</v>
      </c>
      <c r="E383" s="11">
        <f>E40+1360+30</f>
        <v>1790</v>
      </c>
      <c r="F383" s="11">
        <f>F40+1360+30</f>
        <v>1790</v>
      </c>
      <c r="G383" s="705" t="s">
        <v>37</v>
      </c>
      <c r="H383" s="390" t="s">
        <v>1779</v>
      </c>
      <c r="I383" s="386" t="s">
        <v>107</v>
      </c>
      <c r="J383" s="38"/>
      <c r="K383" s="398" t="s">
        <v>728</v>
      </c>
      <c r="L383" s="379" t="s">
        <v>636</v>
      </c>
      <c r="M383" s="392">
        <v>43084</v>
      </c>
      <c r="N383" s="392">
        <v>43087</v>
      </c>
      <c r="O383" s="382"/>
      <c r="P383" s="105"/>
      <c r="Q383" s="52"/>
      <c r="R383" s="397" t="s">
        <v>1778</v>
      </c>
      <c r="S383" s="327" t="s">
        <v>2896</v>
      </c>
      <c r="T383" s="689"/>
    </row>
    <row r="384" spans="1:20" s="377" customFormat="1" ht="20.100000000000001" customHeight="1">
      <c r="A384" s="1190" t="s">
        <v>1302</v>
      </c>
      <c r="B384" s="1189" t="s">
        <v>340</v>
      </c>
      <c r="C384" s="1189" t="s">
        <v>1303</v>
      </c>
      <c r="D384" s="11">
        <f>D4+550</f>
        <v>900</v>
      </c>
      <c r="E384" s="11">
        <f>E4+900</f>
        <v>1350</v>
      </c>
      <c r="F384" s="11">
        <f>F4+900</f>
        <v>1350</v>
      </c>
      <c r="G384" s="222" t="s">
        <v>51</v>
      </c>
      <c r="H384" s="378">
        <v>1</v>
      </c>
      <c r="I384" s="379" t="s">
        <v>107</v>
      </c>
      <c r="J384" s="51"/>
      <c r="K384" s="379" t="s">
        <v>684</v>
      </c>
      <c r="L384" s="379" t="s">
        <v>636</v>
      </c>
      <c r="M384" s="381">
        <v>43084</v>
      </c>
      <c r="N384" s="381">
        <v>43090</v>
      </c>
      <c r="O384" s="382"/>
      <c r="P384" s="105"/>
      <c r="Q384" s="52" t="s">
        <v>4094</v>
      </c>
      <c r="R384" s="384" t="s">
        <v>1734</v>
      </c>
      <c r="S384" s="316"/>
      <c r="T384" s="689"/>
    </row>
    <row r="385" spans="1:20" s="377" customFormat="1" ht="20.100000000000001" customHeight="1">
      <c r="A385" s="1190" t="s">
        <v>1302</v>
      </c>
      <c r="B385" s="1189" t="s">
        <v>340</v>
      </c>
      <c r="C385" s="1189" t="s">
        <v>1303</v>
      </c>
      <c r="D385" s="11">
        <f>D17+550</f>
        <v>900</v>
      </c>
      <c r="E385" s="11">
        <f>E17+900</f>
        <v>1350</v>
      </c>
      <c r="F385" s="11">
        <f>F17+900</f>
        <v>1350</v>
      </c>
      <c r="G385" s="222" t="s">
        <v>51</v>
      </c>
      <c r="H385" s="378" t="s">
        <v>725</v>
      </c>
      <c r="I385" s="379" t="s">
        <v>107</v>
      </c>
      <c r="J385" s="51"/>
      <c r="K385" s="379" t="s">
        <v>728</v>
      </c>
      <c r="L385" s="379" t="s">
        <v>636</v>
      </c>
      <c r="M385" s="381">
        <v>43084</v>
      </c>
      <c r="N385" s="381">
        <v>43090</v>
      </c>
      <c r="O385" s="382"/>
      <c r="P385" s="105"/>
      <c r="Q385" s="7"/>
      <c r="R385" s="384" t="s">
        <v>1735</v>
      </c>
      <c r="S385" s="316"/>
      <c r="T385" s="689"/>
    </row>
    <row r="386" spans="1:20" s="377" customFormat="1" ht="20.100000000000001" customHeight="1">
      <c r="A386" s="1190" t="s">
        <v>1302</v>
      </c>
      <c r="B386" s="1189" t="s">
        <v>340</v>
      </c>
      <c r="C386" s="1189" t="s">
        <v>1303</v>
      </c>
      <c r="D386" s="11">
        <f>D23+550</f>
        <v>900</v>
      </c>
      <c r="E386" s="11">
        <f>E23+900</f>
        <v>1350</v>
      </c>
      <c r="F386" s="11">
        <f>F23+900</f>
        <v>1350</v>
      </c>
      <c r="G386" s="222" t="s">
        <v>51</v>
      </c>
      <c r="H386" s="378" t="s">
        <v>681</v>
      </c>
      <c r="I386" s="379" t="s">
        <v>107</v>
      </c>
      <c r="J386" s="51"/>
      <c r="K386" s="379" t="s">
        <v>680</v>
      </c>
      <c r="L386" s="379" t="s">
        <v>639</v>
      </c>
      <c r="M386" s="381">
        <v>43084</v>
      </c>
      <c r="N386" s="381">
        <v>43090</v>
      </c>
      <c r="O386" s="382"/>
      <c r="P386" s="105"/>
      <c r="Q386" s="52" t="s">
        <v>4072</v>
      </c>
      <c r="R386" s="397" t="s">
        <v>1732</v>
      </c>
      <c r="S386" s="316"/>
      <c r="T386" s="689"/>
    </row>
    <row r="387" spans="1:20" s="377" customFormat="1" ht="20.100000000000001" customHeight="1">
      <c r="A387" s="1190" t="s">
        <v>1302</v>
      </c>
      <c r="B387" s="1189" t="s">
        <v>340</v>
      </c>
      <c r="C387" s="1189" t="s">
        <v>1303</v>
      </c>
      <c r="D387" s="11">
        <f>D30+550</f>
        <v>900</v>
      </c>
      <c r="E387" s="11">
        <f>E30+900</f>
        <v>1350</v>
      </c>
      <c r="F387" s="11">
        <f>F30+900</f>
        <v>1350</v>
      </c>
      <c r="G387" s="222" t="s">
        <v>51</v>
      </c>
      <c r="H387" s="378" t="s">
        <v>721</v>
      </c>
      <c r="I387" s="379" t="s">
        <v>107</v>
      </c>
      <c r="J387" s="51"/>
      <c r="K387" s="379" t="s">
        <v>727</v>
      </c>
      <c r="L387" s="379" t="s">
        <v>636</v>
      </c>
      <c r="M387" s="381">
        <v>43084</v>
      </c>
      <c r="N387" s="381">
        <v>43090</v>
      </c>
      <c r="O387" s="382"/>
      <c r="P387" s="105"/>
      <c r="Q387" s="52"/>
      <c r="R387" s="397" t="s">
        <v>167</v>
      </c>
      <c r="S387" s="316"/>
      <c r="T387" s="689"/>
    </row>
    <row r="388" spans="1:20" s="377" customFormat="1" ht="20.100000000000001" customHeight="1">
      <c r="A388" s="1190" t="s">
        <v>1302</v>
      </c>
      <c r="B388" s="1189" t="s">
        <v>340</v>
      </c>
      <c r="C388" s="1189" t="s">
        <v>1303</v>
      </c>
      <c r="D388" s="11">
        <f>D37+550</f>
        <v>900</v>
      </c>
      <c r="E388" s="11">
        <f>E37+900</f>
        <v>1350</v>
      </c>
      <c r="F388" s="11">
        <f>F37+900</f>
        <v>1350</v>
      </c>
      <c r="G388" s="222" t="s">
        <v>51</v>
      </c>
      <c r="H388" s="385" t="s">
        <v>721</v>
      </c>
      <c r="I388" s="379" t="s">
        <v>107</v>
      </c>
      <c r="J388" s="51"/>
      <c r="K388" s="379" t="s">
        <v>660</v>
      </c>
      <c r="L388" s="379" t="s">
        <v>639</v>
      </c>
      <c r="M388" s="381">
        <v>43084</v>
      </c>
      <c r="N388" s="381">
        <v>43090</v>
      </c>
      <c r="O388" s="407"/>
      <c r="P388" s="61"/>
      <c r="Q388" s="52"/>
      <c r="R388" s="397" t="s">
        <v>1730</v>
      </c>
      <c r="S388" s="316"/>
      <c r="T388" s="689"/>
    </row>
    <row r="389" spans="1:20" s="377" customFormat="1" ht="20.100000000000001" customHeight="1">
      <c r="A389" s="1138" t="s">
        <v>2950</v>
      </c>
      <c r="B389" s="1191" t="s">
        <v>341</v>
      </c>
      <c r="C389" s="1138" t="s">
        <v>4289</v>
      </c>
      <c r="D389" s="533">
        <f>D16+100+50</f>
        <v>500</v>
      </c>
      <c r="E389" s="533">
        <f>E16+200+250</f>
        <v>850</v>
      </c>
      <c r="F389" s="533">
        <f>F16+200+250</f>
        <v>850</v>
      </c>
      <c r="G389" s="67" t="s">
        <v>233</v>
      </c>
      <c r="H389" s="385" t="s">
        <v>659</v>
      </c>
      <c r="I389" s="386" t="s">
        <v>23</v>
      </c>
      <c r="J389" s="38"/>
      <c r="K389" s="398" t="s">
        <v>687</v>
      </c>
      <c r="L389" s="379" t="s">
        <v>1245</v>
      </c>
      <c r="M389" s="399">
        <v>43082</v>
      </c>
      <c r="N389" s="399">
        <v>43086</v>
      </c>
      <c r="O389" s="393" t="s">
        <v>601</v>
      </c>
      <c r="P389" s="751"/>
      <c r="Q389" s="167"/>
      <c r="R389" s="397" t="s">
        <v>247</v>
      </c>
      <c r="S389" s="316"/>
      <c r="T389" s="717"/>
    </row>
    <row r="390" spans="1:20" s="377" customFormat="1" ht="20.100000000000001" customHeight="1">
      <c r="A390" s="1138" t="s">
        <v>2950</v>
      </c>
      <c r="B390" s="1191" t="s">
        <v>341</v>
      </c>
      <c r="C390" s="1191" t="s">
        <v>322</v>
      </c>
      <c r="D390" s="11">
        <f>D18+100</f>
        <v>440</v>
      </c>
      <c r="E390" s="11">
        <f>E18+200</f>
        <v>630</v>
      </c>
      <c r="F390" s="11">
        <f>F18+200</f>
        <v>630</v>
      </c>
      <c r="G390" s="225" t="s">
        <v>19</v>
      </c>
      <c r="H390" s="401" t="s">
        <v>725</v>
      </c>
      <c r="I390" s="386" t="s">
        <v>107</v>
      </c>
      <c r="J390" s="51"/>
      <c r="K390" s="398">
        <v>24</v>
      </c>
      <c r="L390" s="379" t="s">
        <v>636</v>
      </c>
      <c r="M390" s="399">
        <v>43082</v>
      </c>
      <c r="N390" s="399">
        <v>43088</v>
      </c>
      <c r="O390" s="382" t="s">
        <v>611</v>
      </c>
      <c r="P390" s="105"/>
      <c r="Q390" s="7"/>
      <c r="R390" s="384" t="s">
        <v>191</v>
      </c>
      <c r="S390" s="316" t="s">
        <v>1176</v>
      </c>
      <c r="T390" s="78"/>
    </row>
    <row r="391" spans="1:20" s="377" customFormat="1" ht="20.100000000000001" customHeight="1">
      <c r="A391" s="1138" t="s">
        <v>2950</v>
      </c>
      <c r="B391" s="1191" t="s">
        <v>341</v>
      </c>
      <c r="C391" s="1191" t="s">
        <v>322</v>
      </c>
      <c r="D391" s="529"/>
      <c r="E391" s="529"/>
      <c r="F391" s="529"/>
      <c r="G391" s="222" t="s">
        <v>22</v>
      </c>
      <c r="H391" s="401" t="s">
        <v>725</v>
      </c>
      <c r="I391" s="386" t="s">
        <v>107</v>
      </c>
      <c r="J391" s="51"/>
      <c r="K391" s="398">
        <v>24</v>
      </c>
      <c r="L391" s="379" t="s">
        <v>636</v>
      </c>
      <c r="M391" s="392">
        <v>43062</v>
      </c>
      <c r="N391" s="392">
        <v>43086</v>
      </c>
      <c r="O391" s="393"/>
      <c r="P391" s="61"/>
      <c r="Q391" s="14" t="s">
        <v>1024</v>
      </c>
      <c r="R391" s="397" t="s">
        <v>191</v>
      </c>
      <c r="S391" s="316" t="s">
        <v>1176</v>
      </c>
      <c r="T391" s="78"/>
    </row>
    <row r="392" spans="1:20" s="377" customFormat="1" ht="20.100000000000001" customHeight="1">
      <c r="A392" s="1138" t="s">
        <v>2950</v>
      </c>
      <c r="B392" s="1191" t="s">
        <v>341</v>
      </c>
      <c r="C392" s="1191" t="s">
        <v>322</v>
      </c>
      <c r="D392" s="531">
        <v>625</v>
      </c>
      <c r="E392" s="531">
        <v>950</v>
      </c>
      <c r="F392" s="531">
        <v>950</v>
      </c>
      <c r="G392" s="63" t="s">
        <v>29</v>
      </c>
      <c r="H392" s="401" t="s">
        <v>1665</v>
      </c>
      <c r="I392" s="386" t="s">
        <v>107</v>
      </c>
      <c r="J392" s="38"/>
      <c r="K392" s="398">
        <v>24</v>
      </c>
      <c r="L392" s="379" t="s">
        <v>636</v>
      </c>
      <c r="M392" s="404">
        <v>43083</v>
      </c>
      <c r="N392" s="404">
        <v>43086</v>
      </c>
      <c r="O392" s="400"/>
      <c r="P392" s="750"/>
      <c r="Q392" s="7"/>
      <c r="R392" s="397" t="s">
        <v>191</v>
      </c>
      <c r="S392" s="316" t="s">
        <v>2898</v>
      </c>
      <c r="T392" s="717"/>
    </row>
    <row r="393" spans="1:20" s="377" customFormat="1" ht="20.100000000000001" customHeight="1">
      <c r="A393" s="1138" t="s">
        <v>2950</v>
      </c>
      <c r="B393" s="1191" t="s">
        <v>341</v>
      </c>
      <c r="C393" s="1191" t="s">
        <v>322</v>
      </c>
      <c r="D393" s="759">
        <f>D22+25+0</f>
        <v>375</v>
      </c>
      <c r="E393" s="759">
        <f>E22+50+0</f>
        <v>450</v>
      </c>
      <c r="F393" s="759">
        <f>F22+50+0</f>
        <v>450</v>
      </c>
      <c r="G393" s="705" t="s">
        <v>158</v>
      </c>
      <c r="H393" s="385" t="s">
        <v>681</v>
      </c>
      <c r="I393" s="386" t="s">
        <v>17</v>
      </c>
      <c r="J393" s="37"/>
      <c r="K393" s="379" t="s">
        <v>727</v>
      </c>
      <c r="L393" s="379" t="s">
        <v>639</v>
      </c>
      <c r="M393" s="391">
        <v>43084</v>
      </c>
      <c r="N393" s="391">
        <v>43087</v>
      </c>
      <c r="O393" s="407"/>
      <c r="P393" s="751"/>
      <c r="Q393" s="52" t="s">
        <v>4072</v>
      </c>
      <c r="R393" s="397" t="s">
        <v>1746</v>
      </c>
      <c r="S393" s="315" t="s">
        <v>2895</v>
      </c>
      <c r="T393" s="137"/>
    </row>
    <row r="394" spans="1:20" s="377" customFormat="1" ht="20.100000000000001" customHeight="1">
      <c r="A394" s="1138" t="s">
        <v>2950</v>
      </c>
      <c r="B394" s="1191" t="s">
        <v>341</v>
      </c>
      <c r="C394" s="1191" t="s">
        <v>322</v>
      </c>
      <c r="D394" s="32">
        <f>D23+50</f>
        <v>400</v>
      </c>
      <c r="E394" s="32">
        <f>E23+100</f>
        <v>550</v>
      </c>
      <c r="F394" s="32">
        <f>F23+100</f>
        <v>550</v>
      </c>
      <c r="G394" s="222" t="s">
        <v>51</v>
      </c>
      <c r="H394" s="385" t="s">
        <v>681</v>
      </c>
      <c r="I394" s="386" t="s">
        <v>17</v>
      </c>
      <c r="J394" s="37"/>
      <c r="K394" s="386" t="s">
        <v>727</v>
      </c>
      <c r="L394" s="379" t="s">
        <v>639</v>
      </c>
      <c r="M394" s="381">
        <v>43084</v>
      </c>
      <c r="N394" s="381">
        <v>43090</v>
      </c>
      <c r="O394" s="407"/>
      <c r="P394" s="751"/>
      <c r="Q394" s="52" t="s">
        <v>4072</v>
      </c>
      <c r="R394" s="397" t="s">
        <v>2461</v>
      </c>
      <c r="S394" s="316"/>
      <c r="T394" s="689"/>
    </row>
    <row r="395" spans="1:20" ht="20.100000000000001" customHeight="1">
      <c r="A395" s="1138" t="s">
        <v>2950</v>
      </c>
      <c r="B395" s="1191" t="s">
        <v>341</v>
      </c>
      <c r="C395" s="1191" t="s">
        <v>322</v>
      </c>
      <c r="D395" s="32">
        <f>D24+25</f>
        <v>400</v>
      </c>
      <c r="E395" s="32">
        <f>E24+50</f>
        <v>550</v>
      </c>
      <c r="F395" s="32">
        <f>F24+50</f>
        <v>550</v>
      </c>
      <c r="G395" s="67" t="s">
        <v>5</v>
      </c>
      <c r="H395" s="676">
        <v>5</v>
      </c>
      <c r="I395" s="38" t="s">
        <v>17</v>
      </c>
      <c r="J395" s="38"/>
      <c r="K395" s="38" t="s">
        <v>727</v>
      </c>
      <c r="L395" s="51" t="s">
        <v>639</v>
      </c>
      <c r="M395" s="6">
        <v>43066</v>
      </c>
      <c r="N395" s="6">
        <v>43080</v>
      </c>
      <c r="O395" s="675" t="s">
        <v>769</v>
      </c>
      <c r="P395" s="751"/>
      <c r="Q395" s="52" t="s">
        <v>4072</v>
      </c>
      <c r="R395" s="49" t="s">
        <v>763</v>
      </c>
      <c r="S395" s="315" t="s">
        <v>2893</v>
      </c>
      <c r="T395" s="689"/>
    </row>
    <row r="396" spans="1:20" s="377" customFormat="1" ht="20.100000000000001" customHeight="1">
      <c r="A396" s="1138" t="s">
        <v>2950</v>
      </c>
      <c r="B396" s="1191" t="s">
        <v>341</v>
      </c>
      <c r="C396" s="1191" t="s">
        <v>322</v>
      </c>
      <c r="D396" s="32">
        <f>D25+25</f>
        <v>375</v>
      </c>
      <c r="E396" s="32">
        <f>E25+50</f>
        <v>450</v>
      </c>
      <c r="F396" s="32">
        <f>F25+50</f>
        <v>450</v>
      </c>
      <c r="G396" s="67" t="s">
        <v>37</v>
      </c>
      <c r="H396" s="401">
        <v>5</v>
      </c>
      <c r="I396" s="386" t="s">
        <v>17</v>
      </c>
      <c r="J396" s="38"/>
      <c r="K396" s="386" t="s">
        <v>727</v>
      </c>
      <c r="L396" s="379" t="s">
        <v>639</v>
      </c>
      <c r="M396" s="392">
        <v>43084</v>
      </c>
      <c r="N396" s="392">
        <v>43087</v>
      </c>
      <c r="O396" s="395"/>
      <c r="P396" s="61" t="s">
        <v>605</v>
      </c>
      <c r="Q396" s="52" t="s">
        <v>4072</v>
      </c>
      <c r="R396" s="397" t="s">
        <v>815</v>
      </c>
      <c r="S396" s="327" t="s">
        <v>2896</v>
      </c>
      <c r="T396" s="689"/>
    </row>
    <row r="397" spans="1:20" s="377" customFormat="1" ht="20.100000000000001" customHeight="1">
      <c r="A397" s="1138" t="s">
        <v>2950</v>
      </c>
      <c r="B397" s="1191" t="s">
        <v>341</v>
      </c>
      <c r="C397" s="1191" t="s">
        <v>322</v>
      </c>
      <c r="D397" s="32">
        <f>D26+100+75</f>
        <v>475</v>
      </c>
      <c r="E397" s="32">
        <f>E26+200+100</f>
        <v>700</v>
      </c>
      <c r="F397" s="32">
        <f>F26+200+100</f>
        <v>700</v>
      </c>
      <c r="G397" s="67" t="s">
        <v>232</v>
      </c>
      <c r="H397" s="401" t="s">
        <v>681</v>
      </c>
      <c r="I397" s="386" t="s">
        <v>107</v>
      </c>
      <c r="J397" s="37"/>
      <c r="K397" s="398" t="s">
        <v>680</v>
      </c>
      <c r="L397" s="386" t="s">
        <v>641</v>
      </c>
      <c r="M397" s="399">
        <v>43082</v>
      </c>
      <c r="N397" s="399">
        <v>43086</v>
      </c>
      <c r="O397" s="393" t="s">
        <v>601</v>
      </c>
      <c r="P397" s="61"/>
      <c r="Q397" s="52"/>
      <c r="R397" s="397" t="s">
        <v>2004</v>
      </c>
      <c r="S397" s="336"/>
      <c r="T397" s="689"/>
    </row>
    <row r="398" spans="1:20" s="377" customFormat="1" ht="20.100000000000001" customHeight="1">
      <c r="A398" s="1138" t="s">
        <v>2950</v>
      </c>
      <c r="B398" s="1191" t="s">
        <v>341</v>
      </c>
      <c r="C398" s="1191" t="s">
        <v>322</v>
      </c>
      <c r="D398" s="32">
        <f>D27+100</f>
        <v>440</v>
      </c>
      <c r="E398" s="32">
        <f>E27+200</f>
        <v>630</v>
      </c>
      <c r="F398" s="32">
        <f>F27+200</f>
        <v>630</v>
      </c>
      <c r="G398" s="225" t="s">
        <v>19</v>
      </c>
      <c r="H398" s="401" t="s">
        <v>1780</v>
      </c>
      <c r="I398" s="386" t="s">
        <v>107</v>
      </c>
      <c r="J398" s="37"/>
      <c r="K398" s="398" t="s">
        <v>1784</v>
      </c>
      <c r="L398" s="386" t="s">
        <v>641</v>
      </c>
      <c r="M398" s="399">
        <v>43082</v>
      </c>
      <c r="N398" s="399">
        <v>43088</v>
      </c>
      <c r="O398" s="382" t="s">
        <v>611</v>
      </c>
      <c r="P398" s="751"/>
      <c r="Q398" s="7"/>
      <c r="R398" s="397" t="s">
        <v>1789</v>
      </c>
      <c r="S398" s="316" t="s">
        <v>1176</v>
      </c>
      <c r="T398" s="689"/>
    </row>
    <row r="399" spans="1:20" s="377" customFormat="1" ht="20.100000000000001" customHeight="1">
      <c r="A399" s="1138" t="s">
        <v>2950</v>
      </c>
      <c r="B399" s="1191" t="s">
        <v>341</v>
      </c>
      <c r="C399" s="1191" t="s">
        <v>322</v>
      </c>
      <c r="D399" s="32">
        <f>D39+100+75</f>
        <v>475</v>
      </c>
      <c r="E399" s="32">
        <f>E39+200+100</f>
        <v>700</v>
      </c>
      <c r="F399" s="32">
        <f>F39+200+100</f>
        <v>700</v>
      </c>
      <c r="G399" s="67" t="s">
        <v>232</v>
      </c>
      <c r="H399" s="385" t="s">
        <v>721</v>
      </c>
      <c r="I399" s="386" t="s">
        <v>107</v>
      </c>
      <c r="J399" s="34"/>
      <c r="K399" s="379" t="s">
        <v>680</v>
      </c>
      <c r="L399" s="379" t="s">
        <v>639</v>
      </c>
      <c r="M399" s="399">
        <v>43082</v>
      </c>
      <c r="N399" s="399">
        <v>43086</v>
      </c>
      <c r="O399" s="393" t="s">
        <v>601</v>
      </c>
      <c r="P399" s="14"/>
      <c r="Q399" s="52"/>
      <c r="R399" s="397" t="s">
        <v>1694</v>
      </c>
      <c r="S399" s="316"/>
      <c r="T399" s="689"/>
    </row>
    <row r="400" spans="1:20" s="377" customFormat="1" ht="20.100000000000001" customHeight="1">
      <c r="A400" s="1138" t="s">
        <v>2950</v>
      </c>
      <c r="B400" s="1191" t="s">
        <v>341</v>
      </c>
      <c r="C400" s="1191" t="s">
        <v>322</v>
      </c>
      <c r="D400" s="793">
        <f>D34+250</f>
        <v>625</v>
      </c>
      <c r="E400" s="793">
        <f>E34+475</f>
        <v>950</v>
      </c>
      <c r="F400" s="793">
        <f>F34+475</f>
        <v>950</v>
      </c>
      <c r="G400" s="705" t="s">
        <v>13</v>
      </c>
      <c r="H400" s="378" t="s">
        <v>721</v>
      </c>
      <c r="I400" s="386" t="s">
        <v>107</v>
      </c>
      <c r="J400" s="51"/>
      <c r="K400" s="380" t="s">
        <v>727</v>
      </c>
      <c r="L400" s="379" t="s">
        <v>636</v>
      </c>
      <c r="M400" s="404">
        <v>43085</v>
      </c>
      <c r="N400" s="404">
        <v>43086</v>
      </c>
      <c r="O400" s="393" t="s">
        <v>601</v>
      </c>
      <c r="P400" s="61"/>
      <c r="Q400" s="52"/>
      <c r="R400" s="397" t="s">
        <v>1854</v>
      </c>
      <c r="S400" s="316" t="s">
        <v>2897</v>
      </c>
      <c r="T400" s="689"/>
    </row>
    <row r="401" spans="1:21" s="377" customFormat="1" ht="20.100000000000001" customHeight="1">
      <c r="A401" s="1138" t="s">
        <v>2950</v>
      </c>
      <c r="B401" s="1191" t="s">
        <v>341</v>
      </c>
      <c r="C401" s="1207" t="s">
        <v>322</v>
      </c>
      <c r="D401" s="800" t="s">
        <v>4512</v>
      </c>
      <c r="E401" s="800" t="s">
        <v>4517</v>
      </c>
      <c r="F401" s="800" t="s">
        <v>4517</v>
      </c>
      <c r="G401" s="812" t="s">
        <v>29</v>
      </c>
      <c r="H401" s="378" t="s">
        <v>721</v>
      </c>
      <c r="I401" s="386" t="s">
        <v>107</v>
      </c>
      <c r="J401" s="51"/>
      <c r="K401" s="380" t="s">
        <v>727</v>
      </c>
      <c r="L401" s="380" t="s">
        <v>636</v>
      </c>
      <c r="M401" s="404">
        <v>43085</v>
      </c>
      <c r="N401" s="404">
        <v>43086</v>
      </c>
      <c r="O401" s="393"/>
      <c r="P401" s="106"/>
      <c r="Q401" s="52"/>
      <c r="R401" s="397" t="s">
        <v>167</v>
      </c>
      <c r="S401" s="316" t="s">
        <v>2898</v>
      </c>
      <c r="T401" s="680"/>
    </row>
    <row r="402" spans="1:21" s="377" customFormat="1" ht="20.100000000000001" customHeight="1">
      <c r="A402" s="1138" t="s">
        <v>2950</v>
      </c>
      <c r="B402" s="1191" t="s">
        <v>341</v>
      </c>
      <c r="C402" s="1191" t="s">
        <v>322</v>
      </c>
      <c r="D402" s="792">
        <f>D41+100</f>
        <v>390</v>
      </c>
      <c r="E402" s="792">
        <f>E41+200</f>
        <v>530</v>
      </c>
      <c r="F402" s="792">
        <f>F41+200</f>
        <v>530</v>
      </c>
      <c r="G402" s="225" t="s">
        <v>19</v>
      </c>
      <c r="H402" s="401" t="s">
        <v>1773</v>
      </c>
      <c r="I402" s="386" t="s">
        <v>107</v>
      </c>
      <c r="J402" s="37"/>
      <c r="K402" s="398">
        <v>19</v>
      </c>
      <c r="L402" s="386" t="s">
        <v>643</v>
      </c>
      <c r="M402" s="399">
        <v>43082</v>
      </c>
      <c r="N402" s="399">
        <v>43088</v>
      </c>
      <c r="O402" s="382" t="s">
        <v>611</v>
      </c>
      <c r="P402" s="751"/>
      <c r="Q402" s="7"/>
      <c r="R402" s="397" t="s">
        <v>1783</v>
      </c>
      <c r="S402" s="316" t="s">
        <v>1176</v>
      </c>
      <c r="T402" s="689"/>
    </row>
    <row r="403" spans="1:21" s="377" customFormat="1" ht="20.100000000000001" customHeight="1">
      <c r="A403" s="1138" t="s">
        <v>2950</v>
      </c>
      <c r="B403" s="1191" t="s">
        <v>341</v>
      </c>
      <c r="C403" s="1191" t="s">
        <v>322</v>
      </c>
      <c r="D403" s="529"/>
      <c r="E403" s="529"/>
      <c r="F403" s="529"/>
      <c r="G403" s="222" t="s">
        <v>22</v>
      </c>
      <c r="H403" s="401" t="s">
        <v>706</v>
      </c>
      <c r="I403" s="386" t="s">
        <v>107</v>
      </c>
      <c r="J403" s="37"/>
      <c r="K403" s="398">
        <v>19</v>
      </c>
      <c r="L403" s="386" t="s">
        <v>643</v>
      </c>
      <c r="M403" s="392">
        <v>43079</v>
      </c>
      <c r="N403" s="392">
        <v>43086</v>
      </c>
      <c r="O403" s="405"/>
      <c r="P403" s="751"/>
      <c r="Q403" s="14" t="s">
        <v>1024</v>
      </c>
      <c r="R403" s="397" t="s">
        <v>1783</v>
      </c>
      <c r="S403" s="316" t="s">
        <v>1176</v>
      </c>
      <c r="T403" s="78"/>
    </row>
    <row r="404" spans="1:21" s="377" customFormat="1" ht="20.100000000000001" customHeight="1">
      <c r="A404" s="1213" t="s">
        <v>3404</v>
      </c>
      <c r="B404" s="1213" t="s">
        <v>3403</v>
      </c>
      <c r="C404" s="1213" t="s">
        <v>3405</v>
      </c>
      <c r="D404" s="529">
        <f>D5+400</f>
        <v>775</v>
      </c>
      <c r="E404" s="529">
        <f>E5+800</f>
        <v>1300</v>
      </c>
      <c r="F404" s="529">
        <f>F5+800</f>
        <v>1300</v>
      </c>
      <c r="G404" s="67" t="s">
        <v>5</v>
      </c>
      <c r="H404" s="22">
        <v>1</v>
      </c>
      <c r="I404" s="51" t="s">
        <v>107</v>
      </c>
      <c r="J404" s="51"/>
      <c r="K404" s="51">
        <v>24</v>
      </c>
      <c r="L404" s="51" t="s">
        <v>636</v>
      </c>
      <c r="M404" s="6">
        <v>43066</v>
      </c>
      <c r="N404" s="6">
        <v>43080</v>
      </c>
      <c r="O404" s="675" t="s">
        <v>600</v>
      </c>
      <c r="P404" s="76" t="s">
        <v>2476</v>
      </c>
      <c r="Q404" s="52" t="s">
        <v>4094</v>
      </c>
      <c r="R404" s="612" t="s">
        <v>1419</v>
      </c>
      <c r="S404" s="315" t="s">
        <v>2893</v>
      </c>
      <c r="T404" s="777"/>
    </row>
    <row r="405" spans="1:21" s="377" customFormat="1" ht="20.100000000000001" customHeight="1">
      <c r="A405" s="1210" t="s">
        <v>3404</v>
      </c>
      <c r="B405" s="1210" t="s">
        <v>3403</v>
      </c>
      <c r="C405" s="1210" t="s">
        <v>3405</v>
      </c>
      <c r="D405" s="529">
        <f>D24+400</f>
        <v>775</v>
      </c>
      <c r="E405" s="529">
        <f>E24+800</f>
        <v>1300</v>
      </c>
      <c r="F405" s="529">
        <f>F24+800</f>
        <v>1300</v>
      </c>
      <c r="G405" s="67" t="s">
        <v>5</v>
      </c>
      <c r="H405" s="676">
        <v>5</v>
      </c>
      <c r="I405" s="51" t="s">
        <v>107</v>
      </c>
      <c r="J405" s="38"/>
      <c r="K405" s="38" t="s">
        <v>680</v>
      </c>
      <c r="L405" s="51" t="s">
        <v>639</v>
      </c>
      <c r="M405" s="6">
        <v>43066</v>
      </c>
      <c r="N405" s="6">
        <v>43080</v>
      </c>
      <c r="O405" s="675" t="s">
        <v>600</v>
      </c>
      <c r="P405" s="76" t="s">
        <v>2476</v>
      </c>
      <c r="Q405" s="52" t="s">
        <v>4072</v>
      </c>
      <c r="R405" s="49" t="s">
        <v>763</v>
      </c>
      <c r="S405" s="315" t="s">
        <v>2893</v>
      </c>
      <c r="T405" s="777"/>
    </row>
    <row r="406" spans="1:21" s="377" customFormat="1" ht="20.100000000000001" customHeight="1">
      <c r="A406" s="1212" t="s">
        <v>3404</v>
      </c>
      <c r="B406" s="1212" t="s">
        <v>3403</v>
      </c>
      <c r="C406" s="1212" t="s">
        <v>3405</v>
      </c>
      <c r="D406" s="529">
        <f>D38+400</f>
        <v>775</v>
      </c>
      <c r="E406" s="529">
        <f>E38+800</f>
        <v>1300</v>
      </c>
      <c r="F406" s="529">
        <f>F38+800</f>
        <v>1300</v>
      </c>
      <c r="G406" s="67" t="s">
        <v>5</v>
      </c>
      <c r="H406" s="674" t="s">
        <v>721</v>
      </c>
      <c r="I406" s="38" t="s">
        <v>107</v>
      </c>
      <c r="J406" s="51"/>
      <c r="K406" s="51" t="s">
        <v>660</v>
      </c>
      <c r="L406" s="51" t="s">
        <v>639</v>
      </c>
      <c r="M406" s="6">
        <v>43066</v>
      </c>
      <c r="N406" s="6">
        <v>43080</v>
      </c>
      <c r="O406" s="675" t="s">
        <v>600</v>
      </c>
      <c r="P406" s="76" t="s">
        <v>2476</v>
      </c>
      <c r="Q406" s="52"/>
      <c r="R406" s="49" t="s">
        <v>762</v>
      </c>
      <c r="S406" s="315" t="s">
        <v>2893</v>
      </c>
      <c r="T406" s="777"/>
    </row>
    <row r="407" spans="1:21" s="377" customFormat="1" ht="20.100000000000001" customHeight="1">
      <c r="A407" s="1192" t="s">
        <v>1302</v>
      </c>
      <c r="B407" s="1138" t="s">
        <v>3402</v>
      </c>
      <c r="C407" s="1191" t="s">
        <v>1484</v>
      </c>
      <c r="D407" s="2">
        <f>D393+125-0</f>
        <v>500</v>
      </c>
      <c r="E407" s="2">
        <f>E393+250-0</f>
        <v>700</v>
      </c>
      <c r="F407" s="2">
        <f>F393+250-0</f>
        <v>700</v>
      </c>
      <c r="G407" s="705" t="s">
        <v>6</v>
      </c>
      <c r="H407" s="401" t="s">
        <v>681</v>
      </c>
      <c r="I407" s="386" t="s">
        <v>1485</v>
      </c>
      <c r="J407" s="38"/>
      <c r="K407" s="386" t="s">
        <v>1486</v>
      </c>
      <c r="L407" s="379" t="s">
        <v>639</v>
      </c>
      <c r="M407" s="391">
        <v>43084</v>
      </c>
      <c r="N407" s="391">
        <v>43087</v>
      </c>
      <c r="O407" s="407"/>
      <c r="P407" s="751"/>
      <c r="Q407" s="52" t="s">
        <v>4072</v>
      </c>
      <c r="R407" s="397" t="s">
        <v>1746</v>
      </c>
      <c r="S407" s="315" t="s">
        <v>2895</v>
      </c>
      <c r="T407" s="305"/>
    </row>
    <row r="408" spans="1:21" s="377" customFormat="1" ht="20.100000000000001" customHeight="1">
      <c r="A408" s="1138" t="s">
        <v>1302</v>
      </c>
      <c r="B408" s="1191" t="s">
        <v>341</v>
      </c>
      <c r="C408" s="1191" t="s">
        <v>1484</v>
      </c>
      <c r="D408" s="2">
        <f>D25+200</f>
        <v>550</v>
      </c>
      <c r="E408" s="2">
        <f>E25+400</f>
        <v>800</v>
      </c>
      <c r="F408" s="2">
        <f>F25+400</f>
        <v>800</v>
      </c>
      <c r="G408" s="705" t="s">
        <v>37</v>
      </c>
      <c r="H408" s="401" t="s">
        <v>681</v>
      </c>
      <c r="I408" s="386" t="s">
        <v>107</v>
      </c>
      <c r="J408" s="38"/>
      <c r="K408" s="386" t="s">
        <v>660</v>
      </c>
      <c r="L408" s="379" t="s">
        <v>639</v>
      </c>
      <c r="M408" s="392">
        <v>43084</v>
      </c>
      <c r="N408" s="392">
        <v>43087</v>
      </c>
      <c r="O408" s="382"/>
      <c r="P408" s="105"/>
      <c r="Q408" s="52" t="s">
        <v>4072</v>
      </c>
      <c r="R408" s="397" t="s">
        <v>815</v>
      </c>
      <c r="S408" s="327" t="s">
        <v>2896</v>
      </c>
      <c r="T408" s="680"/>
    </row>
    <row r="409" spans="1:21" ht="20.100000000000001" customHeight="1">
      <c r="A409" s="1138" t="s">
        <v>2950</v>
      </c>
      <c r="B409" s="1191" t="s">
        <v>341</v>
      </c>
      <c r="C409" s="1191" t="s">
        <v>947</v>
      </c>
      <c r="D409" s="2">
        <f>D5+300</f>
        <v>675</v>
      </c>
      <c r="E409" s="2">
        <f>E5+600</f>
        <v>1100</v>
      </c>
      <c r="F409" s="2">
        <f>F5+600</f>
        <v>1100</v>
      </c>
      <c r="G409" s="67" t="s">
        <v>5</v>
      </c>
      <c r="H409" s="674" t="s">
        <v>729</v>
      </c>
      <c r="I409" s="51" t="s">
        <v>107</v>
      </c>
      <c r="J409" s="38"/>
      <c r="K409" s="38" t="s">
        <v>665</v>
      </c>
      <c r="L409" s="51" t="s">
        <v>636</v>
      </c>
      <c r="M409" s="6">
        <v>43066</v>
      </c>
      <c r="N409" s="6">
        <v>43080</v>
      </c>
      <c r="O409" s="675" t="s">
        <v>600</v>
      </c>
      <c r="P409" s="61"/>
      <c r="Q409" s="52" t="s">
        <v>4094</v>
      </c>
      <c r="R409" s="612" t="s">
        <v>1419</v>
      </c>
      <c r="S409" s="315" t="s">
        <v>2893</v>
      </c>
      <c r="T409" s="680"/>
    </row>
    <row r="410" spans="1:21" s="377" customFormat="1" ht="20.100000000000001" customHeight="1">
      <c r="A410" s="1138" t="s">
        <v>2950</v>
      </c>
      <c r="B410" s="1191" t="s">
        <v>341</v>
      </c>
      <c r="C410" s="1191" t="s">
        <v>1701</v>
      </c>
      <c r="D410" s="529">
        <f>D18+325</f>
        <v>665</v>
      </c>
      <c r="E410" s="529">
        <f>E18+650</f>
        <v>1080</v>
      </c>
      <c r="F410" s="529">
        <f>F18+650</f>
        <v>1080</v>
      </c>
      <c r="G410" s="225" t="s">
        <v>19</v>
      </c>
      <c r="H410" s="401" t="s">
        <v>1790</v>
      </c>
      <c r="I410" s="386" t="s">
        <v>107</v>
      </c>
      <c r="J410" s="38"/>
      <c r="K410" s="386" t="s">
        <v>665</v>
      </c>
      <c r="L410" s="379" t="s">
        <v>636</v>
      </c>
      <c r="M410" s="399">
        <v>43082</v>
      </c>
      <c r="N410" s="399">
        <v>43088</v>
      </c>
      <c r="O410" s="382" t="s">
        <v>611</v>
      </c>
      <c r="P410" s="105"/>
      <c r="Q410" s="7"/>
      <c r="R410" s="384" t="s">
        <v>191</v>
      </c>
      <c r="S410" s="316" t="s">
        <v>1176</v>
      </c>
      <c r="T410" s="680"/>
    </row>
    <row r="411" spans="1:21" s="377" customFormat="1" ht="20.100000000000001" customHeight="1">
      <c r="A411" s="1138" t="s">
        <v>2950</v>
      </c>
      <c r="B411" s="1191" t="s">
        <v>341</v>
      </c>
      <c r="C411" s="1191" t="s">
        <v>947</v>
      </c>
      <c r="D411" s="529">
        <f>D27+325</f>
        <v>665</v>
      </c>
      <c r="E411" s="529">
        <f>E27+650</f>
        <v>1080</v>
      </c>
      <c r="F411" s="529">
        <f>F27+650</f>
        <v>1080</v>
      </c>
      <c r="G411" s="225" t="s">
        <v>19</v>
      </c>
      <c r="H411" s="401" t="s">
        <v>1780</v>
      </c>
      <c r="I411" s="386" t="s">
        <v>107</v>
      </c>
      <c r="J411" s="38"/>
      <c r="K411" s="386" t="s">
        <v>1784</v>
      </c>
      <c r="L411" s="386" t="s">
        <v>641</v>
      </c>
      <c r="M411" s="399">
        <v>43082</v>
      </c>
      <c r="N411" s="399">
        <v>43088</v>
      </c>
      <c r="O411" s="382" t="s">
        <v>611</v>
      </c>
      <c r="P411" s="105"/>
      <c r="Q411" s="7"/>
      <c r="R411" s="397" t="s">
        <v>1789</v>
      </c>
      <c r="S411" s="316" t="s">
        <v>1176</v>
      </c>
      <c r="T411" s="680"/>
    </row>
    <row r="412" spans="1:21" ht="20.100000000000001" customHeight="1">
      <c r="A412" s="1138" t="s">
        <v>2950</v>
      </c>
      <c r="B412" s="1191" t="s">
        <v>341</v>
      </c>
      <c r="C412" s="1191" t="s">
        <v>947</v>
      </c>
      <c r="D412" s="32">
        <f>D24+300</f>
        <v>675</v>
      </c>
      <c r="E412" s="32">
        <f>E24+600</f>
        <v>1100</v>
      </c>
      <c r="F412" s="32">
        <f>F24+600</f>
        <v>1100</v>
      </c>
      <c r="G412" s="67" t="s">
        <v>5</v>
      </c>
      <c r="H412" s="676">
        <v>5</v>
      </c>
      <c r="I412" s="51" t="s">
        <v>107</v>
      </c>
      <c r="J412" s="38"/>
      <c r="K412" s="38" t="s">
        <v>765</v>
      </c>
      <c r="L412" s="51" t="s">
        <v>639</v>
      </c>
      <c r="M412" s="6">
        <v>43066</v>
      </c>
      <c r="N412" s="6">
        <v>43080</v>
      </c>
      <c r="O412" s="675" t="s">
        <v>769</v>
      </c>
      <c r="P412" s="105"/>
      <c r="Q412" s="52" t="s">
        <v>4072</v>
      </c>
      <c r="R412" s="49" t="s">
        <v>763</v>
      </c>
      <c r="S412" s="315" t="s">
        <v>2893</v>
      </c>
      <c r="T412" s="680"/>
    </row>
    <row r="413" spans="1:21" ht="20.100000000000001" customHeight="1">
      <c r="A413" s="1138" t="s">
        <v>2950</v>
      </c>
      <c r="B413" s="1191" t="s">
        <v>341</v>
      </c>
      <c r="C413" s="1191" t="s">
        <v>947</v>
      </c>
      <c r="D413" s="32">
        <f>D38+300</f>
        <v>675</v>
      </c>
      <c r="E413" s="32">
        <f>E38+600</f>
        <v>1100</v>
      </c>
      <c r="F413" s="32">
        <f>F38+600</f>
        <v>1100</v>
      </c>
      <c r="G413" s="67" t="s">
        <v>5</v>
      </c>
      <c r="H413" s="674" t="s">
        <v>721</v>
      </c>
      <c r="I413" s="51" t="s">
        <v>107</v>
      </c>
      <c r="J413" s="38"/>
      <c r="K413" s="38" t="s">
        <v>663</v>
      </c>
      <c r="L413" s="51" t="s">
        <v>639</v>
      </c>
      <c r="M413" s="6">
        <v>43066</v>
      </c>
      <c r="N413" s="6">
        <v>43080</v>
      </c>
      <c r="O413" s="675" t="s">
        <v>600</v>
      </c>
      <c r="P413" s="61"/>
      <c r="Q413" s="52"/>
      <c r="R413" s="49" t="s">
        <v>762</v>
      </c>
      <c r="S413" s="315" t="s">
        <v>2893</v>
      </c>
      <c r="T413" s="680"/>
    </row>
    <row r="414" spans="1:21" s="1091" customFormat="1" ht="20.100000000000001" customHeight="1">
      <c r="A414" s="1138" t="s">
        <v>2950</v>
      </c>
      <c r="B414" s="1191" t="s">
        <v>341</v>
      </c>
      <c r="C414" s="1191" t="s">
        <v>947</v>
      </c>
      <c r="D414" s="1081">
        <f>D41+325</f>
        <v>615</v>
      </c>
      <c r="E414" s="1081">
        <f>E41+650</f>
        <v>980</v>
      </c>
      <c r="F414" s="1081">
        <f>F41+650</f>
        <v>980</v>
      </c>
      <c r="G414" s="1082" t="s">
        <v>19</v>
      </c>
      <c r="H414" s="1083" t="s">
        <v>1773</v>
      </c>
      <c r="I414" s="1084" t="s">
        <v>107</v>
      </c>
      <c r="J414" s="1085"/>
      <c r="K414" s="1084" t="s">
        <v>663</v>
      </c>
      <c r="L414" s="1084" t="s">
        <v>643</v>
      </c>
      <c r="M414" s="1086">
        <v>43082</v>
      </c>
      <c r="N414" s="1086">
        <v>43088</v>
      </c>
      <c r="O414" s="1087" t="s">
        <v>611</v>
      </c>
      <c r="P414" s="1088"/>
      <c r="Q414" s="1076"/>
      <c r="R414" s="1089" t="s">
        <v>1783</v>
      </c>
      <c r="S414" s="315" t="s">
        <v>1176</v>
      </c>
      <c r="T414" s="1090"/>
    </row>
    <row r="415" spans="1:21" s="1106" customFormat="1" ht="20.100000000000001" customHeight="1">
      <c r="A415" s="1185" t="s">
        <v>2951</v>
      </c>
      <c r="B415" s="1185" t="s">
        <v>343</v>
      </c>
      <c r="C415" s="1185" t="s">
        <v>3017</v>
      </c>
      <c r="D415" s="1092">
        <v>300</v>
      </c>
      <c r="E415" s="1092">
        <v>350</v>
      </c>
      <c r="F415" s="1092">
        <v>350</v>
      </c>
      <c r="G415" s="1093" t="s">
        <v>6</v>
      </c>
      <c r="H415" s="1094">
        <v>1</v>
      </c>
      <c r="I415" s="1095" t="s">
        <v>17</v>
      </c>
      <c r="J415" s="1096" t="s">
        <v>252</v>
      </c>
      <c r="K415" s="1097" t="s">
        <v>841</v>
      </c>
      <c r="L415" s="1095" t="s">
        <v>636</v>
      </c>
      <c r="M415" s="1098">
        <v>43080</v>
      </c>
      <c r="N415" s="1098">
        <v>43093</v>
      </c>
      <c r="O415" s="1099"/>
      <c r="P415" s="1100" t="s">
        <v>1930</v>
      </c>
      <c r="Q415" s="1101"/>
      <c r="R415" s="1102" t="s">
        <v>202</v>
      </c>
      <c r="S415" s="1103" t="s">
        <v>2902</v>
      </c>
      <c r="T415" s="1104"/>
      <c r="U415" s="1105"/>
    </row>
    <row r="416" spans="1:21" ht="20.100000000000001" customHeight="1">
      <c r="A416" s="1186" t="s">
        <v>2951</v>
      </c>
      <c r="B416" s="1186" t="s">
        <v>343</v>
      </c>
      <c r="C416" s="1186" t="s">
        <v>3017</v>
      </c>
      <c r="D416" s="11">
        <v>450</v>
      </c>
      <c r="E416" s="11">
        <v>500</v>
      </c>
      <c r="F416" s="11">
        <v>500</v>
      </c>
      <c r="G416" s="70" t="s">
        <v>5</v>
      </c>
      <c r="H416" s="35">
        <v>1</v>
      </c>
      <c r="I416" s="38" t="s">
        <v>17</v>
      </c>
      <c r="J416" s="37" t="s">
        <v>252</v>
      </c>
      <c r="K416" s="34" t="s">
        <v>841</v>
      </c>
      <c r="L416" s="51" t="s">
        <v>636</v>
      </c>
      <c r="M416" s="6">
        <v>43080</v>
      </c>
      <c r="N416" s="6">
        <v>43086</v>
      </c>
      <c r="O416" s="675" t="s">
        <v>600</v>
      </c>
      <c r="P416" s="61" t="s">
        <v>938</v>
      </c>
      <c r="Q416" s="7"/>
      <c r="R416" s="73" t="s">
        <v>1873</v>
      </c>
      <c r="S416" s="315" t="s">
        <v>2893</v>
      </c>
      <c r="T416" s="689"/>
      <c r="U416" s="42"/>
    </row>
    <row r="417" spans="1:21" s="377" customFormat="1" ht="20.100000000000001" customHeight="1">
      <c r="A417" s="1186" t="s">
        <v>2951</v>
      </c>
      <c r="B417" s="1186" t="s">
        <v>343</v>
      </c>
      <c r="C417" s="1186" t="s">
        <v>3017</v>
      </c>
      <c r="D417" s="11">
        <v>360</v>
      </c>
      <c r="E417" s="11">
        <v>385</v>
      </c>
      <c r="F417" s="11">
        <v>385</v>
      </c>
      <c r="G417" s="63" t="s">
        <v>910</v>
      </c>
      <c r="H417" s="390">
        <v>1</v>
      </c>
      <c r="I417" s="386" t="s">
        <v>17</v>
      </c>
      <c r="J417" s="37" t="s">
        <v>252</v>
      </c>
      <c r="K417" s="406" t="s">
        <v>841</v>
      </c>
      <c r="L417" s="379" t="s">
        <v>636</v>
      </c>
      <c r="M417" s="392">
        <v>43080</v>
      </c>
      <c r="N417" s="392">
        <v>43080</v>
      </c>
      <c r="O417" s="419"/>
      <c r="P417" s="61" t="s">
        <v>1933</v>
      </c>
      <c r="Q417" s="7"/>
      <c r="R417" s="397" t="s">
        <v>192</v>
      </c>
      <c r="S417" s="315" t="s">
        <v>2903</v>
      </c>
      <c r="T417" s="316"/>
      <c r="U417" s="421"/>
    </row>
    <row r="418" spans="1:21" s="377" customFormat="1" ht="20.100000000000001" customHeight="1">
      <c r="A418" s="1186" t="s">
        <v>2951</v>
      </c>
      <c r="B418" s="1186" t="s">
        <v>343</v>
      </c>
      <c r="C418" s="1186" t="s">
        <v>3017</v>
      </c>
      <c r="D418" s="790"/>
      <c r="E418" s="790"/>
      <c r="F418" s="790"/>
      <c r="G418" s="63" t="s">
        <v>3894</v>
      </c>
      <c r="H418" s="390">
        <v>1</v>
      </c>
      <c r="I418" s="386" t="s">
        <v>17</v>
      </c>
      <c r="J418" s="37" t="s">
        <v>252</v>
      </c>
      <c r="K418" s="406" t="s">
        <v>841</v>
      </c>
      <c r="L418" s="379" t="s">
        <v>636</v>
      </c>
      <c r="M418" s="551">
        <v>43068</v>
      </c>
      <c r="N418" s="551">
        <v>43090</v>
      </c>
      <c r="O418" s="419"/>
      <c r="P418" s="61" t="s">
        <v>605</v>
      </c>
      <c r="Q418" s="7"/>
      <c r="R418" s="397" t="s">
        <v>203</v>
      </c>
      <c r="S418" s="704" t="s">
        <v>1176</v>
      </c>
      <c r="T418" s="317" t="s">
        <v>3883</v>
      </c>
      <c r="U418" s="421"/>
    </row>
    <row r="419" spans="1:21" s="377" customFormat="1" ht="20.100000000000001" customHeight="1">
      <c r="A419" s="1186" t="s">
        <v>2951</v>
      </c>
      <c r="B419" s="1186" t="s">
        <v>343</v>
      </c>
      <c r="C419" s="1186" t="s">
        <v>3017</v>
      </c>
      <c r="D419" s="11">
        <v>275</v>
      </c>
      <c r="E419" s="11">
        <v>350</v>
      </c>
      <c r="F419" s="11">
        <v>350</v>
      </c>
      <c r="G419" s="218" t="s">
        <v>92</v>
      </c>
      <c r="H419" s="378">
        <v>1</v>
      </c>
      <c r="I419" s="386" t="s">
        <v>17</v>
      </c>
      <c r="J419" s="37" t="s">
        <v>252</v>
      </c>
      <c r="K419" s="406" t="s">
        <v>841</v>
      </c>
      <c r="L419" s="379" t="s">
        <v>636</v>
      </c>
      <c r="M419" s="381">
        <v>43087</v>
      </c>
      <c r="N419" s="381">
        <v>43087</v>
      </c>
      <c r="O419" s="422"/>
      <c r="P419" s="61" t="s">
        <v>913</v>
      </c>
      <c r="Q419" s="7"/>
      <c r="R419" s="397" t="s">
        <v>203</v>
      </c>
      <c r="S419" s="315" t="s">
        <v>2904</v>
      </c>
      <c r="T419" s="717"/>
      <c r="U419" s="421"/>
    </row>
    <row r="420" spans="1:21" s="377" customFormat="1" ht="20.100000000000001" customHeight="1">
      <c r="A420" s="1186" t="s">
        <v>2951</v>
      </c>
      <c r="B420" s="1186" t="s">
        <v>343</v>
      </c>
      <c r="C420" s="1186" t="s">
        <v>3017</v>
      </c>
      <c r="D420" s="800" t="s">
        <v>3853</v>
      </c>
      <c r="E420" s="800" t="s">
        <v>2226</v>
      </c>
      <c r="F420" s="800" t="s">
        <v>2226</v>
      </c>
      <c r="G420" s="803" t="s">
        <v>18</v>
      </c>
      <c r="H420" s="390">
        <v>1</v>
      </c>
      <c r="I420" s="386" t="s">
        <v>17</v>
      </c>
      <c r="J420" s="37" t="s">
        <v>252</v>
      </c>
      <c r="K420" s="406" t="s">
        <v>841</v>
      </c>
      <c r="L420" s="379" t="s">
        <v>636</v>
      </c>
      <c r="M420" s="381">
        <v>43084</v>
      </c>
      <c r="N420" s="381">
        <v>43100</v>
      </c>
      <c r="O420" s="422"/>
      <c r="P420" s="61" t="s">
        <v>622</v>
      </c>
      <c r="Q420" s="7"/>
      <c r="R420" s="397" t="s">
        <v>436</v>
      </c>
      <c r="S420" s="316" t="s">
        <v>2905</v>
      </c>
      <c r="T420" s="717"/>
      <c r="U420" s="421"/>
    </row>
    <row r="421" spans="1:21" s="377" customFormat="1" ht="20.100000000000001" customHeight="1">
      <c r="A421" s="1186" t="s">
        <v>2951</v>
      </c>
      <c r="B421" s="1186" t="s">
        <v>343</v>
      </c>
      <c r="C421" s="1186" t="s">
        <v>3017</v>
      </c>
      <c r="D421" s="939">
        <v>230</v>
      </c>
      <c r="E421" s="939">
        <v>150</v>
      </c>
      <c r="F421" s="939">
        <v>150</v>
      </c>
      <c r="G421" s="706" t="s">
        <v>12</v>
      </c>
      <c r="H421" s="390">
        <v>1</v>
      </c>
      <c r="I421" s="386" t="s">
        <v>17</v>
      </c>
      <c r="J421" s="37" t="s">
        <v>252</v>
      </c>
      <c r="K421" s="406" t="s">
        <v>841</v>
      </c>
      <c r="L421" s="379" t="s">
        <v>636</v>
      </c>
      <c r="M421" s="551">
        <v>43084</v>
      </c>
      <c r="N421" s="551">
        <v>43091</v>
      </c>
      <c r="O421" s="419"/>
      <c r="P421" s="72" t="s">
        <v>1947</v>
      </c>
      <c r="Q421" s="7"/>
      <c r="R421" s="397" t="s">
        <v>271</v>
      </c>
      <c r="S421" s="322" t="s">
        <v>1176</v>
      </c>
      <c r="T421" s="688" t="s">
        <v>2933</v>
      </c>
      <c r="U421" s="421"/>
    </row>
    <row r="422" spans="1:21" s="377" customFormat="1" ht="20.100000000000001" customHeight="1">
      <c r="A422" s="1186" t="s">
        <v>2951</v>
      </c>
      <c r="B422" s="1186" t="s">
        <v>343</v>
      </c>
      <c r="C422" s="1186" t="s">
        <v>3017</v>
      </c>
      <c r="D422" s="11">
        <v>200</v>
      </c>
      <c r="E422" s="11">
        <v>250</v>
      </c>
      <c r="F422" s="11">
        <v>250</v>
      </c>
      <c r="G422" s="63" t="s">
        <v>87</v>
      </c>
      <c r="H422" s="385" t="s">
        <v>1101</v>
      </c>
      <c r="I422" s="379" t="s">
        <v>17</v>
      </c>
      <c r="J422" s="37" t="s">
        <v>331</v>
      </c>
      <c r="K422" s="398">
        <v>16</v>
      </c>
      <c r="L422" s="398" t="s">
        <v>649</v>
      </c>
      <c r="M422" s="547">
        <v>43080</v>
      </c>
      <c r="N422" s="547">
        <v>43080</v>
      </c>
      <c r="O422" s="422"/>
      <c r="P422" s="59" t="s">
        <v>1483</v>
      </c>
      <c r="Q422" s="7"/>
      <c r="R422" s="397" t="s">
        <v>251</v>
      </c>
      <c r="S422" s="322" t="s">
        <v>2861</v>
      </c>
      <c r="T422" s="716"/>
      <c r="U422" s="421"/>
    </row>
    <row r="423" spans="1:21" s="377" customFormat="1" ht="20.100000000000001" customHeight="1">
      <c r="A423" s="1186" t="s">
        <v>2951</v>
      </c>
      <c r="B423" s="1186" t="s">
        <v>343</v>
      </c>
      <c r="C423" s="1186" t="s">
        <v>3017</v>
      </c>
      <c r="D423" s="11">
        <v>350</v>
      </c>
      <c r="E423" s="11">
        <v>340</v>
      </c>
      <c r="F423" s="11">
        <v>340</v>
      </c>
      <c r="G423" s="218" t="s">
        <v>51</v>
      </c>
      <c r="H423" s="385" t="s">
        <v>729</v>
      </c>
      <c r="I423" s="379" t="s">
        <v>17</v>
      </c>
      <c r="J423" s="37" t="s">
        <v>331</v>
      </c>
      <c r="K423" s="398">
        <v>16</v>
      </c>
      <c r="L423" s="380" t="s">
        <v>649</v>
      </c>
      <c r="M423" s="381">
        <v>43080</v>
      </c>
      <c r="N423" s="381">
        <v>43089</v>
      </c>
      <c r="O423" s="422"/>
      <c r="P423" s="59" t="s">
        <v>1948</v>
      </c>
      <c r="Q423" s="7"/>
      <c r="R423" s="397" t="s">
        <v>1654</v>
      </c>
      <c r="S423" s="327" t="s">
        <v>3066</v>
      </c>
      <c r="T423" s="716"/>
      <c r="U423" s="421"/>
    </row>
    <row r="424" spans="1:21" s="377" customFormat="1" ht="20.100000000000001" customHeight="1">
      <c r="A424" s="1186" t="s">
        <v>2951</v>
      </c>
      <c r="B424" s="1186" t="s">
        <v>343</v>
      </c>
      <c r="C424" s="1186" t="s">
        <v>3017</v>
      </c>
      <c r="D424" s="536">
        <v>285</v>
      </c>
      <c r="E424" s="536"/>
      <c r="F424" s="536">
        <v>320</v>
      </c>
      <c r="G424" s="224" t="s">
        <v>1474</v>
      </c>
      <c r="H424" s="385" t="s">
        <v>729</v>
      </c>
      <c r="I424" s="379" t="s">
        <v>17</v>
      </c>
      <c r="J424" s="37" t="s">
        <v>331</v>
      </c>
      <c r="K424" s="398">
        <v>16</v>
      </c>
      <c r="L424" s="398" t="s">
        <v>649</v>
      </c>
      <c r="M424" s="547">
        <v>43087</v>
      </c>
      <c r="N424" s="547">
        <v>43087</v>
      </c>
      <c r="O424" s="422"/>
      <c r="P424" s="113" t="s">
        <v>1072</v>
      </c>
      <c r="Q424" s="7"/>
      <c r="R424" s="397" t="s">
        <v>1476</v>
      </c>
      <c r="S424" s="316"/>
      <c r="T424" s="716"/>
      <c r="U424" s="421"/>
    </row>
    <row r="425" spans="1:21" s="377" customFormat="1" ht="20.100000000000001" customHeight="1">
      <c r="A425" s="1186" t="s">
        <v>2951</v>
      </c>
      <c r="B425" s="1186" t="s">
        <v>343</v>
      </c>
      <c r="C425" s="1186" t="s">
        <v>3017</v>
      </c>
      <c r="D425" s="537">
        <v>425</v>
      </c>
      <c r="E425" s="537">
        <v>550</v>
      </c>
      <c r="F425" s="537">
        <v>550</v>
      </c>
      <c r="G425" s="706" t="s">
        <v>61</v>
      </c>
      <c r="H425" s="385" t="s">
        <v>729</v>
      </c>
      <c r="I425" s="379" t="s">
        <v>17</v>
      </c>
      <c r="J425" s="37" t="s">
        <v>331</v>
      </c>
      <c r="K425" s="398">
        <v>16</v>
      </c>
      <c r="L425" s="398" t="s">
        <v>649</v>
      </c>
      <c r="M425" s="404">
        <v>43070</v>
      </c>
      <c r="N425" s="404">
        <v>43100</v>
      </c>
      <c r="O425" s="423" t="s">
        <v>601</v>
      </c>
      <c r="P425" s="7" t="s">
        <v>1813</v>
      </c>
      <c r="Q425" s="7"/>
      <c r="R425" s="424" t="s">
        <v>251</v>
      </c>
      <c r="S425" s="316" t="s">
        <v>2906</v>
      </c>
      <c r="T425" s="78"/>
      <c r="U425" s="421"/>
    </row>
    <row r="426" spans="1:21" s="377" customFormat="1" ht="20.100000000000001" customHeight="1">
      <c r="A426" s="1186" t="s">
        <v>2951</v>
      </c>
      <c r="B426" s="1186" t="s">
        <v>343</v>
      </c>
      <c r="C426" s="1186" t="s">
        <v>3017</v>
      </c>
      <c r="D426" s="32">
        <v>325</v>
      </c>
      <c r="E426" s="32">
        <v>400</v>
      </c>
      <c r="F426" s="32">
        <v>400</v>
      </c>
      <c r="G426" s="63" t="s">
        <v>29</v>
      </c>
      <c r="H426" s="385" t="s">
        <v>1101</v>
      </c>
      <c r="I426" s="379" t="s">
        <v>17</v>
      </c>
      <c r="J426" s="37" t="s">
        <v>331</v>
      </c>
      <c r="K426" s="398">
        <v>16</v>
      </c>
      <c r="L426" s="398" t="s">
        <v>649</v>
      </c>
      <c r="M426" s="404">
        <v>43080</v>
      </c>
      <c r="N426" s="404">
        <v>43086</v>
      </c>
      <c r="O426" s="422"/>
      <c r="P426" s="61" t="s">
        <v>1072</v>
      </c>
      <c r="Q426" s="7"/>
      <c r="R426" s="424" t="s">
        <v>251</v>
      </c>
      <c r="S426" s="316" t="s">
        <v>2898</v>
      </c>
      <c r="T426" s="716"/>
      <c r="U426" s="421"/>
    </row>
    <row r="427" spans="1:21" s="377" customFormat="1" ht="20.100000000000001" customHeight="1">
      <c r="A427" s="1186" t="s">
        <v>2951</v>
      </c>
      <c r="B427" s="1186" t="s">
        <v>343</v>
      </c>
      <c r="C427" s="1186" t="s">
        <v>3017</v>
      </c>
      <c r="D427" s="11">
        <v>200</v>
      </c>
      <c r="E427" s="11"/>
      <c r="F427" s="11"/>
      <c r="G427" s="218" t="s">
        <v>956</v>
      </c>
      <c r="H427" s="385" t="s">
        <v>1102</v>
      </c>
      <c r="I427" s="386" t="s">
        <v>17</v>
      </c>
      <c r="J427" s="37" t="s">
        <v>252</v>
      </c>
      <c r="K427" s="398" t="s">
        <v>1103</v>
      </c>
      <c r="L427" s="398" t="s">
        <v>639</v>
      </c>
      <c r="M427" s="6">
        <v>43087</v>
      </c>
      <c r="N427" s="6">
        <v>43093</v>
      </c>
      <c r="O427" s="422"/>
      <c r="P427" s="72" t="s">
        <v>1978</v>
      </c>
      <c r="Q427" s="7"/>
      <c r="R427" s="424" t="s">
        <v>171</v>
      </c>
      <c r="S427" s="322" t="s">
        <v>1176</v>
      </c>
      <c r="T427" s="716"/>
      <c r="U427" s="421"/>
    </row>
    <row r="428" spans="1:21" s="377" customFormat="1" ht="20.100000000000001" customHeight="1">
      <c r="A428" s="1186" t="s">
        <v>2951</v>
      </c>
      <c r="B428" s="1186" t="s">
        <v>343</v>
      </c>
      <c r="C428" s="1186" t="s">
        <v>3017</v>
      </c>
      <c r="D428" s="11">
        <v>350</v>
      </c>
      <c r="E428" s="11">
        <v>340</v>
      </c>
      <c r="F428" s="11">
        <v>340</v>
      </c>
      <c r="G428" s="218" t="s">
        <v>51</v>
      </c>
      <c r="H428" s="385" t="s">
        <v>742</v>
      </c>
      <c r="I428" s="386" t="s">
        <v>17</v>
      </c>
      <c r="J428" s="37" t="s">
        <v>252</v>
      </c>
      <c r="K428" s="398" t="s">
        <v>747</v>
      </c>
      <c r="L428" s="380" t="s">
        <v>639</v>
      </c>
      <c r="M428" s="381">
        <v>43080</v>
      </c>
      <c r="N428" s="381">
        <v>43089</v>
      </c>
      <c r="O428" s="422"/>
      <c r="P428" s="59" t="s">
        <v>1948</v>
      </c>
      <c r="Q428" s="7"/>
      <c r="R428" s="424" t="s">
        <v>171</v>
      </c>
      <c r="S428" s="327" t="s">
        <v>3066</v>
      </c>
      <c r="T428" s="716"/>
      <c r="U428" s="421"/>
    </row>
    <row r="429" spans="1:21" s="377" customFormat="1" ht="20.100000000000001" customHeight="1">
      <c r="A429" s="1186" t="s">
        <v>2951</v>
      </c>
      <c r="B429" s="1186" t="s">
        <v>343</v>
      </c>
      <c r="C429" s="1186" t="s">
        <v>3017</v>
      </c>
      <c r="D429" s="536">
        <v>325</v>
      </c>
      <c r="E429" s="536">
        <v>350</v>
      </c>
      <c r="F429" s="536">
        <v>350</v>
      </c>
      <c r="G429" s="63" t="s">
        <v>232</v>
      </c>
      <c r="H429" s="385" t="s">
        <v>742</v>
      </c>
      <c r="I429" s="386" t="s">
        <v>17</v>
      </c>
      <c r="J429" s="37" t="s">
        <v>252</v>
      </c>
      <c r="K429" s="398" t="s">
        <v>747</v>
      </c>
      <c r="L429" s="398" t="s">
        <v>639</v>
      </c>
      <c r="M429" s="399">
        <v>43064</v>
      </c>
      <c r="N429" s="399">
        <v>43086</v>
      </c>
      <c r="O429" s="423" t="s">
        <v>601</v>
      </c>
      <c r="P429" s="751" t="s">
        <v>1937</v>
      </c>
      <c r="Q429" s="7"/>
      <c r="R429" s="397" t="s">
        <v>171</v>
      </c>
      <c r="S429" s="315" t="s">
        <v>2907</v>
      </c>
      <c r="T429" s="716"/>
      <c r="U429" s="421"/>
    </row>
    <row r="430" spans="1:21" s="377" customFormat="1" ht="20.100000000000001" customHeight="1">
      <c r="A430" s="1186" t="s">
        <v>2951</v>
      </c>
      <c r="B430" s="1186" t="s">
        <v>343</v>
      </c>
      <c r="C430" s="1186" t="s">
        <v>3017</v>
      </c>
      <c r="D430" s="11">
        <v>375</v>
      </c>
      <c r="E430" s="11">
        <v>400</v>
      </c>
      <c r="F430" s="11">
        <v>400</v>
      </c>
      <c r="G430" s="218" t="s">
        <v>99</v>
      </c>
      <c r="H430" s="385" t="s">
        <v>1102</v>
      </c>
      <c r="I430" s="386" t="s">
        <v>17</v>
      </c>
      <c r="J430" s="37" t="s">
        <v>252</v>
      </c>
      <c r="K430" s="398" t="s">
        <v>1103</v>
      </c>
      <c r="L430" s="398" t="s">
        <v>652</v>
      </c>
      <c r="M430" s="399">
        <v>43080</v>
      </c>
      <c r="N430" s="399">
        <v>43086</v>
      </c>
      <c r="O430" s="382" t="s">
        <v>611</v>
      </c>
      <c r="P430" s="61" t="s">
        <v>588</v>
      </c>
      <c r="Q430" s="7"/>
      <c r="R430" s="397" t="s">
        <v>187</v>
      </c>
      <c r="S430" s="316" t="s">
        <v>2908</v>
      </c>
      <c r="T430" s="716" t="s">
        <v>4105</v>
      </c>
      <c r="U430" s="421"/>
    </row>
    <row r="431" spans="1:21" s="377" customFormat="1" ht="20.100000000000001" customHeight="1">
      <c r="A431" s="1186" t="s">
        <v>2951</v>
      </c>
      <c r="B431" s="1186" t="s">
        <v>343</v>
      </c>
      <c r="C431" s="1186" t="s">
        <v>3017</v>
      </c>
      <c r="D431" s="536">
        <v>315</v>
      </c>
      <c r="E431" s="536">
        <v>430</v>
      </c>
      <c r="F431" s="536">
        <v>430</v>
      </c>
      <c r="G431" s="63" t="s">
        <v>30</v>
      </c>
      <c r="H431" s="385" t="s">
        <v>742</v>
      </c>
      <c r="I431" s="386" t="s">
        <v>17</v>
      </c>
      <c r="J431" s="37" t="s">
        <v>252</v>
      </c>
      <c r="K431" s="398" t="s">
        <v>747</v>
      </c>
      <c r="L431" s="398" t="s">
        <v>639</v>
      </c>
      <c r="M431" s="399">
        <v>43051</v>
      </c>
      <c r="N431" s="399">
        <v>43083</v>
      </c>
      <c r="O431" s="423" t="s">
        <v>602</v>
      </c>
      <c r="P431" s="61" t="s">
        <v>1945</v>
      </c>
      <c r="Q431" s="7"/>
      <c r="R431" s="397" t="s">
        <v>1915</v>
      </c>
      <c r="S431" s="316" t="s">
        <v>2895</v>
      </c>
      <c r="T431" s="716"/>
      <c r="U431" s="421"/>
    </row>
    <row r="432" spans="1:21" s="377" customFormat="1" ht="20.100000000000001" customHeight="1">
      <c r="A432" s="1186" t="s">
        <v>2951</v>
      </c>
      <c r="B432" s="1186" t="s">
        <v>343</v>
      </c>
      <c r="C432" s="1186" t="s">
        <v>3017</v>
      </c>
      <c r="D432" s="790">
        <v>220</v>
      </c>
      <c r="E432" s="790">
        <v>200</v>
      </c>
      <c r="F432" s="790">
        <v>200</v>
      </c>
      <c r="G432" s="63" t="s">
        <v>3894</v>
      </c>
      <c r="H432" s="385" t="s">
        <v>742</v>
      </c>
      <c r="I432" s="386" t="s">
        <v>17</v>
      </c>
      <c r="J432" s="37" t="s">
        <v>252</v>
      </c>
      <c r="K432" s="398" t="s">
        <v>747</v>
      </c>
      <c r="L432" s="398" t="s">
        <v>639</v>
      </c>
      <c r="M432" s="551">
        <v>43083</v>
      </c>
      <c r="N432" s="551">
        <v>43090</v>
      </c>
      <c r="O432" s="423"/>
      <c r="P432" s="61" t="s">
        <v>605</v>
      </c>
      <c r="Q432" s="7"/>
      <c r="R432" s="397" t="s">
        <v>171</v>
      </c>
      <c r="S432" s="704" t="s">
        <v>1176</v>
      </c>
      <c r="T432" s="317" t="s">
        <v>3883</v>
      </c>
      <c r="U432" s="421"/>
    </row>
    <row r="433" spans="1:21" s="377" customFormat="1" ht="20.100000000000001" customHeight="1">
      <c r="A433" s="1186" t="s">
        <v>2951</v>
      </c>
      <c r="B433" s="1186" t="s">
        <v>343</v>
      </c>
      <c r="C433" s="1186" t="s">
        <v>3017</v>
      </c>
      <c r="D433" s="536">
        <v>225</v>
      </c>
      <c r="E433" s="536">
        <v>275</v>
      </c>
      <c r="F433" s="536">
        <v>275</v>
      </c>
      <c r="G433" s="218" t="s">
        <v>1659</v>
      </c>
      <c r="H433" s="385" t="s">
        <v>742</v>
      </c>
      <c r="I433" s="386" t="s">
        <v>17</v>
      </c>
      <c r="J433" s="37" t="s">
        <v>252</v>
      </c>
      <c r="K433" s="398" t="s">
        <v>747</v>
      </c>
      <c r="L433" s="398" t="s">
        <v>639</v>
      </c>
      <c r="M433" s="547">
        <v>43081</v>
      </c>
      <c r="N433" s="547">
        <v>43090</v>
      </c>
      <c r="O433" s="382"/>
      <c r="P433" s="61" t="s">
        <v>1927</v>
      </c>
      <c r="Q433" s="7"/>
      <c r="R433" s="397" t="s">
        <v>1660</v>
      </c>
      <c r="S433" s="315" t="s">
        <v>2862</v>
      </c>
      <c r="T433" s="626">
        <v>14</v>
      </c>
      <c r="U433" s="421"/>
    </row>
    <row r="434" spans="1:21" s="377" customFormat="1" ht="20.100000000000001" customHeight="1">
      <c r="A434" s="1186" t="s">
        <v>2951</v>
      </c>
      <c r="B434" s="1186" t="s">
        <v>343</v>
      </c>
      <c r="C434" s="1186" t="s">
        <v>3017</v>
      </c>
      <c r="D434" s="536"/>
      <c r="E434" s="536"/>
      <c r="F434" s="536"/>
      <c r="G434" s="70" t="s">
        <v>1878</v>
      </c>
      <c r="H434" s="385" t="s">
        <v>742</v>
      </c>
      <c r="I434" s="386" t="s">
        <v>17</v>
      </c>
      <c r="J434" s="37" t="s">
        <v>252</v>
      </c>
      <c r="K434" s="398" t="s">
        <v>747</v>
      </c>
      <c r="L434" s="398" t="s">
        <v>639</v>
      </c>
      <c r="M434" s="391">
        <v>43087</v>
      </c>
      <c r="N434" s="391">
        <v>43093</v>
      </c>
      <c r="O434" s="422"/>
      <c r="P434" s="61" t="s">
        <v>1927</v>
      </c>
      <c r="Q434" s="7"/>
      <c r="R434" s="397" t="s">
        <v>171</v>
      </c>
      <c r="S434" s="316"/>
      <c r="T434" s="78"/>
      <c r="U434" s="421"/>
    </row>
    <row r="435" spans="1:21" s="377" customFormat="1" ht="20.100000000000001" customHeight="1">
      <c r="A435" s="1186" t="s">
        <v>2951</v>
      </c>
      <c r="B435" s="1186" t="s">
        <v>343</v>
      </c>
      <c r="C435" s="1186" t="s">
        <v>3017</v>
      </c>
      <c r="D435" s="536">
        <v>230</v>
      </c>
      <c r="E435" s="536">
        <v>325</v>
      </c>
      <c r="F435" s="536">
        <v>325</v>
      </c>
      <c r="G435" s="218" t="s">
        <v>14</v>
      </c>
      <c r="H435" s="385" t="s">
        <v>1102</v>
      </c>
      <c r="I435" s="386" t="s">
        <v>17</v>
      </c>
      <c r="J435" s="37" t="s">
        <v>252</v>
      </c>
      <c r="K435" s="398" t="s">
        <v>1103</v>
      </c>
      <c r="L435" s="398" t="s">
        <v>652</v>
      </c>
      <c r="M435" s="547">
        <v>43086</v>
      </c>
      <c r="N435" s="547">
        <v>43092</v>
      </c>
      <c r="O435" s="422"/>
      <c r="P435" s="61" t="s">
        <v>605</v>
      </c>
      <c r="Q435" s="7"/>
      <c r="R435" s="424" t="s">
        <v>171</v>
      </c>
      <c r="S435" s="322" t="s">
        <v>1176</v>
      </c>
      <c r="T435" s="716"/>
      <c r="U435" s="421"/>
    </row>
    <row r="436" spans="1:21" s="377" customFormat="1" ht="20.100000000000001" customHeight="1">
      <c r="A436" s="1186" t="s">
        <v>2951</v>
      </c>
      <c r="B436" s="1186" t="s">
        <v>343</v>
      </c>
      <c r="C436" s="1186" t="s">
        <v>3017</v>
      </c>
      <c r="D436" s="536"/>
      <c r="E436" s="536"/>
      <c r="F436" s="536"/>
      <c r="G436" s="69" t="s">
        <v>2397</v>
      </c>
      <c r="H436" s="385" t="s">
        <v>742</v>
      </c>
      <c r="I436" s="386" t="s">
        <v>17</v>
      </c>
      <c r="J436" s="37" t="s">
        <v>252</v>
      </c>
      <c r="K436" s="398" t="s">
        <v>747</v>
      </c>
      <c r="L436" s="398" t="s">
        <v>639</v>
      </c>
      <c r="M436" s="398"/>
      <c r="N436" s="381">
        <v>43002</v>
      </c>
      <c r="O436" s="422"/>
      <c r="P436" s="59" t="s">
        <v>1935</v>
      </c>
      <c r="Q436" s="7"/>
      <c r="R436" s="424"/>
      <c r="S436" s="322"/>
      <c r="T436" s="716"/>
      <c r="U436" s="421"/>
    </row>
    <row r="437" spans="1:21" s="377" customFormat="1" ht="20.100000000000001" customHeight="1">
      <c r="A437" s="1186" t="s">
        <v>2951</v>
      </c>
      <c r="B437" s="1186" t="s">
        <v>343</v>
      </c>
      <c r="C437" s="1186" t="s">
        <v>3017</v>
      </c>
      <c r="D437" s="11">
        <v>250</v>
      </c>
      <c r="E437" s="11">
        <v>400</v>
      </c>
      <c r="F437" s="11">
        <v>300</v>
      </c>
      <c r="G437" s="63" t="s">
        <v>28</v>
      </c>
      <c r="H437" s="385" t="s">
        <v>1102</v>
      </c>
      <c r="I437" s="379" t="s">
        <v>17</v>
      </c>
      <c r="J437" s="37" t="s">
        <v>252</v>
      </c>
      <c r="K437" s="398" t="s">
        <v>1103</v>
      </c>
      <c r="L437" s="398" t="s">
        <v>652</v>
      </c>
      <c r="M437" s="392">
        <v>43077</v>
      </c>
      <c r="N437" s="392">
        <v>43088</v>
      </c>
      <c r="O437" s="423" t="s">
        <v>601</v>
      </c>
      <c r="P437" s="61" t="s">
        <v>1943</v>
      </c>
      <c r="Q437" s="7"/>
      <c r="R437" s="424" t="s">
        <v>449</v>
      </c>
      <c r="S437" s="316" t="s">
        <v>2909</v>
      </c>
      <c r="T437" s="716"/>
      <c r="U437" s="421"/>
    </row>
    <row r="438" spans="1:21" s="377" customFormat="1" ht="20.100000000000001" customHeight="1">
      <c r="A438" s="1186" t="s">
        <v>2951</v>
      </c>
      <c r="B438" s="1186" t="s">
        <v>343</v>
      </c>
      <c r="C438" s="1186" t="s">
        <v>3017</v>
      </c>
      <c r="D438" s="536">
        <v>750</v>
      </c>
      <c r="E438" s="536">
        <v>900</v>
      </c>
      <c r="F438" s="536">
        <v>900</v>
      </c>
      <c r="G438" s="29" t="s">
        <v>33</v>
      </c>
      <c r="H438" s="385" t="s">
        <v>886</v>
      </c>
      <c r="I438" s="379" t="s">
        <v>126</v>
      </c>
      <c r="J438" s="37" t="s">
        <v>252</v>
      </c>
      <c r="K438" s="380" t="s">
        <v>727</v>
      </c>
      <c r="L438" s="379" t="s">
        <v>768</v>
      </c>
      <c r="M438" s="391">
        <v>43040</v>
      </c>
      <c r="N438" s="391">
        <v>43092</v>
      </c>
      <c r="O438" s="422"/>
      <c r="P438" s="7" t="s">
        <v>590</v>
      </c>
      <c r="Q438" s="7"/>
      <c r="R438" s="397" t="s">
        <v>2407</v>
      </c>
      <c r="S438" s="316" t="s">
        <v>1176</v>
      </c>
      <c r="T438" s="716"/>
      <c r="U438" s="421"/>
    </row>
    <row r="439" spans="1:21" s="377" customFormat="1" ht="20.100000000000001" customHeight="1">
      <c r="A439" s="1186" t="s">
        <v>2951</v>
      </c>
      <c r="B439" s="1186" t="s">
        <v>343</v>
      </c>
      <c r="C439" s="1186" t="s">
        <v>3017</v>
      </c>
      <c r="D439" s="11">
        <v>215</v>
      </c>
      <c r="E439" s="536"/>
      <c r="F439" s="536"/>
      <c r="G439" s="218" t="s">
        <v>76</v>
      </c>
      <c r="H439" s="385" t="s">
        <v>725</v>
      </c>
      <c r="I439" s="386" t="s">
        <v>17</v>
      </c>
      <c r="J439" s="37" t="s">
        <v>890</v>
      </c>
      <c r="K439" s="386" t="s">
        <v>747</v>
      </c>
      <c r="L439" s="379" t="s">
        <v>641</v>
      </c>
      <c r="M439" s="6">
        <v>43073</v>
      </c>
      <c r="N439" s="6">
        <v>43093</v>
      </c>
      <c r="O439" s="422"/>
      <c r="P439" s="72" t="s">
        <v>1978</v>
      </c>
      <c r="Q439" s="7"/>
      <c r="R439" s="397" t="s">
        <v>826</v>
      </c>
      <c r="S439" s="322" t="s">
        <v>1176</v>
      </c>
      <c r="T439" s="758"/>
      <c r="U439" s="421"/>
    </row>
    <row r="440" spans="1:21" s="377" customFormat="1" ht="20.100000000000001" customHeight="1">
      <c r="A440" s="1186" t="s">
        <v>2951</v>
      </c>
      <c r="B440" s="1186" t="s">
        <v>343</v>
      </c>
      <c r="C440" s="1186" t="s">
        <v>3017</v>
      </c>
      <c r="D440" s="11">
        <v>250</v>
      </c>
      <c r="E440" s="11">
        <v>250</v>
      </c>
      <c r="F440" s="11">
        <v>250</v>
      </c>
      <c r="G440" s="218" t="s">
        <v>52</v>
      </c>
      <c r="H440" s="385" t="s">
        <v>725</v>
      </c>
      <c r="I440" s="386" t="s">
        <v>17</v>
      </c>
      <c r="J440" s="37" t="s">
        <v>890</v>
      </c>
      <c r="K440" s="386" t="s">
        <v>747</v>
      </c>
      <c r="L440" s="379" t="s">
        <v>641</v>
      </c>
      <c r="M440" s="381">
        <v>43082</v>
      </c>
      <c r="N440" s="381">
        <v>43086</v>
      </c>
      <c r="O440" s="394" t="s">
        <v>1949</v>
      </c>
      <c r="P440" s="72" t="s">
        <v>2285</v>
      </c>
      <c r="Q440" s="7"/>
      <c r="R440" s="397" t="s">
        <v>839</v>
      </c>
      <c r="S440" s="336" t="s">
        <v>1176</v>
      </c>
      <c r="T440" s="323" t="s">
        <v>2935</v>
      </c>
      <c r="U440" s="421"/>
    </row>
    <row r="441" spans="1:21" s="377" customFormat="1" ht="20.100000000000001" customHeight="1">
      <c r="A441" s="1186"/>
      <c r="B441" s="1186"/>
      <c r="C441" s="1186" t="s">
        <v>3017</v>
      </c>
      <c r="D441" s="790"/>
      <c r="E441" s="790"/>
      <c r="F441" s="790"/>
      <c r="G441" s="63" t="s">
        <v>3894</v>
      </c>
      <c r="H441" s="385" t="s">
        <v>725</v>
      </c>
      <c r="I441" s="386" t="s">
        <v>17</v>
      </c>
      <c r="J441" s="37" t="s">
        <v>890</v>
      </c>
      <c r="K441" s="386" t="s">
        <v>747</v>
      </c>
      <c r="L441" s="379" t="s">
        <v>641</v>
      </c>
      <c r="M441" s="551">
        <v>43068</v>
      </c>
      <c r="N441" s="551">
        <v>43090</v>
      </c>
      <c r="O441" s="394"/>
      <c r="P441" s="61" t="s">
        <v>605</v>
      </c>
      <c r="Q441" s="7"/>
      <c r="R441" s="397" t="s">
        <v>838</v>
      </c>
      <c r="S441" s="704" t="s">
        <v>1176</v>
      </c>
      <c r="T441" s="317" t="s">
        <v>3883</v>
      </c>
      <c r="U441" s="421"/>
    </row>
    <row r="442" spans="1:21" s="377" customFormat="1" ht="20.100000000000001" customHeight="1">
      <c r="A442" s="1186" t="s">
        <v>2951</v>
      </c>
      <c r="B442" s="1186" t="s">
        <v>343</v>
      </c>
      <c r="C442" s="1186" t="s">
        <v>3017</v>
      </c>
      <c r="D442" s="11">
        <v>275</v>
      </c>
      <c r="E442" s="11">
        <v>350</v>
      </c>
      <c r="F442" s="11">
        <v>350</v>
      </c>
      <c r="G442" s="218" t="s">
        <v>10</v>
      </c>
      <c r="H442" s="385" t="s">
        <v>725</v>
      </c>
      <c r="I442" s="386" t="s">
        <v>17</v>
      </c>
      <c r="J442" s="37" t="s">
        <v>890</v>
      </c>
      <c r="K442" s="386" t="s">
        <v>747</v>
      </c>
      <c r="L442" s="379" t="s">
        <v>641</v>
      </c>
      <c r="M442" s="381">
        <v>43083</v>
      </c>
      <c r="N442" s="381">
        <v>43087</v>
      </c>
      <c r="O442" s="422"/>
      <c r="P442" s="61" t="s">
        <v>913</v>
      </c>
      <c r="Q442" s="7"/>
      <c r="R442" s="397" t="s">
        <v>838</v>
      </c>
      <c r="S442" s="315" t="s">
        <v>2904</v>
      </c>
      <c r="T442" s="78"/>
      <c r="U442" s="421"/>
    </row>
    <row r="443" spans="1:21" s="377" customFormat="1" ht="20.100000000000001" customHeight="1">
      <c r="A443" s="1186" t="s">
        <v>2951</v>
      </c>
      <c r="B443" s="1186" t="s">
        <v>343</v>
      </c>
      <c r="C443" s="1186" t="s">
        <v>3017</v>
      </c>
      <c r="D443" s="11">
        <v>215</v>
      </c>
      <c r="E443" s="11"/>
      <c r="F443" s="11"/>
      <c r="G443" s="218" t="s">
        <v>76</v>
      </c>
      <c r="H443" s="425">
        <v>6</v>
      </c>
      <c r="I443" s="398" t="s">
        <v>17</v>
      </c>
      <c r="J443" s="37" t="s">
        <v>331</v>
      </c>
      <c r="K443" s="398">
        <v>15</v>
      </c>
      <c r="L443" s="386" t="s">
        <v>650</v>
      </c>
      <c r="M443" s="6">
        <v>43073</v>
      </c>
      <c r="N443" s="6">
        <v>43093</v>
      </c>
      <c r="O443" s="422"/>
      <c r="P443" s="72" t="s">
        <v>1978</v>
      </c>
      <c r="Q443" s="7"/>
      <c r="R443" s="49" t="s">
        <v>3063</v>
      </c>
      <c r="S443" s="322" t="s">
        <v>1176</v>
      </c>
      <c r="T443" s="769"/>
      <c r="U443" s="421"/>
    </row>
    <row r="444" spans="1:21" s="377" customFormat="1" ht="20.100000000000001" customHeight="1">
      <c r="A444" s="1186" t="s">
        <v>2951</v>
      </c>
      <c r="B444" s="1186" t="s">
        <v>343</v>
      </c>
      <c r="C444" s="1186" t="s">
        <v>3017</v>
      </c>
      <c r="D444" s="11">
        <v>275</v>
      </c>
      <c r="E444" s="11"/>
      <c r="F444" s="11"/>
      <c r="G444" s="64" t="s">
        <v>3876</v>
      </c>
      <c r="H444" s="425">
        <v>6</v>
      </c>
      <c r="I444" s="398" t="s">
        <v>17</v>
      </c>
      <c r="J444" s="37" t="s">
        <v>331</v>
      </c>
      <c r="K444" s="398">
        <v>15</v>
      </c>
      <c r="L444" s="386" t="s">
        <v>641</v>
      </c>
      <c r="M444" s="392">
        <v>43064</v>
      </c>
      <c r="N444" s="392">
        <v>43086</v>
      </c>
      <c r="O444" s="422"/>
      <c r="P444" s="72" t="s">
        <v>604</v>
      </c>
      <c r="Q444" s="7"/>
      <c r="R444" s="49" t="s">
        <v>3063</v>
      </c>
      <c r="S444" s="336" t="s">
        <v>1176</v>
      </c>
      <c r="T444" s="650">
        <v>14</v>
      </c>
      <c r="U444" s="421"/>
    </row>
    <row r="445" spans="1:21" s="377" customFormat="1" ht="20.100000000000001" customHeight="1">
      <c r="A445" s="1186" t="s">
        <v>2951</v>
      </c>
      <c r="B445" s="1186" t="s">
        <v>343</v>
      </c>
      <c r="C445" s="1186" t="s">
        <v>3017</v>
      </c>
      <c r="D445" s="536">
        <v>325</v>
      </c>
      <c r="E445" s="536">
        <v>350</v>
      </c>
      <c r="F445" s="536">
        <v>350</v>
      </c>
      <c r="G445" s="63" t="s">
        <v>233</v>
      </c>
      <c r="H445" s="425">
        <v>6</v>
      </c>
      <c r="I445" s="398" t="s">
        <v>17</v>
      </c>
      <c r="J445" s="37" t="s">
        <v>331</v>
      </c>
      <c r="K445" s="398">
        <v>15</v>
      </c>
      <c r="L445" s="386" t="s">
        <v>650</v>
      </c>
      <c r="M445" s="399">
        <v>43064</v>
      </c>
      <c r="N445" s="399">
        <v>43086</v>
      </c>
      <c r="O445" s="423" t="s">
        <v>601</v>
      </c>
      <c r="P445" s="751" t="s">
        <v>1937</v>
      </c>
      <c r="Q445" s="7"/>
      <c r="R445" s="424" t="s">
        <v>202</v>
      </c>
      <c r="S445" s="315" t="s">
        <v>2907</v>
      </c>
      <c r="T445" s="78"/>
      <c r="U445" s="421"/>
    </row>
    <row r="446" spans="1:21" s="377" customFormat="1" ht="20.100000000000001" customHeight="1">
      <c r="A446" s="1186" t="s">
        <v>2951</v>
      </c>
      <c r="B446" s="1186" t="s">
        <v>343</v>
      </c>
      <c r="C446" s="1186" t="s">
        <v>3017</v>
      </c>
      <c r="D446" s="934">
        <v>270</v>
      </c>
      <c r="E446" s="934">
        <v>315</v>
      </c>
      <c r="F446" s="934">
        <v>315</v>
      </c>
      <c r="G446" s="224" t="s">
        <v>796</v>
      </c>
      <c r="H446" s="425">
        <v>6</v>
      </c>
      <c r="I446" s="398" t="s">
        <v>17</v>
      </c>
      <c r="J446" s="37" t="s">
        <v>331</v>
      </c>
      <c r="K446" s="398">
        <v>15</v>
      </c>
      <c r="L446" s="386" t="s">
        <v>641</v>
      </c>
      <c r="M446" s="549">
        <v>43087</v>
      </c>
      <c r="N446" s="549">
        <v>43093</v>
      </c>
      <c r="O446" s="422"/>
      <c r="P446" s="750" t="s">
        <v>1948</v>
      </c>
      <c r="Q446" s="7"/>
      <c r="R446" s="424" t="s">
        <v>202</v>
      </c>
      <c r="S446" s="316" t="s">
        <v>1176</v>
      </c>
      <c r="T446" s="317">
        <v>14</v>
      </c>
      <c r="U446" s="421"/>
    </row>
    <row r="447" spans="1:21" s="377" customFormat="1" ht="20.100000000000001" customHeight="1">
      <c r="A447" s="1186"/>
      <c r="B447" s="1186"/>
      <c r="C447" s="1186" t="s">
        <v>3017</v>
      </c>
      <c r="D447" s="790"/>
      <c r="E447" s="790"/>
      <c r="F447" s="790"/>
      <c r="G447" s="63" t="s">
        <v>3894</v>
      </c>
      <c r="H447" s="417">
        <v>6</v>
      </c>
      <c r="I447" s="386" t="s">
        <v>17</v>
      </c>
      <c r="J447" s="37" t="s">
        <v>331</v>
      </c>
      <c r="K447" s="386">
        <v>15</v>
      </c>
      <c r="L447" s="386" t="s">
        <v>641</v>
      </c>
      <c r="M447" s="551">
        <v>43068</v>
      </c>
      <c r="N447" s="551">
        <v>43090</v>
      </c>
      <c r="O447" s="422"/>
      <c r="P447" s="61" t="s">
        <v>605</v>
      </c>
      <c r="Q447" s="7"/>
      <c r="R447" s="424" t="s">
        <v>202</v>
      </c>
      <c r="S447" s="704" t="s">
        <v>1176</v>
      </c>
      <c r="T447" s="317" t="s">
        <v>3883</v>
      </c>
      <c r="U447" s="421"/>
    </row>
    <row r="448" spans="1:21" s="377" customFormat="1" ht="20.100000000000001" customHeight="1">
      <c r="A448" s="1186" t="s">
        <v>2951</v>
      </c>
      <c r="B448" s="1186" t="s">
        <v>343</v>
      </c>
      <c r="C448" s="1186" t="s">
        <v>3017</v>
      </c>
      <c r="D448" s="536">
        <v>360</v>
      </c>
      <c r="E448" s="536">
        <v>350</v>
      </c>
      <c r="F448" s="536">
        <v>350</v>
      </c>
      <c r="G448" s="64" t="s">
        <v>432</v>
      </c>
      <c r="H448" s="417">
        <v>6</v>
      </c>
      <c r="I448" s="386" t="s">
        <v>17</v>
      </c>
      <c r="J448" s="37" t="s">
        <v>331</v>
      </c>
      <c r="K448" s="386">
        <v>15</v>
      </c>
      <c r="L448" s="386" t="s">
        <v>650</v>
      </c>
      <c r="M448" s="391">
        <v>43050</v>
      </c>
      <c r="N448" s="547">
        <v>43089</v>
      </c>
      <c r="O448" s="422"/>
      <c r="P448" s="61" t="s">
        <v>1944</v>
      </c>
      <c r="Q448" s="7"/>
      <c r="R448" s="397" t="s">
        <v>202</v>
      </c>
      <c r="S448" s="319" t="s">
        <v>1177</v>
      </c>
      <c r="T448" s="78"/>
      <c r="U448" s="421"/>
    </row>
    <row r="449" spans="1:21" s="377" customFormat="1" ht="20.100000000000001" customHeight="1">
      <c r="A449" s="1186" t="s">
        <v>2951</v>
      </c>
      <c r="B449" s="1186" t="s">
        <v>343</v>
      </c>
      <c r="C449" s="1186" t="s">
        <v>3017</v>
      </c>
      <c r="D449" s="939">
        <v>230</v>
      </c>
      <c r="E449" s="939">
        <v>150</v>
      </c>
      <c r="F449" s="939">
        <v>150</v>
      </c>
      <c r="G449" s="70" t="s">
        <v>12</v>
      </c>
      <c r="H449" s="425">
        <v>6</v>
      </c>
      <c r="I449" s="379" t="s">
        <v>17</v>
      </c>
      <c r="J449" s="37" t="s">
        <v>331</v>
      </c>
      <c r="K449" s="380">
        <v>15</v>
      </c>
      <c r="L449" s="386" t="s">
        <v>650</v>
      </c>
      <c r="M449" s="551">
        <v>43084</v>
      </c>
      <c r="N449" s="551">
        <v>43091</v>
      </c>
      <c r="O449" s="419"/>
      <c r="P449" s="72" t="s">
        <v>1947</v>
      </c>
      <c r="Q449" s="7"/>
      <c r="R449" s="384" t="s">
        <v>202</v>
      </c>
      <c r="S449" s="322" t="s">
        <v>1176</v>
      </c>
      <c r="T449" s="688" t="s">
        <v>2933</v>
      </c>
      <c r="U449" s="421"/>
    </row>
    <row r="450" spans="1:21" s="377" customFormat="1" ht="20.100000000000001" customHeight="1">
      <c r="A450" s="1187" t="s">
        <v>2951</v>
      </c>
      <c r="B450" s="1187" t="s">
        <v>343</v>
      </c>
      <c r="C450" s="1187" t="s">
        <v>3017</v>
      </c>
      <c r="D450" s="13">
        <v>950</v>
      </c>
      <c r="E450" s="13">
        <v>1550</v>
      </c>
      <c r="F450" s="13">
        <v>1550</v>
      </c>
      <c r="G450" s="218" t="s">
        <v>134</v>
      </c>
      <c r="H450" s="385" t="s">
        <v>706</v>
      </c>
      <c r="I450" s="386" t="s">
        <v>16</v>
      </c>
      <c r="J450" s="37"/>
      <c r="K450" s="398">
        <v>16</v>
      </c>
      <c r="L450" s="379" t="s">
        <v>643</v>
      </c>
      <c r="M450" s="392">
        <v>42962</v>
      </c>
      <c r="N450" s="392">
        <v>43100</v>
      </c>
      <c r="O450" s="422"/>
      <c r="P450" s="61" t="s">
        <v>1299</v>
      </c>
      <c r="Q450" s="7"/>
      <c r="R450" s="397" t="s">
        <v>1783</v>
      </c>
      <c r="S450" s="316" t="s">
        <v>1176</v>
      </c>
      <c r="T450" s="716"/>
      <c r="U450" s="421"/>
    </row>
    <row r="451" spans="1:21" s="377" customFormat="1" ht="20.100000000000001" customHeight="1">
      <c r="A451" s="1128" t="s">
        <v>2951</v>
      </c>
      <c r="B451" s="1188" t="s">
        <v>343</v>
      </c>
      <c r="C451" s="1188" t="s">
        <v>404</v>
      </c>
      <c r="D451" s="32">
        <v>325</v>
      </c>
      <c r="E451" s="32">
        <v>400</v>
      </c>
      <c r="F451" s="32">
        <v>400</v>
      </c>
      <c r="G451" s="22" t="s">
        <v>29</v>
      </c>
      <c r="H451" s="385" t="s">
        <v>729</v>
      </c>
      <c r="I451" s="379" t="s">
        <v>17</v>
      </c>
      <c r="J451" s="37" t="s">
        <v>331</v>
      </c>
      <c r="K451" s="398">
        <v>16</v>
      </c>
      <c r="L451" s="398" t="s">
        <v>649</v>
      </c>
      <c r="M451" s="404">
        <v>43080</v>
      </c>
      <c r="N451" s="404">
        <v>43086</v>
      </c>
      <c r="O451" s="422"/>
      <c r="P451" s="61" t="s">
        <v>1072</v>
      </c>
      <c r="Q451" s="677" t="s">
        <v>3022</v>
      </c>
      <c r="R451" s="424" t="s">
        <v>251</v>
      </c>
      <c r="S451" s="316" t="s">
        <v>2898</v>
      </c>
      <c r="T451" s="689"/>
      <c r="U451" s="421"/>
    </row>
    <row r="452" spans="1:21" s="377" customFormat="1" ht="20.100000000000001" customHeight="1">
      <c r="A452" s="1128" t="s">
        <v>2951</v>
      </c>
      <c r="B452" s="1188" t="s">
        <v>343</v>
      </c>
      <c r="C452" s="1188" t="s">
        <v>404</v>
      </c>
      <c r="D452" s="32">
        <v>325</v>
      </c>
      <c r="E452" s="32">
        <v>400</v>
      </c>
      <c r="F452" s="32">
        <v>400</v>
      </c>
      <c r="G452" s="22" t="s">
        <v>29</v>
      </c>
      <c r="H452" s="390" t="s">
        <v>729</v>
      </c>
      <c r="I452" s="386" t="s">
        <v>17</v>
      </c>
      <c r="J452" s="37" t="s">
        <v>331</v>
      </c>
      <c r="K452" s="406" t="s">
        <v>743</v>
      </c>
      <c r="L452" s="379" t="s">
        <v>649</v>
      </c>
      <c r="M452" s="404">
        <v>43080</v>
      </c>
      <c r="N452" s="404">
        <v>43086</v>
      </c>
      <c r="O452" s="422"/>
      <c r="P452" s="61" t="s">
        <v>1072</v>
      </c>
      <c r="Q452" s="677" t="s">
        <v>3023</v>
      </c>
      <c r="R452" s="397" t="s">
        <v>251</v>
      </c>
      <c r="S452" s="316" t="s">
        <v>2898</v>
      </c>
      <c r="T452" s="689"/>
      <c r="U452" s="421"/>
    </row>
    <row r="453" spans="1:21" s="377" customFormat="1" ht="20.100000000000001" customHeight="1">
      <c r="A453" s="1128" t="s">
        <v>2951</v>
      </c>
      <c r="B453" s="1188" t="s">
        <v>343</v>
      </c>
      <c r="C453" s="1188" t="s">
        <v>404</v>
      </c>
      <c r="D453" s="11">
        <v>250</v>
      </c>
      <c r="E453" s="11">
        <v>400</v>
      </c>
      <c r="F453" s="11">
        <v>300</v>
      </c>
      <c r="G453" s="706" t="s">
        <v>137</v>
      </c>
      <c r="H453" s="385" t="s">
        <v>1102</v>
      </c>
      <c r="I453" s="386" t="s">
        <v>17</v>
      </c>
      <c r="J453" s="37" t="s">
        <v>252</v>
      </c>
      <c r="K453" s="398" t="s">
        <v>1103</v>
      </c>
      <c r="L453" s="398" t="s">
        <v>639</v>
      </c>
      <c r="M453" s="392">
        <v>43084</v>
      </c>
      <c r="N453" s="392">
        <v>43088</v>
      </c>
      <c r="O453" s="423" t="s">
        <v>601</v>
      </c>
      <c r="P453" s="61" t="s">
        <v>1943</v>
      </c>
      <c r="Q453" s="677" t="s">
        <v>3024</v>
      </c>
      <c r="R453" s="424" t="s">
        <v>171</v>
      </c>
      <c r="S453" s="316" t="s">
        <v>2909</v>
      </c>
      <c r="T453" s="689"/>
      <c r="U453" s="421"/>
    </row>
    <row r="454" spans="1:21" s="377" customFormat="1" ht="20.100000000000001" customHeight="1">
      <c r="A454" s="1128" t="s">
        <v>2951</v>
      </c>
      <c r="B454" s="1188" t="s">
        <v>343</v>
      </c>
      <c r="C454" s="1188" t="s">
        <v>404</v>
      </c>
      <c r="D454" s="11">
        <v>250</v>
      </c>
      <c r="E454" s="11">
        <v>400</v>
      </c>
      <c r="F454" s="11">
        <v>300</v>
      </c>
      <c r="G454" s="706" t="s">
        <v>28</v>
      </c>
      <c r="H454" s="385" t="s">
        <v>1102</v>
      </c>
      <c r="I454" s="386" t="s">
        <v>17</v>
      </c>
      <c r="J454" s="37" t="s">
        <v>252</v>
      </c>
      <c r="K454" s="398" t="s">
        <v>1103</v>
      </c>
      <c r="L454" s="398" t="s">
        <v>639</v>
      </c>
      <c r="M454" s="392">
        <v>43084</v>
      </c>
      <c r="N454" s="392">
        <v>43088</v>
      </c>
      <c r="O454" s="423" t="s">
        <v>601</v>
      </c>
      <c r="P454" s="61" t="s">
        <v>1943</v>
      </c>
      <c r="Q454" s="677" t="s">
        <v>3025</v>
      </c>
      <c r="R454" s="424" t="s">
        <v>171</v>
      </c>
      <c r="S454" s="316" t="s">
        <v>2909</v>
      </c>
      <c r="T454" s="689"/>
      <c r="U454" s="421"/>
    </row>
    <row r="455" spans="1:21" s="377" customFormat="1" ht="20.100000000000001" customHeight="1">
      <c r="A455" s="1128" t="s">
        <v>2951</v>
      </c>
      <c r="B455" s="1188" t="s">
        <v>343</v>
      </c>
      <c r="C455" s="1188" t="s">
        <v>404</v>
      </c>
      <c r="D455" s="536">
        <v>375</v>
      </c>
      <c r="E455" s="536">
        <v>400</v>
      </c>
      <c r="F455" s="536">
        <v>400</v>
      </c>
      <c r="G455" s="706" t="s">
        <v>232</v>
      </c>
      <c r="H455" s="425" t="s">
        <v>1866</v>
      </c>
      <c r="I455" s="398" t="s">
        <v>17</v>
      </c>
      <c r="J455" s="37" t="s">
        <v>1867</v>
      </c>
      <c r="K455" s="398" t="s">
        <v>1868</v>
      </c>
      <c r="L455" s="386" t="s">
        <v>1869</v>
      </c>
      <c r="M455" s="399">
        <v>43064</v>
      </c>
      <c r="N455" s="399">
        <v>43086</v>
      </c>
      <c r="O455" s="423" t="s">
        <v>601</v>
      </c>
      <c r="P455" s="751" t="s">
        <v>1937</v>
      </c>
      <c r="Q455" s="677" t="s">
        <v>3022</v>
      </c>
      <c r="R455" s="424" t="s">
        <v>1870</v>
      </c>
      <c r="S455" s="315" t="s">
        <v>2907</v>
      </c>
      <c r="T455" s="689"/>
      <c r="U455" s="421"/>
    </row>
    <row r="456" spans="1:21" s="377" customFormat="1" ht="20.100000000000001" customHeight="1">
      <c r="A456" s="1128" t="s">
        <v>2951</v>
      </c>
      <c r="B456" s="1188" t="s">
        <v>343</v>
      </c>
      <c r="C456" s="1188" t="s">
        <v>405</v>
      </c>
      <c r="D456" s="11">
        <v>400</v>
      </c>
      <c r="E456" s="11">
        <v>500</v>
      </c>
      <c r="F456" s="11">
        <v>500</v>
      </c>
      <c r="G456" s="63" t="s">
        <v>6</v>
      </c>
      <c r="H456" s="390">
        <v>1</v>
      </c>
      <c r="I456" s="386" t="s">
        <v>17</v>
      </c>
      <c r="J456" s="37"/>
      <c r="K456" s="406" t="s">
        <v>842</v>
      </c>
      <c r="L456" s="379" t="s">
        <v>636</v>
      </c>
      <c r="M456" s="391">
        <v>43080</v>
      </c>
      <c r="N456" s="391">
        <v>43093</v>
      </c>
      <c r="O456" s="419"/>
      <c r="P456" s="61"/>
      <c r="Q456" s="7"/>
      <c r="R456" s="384" t="s">
        <v>202</v>
      </c>
      <c r="S456" s="316" t="s">
        <v>2902</v>
      </c>
      <c r="T456" s="137"/>
      <c r="U456" s="421"/>
    </row>
    <row r="457" spans="1:21" ht="20.100000000000001" customHeight="1">
      <c r="A457" s="1128" t="s">
        <v>2951</v>
      </c>
      <c r="B457" s="1188" t="s">
        <v>343</v>
      </c>
      <c r="C457" s="1188" t="s">
        <v>405</v>
      </c>
      <c r="D457" s="11">
        <v>500</v>
      </c>
      <c r="E457" s="11">
        <v>550</v>
      </c>
      <c r="F457" s="11">
        <v>550</v>
      </c>
      <c r="G457" s="70" t="s">
        <v>5</v>
      </c>
      <c r="H457" s="35">
        <v>1</v>
      </c>
      <c r="I457" s="38" t="s">
        <v>17</v>
      </c>
      <c r="J457" s="681"/>
      <c r="K457" s="34" t="s">
        <v>842</v>
      </c>
      <c r="L457" s="51" t="s">
        <v>636</v>
      </c>
      <c r="M457" s="6">
        <v>43080</v>
      </c>
      <c r="N457" s="6">
        <v>43086</v>
      </c>
      <c r="O457" s="675" t="s">
        <v>600</v>
      </c>
      <c r="P457" s="61"/>
      <c r="Q457" s="7"/>
      <c r="R457" s="73" t="s">
        <v>1873</v>
      </c>
      <c r="S457" s="315" t="s">
        <v>2893</v>
      </c>
      <c r="T457" s="689"/>
      <c r="U457" s="42"/>
    </row>
    <row r="458" spans="1:21" s="377" customFormat="1" ht="20.100000000000001" customHeight="1">
      <c r="A458" s="1128" t="s">
        <v>2951</v>
      </c>
      <c r="B458" s="1188" t="s">
        <v>343</v>
      </c>
      <c r="C458" s="1188" t="s">
        <v>405</v>
      </c>
      <c r="D458" s="11"/>
      <c r="E458" s="11"/>
      <c r="F458" s="11"/>
      <c r="G458" s="70" t="s">
        <v>87</v>
      </c>
      <c r="H458" s="390">
        <v>1</v>
      </c>
      <c r="I458" s="386" t="s">
        <v>17</v>
      </c>
      <c r="J458" s="37"/>
      <c r="K458" s="406" t="s">
        <v>842</v>
      </c>
      <c r="L458" s="379" t="s">
        <v>636</v>
      </c>
      <c r="M458" s="547">
        <v>43040</v>
      </c>
      <c r="N458" s="547">
        <v>43080</v>
      </c>
      <c r="O458" s="422"/>
      <c r="P458" s="59"/>
      <c r="Q458" s="7" t="s">
        <v>3026</v>
      </c>
      <c r="R458" s="427" t="s">
        <v>192</v>
      </c>
      <c r="S458" s="322" t="s">
        <v>2849</v>
      </c>
      <c r="T458" s="689"/>
      <c r="U458" s="421"/>
    </row>
    <row r="459" spans="1:21" s="377" customFormat="1" ht="20.100000000000001" customHeight="1">
      <c r="A459" s="1128" t="s">
        <v>2951</v>
      </c>
      <c r="B459" s="1188" t="s">
        <v>343</v>
      </c>
      <c r="C459" s="1188" t="s">
        <v>405</v>
      </c>
      <c r="D459" s="11">
        <v>360</v>
      </c>
      <c r="E459" s="11">
        <v>385</v>
      </c>
      <c r="F459" s="11">
        <v>385</v>
      </c>
      <c r="G459" s="63" t="s">
        <v>102</v>
      </c>
      <c r="H459" s="390">
        <v>1</v>
      </c>
      <c r="I459" s="386" t="s">
        <v>17</v>
      </c>
      <c r="J459" s="38"/>
      <c r="K459" s="406" t="s">
        <v>842</v>
      </c>
      <c r="L459" s="379" t="s">
        <v>636</v>
      </c>
      <c r="M459" s="392">
        <v>43080</v>
      </c>
      <c r="N459" s="392">
        <v>43080</v>
      </c>
      <c r="O459" s="419"/>
      <c r="P459" s="61" t="s">
        <v>1933</v>
      </c>
      <c r="Q459" s="7"/>
      <c r="R459" s="397" t="s">
        <v>192</v>
      </c>
      <c r="S459" s="315" t="s">
        <v>2903</v>
      </c>
      <c r="T459" s="316"/>
      <c r="U459" s="421"/>
    </row>
    <row r="460" spans="1:21" s="377" customFormat="1" ht="20.100000000000001" customHeight="1">
      <c r="A460" s="1128" t="s">
        <v>2951</v>
      </c>
      <c r="B460" s="1188" t="s">
        <v>343</v>
      </c>
      <c r="C460" s="1188" t="s">
        <v>405</v>
      </c>
      <c r="D460" s="790">
        <v>375</v>
      </c>
      <c r="E460" s="790">
        <v>450</v>
      </c>
      <c r="F460" s="790">
        <v>450</v>
      </c>
      <c r="G460" s="218" t="s">
        <v>92</v>
      </c>
      <c r="H460" s="378">
        <v>1</v>
      </c>
      <c r="I460" s="386" t="s">
        <v>17</v>
      </c>
      <c r="J460" s="37"/>
      <c r="K460" s="406" t="s">
        <v>842</v>
      </c>
      <c r="L460" s="379" t="s">
        <v>636</v>
      </c>
      <c r="M460" s="381">
        <v>43087</v>
      </c>
      <c r="N460" s="381">
        <v>43087</v>
      </c>
      <c r="O460" s="422"/>
      <c r="P460" s="61"/>
      <c r="Q460" s="7"/>
      <c r="R460" s="397" t="s">
        <v>203</v>
      </c>
      <c r="S460" s="315" t="s">
        <v>2904</v>
      </c>
      <c r="T460" s="680"/>
      <c r="U460" s="421"/>
    </row>
    <row r="461" spans="1:21" s="377" customFormat="1" ht="20.100000000000001" customHeight="1">
      <c r="A461" s="1128" t="s">
        <v>2951</v>
      </c>
      <c r="B461" s="1188" t="s">
        <v>343</v>
      </c>
      <c r="C461" s="1193" t="s">
        <v>405</v>
      </c>
      <c r="D461" s="800" t="s">
        <v>3853</v>
      </c>
      <c r="E461" s="800" t="s">
        <v>2226</v>
      </c>
      <c r="F461" s="800" t="s">
        <v>2226</v>
      </c>
      <c r="G461" s="803" t="s">
        <v>18</v>
      </c>
      <c r="H461" s="390">
        <v>1</v>
      </c>
      <c r="I461" s="386" t="s">
        <v>17</v>
      </c>
      <c r="J461" s="37"/>
      <c r="K461" s="406" t="s">
        <v>842</v>
      </c>
      <c r="L461" s="379" t="s">
        <v>636</v>
      </c>
      <c r="M461" s="381">
        <v>43084</v>
      </c>
      <c r="N461" s="381">
        <v>43100</v>
      </c>
      <c r="O461" s="422"/>
      <c r="P461" s="61"/>
      <c r="Q461" s="7"/>
      <c r="R461" s="384" t="s">
        <v>272</v>
      </c>
      <c r="S461" s="316" t="s">
        <v>2905</v>
      </c>
      <c r="T461" s="680"/>
      <c r="U461" s="421"/>
    </row>
    <row r="462" spans="1:21" s="377" customFormat="1" ht="20.100000000000001" customHeight="1">
      <c r="A462" s="1128" t="s">
        <v>2951</v>
      </c>
      <c r="B462" s="1188" t="s">
        <v>343</v>
      </c>
      <c r="C462" s="1188" t="s">
        <v>405</v>
      </c>
      <c r="D462" s="939">
        <v>375</v>
      </c>
      <c r="E462" s="939">
        <v>415</v>
      </c>
      <c r="F462" s="939">
        <v>415</v>
      </c>
      <c r="G462" s="706" t="s">
        <v>12</v>
      </c>
      <c r="H462" s="390">
        <v>1</v>
      </c>
      <c r="I462" s="386" t="s">
        <v>17</v>
      </c>
      <c r="J462" s="682"/>
      <c r="K462" s="406" t="s">
        <v>842</v>
      </c>
      <c r="L462" s="379" t="s">
        <v>636</v>
      </c>
      <c r="M462" s="551">
        <v>43084</v>
      </c>
      <c r="N462" s="551">
        <v>43091</v>
      </c>
      <c r="O462" s="419"/>
      <c r="P462" s="752"/>
      <c r="Q462" s="7"/>
      <c r="R462" s="397" t="s">
        <v>271</v>
      </c>
      <c r="S462" s="322" t="s">
        <v>1176</v>
      </c>
      <c r="T462" s="688" t="s">
        <v>2933</v>
      </c>
      <c r="U462" s="421"/>
    </row>
    <row r="463" spans="1:21" s="377" customFormat="1" ht="20.100000000000001" customHeight="1">
      <c r="A463" s="1128" t="s">
        <v>2951</v>
      </c>
      <c r="B463" s="1188" t="s">
        <v>343</v>
      </c>
      <c r="C463" s="1188" t="s">
        <v>405</v>
      </c>
      <c r="D463" s="11">
        <v>475</v>
      </c>
      <c r="E463" s="11"/>
      <c r="F463" s="11"/>
      <c r="G463" s="220" t="s">
        <v>956</v>
      </c>
      <c r="H463" s="385" t="s">
        <v>1102</v>
      </c>
      <c r="I463" s="386" t="s">
        <v>17</v>
      </c>
      <c r="J463" s="681"/>
      <c r="K463" s="426" t="s">
        <v>1104</v>
      </c>
      <c r="L463" s="398" t="s">
        <v>639</v>
      </c>
      <c r="M463" s="6">
        <v>43052</v>
      </c>
      <c r="N463" s="6">
        <v>43093</v>
      </c>
      <c r="O463" s="422"/>
      <c r="P463" s="61"/>
      <c r="Q463" s="7"/>
      <c r="R463" s="424" t="s">
        <v>171</v>
      </c>
      <c r="S463" s="322" t="s">
        <v>1176</v>
      </c>
      <c r="T463" s="717"/>
      <c r="U463" s="421"/>
    </row>
    <row r="464" spans="1:21" s="377" customFormat="1" ht="20.100000000000001" customHeight="1">
      <c r="A464" s="1128" t="s">
        <v>2951</v>
      </c>
      <c r="B464" s="1188" t="s">
        <v>343</v>
      </c>
      <c r="C464" s="1188" t="s">
        <v>405</v>
      </c>
      <c r="D464" s="32">
        <v>600</v>
      </c>
      <c r="E464" s="32">
        <v>650</v>
      </c>
      <c r="F464" s="32">
        <v>650</v>
      </c>
      <c r="G464" s="218" t="s">
        <v>51</v>
      </c>
      <c r="H464" s="385" t="s">
        <v>742</v>
      </c>
      <c r="I464" s="386" t="s">
        <v>17</v>
      </c>
      <c r="J464" s="681"/>
      <c r="K464" s="426" t="s">
        <v>750</v>
      </c>
      <c r="L464" s="380" t="s">
        <v>639</v>
      </c>
      <c r="M464" s="381">
        <v>43080</v>
      </c>
      <c r="N464" s="381">
        <v>43089</v>
      </c>
      <c r="O464" s="422"/>
      <c r="P464" s="752"/>
      <c r="Q464" s="7"/>
      <c r="R464" s="424" t="s">
        <v>171</v>
      </c>
      <c r="S464" s="319"/>
      <c r="T464" s="689"/>
      <c r="U464" s="421"/>
    </row>
    <row r="465" spans="1:21" s="377" customFormat="1" ht="20.100000000000001" customHeight="1">
      <c r="A465" s="1128" t="s">
        <v>2951</v>
      </c>
      <c r="B465" s="1188" t="s">
        <v>343</v>
      </c>
      <c r="C465" s="1188" t="s">
        <v>405</v>
      </c>
      <c r="D465" s="62">
        <v>325</v>
      </c>
      <c r="E465" s="62">
        <v>475</v>
      </c>
      <c r="F465" s="62">
        <v>475</v>
      </c>
      <c r="G465" s="218" t="s">
        <v>1659</v>
      </c>
      <c r="H465" s="385" t="s">
        <v>742</v>
      </c>
      <c r="I465" s="386" t="s">
        <v>17</v>
      </c>
      <c r="J465" s="681"/>
      <c r="K465" s="426" t="s">
        <v>750</v>
      </c>
      <c r="L465" s="398" t="s">
        <v>639</v>
      </c>
      <c r="M465" s="547">
        <v>43081</v>
      </c>
      <c r="N465" s="547">
        <v>43090</v>
      </c>
      <c r="O465" s="422"/>
      <c r="P465" s="61"/>
      <c r="Q465" s="7"/>
      <c r="R465" s="424" t="s">
        <v>1660</v>
      </c>
      <c r="S465" s="315" t="s">
        <v>2862</v>
      </c>
      <c r="T465" s="626">
        <v>14</v>
      </c>
      <c r="U465" s="421"/>
    </row>
    <row r="466" spans="1:21" s="377" customFormat="1" ht="20.100000000000001" customHeight="1">
      <c r="A466" s="1128" t="s">
        <v>2951</v>
      </c>
      <c r="B466" s="1188" t="s">
        <v>343</v>
      </c>
      <c r="C466" s="1188" t="s">
        <v>405</v>
      </c>
      <c r="D466" s="536"/>
      <c r="E466" s="536"/>
      <c r="F466" s="536"/>
      <c r="G466" s="70" t="s">
        <v>278</v>
      </c>
      <c r="H466" s="385" t="s">
        <v>742</v>
      </c>
      <c r="I466" s="386" t="s">
        <v>17</v>
      </c>
      <c r="J466" s="681"/>
      <c r="K466" s="426" t="s">
        <v>750</v>
      </c>
      <c r="L466" s="398" t="s">
        <v>639</v>
      </c>
      <c r="M466" s="391">
        <v>43087</v>
      </c>
      <c r="N466" s="391">
        <v>43093</v>
      </c>
      <c r="O466" s="422"/>
      <c r="P466" s="61"/>
      <c r="Q466" s="7"/>
      <c r="R466" s="397" t="s">
        <v>171</v>
      </c>
      <c r="S466" s="316"/>
      <c r="T466" s="626"/>
      <c r="U466" s="421"/>
    </row>
    <row r="467" spans="1:21" s="377" customFormat="1" ht="20.100000000000001" customHeight="1">
      <c r="A467" s="1128" t="s">
        <v>2951</v>
      </c>
      <c r="B467" s="1188" t="s">
        <v>343</v>
      </c>
      <c r="C467" s="1188" t="s">
        <v>405</v>
      </c>
      <c r="D467" s="536">
        <v>280</v>
      </c>
      <c r="E467" s="536">
        <v>425</v>
      </c>
      <c r="F467" s="536">
        <v>425</v>
      </c>
      <c r="G467" s="218" t="s">
        <v>14</v>
      </c>
      <c r="H467" s="385" t="s">
        <v>1102</v>
      </c>
      <c r="I467" s="386" t="s">
        <v>17</v>
      </c>
      <c r="J467" s="681"/>
      <c r="K467" s="426" t="s">
        <v>1104</v>
      </c>
      <c r="L467" s="398" t="s">
        <v>652</v>
      </c>
      <c r="M467" s="547">
        <v>43086</v>
      </c>
      <c r="N467" s="547">
        <v>43092</v>
      </c>
      <c r="O467" s="422"/>
      <c r="P467" s="105"/>
      <c r="Q467" s="7"/>
      <c r="R467" s="397" t="s">
        <v>171</v>
      </c>
      <c r="S467" s="316"/>
      <c r="T467" s="689"/>
      <c r="U467" s="421"/>
    </row>
    <row r="468" spans="1:21" s="377" customFormat="1" ht="20.100000000000001" customHeight="1">
      <c r="A468" s="1128" t="s">
        <v>2951</v>
      </c>
      <c r="B468" s="1188" t="s">
        <v>343</v>
      </c>
      <c r="C468" s="1188" t="s">
        <v>405</v>
      </c>
      <c r="D468" s="536">
        <v>400</v>
      </c>
      <c r="E468" s="536">
        <v>500</v>
      </c>
      <c r="F468" s="536">
        <v>500</v>
      </c>
      <c r="G468" s="111" t="s">
        <v>232</v>
      </c>
      <c r="H468" s="385" t="s">
        <v>742</v>
      </c>
      <c r="I468" s="386" t="s">
        <v>17</v>
      </c>
      <c r="J468" s="681"/>
      <c r="K468" s="426" t="s">
        <v>750</v>
      </c>
      <c r="L468" s="398" t="s">
        <v>639</v>
      </c>
      <c r="M468" s="399">
        <v>43064</v>
      </c>
      <c r="N468" s="399">
        <v>43086</v>
      </c>
      <c r="O468" s="423" t="s">
        <v>601</v>
      </c>
      <c r="P468" s="750"/>
      <c r="Q468" s="7"/>
      <c r="R468" s="397" t="s">
        <v>171</v>
      </c>
      <c r="S468" s="316" t="s">
        <v>2910</v>
      </c>
      <c r="T468" s="689"/>
      <c r="U468" s="421"/>
    </row>
    <row r="469" spans="1:21" s="377" customFormat="1" ht="20.100000000000001" customHeight="1">
      <c r="A469" s="1128" t="s">
        <v>2951</v>
      </c>
      <c r="B469" s="1188" t="s">
        <v>343</v>
      </c>
      <c r="C469" s="1188" t="s">
        <v>405</v>
      </c>
      <c r="D469" s="11">
        <v>625</v>
      </c>
      <c r="E469" s="11">
        <v>700</v>
      </c>
      <c r="F469" s="11">
        <v>700</v>
      </c>
      <c r="G469" s="218" t="s">
        <v>19</v>
      </c>
      <c r="H469" s="385" t="s">
        <v>1102</v>
      </c>
      <c r="I469" s="386" t="s">
        <v>17</v>
      </c>
      <c r="J469" s="38"/>
      <c r="K469" s="426" t="s">
        <v>1104</v>
      </c>
      <c r="L469" s="398" t="s">
        <v>652</v>
      </c>
      <c r="M469" s="399">
        <v>43045</v>
      </c>
      <c r="N469" s="399">
        <v>43086</v>
      </c>
      <c r="O469" s="382" t="s">
        <v>611</v>
      </c>
      <c r="P469" s="105"/>
      <c r="Q469" s="7"/>
      <c r="R469" s="397" t="s">
        <v>187</v>
      </c>
      <c r="S469" s="316" t="s">
        <v>2908</v>
      </c>
      <c r="T469" s="848" t="s">
        <v>4105</v>
      </c>
      <c r="U469" s="421"/>
    </row>
    <row r="470" spans="1:21" s="377" customFormat="1" ht="20.100000000000001" customHeight="1">
      <c r="A470" s="1128" t="s">
        <v>2951</v>
      </c>
      <c r="B470" s="1188" t="s">
        <v>343</v>
      </c>
      <c r="C470" s="1188" t="s">
        <v>405</v>
      </c>
      <c r="D470" s="11"/>
      <c r="E470" s="11"/>
      <c r="F470" s="11"/>
      <c r="G470" s="63" t="s">
        <v>30</v>
      </c>
      <c r="H470" s="385" t="s">
        <v>742</v>
      </c>
      <c r="I470" s="386" t="s">
        <v>17</v>
      </c>
      <c r="J470" s="38"/>
      <c r="K470" s="426" t="s">
        <v>750</v>
      </c>
      <c r="L470" s="398" t="s">
        <v>639</v>
      </c>
      <c r="M470" s="399">
        <v>43040</v>
      </c>
      <c r="N470" s="399">
        <v>43083</v>
      </c>
      <c r="O470" s="423" t="s">
        <v>602</v>
      </c>
      <c r="P470" s="105"/>
      <c r="Q470" s="7"/>
      <c r="R470" s="397" t="s">
        <v>1915</v>
      </c>
      <c r="S470" s="316" t="s">
        <v>2895</v>
      </c>
      <c r="T470" s="680"/>
      <c r="U470" s="421"/>
    </row>
    <row r="471" spans="1:21" s="377" customFormat="1" ht="20.100000000000001" customHeight="1">
      <c r="A471" s="1128" t="s">
        <v>2951</v>
      </c>
      <c r="B471" s="1188" t="s">
        <v>343</v>
      </c>
      <c r="C471" s="1188" t="s">
        <v>405</v>
      </c>
      <c r="D471" s="11">
        <v>150</v>
      </c>
      <c r="E471" s="11">
        <v>400</v>
      </c>
      <c r="F471" s="11">
        <v>300</v>
      </c>
      <c r="G471" s="63" t="s">
        <v>28</v>
      </c>
      <c r="H471" s="385" t="s">
        <v>1102</v>
      </c>
      <c r="I471" s="386" t="s">
        <v>17</v>
      </c>
      <c r="J471" s="681"/>
      <c r="K471" s="426" t="s">
        <v>1104</v>
      </c>
      <c r="L471" s="398" t="s">
        <v>652</v>
      </c>
      <c r="M471" s="392">
        <v>43077</v>
      </c>
      <c r="N471" s="392">
        <v>43088</v>
      </c>
      <c r="O471" s="423" t="s">
        <v>601</v>
      </c>
      <c r="P471" s="61" t="s">
        <v>1943</v>
      </c>
      <c r="Q471" s="7"/>
      <c r="R471" s="397" t="s">
        <v>449</v>
      </c>
      <c r="S471" s="316" t="s">
        <v>2909</v>
      </c>
      <c r="T471" s="680"/>
      <c r="U471" s="421"/>
    </row>
    <row r="472" spans="1:21" s="377" customFormat="1" ht="20.100000000000001" customHeight="1">
      <c r="A472" s="1128" t="s">
        <v>2951</v>
      </c>
      <c r="B472" s="1188" t="s">
        <v>343</v>
      </c>
      <c r="C472" s="1188" t="s">
        <v>405</v>
      </c>
      <c r="D472" s="537"/>
      <c r="E472" s="537"/>
      <c r="F472" s="537"/>
      <c r="G472" s="63" t="s">
        <v>13</v>
      </c>
      <c r="H472" s="385" t="s">
        <v>1098</v>
      </c>
      <c r="I472" s="386" t="s">
        <v>17</v>
      </c>
      <c r="J472" s="681"/>
      <c r="K472" s="426" t="s">
        <v>1099</v>
      </c>
      <c r="L472" s="398" t="s">
        <v>639</v>
      </c>
      <c r="M472" s="404">
        <v>43040</v>
      </c>
      <c r="N472" s="404">
        <v>43100</v>
      </c>
      <c r="O472" s="423" t="s">
        <v>601</v>
      </c>
      <c r="P472" s="61"/>
      <c r="Q472" s="7"/>
      <c r="R472" s="397" t="s">
        <v>173</v>
      </c>
      <c r="S472" s="316" t="s">
        <v>2906</v>
      </c>
      <c r="T472" s="603"/>
      <c r="U472" s="421"/>
    </row>
    <row r="473" spans="1:21" s="377" customFormat="1" ht="20.100000000000001" customHeight="1">
      <c r="A473" s="1128" t="s">
        <v>2951</v>
      </c>
      <c r="B473" s="1188" t="s">
        <v>343</v>
      </c>
      <c r="C473" s="1188" t="s">
        <v>405</v>
      </c>
      <c r="D473" s="11">
        <v>600</v>
      </c>
      <c r="E473" s="11">
        <v>800</v>
      </c>
      <c r="F473" s="11">
        <v>800</v>
      </c>
      <c r="G473" s="111" t="s">
        <v>87</v>
      </c>
      <c r="H473" s="390">
        <v>1</v>
      </c>
      <c r="I473" s="386" t="s">
        <v>17</v>
      </c>
      <c r="J473" s="37"/>
      <c r="K473" s="406" t="s">
        <v>682</v>
      </c>
      <c r="L473" s="379" t="s">
        <v>636</v>
      </c>
      <c r="M473" s="547">
        <v>43040</v>
      </c>
      <c r="N473" s="547">
        <v>43080</v>
      </c>
      <c r="O473" s="422"/>
      <c r="P473" s="750"/>
      <c r="Q473" s="677" t="s">
        <v>3027</v>
      </c>
      <c r="R473" s="427" t="s">
        <v>192</v>
      </c>
      <c r="S473" s="322" t="s">
        <v>2849</v>
      </c>
      <c r="T473" s="717"/>
      <c r="U473" s="421"/>
    </row>
    <row r="474" spans="1:21" s="377" customFormat="1" ht="20.100000000000001" customHeight="1">
      <c r="A474" s="1128" t="s">
        <v>2951</v>
      </c>
      <c r="B474" s="1188" t="s">
        <v>343</v>
      </c>
      <c r="C474" s="1188" t="s">
        <v>405</v>
      </c>
      <c r="D474" s="790">
        <v>375</v>
      </c>
      <c r="E474" s="790">
        <v>450</v>
      </c>
      <c r="F474" s="790">
        <v>450</v>
      </c>
      <c r="G474" s="220" t="s">
        <v>10</v>
      </c>
      <c r="H474" s="378">
        <v>1</v>
      </c>
      <c r="I474" s="386" t="s">
        <v>17</v>
      </c>
      <c r="J474" s="37"/>
      <c r="K474" s="406" t="s">
        <v>682</v>
      </c>
      <c r="L474" s="379" t="s">
        <v>636</v>
      </c>
      <c r="M474" s="381">
        <v>43087</v>
      </c>
      <c r="N474" s="381">
        <v>43087</v>
      </c>
      <c r="O474" s="422"/>
      <c r="P474" s="750"/>
      <c r="Q474" s="677" t="s">
        <v>3022</v>
      </c>
      <c r="R474" s="397" t="s">
        <v>203</v>
      </c>
      <c r="S474" s="315" t="s">
        <v>2904</v>
      </c>
      <c r="T474" s="717"/>
      <c r="U474" s="421"/>
    </row>
    <row r="475" spans="1:21" s="377" customFormat="1" ht="20.100000000000001" customHeight="1">
      <c r="A475" s="1128" t="s">
        <v>2951</v>
      </c>
      <c r="B475" s="1188" t="s">
        <v>343</v>
      </c>
      <c r="C475" s="1193" t="s">
        <v>405</v>
      </c>
      <c r="D475" s="801"/>
      <c r="E475" s="801"/>
      <c r="F475" s="801"/>
      <c r="G475" s="813" t="s">
        <v>29</v>
      </c>
      <c r="H475" s="385" t="s">
        <v>721</v>
      </c>
      <c r="I475" s="386" t="s">
        <v>17</v>
      </c>
      <c r="J475" s="681"/>
      <c r="K475" s="426" t="s">
        <v>680</v>
      </c>
      <c r="L475" s="398" t="s">
        <v>639</v>
      </c>
      <c r="M475" s="404">
        <v>43038</v>
      </c>
      <c r="N475" s="404">
        <v>43086</v>
      </c>
      <c r="O475" s="422"/>
      <c r="P475" s="105"/>
      <c r="Q475" s="677" t="s">
        <v>3027</v>
      </c>
      <c r="R475" s="397" t="s">
        <v>173</v>
      </c>
      <c r="S475" s="316" t="s">
        <v>2898</v>
      </c>
      <c r="T475" s="717"/>
      <c r="U475" s="421"/>
    </row>
    <row r="476" spans="1:21" s="377" customFormat="1" ht="20.100000000000001" customHeight="1">
      <c r="A476" s="1128" t="s">
        <v>2951</v>
      </c>
      <c r="B476" s="1188" t="s">
        <v>343</v>
      </c>
      <c r="C476" s="1188" t="s">
        <v>405</v>
      </c>
      <c r="D476" s="11">
        <v>250</v>
      </c>
      <c r="E476" s="11">
        <v>400</v>
      </c>
      <c r="F476" s="11">
        <v>300</v>
      </c>
      <c r="G476" s="706" t="s">
        <v>137</v>
      </c>
      <c r="H476" s="385" t="s">
        <v>1102</v>
      </c>
      <c r="I476" s="386" t="s">
        <v>17</v>
      </c>
      <c r="J476" s="681"/>
      <c r="K476" s="426" t="s">
        <v>1104</v>
      </c>
      <c r="L476" s="398" t="s">
        <v>639</v>
      </c>
      <c r="M476" s="392">
        <v>43084</v>
      </c>
      <c r="N476" s="392">
        <v>43088</v>
      </c>
      <c r="O476" s="423" t="s">
        <v>601</v>
      </c>
      <c r="P476" s="61" t="s">
        <v>1943</v>
      </c>
      <c r="Q476" s="677" t="s">
        <v>3028</v>
      </c>
      <c r="R476" s="397" t="s">
        <v>171</v>
      </c>
      <c r="S476" s="316" t="s">
        <v>2909</v>
      </c>
      <c r="T476" s="689"/>
      <c r="U476" s="421"/>
    </row>
    <row r="477" spans="1:21" s="377" customFormat="1" ht="20.100000000000001" customHeight="1">
      <c r="A477" s="1128" t="s">
        <v>2951</v>
      </c>
      <c r="B477" s="1188" t="s">
        <v>343</v>
      </c>
      <c r="C477" s="1188" t="s">
        <v>405</v>
      </c>
      <c r="D477" s="11">
        <v>250</v>
      </c>
      <c r="E477" s="11">
        <v>400</v>
      </c>
      <c r="F477" s="11">
        <v>300</v>
      </c>
      <c r="G477" s="706" t="s">
        <v>28</v>
      </c>
      <c r="H477" s="385" t="s">
        <v>1102</v>
      </c>
      <c r="I477" s="386" t="s">
        <v>17</v>
      </c>
      <c r="J477" s="681"/>
      <c r="K477" s="426" t="s">
        <v>1104</v>
      </c>
      <c r="L477" s="398" t="s">
        <v>639</v>
      </c>
      <c r="M477" s="392">
        <v>43084</v>
      </c>
      <c r="N477" s="392">
        <v>43088</v>
      </c>
      <c r="O477" s="423" t="s">
        <v>601</v>
      </c>
      <c r="P477" s="61" t="s">
        <v>1943</v>
      </c>
      <c r="Q477" s="677" t="s">
        <v>3028</v>
      </c>
      <c r="R477" s="397" t="s">
        <v>171</v>
      </c>
      <c r="S477" s="316" t="s">
        <v>2909</v>
      </c>
      <c r="T477" s="689"/>
      <c r="U477" s="421"/>
    </row>
    <row r="478" spans="1:21" s="377" customFormat="1" ht="20.100000000000001" customHeight="1">
      <c r="A478" s="1128" t="s">
        <v>2951</v>
      </c>
      <c r="B478" s="1188" t="s">
        <v>343</v>
      </c>
      <c r="C478" s="1188" t="s">
        <v>405</v>
      </c>
      <c r="D478" s="536">
        <v>400</v>
      </c>
      <c r="E478" s="536">
        <v>500</v>
      </c>
      <c r="F478" s="536">
        <v>500</v>
      </c>
      <c r="G478" s="706" t="s">
        <v>232</v>
      </c>
      <c r="H478" s="385" t="s">
        <v>742</v>
      </c>
      <c r="I478" s="386" t="s">
        <v>17</v>
      </c>
      <c r="J478" s="681"/>
      <c r="K478" s="426" t="s">
        <v>750</v>
      </c>
      <c r="L478" s="398" t="s">
        <v>639</v>
      </c>
      <c r="M478" s="399">
        <v>43064</v>
      </c>
      <c r="N478" s="399">
        <v>43086</v>
      </c>
      <c r="O478" s="423" t="s">
        <v>601</v>
      </c>
      <c r="P478" s="750"/>
      <c r="Q478" s="677" t="s">
        <v>3022</v>
      </c>
      <c r="R478" s="397" t="s">
        <v>171</v>
      </c>
      <c r="S478" s="316" t="s">
        <v>2910</v>
      </c>
      <c r="T478" s="689"/>
      <c r="U478" s="421"/>
    </row>
    <row r="479" spans="1:21" s="377" customFormat="1" ht="20.100000000000001" customHeight="1">
      <c r="A479" s="1188" t="s">
        <v>2951</v>
      </c>
      <c r="B479" s="1188" t="s">
        <v>343</v>
      </c>
      <c r="C479" s="1188" t="s">
        <v>1236</v>
      </c>
      <c r="D479" s="890">
        <v>300</v>
      </c>
      <c r="E479" s="890">
        <v>350</v>
      </c>
      <c r="F479" s="890">
        <v>350</v>
      </c>
      <c r="G479" s="111" t="s">
        <v>6</v>
      </c>
      <c r="H479" s="385" t="s">
        <v>742</v>
      </c>
      <c r="I479" s="398" t="s">
        <v>17</v>
      </c>
      <c r="J479" s="37"/>
      <c r="K479" s="428">
        <v>13</v>
      </c>
      <c r="L479" s="386" t="s">
        <v>1481</v>
      </c>
      <c r="M479" s="391">
        <v>43087</v>
      </c>
      <c r="N479" s="391">
        <v>43093</v>
      </c>
      <c r="O479" s="419"/>
      <c r="P479" s="61" t="s">
        <v>1929</v>
      </c>
      <c r="Q479" s="7"/>
      <c r="R479" s="397" t="s">
        <v>1453</v>
      </c>
      <c r="S479" s="316" t="s">
        <v>2911</v>
      </c>
      <c r="T479" s="137"/>
      <c r="U479" s="421"/>
    </row>
    <row r="480" spans="1:21" ht="20.100000000000001" customHeight="1">
      <c r="A480" s="1188" t="s">
        <v>2951</v>
      </c>
      <c r="B480" s="1188" t="s">
        <v>343</v>
      </c>
      <c r="C480" s="1188" t="s">
        <v>1236</v>
      </c>
      <c r="D480" s="11">
        <v>425</v>
      </c>
      <c r="E480" s="11">
        <v>550</v>
      </c>
      <c r="F480" s="11">
        <v>550</v>
      </c>
      <c r="G480" s="70" t="s">
        <v>5</v>
      </c>
      <c r="H480" s="674" t="s">
        <v>742</v>
      </c>
      <c r="I480" s="37" t="s">
        <v>17</v>
      </c>
      <c r="J480" s="37"/>
      <c r="K480" s="682">
        <v>13</v>
      </c>
      <c r="L480" s="51" t="s">
        <v>1481</v>
      </c>
      <c r="M480" s="6">
        <v>43080</v>
      </c>
      <c r="N480" s="6">
        <v>43086</v>
      </c>
      <c r="O480" s="675" t="s">
        <v>600</v>
      </c>
      <c r="P480" s="61" t="s">
        <v>622</v>
      </c>
      <c r="Q480" s="7"/>
      <c r="R480" s="73" t="s">
        <v>1482</v>
      </c>
      <c r="S480" s="315" t="s">
        <v>2893</v>
      </c>
      <c r="T480" s="78"/>
      <c r="U480" s="42"/>
    </row>
    <row r="481" spans="1:21" s="377" customFormat="1" ht="20.100000000000001" customHeight="1">
      <c r="A481" s="1188" t="s">
        <v>2951</v>
      </c>
      <c r="B481" s="1188" t="s">
        <v>343</v>
      </c>
      <c r="C481" s="1188" t="s">
        <v>1236</v>
      </c>
      <c r="D481" s="32">
        <v>350</v>
      </c>
      <c r="E481" s="32">
        <v>350</v>
      </c>
      <c r="F481" s="32">
        <v>350</v>
      </c>
      <c r="G481" s="218" t="s">
        <v>51</v>
      </c>
      <c r="H481" s="385" t="s">
        <v>742</v>
      </c>
      <c r="I481" s="398" t="s">
        <v>17</v>
      </c>
      <c r="J481" s="37"/>
      <c r="K481" s="428">
        <v>13</v>
      </c>
      <c r="L481" s="379" t="s">
        <v>1481</v>
      </c>
      <c r="M481" s="381">
        <v>43040</v>
      </c>
      <c r="N481" s="381">
        <v>43089</v>
      </c>
      <c r="O481" s="422"/>
      <c r="P481" s="59" t="s">
        <v>1946</v>
      </c>
      <c r="Q481" s="7"/>
      <c r="R481" s="397" t="s">
        <v>1454</v>
      </c>
      <c r="S481" s="316"/>
      <c r="T481" s="78"/>
      <c r="U481" s="421"/>
    </row>
    <row r="482" spans="1:21" s="377" customFormat="1" ht="20.100000000000001" customHeight="1">
      <c r="A482" s="1188" t="s">
        <v>2951</v>
      </c>
      <c r="B482" s="1188" t="s">
        <v>343</v>
      </c>
      <c r="C482" s="1188" t="s">
        <v>1236</v>
      </c>
      <c r="D482" s="894">
        <v>400</v>
      </c>
      <c r="E482" s="894">
        <v>500</v>
      </c>
      <c r="F482" s="894">
        <v>500</v>
      </c>
      <c r="G482" s="29" t="s">
        <v>2503</v>
      </c>
      <c r="H482" s="385" t="s">
        <v>742</v>
      </c>
      <c r="I482" s="398" t="s">
        <v>17</v>
      </c>
      <c r="J482" s="37"/>
      <c r="K482" s="428">
        <v>13</v>
      </c>
      <c r="L482" s="379" t="s">
        <v>636</v>
      </c>
      <c r="M482" s="391">
        <v>43086</v>
      </c>
      <c r="N482" s="391">
        <v>43092</v>
      </c>
      <c r="O482" s="423"/>
      <c r="P482" s="14" t="s">
        <v>782</v>
      </c>
      <c r="Q482" s="147"/>
      <c r="R482" s="49" t="s">
        <v>1523</v>
      </c>
      <c r="S482" s="316" t="s">
        <v>1176</v>
      </c>
      <c r="T482" s="78"/>
      <c r="U482" s="421"/>
    </row>
    <row r="483" spans="1:21" s="377" customFormat="1" ht="20.100000000000001" customHeight="1">
      <c r="A483" s="1188" t="s">
        <v>2951</v>
      </c>
      <c r="B483" s="1188" t="s">
        <v>343</v>
      </c>
      <c r="C483" s="1188" t="s">
        <v>1236</v>
      </c>
      <c r="D483" s="11">
        <v>310</v>
      </c>
      <c r="E483" s="11"/>
      <c r="F483" s="11">
        <v>395</v>
      </c>
      <c r="G483" s="224" t="s">
        <v>231</v>
      </c>
      <c r="H483" s="385" t="s">
        <v>742</v>
      </c>
      <c r="I483" s="398" t="s">
        <v>17</v>
      </c>
      <c r="J483" s="37"/>
      <c r="K483" s="428">
        <v>13</v>
      </c>
      <c r="L483" s="379" t="s">
        <v>636</v>
      </c>
      <c r="M483" s="547">
        <v>43074</v>
      </c>
      <c r="N483" s="547">
        <v>43087</v>
      </c>
      <c r="O483" s="422"/>
      <c r="P483" s="751" t="s">
        <v>592</v>
      </c>
      <c r="Q483" s="7"/>
      <c r="R483" s="384" t="s">
        <v>2003</v>
      </c>
      <c r="S483" s="316"/>
      <c r="T483" s="78"/>
      <c r="U483" s="421"/>
    </row>
    <row r="484" spans="1:21" s="377" customFormat="1" ht="20.100000000000001" customHeight="1">
      <c r="A484" s="1188" t="s">
        <v>2951</v>
      </c>
      <c r="B484" s="1188" t="s">
        <v>343</v>
      </c>
      <c r="C484" s="1188" t="s">
        <v>1236</v>
      </c>
      <c r="D484" s="32">
        <v>325</v>
      </c>
      <c r="E484" s="32"/>
      <c r="F484" s="32">
        <v>400</v>
      </c>
      <c r="G484" s="63" t="s">
        <v>30</v>
      </c>
      <c r="H484" s="385" t="s">
        <v>742</v>
      </c>
      <c r="I484" s="398" t="s">
        <v>17</v>
      </c>
      <c r="J484" s="37"/>
      <c r="K484" s="428">
        <v>13</v>
      </c>
      <c r="L484" s="379" t="s">
        <v>636</v>
      </c>
      <c r="M484" s="399">
        <v>43081</v>
      </c>
      <c r="N484" s="399">
        <v>43083</v>
      </c>
      <c r="O484" s="423" t="s">
        <v>602</v>
      </c>
      <c r="P484" s="61" t="s">
        <v>1938</v>
      </c>
      <c r="Q484" s="7"/>
      <c r="R484" s="397" t="s">
        <v>1491</v>
      </c>
      <c r="S484" s="316"/>
      <c r="T484" s="78"/>
      <c r="U484" s="421"/>
    </row>
    <row r="485" spans="1:21" s="377" customFormat="1" ht="20.100000000000001" customHeight="1">
      <c r="A485" s="1188" t="s">
        <v>2951</v>
      </c>
      <c r="B485" s="1188" t="s">
        <v>343</v>
      </c>
      <c r="C485" s="1188" t="s">
        <v>1236</v>
      </c>
      <c r="D485" s="11">
        <v>300</v>
      </c>
      <c r="E485" s="11">
        <v>350</v>
      </c>
      <c r="F485" s="11">
        <v>350</v>
      </c>
      <c r="G485" s="70" t="s">
        <v>87</v>
      </c>
      <c r="H485" s="385" t="s">
        <v>742</v>
      </c>
      <c r="I485" s="398" t="s">
        <v>17</v>
      </c>
      <c r="J485" s="37"/>
      <c r="K485" s="428">
        <v>13</v>
      </c>
      <c r="L485" s="386" t="s">
        <v>636</v>
      </c>
      <c r="M485" s="547">
        <v>43081</v>
      </c>
      <c r="N485" s="547">
        <v>43081</v>
      </c>
      <c r="O485" s="422"/>
      <c r="P485" s="59" t="s">
        <v>605</v>
      </c>
      <c r="Q485" s="7"/>
      <c r="R485" s="397" t="s">
        <v>1523</v>
      </c>
      <c r="S485" s="322" t="s">
        <v>2861</v>
      </c>
      <c r="T485" s="78"/>
      <c r="U485" s="421"/>
    </row>
    <row r="486" spans="1:21" s="377" customFormat="1" ht="20.100000000000001" customHeight="1">
      <c r="A486" s="1188" t="s">
        <v>2951</v>
      </c>
      <c r="B486" s="1188" t="s">
        <v>343</v>
      </c>
      <c r="C486" s="1188" t="s">
        <v>1236</v>
      </c>
      <c r="D486" s="32">
        <v>610</v>
      </c>
      <c r="E486" s="32">
        <v>815</v>
      </c>
      <c r="F486" s="32">
        <v>815</v>
      </c>
      <c r="G486" s="111" t="s">
        <v>102</v>
      </c>
      <c r="H486" s="385" t="s">
        <v>742</v>
      </c>
      <c r="I486" s="398" t="s">
        <v>17</v>
      </c>
      <c r="J486" s="37"/>
      <c r="K486" s="428">
        <v>13</v>
      </c>
      <c r="L486" s="386" t="s">
        <v>636</v>
      </c>
      <c r="M486" s="392">
        <v>43067</v>
      </c>
      <c r="N486" s="392">
        <v>43080</v>
      </c>
      <c r="O486" s="419"/>
      <c r="P486" s="61" t="s">
        <v>1934</v>
      </c>
      <c r="Q486" s="7"/>
      <c r="R486" s="49" t="s">
        <v>1454</v>
      </c>
      <c r="S486" s="316" t="s">
        <v>2913</v>
      </c>
      <c r="T486" s="316"/>
      <c r="U486" s="421"/>
    </row>
    <row r="487" spans="1:21" s="377" customFormat="1" ht="20.100000000000001" customHeight="1">
      <c r="A487" s="1188" t="s">
        <v>2951</v>
      </c>
      <c r="B487" s="1188" t="s">
        <v>343</v>
      </c>
      <c r="C487" s="1188" t="s">
        <v>554</v>
      </c>
      <c r="D487" s="32">
        <v>225</v>
      </c>
      <c r="E487" s="32"/>
      <c r="F487" s="32"/>
      <c r="G487" s="63" t="s">
        <v>3894</v>
      </c>
      <c r="H487" s="385" t="s">
        <v>742</v>
      </c>
      <c r="I487" s="398" t="s">
        <v>17</v>
      </c>
      <c r="J487" s="37"/>
      <c r="K487" s="428">
        <v>13</v>
      </c>
      <c r="L487" s="386" t="s">
        <v>636</v>
      </c>
      <c r="M487" s="551">
        <v>43083</v>
      </c>
      <c r="N487" s="551">
        <v>43090</v>
      </c>
      <c r="O487" s="419"/>
      <c r="P487" s="61" t="s">
        <v>3895</v>
      </c>
      <c r="Q487" s="7"/>
      <c r="R487" s="49" t="s">
        <v>1523</v>
      </c>
      <c r="S487" s="704" t="s">
        <v>1176</v>
      </c>
      <c r="T487" s="317" t="s">
        <v>3883</v>
      </c>
      <c r="U487" s="421"/>
    </row>
    <row r="488" spans="1:21" s="377" customFormat="1" ht="20.100000000000001" customHeight="1">
      <c r="A488" s="1188" t="s">
        <v>2951</v>
      </c>
      <c r="B488" s="1188" t="s">
        <v>343</v>
      </c>
      <c r="C488" s="1188" t="s">
        <v>1236</v>
      </c>
      <c r="D488" s="11">
        <v>250</v>
      </c>
      <c r="E488" s="11">
        <v>300</v>
      </c>
      <c r="F488" s="11">
        <v>300</v>
      </c>
      <c r="G488" s="218" t="s">
        <v>10</v>
      </c>
      <c r="H488" s="385" t="s">
        <v>742</v>
      </c>
      <c r="I488" s="398" t="s">
        <v>17</v>
      </c>
      <c r="J488" s="37"/>
      <c r="K488" s="428">
        <v>13</v>
      </c>
      <c r="L488" s="386" t="s">
        <v>636</v>
      </c>
      <c r="M488" s="381">
        <v>43074</v>
      </c>
      <c r="N488" s="547">
        <v>43087</v>
      </c>
      <c r="O488" s="422"/>
      <c r="P488" s="59" t="s">
        <v>1690</v>
      </c>
      <c r="Q488" s="7"/>
      <c r="R488" s="384" t="s">
        <v>2286</v>
      </c>
      <c r="S488" s="315" t="s">
        <v>2904</v>
      </c>
      <c r="T488" s="78"/>
      <c r="U488" s="421"/>
    </row>
    <row r="489" spans="1:21" s="377" customFormat="1" ht="20.100000000000001" customHeight="1">
      <c r="A489" s="1188" t="s">
        <v>2951</v>
      </c>
      <c r="B489" s="1188" t="s">
        <v>343</v>
      </c>
      <c r="C489" s="1188" t="s">
        <v>1236</v>
      </c>
      <c r="D489" s="11">
        <v>250</v>
      </c>
      <c r="E489" s="11">
        <v>300</v>
      </c>
      <c r="F489" s="11">
        <v>300</v>
      </c>
      <c r="G489" s="218" t="s">
        <v>1659</v>
      </c>
      <c r="H489" s="385" t="s">
        <v>742</v>
      </c>
      <c r="I489" s="398" t="s">
        <v>17</v>
      </c>
      <c r="J489" s="37"/>
      <c r="K489" s="428">
        <v>13</v>
      </c>
      <c r="L489" s="386" t="s">
        <v>636</v>
      </c>
      <c r="M489" s="547">
        <v>43081</v>
      </c>
      <c r="N489" s="547">
        <v>43090</v>
      </c>
      <c r="O489" s="422"/>
      <c r="P489" s="61" t="s">
        <v>1927</v>
      </c>
      <c r="Q489" s="7"/>
      <c r="R489" s="384" t="s">
        <v>1886</v>
      </c>
      <c r="S489" s="315" t="s">
        <v>2862</v>
      </c>
      <c r="T489" s="626">
        <v>14</v>
      </c>
      <c r="U489" s="421"/>
    </row>
    <row r="490" spans="1:21" s="377" customFormat="1" ht="20.100000000000001" customHeight="1">
      <c r="A490" s="1188" t="s">
        <v>2951</v>
      </c>
      <c r="B490" s="1188" t="s">
        <v>343</v>
      </c>
      <c r="C490" s="1188" t="s">
        <v>1236</v>
      </c>
      <c r="D490" s="529">
        <v>300</v>
      </c>
      <c r="E490" s="529">
        <v>500</v>
      </c>
      <c r="F490" s="529">
        <v>500</v>
      </c>
      <c r="G490" s="699" t="s">
        <v>14</v>
      </c>
      <c r="H490" s="385" t="s">
        <v>742</v>
      </c>
      <c r="I490" s="398" t="s">
        <v>17</v>
      </c>
      <c r="J490" s="37"/>
      <c r="K490" s="428">
        <v>13</v>
      </c>
      <c r="L490" s="386" t="s">
        <v>636</v>
      </c>
      <c r="M490" s="547">
        <v>43071</v>
      </c>
      <c r="N490" s="547">
        <v>43092</v>
      </c>
      <c r="O490" s="422"/>
      <c r="P490" s="61" t="s">
        <v>964</v>
      </c>
      <c r="Q490" s="7"/>
      <c r="R490" s="424" t="s">
        <v>1523</v>
      </c>
      <c r="S490" s="322"/>
      <c r="T490" s="626"/>
      <c r="U490" s="421"/>
    </row>
    <row r="491" spans="1:21" s="377" customFormat="1" ht="20.100000000000001" customHeight="1">
      <c r="A491" s="1188" t="s">
        <v>2951</v>
      </c>
      <c r="B491" s="1188" t="s">
        <v>343</v>
      </c>
      <c r="C491" s="1188" t="s">
        <v>1236</v>
      </c>
      <c r="D491" s="32">
        <v>250</v>
      </c>
      <c r="E491" s="32">
        <v>290</v>
      </c>
      <c r="F491" s="32">
        <v>290</v>
      </c>
      <c r="G491" s="64" t="s">
        <v>432</v>
      </c>
      <c r="H491" s="385" t="s">
        <v>742</v>
      </c>
      <c r="I491" s="398" t="s">
        <v>17</v>
      </c>
      <c r="J491" s="37"/>
      <c r="K491" s="428">
        <v>13</v>
      </c>
      <c r="L491" s="386" t="s">
        <v>636</v>
      </c>
      <c r="M491" s="547">
        <v>43074</v>
      </c>
      <c r="N491" s="547">
        <v>43089</v>
      </c>
      <c r="O491" s="422"/>
      <c r="P491" s="61" t="s">
        <v>605</v>
      </c>
      <c r="Q491" s="7"/>
      <c r="R491" s="397" t="s">
        <v>1487</v>
      </c>
      <c r="S491" s="319" t="s">
        <v>1176</v>
      </c>
      <c r="T491" s="78"/>
      <c r="U491" s="421"/>
    </row>
    <row r="492" spans="1:21" s="377" customFormat="1" ht="20.100000000000001" customHeight="1">
      <c r="A492" s="1188" t="s">
        <v>2951</v>
      </c>
      <c r="B492" s="1188" t="s">
        <v>343</v>
      </c>
      <c r="C492" s="1188" t="s">
        <v>1236</v>
      </c>
      <c r="D492" s="536">
        <v>300</v>
      </c>
      <c r="E492" s="536">
        <v>350</v>
      </c>
      <c r="F492" s="536">
        <v>350</v>
      </c>
      <c r="G492" s="111" t="s">
        <v>233</v>
      </c>
      <c r="H492" s="385" t="s">
        <v>1135</v>
      </c>
      <c r="I492" s="398" t="s">
        <v>17</v>
      </c>
      <c r="J492" s="37"/>
      <c r="K492" s="428">
        <v>13</v>
      </c>
      <c r="L492" s="386" t="s">
        <v>650</v>
      </c>
      <c r="M492" s="399">
        <v>43075</v>
      </c>
      <c r="N492" s="399">
        <v>43086</v>
      </c>
      <c r="O492" s="423" t="s">
        <v>601</v>
      </c>
      <c r="P492" s="751" t="s">
        <v>592</v>
      </c>
      <c r="Q492" s="7"/>
      <c r="R492" s="397" t="s">
        <v>247</v>
      </c>
      <c r="S492" s="316"/>
      <c r="T492" s="78"/>
      <c r="U492" s="421"/>
    </row>
    <row r="493" spans="1:21" s="377" customFormat="1" ht="20.100000000000001" customHeight="1">
      <c r="A493" s="1188" t="s">
        <v>2951</v>
      </c>
      <c r="B493" s="1188" t="s">
        <v>343</v>
      </c>
      <c r="C493" s="1188" t="s">
        <v>1236</v>
      </c>
      <c r="D493" s="32">
        <v>275</v>
      </c>
      <c r="E493" s="32"/>
      <c r="F493" s="32"/>
      <c r="G493" s="220" t="s">
        <v>956</v>
      </c>
      <c r="H493" s="385" t="s">
        <v>659</v>
      </c>
      <c r="I493" s="398" t="s">
        <v>17</v>
      </c>
      <c r="J493" s="37"/>
      <c r="K493" s="428">
        <v>13</v>
      </c>
      <c r="L493" s="386" t="s">
        <v>641</v>
      </c>
      <c r="M493" s="6">
        <v>43087</v>
      </c>
      <c r="N493" s="6">
        <v>43093</v>
      </c>
      <c r="O493" s="422"/>
      <c r="P493" s="59" t="s">
        <v>964</v>
      </c>
      <c r="Q493" s="7"/>
      <c r="R493" s="424" t="s">
        <v>247</v>
      </c>
      <c r="S493" s="322" t="s">
        <v>1176</v>
      </c>
      <c r="T493" s="78"/>
      <c r="U493" s="421"/>
    </row>
    <row r="494" spans="1:21" s="377" customFormat="1" ht="20.100000000000001" customHeight="1">
      <c r="A494" s="1188" t="s">
        <v>2951</v>
      </c>
      <c r="B494" s="1188" t="s">
        <v>343</v>
      </c>
      <c r="C494" s="1188" t="s">
        <v>1236</v>
      </c>
      <c r="D494" s="11">
        <v>360</v>
      </c>
      <c r="E494" s="11"/>
      <c r="F494" s="11">
        <v>420</v>
      </c>
      <c r="G494" s="224" t="s">
        <v>1474</v>
      </c>
      <c r="H494" s="385" t="s">
        <v>659</v>
      </c>
      <c r="I494" s="398" t="s">
        <v>17</v>
      </c>
      <c r="J494" s="37"/>
      <c r="K494" s="428">
        <v>13</v>
      </c>
      <c r="L494" s="386" t="s">
        <v>641</v>
      </c>
      <c r="M494" s="547">
        <v>43082</v>
      </c>
      <c r="N494" s="547">
        <v>43087</v>
      </c>
      <c r="O494" s="422"/>
      <c r="P494" s="751" t="s">
        <v>592</v>
      </c>
      <c r="Q494" s="7"/>
      <c r="R494" s="384" t="s">
        <v>1475</v>
      </c>
      <c r="S494" s="322"/>
      <c r="T494" s="78"/>
      <c r="U494" s="421"/>
    </row>
    <row r="495" spans="1:21" s="377" customFormat="1" ht="20.100000000000001" customHeight="1">
      <c r="A495" s="1188" t="s">
        <v>2951</v>
      </c>
      <c r="B495" s="1188" t="s">
        <v>343</v>
      </c>
      <c r="C495" s="1188" t="s">
        <v>1236</v>
      </c>
      <c r="D495" s="941">
        <v>325</v>
      </c>
      <c r="E495" s="941">
        <v>440</v>
      </c>
      <c r="F495" s="941">
        <v>440</v>
      </c>
      <c r="G495" s="111" t="s">
        <v>12</v>
      </c>
      <c r="H495" s="385" t="s">
        <v>1135</v>
      </c>
      <c r="I495" s="398" t="s">
        <v>17</v>
      </c>
      <c r="J495" s="37"/>
      <c r="K495" s="428">
        <v>13</v>
      </c>
      <c r="L495" s="386" t="s">
        <v>641</v>
      </c>
      <c r="M495" s="551">
        <v>43084</v>
      </c>
      <c r="N495" s="551">
        <v>43091</v>
      </c>
      <c r="O495" s="419"/>
      <c r="P495" s="72" t="s">
        <v>593</v>
      </c>
      <c r="Q495" s="7"/>
      <c r="R495" s="397" t="s">
        <v>247</v>
      </c>
      <c r="S495" s="315" t="s">
        <v>2912</v>
      </c>
      <c r="T495" s="688" t="s">
        <v>2840</v>
      </c>
      <c r="U495" s="421"/>
    </row>
    <row r="496" spans="1:21" s="377" customFormat="1" ht="20.100000000000001" customHeight="1">
      <c r="A496" s="1188" t="s">
        <v>2951</v>
      </c>
      <c r="B496" s="1188" t="s">
        <v>343</v>
      </c>
      <c r="C496" s="1188" t="s">
        <v>1236</v>
      </c>
      <c r="D496" s="800" t="s">
        <v>4506</v>
      </c>
      <c r="E496" s="800" t="s">
        <v>4084</v>
      </c>
      <c r="F496" s="800" t="s">
        <v>4084</v>
      </c>
      <c r="G496" s="803" t="s">
        <v>18</v>
      </c>
      <c r="H496" s="425">
        <v>7</v>
      </c>
      <c r="I496" s="379" t="s">
        <v>17</v>
      </c>
      <c r="J496" s="51"/>
      <c r="K496" s="429" t="s">
        <v>1012</v>
      </c>
      <c r="L496" s="380" t="s">
        <v>649</v>
      </c>
      <c r="M496" s="381">
        <v>43084</v>
      </c>
      <c r="N496" s="381">
        <v>43100</v>
      </c>
      <c r="O496" s="422"/>
      <c r="P496" s="61" t="s">
        <v>622</v>
      </c>
      <c r="Q496" s="7"/>
      <c r="R496" s="384" t="s">
        <v>273</v>
      </c>
      <c r="S496" s="316" t="s">
        <v>2905</v>
      </c>
      <c r="T496" s="716"/>
      <c r="U496" s="421"/>
    </row>
    <row r="497" spans="1:21" s="377" customFormat="1" ht="20.100000000000001" customHeight="1">
      <c r="A497" s="1144" t="s">
        <v>2951</v>
      </c>
      <c r="B497" s="1185" t="s">
        <v>343</v>
      </c>
      <c r="C497" s="1144" t="s">
        <v>4290</v>
      </c>
      <c r="D497" s="792">
        <v>335</v>
      </c>
      <c r="E497" s="792"/>
      <c r="F497" s="792">
        <v>370</v>
      </c>
      <c r="G497" s="224" t="s">
        <v>231</v>
      </c>
      <c r="H497" s="417" t="s">
        <v>634</v>
      </c>
      <c r="I497" s="380" t="s">
        <v>23</v>
      </c>
      <c r="J497" s="37"/>
      <c r="K497" s="415"/>
      <c r="L497" s="379" t="s">
        <v>637</v>
      </c>
      <c r="M497" s="381">
        <v>43040</v>
      </c>
      <c r="N497" s="547">
        <v>43087</v>
      </c>
      <c r="O497" s="422"/>
      <c r="P497" s="751" t="s">
        <v>592</v>
      </c>
      <c r="Q497" s="7"/>
      <c r="R497" s="384" t="s">
        <v>1480</v>
      </c>
      <c r="S497" s="316"/>
      <c r="T497" s="689"/>
      <c r="U497" s="421"/>
    </row>
    <row r="498" spans="1:21" s="377" customFormat="1" ht="20.100000000000001" customHeight="1">
      <c r="A498" s="1145" t="s">
        <v>2951</v>
      </c>
      <c r="B498" s="1186" t="s">
        <v>343</v>
      </c>
      <c r="C498" s="1186" t="s">
        <v>554</v>
      </c>
      <c r="D498" s="529">
        <v>750</v>
      </c>
      <c r="E498" s="529">
        <v>900</v>
      </c>
      <c r="F498" s="529">
        <v>800</v>
      </c>
      <c r="G498" s="29" t="s">
        <v>28</v>
      </c>
      <c r="H498" s="385" t="s">
        <v>742</v>
      </c>
      <c r="I498" s="398" t="s">
        <v>126</v>
      </c>
      <c r="J498" s="681"/>
      <c r="K498" s="426" t="s">
        <v>665</v>
      </c>
      <c r="L498" s="398" t="s">
        <v>639</v>
      </c>
      <c r="M498" s="392">
        <v>43084</v>
      </c>
      <c r="N498" s="392">
        <v>43088</v>
      </c>
      <c r="O498" s="423" t="s">
        <v>601</v>
      </c>
      <c r="P498" s="61" t="s">
        <v>1943</v>
      </c>
      <c r="Q498" s="7"/>
      <c r="R498" s="424" t="s">
        <v>171</v>
      </c>
      <c r="S498" s="316" t="s">
        <v>2909</v>
      </c>
      <c r="T498" s="78"/>
      <c r="U498" s="421"/>
    </row>
    <row r="499" spans="1:21" s="377" customFormat="1" ht="20.100000000000001" customHeight="1">
      <c r="A499" s="1145" t="s">
        <v>2951</v>
      </c>
      <c r="B499" s="1186" t="s">
        <v>343</v>
      </c>
      <c r="C499" s="1186" t="s">
        <v>554</v>
      </c>
      <c r="D499" s="32">
        <v>225</v>
      </c>
      <c r="E499" s="32">
        <v>250</v>
      </c>
      <c r="F499" s="32">
        <v>250</v>
      </c>
      <c r="G499" s="111" t="s">
        <v>35</v>
      </c>
      <c r="H499" s="430" t="s">
        <v>659</v>
      </c>
      <c r="I499" s="398" t="s">
        <v>80</v>
      </c>
      <c r="J499" s="37"/>
      <c r="K499" s="398">
        <v>23</v>
      </c>
      <c r="L499" s="415" t="s">
        <v>637</v>
      </c>
      <c r="M499" s="404">
        <v>43068</v>
      </c>
      <c r="N499" s="404">
        <v>43086</v>
      </c>
      <c r="O499" s="422"/>
      <c r="P499" s="61" t="s">
        <v>605</v>
      </c>
      <c r="Q499" s="7"/>
      <c r="R499" s="397" t="s">
        <v>191</v>
      </c>
      <c r="S499" s="316" t="s">
        <v>2898</v>
      </c>
      <c r="T499" s="689"/>
      <c r="U499" s="421"/>
    </row>
    <row r="500" spans="1:21" s="377" customFormat="1" ht="20.100000000000001" customHeight="1">
      <c r="A500" s="1145" t="s">
        <v>2951</v>
      </c>
      <c r="B500" s="1186" t="s">
        <v>343</v>
      </c>
      <c r="C500" s="1186" t="s">
        <v>554</v>
      </c>
      <c r="D500" s="537">
        <v>500</v>
      </c>
      <c r="E500" s="537">
        <v>700</v>
      </c>
      <c r="F500" s="537">
        <v>700</v>
      </c>
      <c r="G500" s="63" t="s">
        <v>61</v>
      </c>
      <c r="H500" s="425" t="s">
        <v>2114</v>
      </c>
      <c r="I500" s="386" t="s">
        <v>16</v>
      </c>
      <c r="J500" s="682"/>
      <c r="K500" s="398" t="s">
        <v>1959</v>
      </c>
      <c r="L500" s="415" t="s">
        <v>637</v>
      </c>
      <c r="M500" s="404">
        <v>43040</v>
      </c>
      <c r="N500" s="404">
        <v>43100</v>
      </c>
      <c r="O500" s="423" t="s">
        <v>601</v>
      </c>
      <c r="P500" s="61" t="s">
        <v>594</v>
      </c>
      <c r="Q500" s="677"/>
      <c r="R500" s="431" t="s">
        <v>2268</v>
      </c>
      <c r="S500" s="316" t="s">
        <v>2914</v>
      </c>
      <c r="T500" s="689"/>
      <c r="U500" s="421"/>
    </row>
    <row r="501" spans="1:21" s="377" customFormat="1" ht="20.100000000000001" customHeight="1">
      <c r="A501" s="1146" t="s">
        <v>2951</v>
      </c>
      <c r="B501" s="1187" t="s">
        <v>343</v>
      </c>
      <c r="C501" s="1187" t="s">
        <v>554</v>
      </c>
      <c r="D501" s="529">
        <v>550</v>
      </c>
      <c r="E501" s="529">
        <v>800</v>
      </c>
      <c r="F501" s="529">
        <v>800</v>
      </c>
      <c r="G501" s="699" t="s">
        <v>242</v>
      </c>
      <c r="H501" s="385" t="s">
        <v>706</v>
      </c>
      <c r="I501" s="386" t="s">
        <v>16</v>
      </c>
      <c r="J501" s="38"/>
      <c r="K501" s="386">
        <v>15</v>
      </c>
      <c r="L501" s="379" t="s">
        <v>643</v>
      </c>
      <c r="M501" s="392">
        <v>42962</v>
      </c>
      <c r="N501" s="392">
        <v>43100</v>
      </c>
      <c r="O501" s="422"/>
      <c r="P501" s="61" t="s">
        <v>1411</v>
      </c>
      <c r="Q501" s="7"/>
      <c r="R501" s="397" t="s">
        <v>1783</v>
      </c>
      <c r="S501" s="316" t="s">
        <v>1412</v>
      </c>
      <c r="T501" s="716"/>
      <c r="U501" s="421"/>
    </row>
    <row r="502" spans="1:21" s="377" customFormat="1" ht="20.100000000000001" customHeight="1">
      <c r="A502" s="1128" t="s">
        <v>1111</v>
      </c>
      <c r="B502" s="1188" t="s">
        <v>343</v>
      </c>
      <c r="C502" s="1188" t="s">
        <v>554</v>
      </c>
      <c r="D502" s="32">
        <v>250</v>
      </c>
      <c r="E502" s="32">
        <v>290</v>
      </c>
      <c r="F502" s="32">
        <v>290</v>
      </c>
      <c r="G502" s="64" t="s">
        <v>432</v>
      </c>
      <c r="H502" s="385" t="s">
        <v>742</v>
      </c>
      <c r="I502" s="398" t="s">
        <v>17</v>
      </c>
      <c r="J502" s="37"/>
      <c r="K502" s="428">
        <v>13</v>
      </c>
      <c r="L502" s="386" t="s">
        <v>636</v>
      </c>
      <c r="M502" s="547">
        <v>43074</v>
      </c>
      <c r="N502" s="547">
        <v>43089</v>
      </c>
      <c r="O502" s="422"/>
      <c r="P502" s="61" t="s">
        <v>605</v>
      </c>
      <c r="Q502" s="677" t="s">
        <v>3029</v>
      </c>
      <c r="R502" s="397" t="s">
        <v>173</v>
      </c>
      <c r="S502" s="319" t="s">
        <v>1176</v>
      </c>
      <c r="T502" s="689"/>
      <c r="U502" s="421"/>
    </row>
    <row r="503" spans="1:21" s="377" customFormat="1" ht="20.100000000000001" customHeight="1">
      <c r="A503" s="1128" t="s">
        <v>1111</v>
      </c>
      <c r="B503" s="1188" t="s">
        <v>343</v>
      </c>
      <c r="C503" s="1188" t="s">
        <v>554</v>
      </c>
      <c r="D503" s="32">
        <v>225</v>
      </c>
      <c r="E503" s="32">
        <v>250</v>
      </c>
      <c r="F503" s="32">
        <v>250</v>
      </c>
      <c r="G503" s="29" t="s">
        <v>29</v>
      </c>
      <c r="H503" s="430" t="s">
        <v>659</v>
      </c>
      <c r="I503" s="398" t="s">
        <v>80</v>
      </c>
      <c r="J503" s="37"/>
      <c r="K503" s="398">
        <v>23</v>
      </c>
      <c r="L503" s="415" t="s">
        <v>637</v>
      </c>
      <c r="M503" s="404">
        <v>43068</v>
      </c>
      <c r="N503" s="404">
        <v>43086</v>
      </c>
      <c r="O503" s="422"/>
      <c r="P503" s="61" t="s">
        <v>605</v>
      </c>
      <c r="Q503" s="677" t="s">
        <v>3023</v>
      </c>
      <c r="R503" s="397" t="s">
        <v>191</v>
      </c>
      <c r="S503" s="316" t="s">
        <v>2898</v>
      </c>
      <c r="T503" s="689"/>
      <c r="U503" s="421"/>
    </row>
    <row r="504" spans="1:21" s="377" customFormat="1" ht="20.100000000000001" customHeight="1">
      <c r="A504" s="1128" t="s">
        <v>1111</v>
      </c>
      <c r="B504" s="1188" t="s">
        <v>343</v>
      </c>
      <c r="C504" s="1188" t="s">
        <v>554</v>
      </c>
      <c r="D504" s="32">
        <v>225</v>
      </c>
      <c r="E504" s="32">
        <v>250</v>
      </c>
      <c r="F504" s="32">
        <v>250</v>
      </c>
      <c r="G504" s="29" t="s">
        <v>29</v>
      </c>
      <c r="H504" s="430" t="s">
        <v>659</v>
      </c>
      <c r="I504" s="398" t="s">
        <v>80</v>
      </c>
      <c r="J504" s="37"/>
      <c r="K504" s="398">
        <v>23</v>
      </c>
      <c r="L504" s="415" t="s">
        <v>637</v>
      </c>
      <c r="M504" s="404">
        <v>43068</v>
      </c>
      <c r="N504" s="404">
        <v>43086</v>
      </c>
      <c r="O504" s="422"/>
      <c r="P504" s="61" t="s">
        <v>605</v>
      </c>
      <c r="Q504" s="677" t="s">
        <v>3030</v>
      </c>
      <c r="R504" s="397" t="s">
        <v>191</v>
      </c>
      <c r="S504" s="316" t="s">
        <v>2898</v>
      </c>
      <c r="T504" s="689"/>
      <c r="U504" s="421"/>
    </row>
    <row r="505" spans="1:21" s="377" customFormat="1" ht="20.100000000000001" customHeight="1">
      <c r="A505" s="1128" t="s">
        <v>1111</v>
      </c>
      <c r="B505" s="1188" t="s">
        <v>1237</v>
      </c>
      <c r="C505" s="1188" t="s">
        <v>1236</v>
      </c>
      <c r="D505" s="32">
        <v>850</v>
      </c>
      <c r="E505" s="32">
        <v>1000</v>
      </c>
      <c r="F505" s="32">
        <v>900</v>
      </c>
      <c r="G505" s="70" t="s">
        <v>28</v>
      </c>
      <c r="H505" s="385" t="s">
        <v>742</v>
      </c>
      <c r="I505" s="398" t="s">
        <v>126</v>
      </c>
      <c r="J505" s="681"/>
      <c r="K505" s="426" t="s">
        <v>665</v>
      </c>
      <c r="L505" s="398" t="s">
        <v>639</v>
      </c>
      <c r="M505" s="392">
        <v>43084</v>
      </c>
      <c r="N505" s="392">
        <v>43088</v>
      </c>
      <c r="O505" s="423" t="s">
        <v>601</v>
      </c>
      <c r="P505" s="61" t="s">
        <v>1943</v>
      </c>
      <c r="Q505" s="677" t="s">
        <v>3029</v>
      </c>
      <c r="R505" s="424" t="s">
        <v>171</v>
      </c>
      <c r="S505" s="316" t="s">
        <v>2909</v>
      </c>
      <c r="T505" s="689"/>
      <c r="U505" s="421"/>
    </row>
    <row r="506" spans="1:21" s="377" customFormat="1" ht="20.100000000000001" customHeight="1">
      <c r="A506" s="1186" t="s">
        <v>2951</v>
      </c>
      <c r="B506" s="1186" t="s">
        <v>1122</v>
      </c>
      <c r="C506" s="1186" t="s">
        <v>511</v>
      </c>
      <c r="D506" s="32">
        <v>485</v>
      </c>
      <c r="E506" s="32"/>
      <c r="F506" s="32">
        <v>670</v>
      </c>
      <c r="G506" s="224" t="s">
        <v>1474</v>
      </c>
      <c r="H506" s="417" t="s">
        <v>1477</v>
      </c>
      <c r="I506" s="380" t="s">
        <v>23</v>
      </c>
      <c r="J506" s="50"/>
      <c r="K506" s="379" t="s">
        <v>1479</v>
      </c>
      <c r="L506" s="379" t="s">
        <v>1478</v>
      </c>
      <c r="M506" s="381">
        <v>43040</v>
      </c>
      <c r="N506" s="547">
        <v>43087</v>
      </c>
      <c r="O506" s="422"/>
      <c r="P506" s="61"/>
      <c r="Q506" s="7"/>
      <c r="R506" s="384" t="s">
        <v>1480</v>
      </c>
      <c r="S506" s="322"/>
      <c r="T506" s="689"/>
      <c r="U506" s="421"/>
    </row>
    <row r="507" spans="1:21" s="377" customFormat="1" ht="20.100000000000001" customHeight="1">
      <c r="A507" s="1186" t="s">
        <v>2951</v>
      </c>
      <c r="B507" s="1186" t="s">
        <v>1122</v>
      </c>
      <c r="C507" s="1186" t="s">
        <v>511</v>
      </c>
      <c r="D507" s="891">
        <v>415</v>
      </c>
      <c r="E507" s="890">
        <v>580</v>
      </c>
      <c r="F507" s="890">
        <v>580</v>
      </c>
      <c r="G507" s="66" t="s">
        <v>158</v>
      </c>
      <c r="H507" s="385" t="s">
        <v>742</v>
      </c>
      <c r="I507" s="380" t="s">
        <v>17</v>
      </c>
      <c r="J507" s="34"/>
      <c r="K507" s="429" t="s">
        <v>727</v>
      </c>
      <c r="L507" s="386" t="s">
        <v>636</v>
      </c>
      <c r="M507" s="391">
        <v>43087</v>
      </c>
      <c r="N507" s="391">
        <v>43093</v>
      </c>
      <c r="O507" s="419"/>
      <c r="P507" s="61"/>
      <c r="Q507" s="7"/>
      <c r="R507" s="397" t="s">
        <v>1453</v>
      </c>
      <c r="S507" s="316" t="s">
        <v>2902</v>
      </c>
      <c r="T507" s="137"/>
      <c r="U507" s="421"/>
    </row>
    <row r="508" spans="1:21" s="377" customFormat="1" ht="20.100000000000001" customHeight="1">
      <c r="A508" s="1186" t="s">
        <v>2951</v>
      </c>
      <c r="B508" s="1186" t="s">
        <v>1122</v>
      </c>
      <c r="C508" s="1186" t="s">
        <v>511</v>
      </c>
      <c r="D508" s="535">
        <v>400</v>
      </c>
      <c r="E508" s="535">
        <v>450</v>
      </c>
      <c r="F508" s="535">
        <v>450</v>
      </c>
      <c r="G508" s="220" t="s">
        <v>51</v>
      </c>
      <c r="H508" s="385" t="s">
        <v>742</v>
      </c>
      <c r="I508" s="380" t="s">
        <v>17</v>
      </c>
      <c r="J508" s="34"/>
      <c r="K508" s="429" t="s">
        <v>727</v>
      </c>
      <c r="L508" s="386" t="s">
        <v>636</v>
      </c>
      <c r="M508" s="381">
        <v>43084</v>
      </c>
      <c r="N508" s="381">
        <v>43089</v>
      </c>
      <c r="O508" s="422"/>
      <c r="P508" s="61"/>
      <c r="Q508" s="7"/>
      <c r="R508" s="397" t="s">
        <v>1454</v>
      </c>
      <c r="S508" s="316"/>
      <c r="T508" s="689"/>
      <c r="U508" s="421"/>
    </row>
    <row r="509" spans="1:21" ht="20.100000000000001" customHeight="1">
      <c r="A509" s="1186" t="s">
        <v>2951</v>
      </c>
      <c r="B509" s="1186" t="s">
        <v>1122</v>
      </c>
      <c r="C509" s="1186" t="s">
        <v>511</v>
      </c>
      <c r="D509" s="11">
        <v>425</v>
      </c>
      <c r="E509" s="11">
        <v>550</v>
      </c>
      <c r="F509" s="11">
        <v>550</v>
      </c>
      <c r="G509" s="70" t="s">
        <v>5</v>
      </c>
      <c r="H509" s="674" t="s">
        <v>742</v>
      </c>
      <c r="I509" s="50" t="s">
        <v>17</v>
      </c>
      <c r="J509" s="34"/>
      <c r="K509" s="19" t="s">
        <v>727</v>
      </c>
      <c r="L509" s="38" t="s">
        <v>636</v>
      </c>
      <c r="M509" s="6">
        <v>43080</v>
      </c>
      <c r="N509" s="6">
        <v>43086</v>
      </c>
      <c r="O509" s="675" t="s">
        <v>600</v>
      </c>
      <c r="P509" s="61" t="s">
        <v>622</v>
      </c>
      <c r="Q509" s="7"/>
      <c r="R509" s="73" t="s">
        <v>1482</v>
      </c>
      <c r="S509" s="315" t="s">
        <v>2893</v>
      </c>
      <c r="T509" s="689"/>
      <c r="U509" s="42"/>
    </row>
    <row r="510" spans="1:21" ht="20.100000000000001" customHeight="1">
      <c r="A510" s="1186" t="s">
        <v>2951</v>
      </c>
      <c r="B510" s="1186" t="s">
        <v>1122</v>
      </c>
      <c r="C510" s="1186" t="s">
        <v>511</v>
      </c>
      <c r="D510" s="1064">
        <v>600</v>
      </c>
      <c r="E510" s="1064">
        <v>800</v>
      </c>
      <c r="F510" s="1064">
        <v>800</v>
      </c>
      <c r="G510" s="706" t="s">
        <v>874</v>
      </c>
      <c r="H510" s="674" t="s">
        <v>742</v>
      </c>
      <c r="I510" s="50" t="s">
        <v>17</v>
      </c>
      <c r="J510" s="34"/>
      <c r="K510" s="19" t="s">
        <v>727</v>
      </c>
      <c r="L510" s="38" t="s">
        <v>636</v>
      </c>
      <c r="M510" s="391">
        <v>43086</v>
      </c>
      <c r="N510" s="391">
        <v>43092</v>
      </c>
      <c r="O510" s="422"/>
      <c r="P510" s="7" t="s">
        <v>590</v>
      </c>
      <c r="Q510" s="7"/>
      <c r="R510" s="49" t="s">
        <v>1523</v>
      </c>
      <c r="S510" s="316" t="s">
        <v>1176</v>
      </c>
      <c r="T510" s="689"/>
      <c r="U510" s="42"/>
    </row>
    <row r="511" spans="1:21" ht="20.100000000000001" customHeight="1">
      <c r="A511" s="1186" t="s">
        <v>2951</v>
      </c>
      <c r="B511" s="1186" t="s">
        <v>1122</v>
      </c>
      <c r="C511" s="1186" t="s">
        <v>511</v>
      </c>
      <c r="D511" s="11">
        <v>460</v>
      </c>
      <c r="E511" s="11"/>
      <c r="F511" s="11">
        <v>670</v>
      </c>
      <c r="G511" s="224" t="s">
        <v>1474</v>
      </c>
      <c r="H511" s="674" t="s">
        <v>742</v>
      </c>
      <c r="I511" s="50" t="s">
        <v>17</v>
      </c>
      <c r="J511" s="34"/>
      <c r="K511" s="19" t="s">
        <v>727</v>
      </c>
      <c r="L511" s="38" t="s">
        <v>636</v>
      </c>
      <c r="M511" s="547">
        <v>43074</v>
      </c>
      <c r="N511" s="547">
        <v>43087</v>
      </c>
      <c r="O511" s="675"/>
      <c r="P511" s="61"/>
      <c r="Q511" s="7"/>
      <c r="R511" s="384" t="s">
        <v>2003</v>
      </c>
      <c r="S511" s="316"/>
      <c r="T511" s="770"/>
      <c r="U511" s="42"/>
    </row>
    <row r="512" spans="1:21" s="377" customFormat="1" ht="20.100000000000001" customHeight="1">
      <c r="A512" s="1186" t="s">
        <v>2951</v>
      </c>
      <c r="B512" s="1186" t="s">
        <v>1122</v>
      </c>
      <c r="C512" s="1186" t="s">
        <v>511</v>
      </c>
      <c r="D512" s="538">
        <v>325</v>
      </c>
      <c r="E512" s="538">
        <v>400</v>
      </c>
      <c r="F512" s="538">
        <v>400</v>
      </c>
      <c r="G512" s="70" t="s">
        <v>87</v>
      </c>
      <c r="H512" s="385" t="s">
        <v>742</v>
      </c>
      <c r="I512" s="380" t="s">
        <v>17</v>
      </c>
      <c r="J512" s="34"/>
      <c r="K512" s="429" t="s">
        <v>727</v>
      </c>
      <c r="L512" s="386" t="s">
        <v>636</v>
      </c>
      <c r="M512" s="547">
        <v>43081</v>
      </c>
      <c r="N512" s="547">
        <v>43081</v>
      </c>
      <c r="O512" s="387"/>
      <c r="P512" s="59" t="s">
        <v>4199</v>
      </c>
      <c r="Q512" s="7"/>
      <c r="R512" s="397" t="s">
        <v>1523</v>
      </c>
      <c r="S512" s="322" t="s">
        <v>2861</v>
      </c>
      <c r="T512" s="689"/>
      <c r="U512" s="421"/>
    </row>
    <row r="513" spans="1:21" s="377" customFormat="1" ht="20.100000000000001" customHeight="1">
      <c r="A513" s="1186" t="s">
        <v>2951</v>
      </c>
      <c r="B513" s="1186" t="s">
        <v>1122</v>
      </c>
      <c r="C513" s="1186" t="s">
        <v>511</v>
      </c>
      <c r="D513" s="32">
        <v>610</v>
      </c>
      <c r="E513" s="32">
        <v>1215</v>
      </c>
      <c r="F513" s="32">
        <v>1215</v>
      </c>
      <c r="G513" s="111" t="s">
        <v>37</v>
      </c>
      <c r="H513" s="385" t="s">
        <v>742</v>
      </c>
      <c r="I513" s="380" t="s">
        <v>17</v>
      </c>
      <c r="J513" s="34"/>
      <c r="K513" s="429" t="s">
        <v>727</v>
      </c>
      <c r="L513" s="386" t="s">
        <v>636</v>
      </c>
      <c r="M513" s="392">
        <v>43067</v>
      </c>
      <c r="N513" s="392">
        <v>43080</v>
      </c>
      <c r="O513" s="419"/>
      <c r="P513" s="750"/>
      <c r="Q513" s="7"/>
      <c r="R513" s="49" t="s">
        <v>1454</v>
      </c>
      <c r="S513" s="316" t="s">
        <v>2913</v>
      </c>
      <c r="T513" s="316"/>
      <c r="U513" s="421"/>
    </row>
    <row r="514" spans="1:21" s="377" customFormat="1" ht="20.100000000000001" customHeight="1">
      <c r="A514" s="1186" t="s">
        <v>2951</v>
      </c>
      <c r="B514" s="1186" t="s">
        <v>1122</v>
      </c>
      <c r="C514" s="1186" t="s">
        <v>511</v>
      </c>
      <c r="D514" s="32">
        <v>400</v>
      </c>
      <c r="E514" s="32">
        <v>550</v>
      </c>
      <c r="F514" s="32">
        <v>550</v>
      </c>
      <c r="G514" s="220" t="s">
        <v>10</v>
      </c>
      <c r="H514" s="385" t="s">
        <v>742</v>
      </c>
      <c r="I514" s="380" t="s">
        <v>17</v>
      </c>
      <c r="J514" s="34"/>
      <c r="K514" s="429" t="s">
        <v>727</v>
      </c>
      <c r="L514" s="386" t="s">
        <v>636</v>
      </c>
      <c r="M514" s="381">
        <v>43067</v>
      </c>
      <c r="N514" s="547">
        <v>43087</v>
      </c>
      <c r="O514" s="422"/>
      <c r="P514" s="59"/>
      <c r="Q514" s="7"/>
      <c r="R514" s="384" t="s">
        <v>2286</v>
      </c>
      <c r="S514" s="315" t="s">
        <v>2904</v>
      </c>
      <c r="T514" s="689"/>
      <c r="U514" s="421"/>
    </row>
    <row r="515" spans="1:21" s="377" customFormat="1" ht="20.100000000000001" customHeight="1">
      <c r="A515" s="1186" t="s">
        <v>2951</v>
      </c>
      <c r="B515" s="1186" t="s">
        <v>1122</v>
      </c>
      <c r="C515" s="1186" t="s">
        <v>511</v>
      </c>
      <c r="D515" s="11">
        <v>250</v>
      </c>
      <c r="E515" s="11">
        <v>300</v>
      </c>
      <c r="F515" s="11">
        <v>300</v>
      </c>
      <c r="G515" s="220" t="s">
        <v>1659</v>
      </c>
      <c r="H515" s="385" t="s">
        <v>742</v>
      </c>
      <c r="I515" s="380" t="s">
        <v>17</v>
      </c>
      <c r="J515" s="34"/>
      <c r="K515" s="429" t="s">
        <v>727</v>
      </c>
      <c r="L515" s="386" t="s">
        <v>636</v>
      </c>
      <c r="M515" s="547">
        <v>43081</v>
      </c>
      <c r="N515" s="547">
        <v>43090</v>
      </c>
      <c r="O515" s="422"/>
      <c r="P515" s="61" t="s">
        <v>1927</v>
      </c>
      <c r="Q515" s="7"/>
      <c r="R515" s="384" t="s">
        <v>1886</v>
      </c>
      <c r="S515" s="315" t="s">
        <v>2862</v>
      </c>
      <c r="T515" s="626">
        <v>14</v>
      </c>
      <c r="U515" s="421"/>
    </row>
    <row r="516" spans="1:21" s="377" customFormat="1" ht="20.100000000000001" customHeight="1">
      <c r="A516" s="1186" t="s">
        <v>2951</v>
      </c>
      <c r="B516" s="1186" t="s">
        <v>1122</v>
      </c>
      <c r="C516" s="1186" t="s">
        <v>511</v>
      </c>
      <c r="D516" s="32">
        <v>300</v>
      </c>
      <c r="E516" s="32">
        <v>340</v>
      </c>
      <c r="F516" s="32">
        <v>340</v>
      </c>
      <c r="G516" s="64" t="s">
        <v>432</v>
      </c>
      <c r="H516" s="385" t="s">
        <v>742</v>
      </c>
      <c r="I516" s="380" t="s">
        <v>17</v>
      </c>
      <c r="J516" s="34"/>
      <c r="K516" s="429" t="s">
        <v>727</v>
      </c>
      <c r="L516" s="386" t="s">
        <v>636</v>
      </c>
      <c r="M516" s="391">
        <v>43067</v>
      </c>
      <c r="N516" s="547">
        <v>43089</v>
      </c>
      <c r="O516" s="422"/>
      <c r="P516" s="61" t="s">
        <v>605</v>
      </c>
      <c r="Q516" s="7"/>
      <c r="R516" s="397" t="s">
        <v>173</v>
      </c>
      <c r="S516" s="319" t="s">
        <v>1176</v>
      </c>
      <c r="T516" s="689"/>
      <c r="U516" s="421"/>
    </row>
    <row r="517" spans="1:21" s="377" customFormat="1" ht="20.100000000000001" customHeight="1">
      <c r="A517" s="1186" t="s">
        <v>2951</v>
      </c>
      <c r="B517" s="1186" t="s">
        <v>1122</v>
      </c>
      <c r="C517" s="1186" t="s">
        <v>511</v>
      </c>
      <c r="D517" s="537"/>
      <c r="E517" s="537"/>
      <c r="F517" s="537"/>
      <c r="G517" s="70" t="s">
        <v>30</v>
      </c>
      <c r="H517" s="417" t="s">
        <v>742</v>
      </c>
      <c r="I517" s="379" t="s">
        <v>16</v>
      </c>
      <c r="J517" s="51"/>
      <c r="K517" s="429">
        <v>20</v>
      </c>
      <c r="L517" s="429" t="s">
        <v>637</v>
      </c>
      <c r="M517" s="399">
        <v>43040</v>
      </c>
      <c r="N517" s="399">
        <v>43069</v>
      </c>
      <c r="O517" s="423" t="s">
        <v>602</v>
      </c>
      <c r="P517" s="106"/>
      <c r="Q517" s="745"/>
      <c r="R517" s="424" t="s">
        <v>1977</v>
      </c>
      <c r="S517" s="316"/>
      <c r="T517" s="689"/>
      <c r="U517" s="421"/>
    </row>
    <row r="518" spans="1:21" s="377" customFormat="1" ht="20.100000000000001" customHeight="1">
      <c r="A518" s="1186" t="s">
        <v>2951</v>
      </c>
      <c r="B518" s="1186" t="s">
        <v>1122</v>
      </c>
      <c r="C518" s="1186" t="s">
        <v>511</v>
      </c>
      <c r="D518" s="32">
        <v>650</v>
      </c>
      <c r="E518" s="32"/>
      <c r="F518" s="32"/>
      <c r="G518" s="699" t="s">
        <v>956</v>
      </c>
      <c r="H518" s="55" t="s">
        <v>3015</v>
      </c>
      <c r="I518" s="379" t="s">
        <v>16</v>
      </c>
      <c r="J518" s="51"/>
      <c r="K518" s="380" t="s">
        <v>957</v>
      </c>
      <c r="L518" s="398" t="s">
        <v>958</v>
      </c>
      <c r="M518" s="6">
        <v>43045</v>
      </c>
      <c r="N518" s="6">
        <v>43093</v>
      </c>
      <c r="O518" s="422"/>
      <c r="P518" s="750"/>
      <c r="Q518" s="7"/>
      <c r="R518" s="17" t="s">
        <v>3016</v>
      </c>
      <c r="S518" s="322" t="s">
        <v>1176</v>
      </c>
      <c r="T518" s="689"/>
      <c r="U518" s="421"/>
    </row>
    <row r="519" spans="1:21" s="377" customFormat="1" ht="20.100000000000001" customHeight="1">
      <c r="A519" s="1186" t="s">
        <v>2951</v>
      </c>
      <c r="B519" s="1186" t="s">
        <v>1122</v>
      </c>
      <c r="C519" s="1186" t="s">
        <v>511</v>
      </c>
      <c r="D519" s="529">
        <v>750</v>
      </c>
      <c r="E519" s="529">
        <v>1050</v>
      </c>
      <c r="F519" s="529">
        <v>1000</v>
      </c>
      <c r="G519" s="29" t="s">
        <v>137</v>
      </c>
      <c r="H519" s="417" t="s">
        <v>645</v>
      </c>
      <c r="I519" s="379" t="s">
        <v>16</v>
      </c>
      <c r="J519" s="51"/>
      <c r="K519" s="380">
        <v>17</v>
      </c>
      <c r="L519" s="415" t="s">
        <v>637</v>
      </c>
      <c r="M519" s="392">
        <v>43042</v>
      </c>
      <c r="N519" s="392">
        <v>43088</v>
      </c>
      <c r="O519" s="423" t="s">
        <v>601</v>
      </c>
      <c r="P519" s="61"/>
      <c r="Q519" s="7"/>
      <c r="R519" s="384" t="s">
        <v>451</v>
      </c>
      <c r="S519" s="316" t="s">
        <v>2909</v>
      </c>
      <c r="T519" s="689"/>
      <c r="U519" s="421"/>
    </row>
    <row r="520" spans="1:21" s="377" customFormat="1" ht="20.100000000000001" customHeight="1">
      <c r="A520" s="1186" t="s">
        <v>2951</v>
      </c>
      <c r="B520" s="1186" t="s">
        <v>1122</v>
      </c>
      <c r="C520" s="1186" t="s">
        <v>511</v>
      </c>
      <c r="D520" s="32">
        <v>375</v>
      </c>
      <c r="E520" s="32">
        <v>500</v>
      </c>
      <c r="F520" s="32">
        <v>500</v>
      </c>
      <c r="G520" s="111" t="s">
        <v>35</v>
      </c>
      <c r="H520" s="401">
        <v>3</v>
      </c>
      <c r="I520" s="398" t="s">
        <v>80</v>
      </c>
      <c r="J520" s="37"/>
      <c r="K520" s="398">
        <v>26</v>
      </c>
      <c r="L520" s="415" t="s">
        <v>637</v>
      </c>
      <c r="M520" s="404">
        <v>43075</v>
      </c>
      <c r="N520" s="404">
        <v>43086</v>
      </c>
      <c r="O520" s="422"/>
      <c r="P520" s="61" t="s">
        <v>615</v>
      </c>
      <c r="Q520" s="7"/>
      <c r="R520" s="397" t="s">
        <v>191</v>
      </c>
      <c r="S520" s="316" t="s">
        <v>2898</v>
      </c>
      <c r="T520" s="689"/>
      <c r="U520" s="421"/>
    </row>
    <row r="521" spans="1:21" s="377" customFormat="1" ht="20.100000000000001" customHeight="1">
      <c r="A521" s="1186" t="s">
        <v>2951</v>
      </c>
      <c r="B521" s="1186" t="s">
        <v>1122</v>
      </c>
      <c r="C521" s="1186" t="s">
        <v>511</v>
      </c>
      <c r="D521" s="537">
        <v>500</v>
      </c>
      <c r="E521" s="537">
        <v>1200</v>
      </c>
      <c r="F521" s="537">
        <v>1200</v>
      </c>
      <c r="G521" s="70" t="s">
        <v>61</v>
      </c>
      <c r="H521" s="425" t="s">
        <v>2114</v>
      </c>
      <c r="I521" s="379" t="s">
        <v>16</v>
      </c>
      <c r="J521" s="19"/>
      <c r="K521" s="398" t="s">
        <v>1960</v>
      </c>
      <c r="L521" s="415" t="s">
        <v>637</v>
      </c>
      <c r="M521" s="404">
        <v>43040</v>
      </c>
      <c r="N521" s="404">
        <v>43100</v>
      </c>
      <c r="O521" s="423" t="s">
        <v>601</v>
      </c>
      <c r="P521" s="61" t="s">
        <v>594</v>
      </c>
      <c r="Q521" s="677"/>
      <c r="R521" s="431" t="s">
        <v>2268</v>
      </c>
      <c r="S521" s="316" t="s">
        <v>2914</v>
      </c>
      <c r="T521" s="689"/>
      <c r="U521" s="421"/>
    </row>
    <row r="522" spans="1:21" s="377" customFormat="1" ht="20.100000000000001" customHeight="1">
      <c r="A522" s="1186" t="s">
        <v>2951</v>
      </c>
      <c r="B522" s="1186" t="s">
        <v>1122</v>
      </c>
      <c r="C522" s="1186" t="s">
        <v>511</v>
      </c>
      <c r="D522" s="804">
        <v>750</v>
      </c>
      <c r="E522" s="805">
        <v>900</v>
      </c>
      <c r="F522" s="805">
        <v>900</v>
      </c>
      <c r="G522" s="699" t="s">
        <v>22</v>
      </c>
      <c r="H522" s="385" t="s">
        <v>706</v>
      </c>
      <c r="I522" s="386" t="s">
        <v>16</v>
      </c>
      <c r="J522" s="38"/>
      <c r="K522" s="386" t="s">
        <v>660</v>
      </c>
      <c r="L522" s="379" t="s">
        <v>643</v>
      </c>
      <c r="M522" s="392">
        <v>42962</v>
      </c>
      <c r="N522" s="392">
        <v>43100</v>
      </c>
      <c r="O522" s="422"/>
      <c r="P522" s="61" t="s">
        <v>1473</v>
      </c>
      <c r="Q522" s="7"/>
      <c r="R522" s="397" t="s">
        <v>1783</v>
      </c>
      <c r="S522" s="316" t="s">
        <v>2895</v>
      </c>
      <c r="T522" s="689"/>
      <c r="U522" s="421"/>
    </row>
    <row r="523" spans="1:21" s="377" customFormat="1" ht="20.100000000000001" customHeight="1">
      <c r="A523" s="1187" t="s">
        <v>2951</v>
      </c>
      <c r="B523" s="1187" t="s">
        <v>1122</v>
      </c>
      <c r="C523" s="1187" t="s">
        <v>511</v>
      </c>
      <c r="D523" s="800" t="s">
        <v>4506</v>
      </c>
      <c r="E523" s="800" t="s">
        <v>4084</v>
      </c>
      <c r="F523" s="800" t="s">
        <v>4084</v>
      </c>
      <c r="G523" s="803" t="s">
        <v>18</v>
      </c>
      <c r="H523" s="425">
        <v>7</v>
      </c>
      <c r="I523" s="379" t="s">
        <v>17</v>
      </c>
      <c r="J523" s="51"/>
      <c r="K523" s="380">
        <v>18</v>
      </c>
      <c r="L523" s="380" t="s">
        <v>649</v>
      </c>
      <c r="M523" s="381">
        <v>43084</v>
      </c>
      <c r="N523" s="381">
        <v>43100</v>
      </c>
      <c r="O523" s="422"/>
      <c r="P523" s="61" t="s">
        <v>622</v>
      </c>
      <c r="Q523" s="7"/>
      <c r="R523" s="384" t="s">
        <v>273</v>
      </c>
      <c r="S523" s="316" t="s">
        <v>2905</v>
      </c>
      <c r="T523" s="689"/>
      <c r="U523" s="421"/>
    </row>
    <row r="524" spans="1:21" s="377" customFormat="1" ht="20.100000000000001" customHeight="1">
      <c r="A524" s="1128" t="s">
        <v>2951</v>
      </c>
      <c r="B524" s="1188" t="s">
        <v>343</v>
      </c>
      <c r="C524" s="1188" t="s">
        <v>2392</v>
      </c>
      <c r="D524" s="808">
        <v>900</v>
      </c>
      <c r="E524" s="808">
        <v>1400</v>
      </c>
      <c r="F524" s="808">
        <v>1400</v>
      </c>
      <c r="G524" s="29" t="s">
        <v>874</v>
      </c>
      <c r="H524" s="385" t="s">
        <v>886</v>
      </c>
      <c r="I524" s="379" t="s">
        <v>126</v>
      </c>
      <c r="J524" s="51"/>
      <c r="K524" s="380" t="s">
        <v>660</v>
      </c>
      <c r="L524" s="379" t="s">
        <v>768</v>
      </c>
      <c r="M524" s="391">
        <v>43040</v>
      </c>
      <c r="N524" s="391">
        <v>43092</v>
      </c>
      <c r="O524" s="422"/>
      <c r="P524" s="61"/>
      <c r="Q524" s="7"/>
      <c r="R524" s="397" t="s">
        <v>2407</v>
      </c>
      <c r="S524" s="316" t="s">
        <v>1176</v>
      </c>
      <c r="T524" s="689"/>
      <c r="U524" s="421"/>
    </row>
    <row r="525" spans="1:21" s="377" customFormat="1" ht="20.100000000000001" customHeight="1">
      <c r="A525" s="1128" t="s">
        <v>2951</v>
      </c>
      <c r="B525" s="1188" t="s">
        <v>343</v>
      </c>
      <c r="C525" s="1188" t="s">
        <v>875</v>
      </c>
      <c r="D525" s="537"/>
      <c r="E525" s="32"/>
      <c r="F525" s="32"/>
      <c r="G525" s="220" t="s">
        <v>956</v>
      </c>
      <c r="H525" s="385" t="s">
        <v>742</v>
      </c>
      <c r="I525" s="379" t="s">
        <v>23</v>
      </c>
      <c r="J525" s="51"/>
      <c r="K525" s="380" t="s">
        <v>959</v>
      </c>
      <c r="L525" s="398" t="s">
        <v>958</v>
      </c>
      <c r="M525" s="6">
        <v>43045</v>
      </c>
      <c r="N525" s="6">
        <v>43093</v>
      </c>
      <c r="O525" s="422"/>
      <c r="P525" s="61"/>
      <c r="Q525" s="7"/>
      <c r="R525" s="424" t="s">
        <v>171</v>
      </c>
      <c r="S525" s="315" t="s">
        <v>2915</v>
      </c>
      <c r="T525" s="689"/>
      <c r="U525" s="421"/>
    </row>
    <row r="526" spans="1:21" s="377" customFormat="1" ht="20.100000000000001" customHeight="1">
      <c r="A526" s="1128" t="s">
        <v>2951</v>
      </c>
      <c r="B526" s="1188" t="s">
        <v>343</v>
      </c>
      <c r="C526" s="1188" t="s">
        <v>875</v>
      </c>
      <c r="D526" s="537"/>
      <c r="E526" s="537"/>
      <c r="F526" s="537"/>
      <c r="G526" s="111" t="s">
        <v>37</v>
      </c>
      <c r="H526" s="430" t="s">
        <v>1652</v>
      </c>
      <c r="I526" s="415" t="s">
        <v>16</v>
      </c>
      <c r="J526" s="37"/>
      <c r="K526" s="415" t="s">
        <v>1509</v>
      </c>
      <c r="L526" s="429" t="s">
        <v>637</v>
      </c>
      <c r="M526" s="392">
        <v>43039</v>
      </c>
      <c r="N526" s="392">
        <v>43080</v>
      </c>
      <c r="O526" s="419"/>
      <c r="P526" s="750" t="s">
        <v>596</v>
      </c>
      <c r="Q526" s="7"/>
      <c r="R526" s="397" t="s">
        <v>1857</v>
      </c>
      <c r="S526" s="316" t="s">
        <v>2913</v>
      </c>
      <c r="T526" s="316"/>
      <c r="U526" s="421"/>
    </row>
    <row r="527" spans="1:21" s="377" customFormat="1" ht="20.100000000000001" customHeight="1">
      <c r="A527" s="1128" t="s">
        <v>2951</v>
      </c>
      <c r="B527" s="1188" t="s">
        <v>343</v>
      </c>
      <c r="C527" s="1188" t="s">
        <v>875</v>
      </c>
      <c r="D527" s="535">
        <v>500</v>
      </c>
      <c r="E527" s="535">
        <v>750</v>
      </c>
      <c r="F527" s="535">
        <v>750</v>
      </c>
      <c r="G527" s="111" t="s">
        <v>232</v>
      </c>
      <c r="H527" s="385" t="s">
        <v>659</v>
      </c>
      <c r="I527" s="398" t="s">
        <v>17</v>
      </c>
      <c r="J527" s="37"/>
      <c r="K527" s="428" t="s">
        <v>151</v>
      </c>
      <c r="L527" s="386" t="s">
        <v>641</v>
      </c>
      <c r="M527" s="399">
        <v>43075</v>
      </c>
      <c r="N527" s="399">
        <v>43086</v>
      </c>
      <c r="O527" s="423" t="s">
        <v>601</v>
      </c>
      <c r="P527" s="750"/>
      <c r="Q527" s="7"/>
      <c r="R527" s="397" t="s">
        <v>247</v>
      </c>
      <c r="S527" s="316"/>
      <c r="T527" s="689"/>
      <c r="U527" s="421"/>
    </row>
    <row r="528" spans="1:21" s="377" customFormat="1" ht="20.100000000000001" customHeight="1">
      <c r="A528" s="1128" t="s">
        <v>2951</v>
      </c>
      <c r="B528" s="1188" t="s">
        <v>343</v>
      </c>
      <c r="C528" s="1188" t="s">
        <v>875</v>
      </c>
      <c r="D528" s="806">
        <v>535</v>
      </c>
      <c r="E528" s="806">
        <v>710</v>
      </c>
      <c r="F528" s="806">
        <v>710</v>
      </c>
      <c r="G528" s="706" t="s">
        <v>12</v>
      </c>
      <c r="H528" s="385" t="s">
        <v>659</v>
      </c>
      <c r="I528" s="398" t="s">
        <v>17</v>
      </c>
      <c r="J528" s="37"/>
      <c r="K528" s="428" t="s">
        <v>151</v>
      </c>
      <c r="L528" s="386" t="s">
        <v>641</v>
      </c>
      <c r="M528" s="392">
        <v>43040</v>
      </c>
      <c r="N528" s="551">
        <v>43091</v>
      </c>
      <c r="O528" s="419"/>
      <c r="P528" s="752"/>
      <c r="Q528" s="7"/>
      <c r="R528" s="397" t="s">
        <v>247</v>
      </c>
      <c r="S528" s="322" t="s">
        <v>1176</v>
      </c>
      <c r="T528" s="688" t="s">
        <v>2933</v>
      </c>
      <c r="U528" s="421"/>
    </row>
    <row r="529" spans="1:21" s="377" customFormat="1" ht="20.100000000000001" customHeight="1">
      <c r="A529" s="1128" t="s">
        <v>2951</v>
      </c>
      <c r="B529" s="1188" t="s">
        <v>343</v>
      </c>
      <c r="C529" s="1193" t="s">
        <v>875</v>
      </c>
      <c r="D529" s="800" t="s">
        <v>4084</v>
      </c>
      <c r="E529" s="800" t="s">
        <v>4508</v>
      </c>
      <c r="F529" s="800" t="s">
        <v>4508</v>
      </c>
      <c r="G529" s="803" t="s">
        <v>18</v>
      </c>
      <c r="H529" s="425">
        <v>7</v>
      </c>
      <c r="I529" s="379" t="s">
        <v>17</v>
      </c>
      <c r="J529" s="51"/>
      <c r="K529" s="380" t="s">
        <v>723</v>
      </c>
      <c r="L529" s="380" t="s">
        <v>649</v>
      </c>
      <c r="M529" s="381">
        <v>43084</v>
      </c>
      <c r="N529" s="381">
        <v>43100</v>
      </c>
      <c r="O529" s="422"/>
      <c r="P529" s="61" t="s">
        <v>622</v>
      </c>
      <c r="Q529" s="7"/>
      <c r="R529" s="384" t="s">
        <v>273</v>
      </c>
      <c r="S529" s="316" t="s">
        <v>2905</v>
      </c>
      <c r="T529" s="689"/>
      <c r="U529" s="421"/>
    </row>
    <row r="530" spans="1:21" s="377" customFormat="1" ht="20.100000000000001" customHeight="1">
      <c r="A530" s="1128" t="s">
        <v>2951</v>
      </c>
      <c r="B530" s="1188" t="s">
        <v>343</v>
      </c>
      <c r="C530" s="1188" t="s">
        <v>1069</v>
      </c>
      <c r="D530" s="808">
        <v>850</v>
      </c>
      <c r="E530" s="808">
        <v>1000</v>
      </c>
      <c r="F530" s="808">
        <v>1000</v>
      </c>
      <c r="G530" s="29" t="s">
        <v>33</v>
      </c>
      <c r="H530" s="385" t="s">
        <v>886</v>
      </c>
      <c r="I530" s="379" t="s">
        <v>126</v>
      </c>
      <c r="J530" s="51"/>
      <c r="K530" s="380" t="s">
        <v>684</v>
      </c>
      <c r="L530" s="379" t="s">
        <v>768</v>
      </c>
      <c r="M530" s="391">
        <v>43040</v>
      </c>
      <c r="N530" s="391">
        <v>43092</v>
      </c>
      <c r="O530" s="422"/>
      <c r="P530" s="61"/>
      <c r="Q530" s="7"/>
      <c r="R530" s="397" t="s">
        <v>2407</v>
      </c>
      <c r="S530" s="316" t="s">
        <v>1176</v>
      </c>
      <c r="T530" s="689"/>
      <c r="U530" s="421"/>
    </row>
    <row r="531" spans="1:21" s="377" customFormat="1" ht="20.100000000000001" customHeight="1">
      <c r="A531" s="1128" t="s">
        <v>2951</v>
      </c>
      <c r="B531" s="1188" t="s">
        <v>343</v>
      </c>
      <c r="C531" s="1188" t="s">
        <v>1069</v>
      </c>
      <c r="D531" s="535">
        <v>450</v>
      </c>
      <c r="E531" s="535">
        <v>600</v>
      </c>
      <c r="F531" s="535">
        <v>600</v>
      </c>
      <c r="G531" s="29" t="s">
        <v>232</v>
      </c>
      <c r="H531" s="385" t="s">
        <v>659</v>
      </c>
      <c r="I531" s="398" t="s">
        <v>17</v>
      </c>
      <c r="J531" s="37"/>
      <c r="K531" s="428" t="s">
        <v>1188</v>
      </c>
      <c r="L531" s="386" t="s">
        <v>641</v>
      </c>
      <c r="M531" s="399">
        <v>43030</v>
      </c>
      <c r="N531" s="399">
        <v>43086</v>
      </c>
      <c r="O531" s="423" t="s">
        <v>601</v>
      </c>
      <c r="P531" s="750"/>
      <c r="Q531" s="7"/>
      <c r="R531" s="397" t="s">
        <v>247</v>
      </c>
      <c r="S531" s="316"/>
      <c r="T531" s="689"/>
      <c r="U531" s="421"/>
    </row>
    <row r="532" spans="1:21" s="377" customFormat="1" ht="20.100000000000001" customHeight="1">
      <c r="A532" s="1128" t="s">
        <v>2951</v>
      </c>
      <c r="B532" s="1188" t="s">
        <v>343</v>
      </c>
      <c r="C532" s="1188" t="s">
        <v>1069</v>
      </c>
      <c r="D532" s="537">
        <v>535</v>
      </c>
      <c r="E532" s="537">
        <v>710</v>
      </c>
      <c r="F532" s="537">
        <v>710</v>
      </c>
      <c r="G532" s="29" t="s">
        <v>12</v>
      </c>
      <c r="H532" s="385" t="s">
        <v>659</v>
      </c>
      <c r="I532" s="398" t="s">
        <v>17</v>
      </c>
      <c r="J532" s="37"/>
      <c r="K532" s="428" t="s">
        <v>151</v>
      </c>
      <c r="L532" s="386" t="s">
        <v>641</v>
      </c>
      <c r="M532" s="392">
        <v>43040</v>
      </c>
      <c r="N532" s="551">
        <v>43091</v>
      </c>
      <c r="O532" s="419"/>
      <c r="P532" s="752"/>
      <c r="Q532" s="7"/>
      <c r="R532" s="397" t="s">
        <v>247</v>
      </c>
      <c r="S532" s="322" t="s">
        <v>1176</v>
      </c>
      <c r="T532" s="688" t="s">
        <v>2933</v>
      </c>
      <c r="U532" s="421"/>
    </row>
    <row r="533" spans="1:21" s="377" customFormat="1" ht="20.100000000000001" customHeight="1">
      <c r="A533" s="1128" t="s">
        <v>2951</v>
      </c>
      <c r="B533" s="1188" t="s">
        <v>343</v>
      </c>
      <c r="C533" s="1188" t="s">
        <v>1069</v>
      </c>
      <c r="D533" s="805">
        <v>550</v>
      </c>
      <c r="E533" s="805">
        <v>800</v>
      </c>
      <c r="F533" s="805">
        <v>800</v>
      </c>
      <c r="G533" s="699" t="s">
        <v>22</v>
      </c>
      <c r="H533" s="385" t="s">
        <v>706</v>
      </c>
      <c r="I533" s="386" t="s">
        <v>16</v>
      </c>
      <c r="J533" s="38"/>
      <c r="K533" s="386">
        <v>15</v>
      </c>
      <c r="L533" s="379" t="s">
        <v>643</v>
      </c>
      <c r="M533" s="392">
        <v>42962</v>
      </c>
      <c r="N533" s="392">
        <v>43100</v>
      </c>
      <c r="O533" s="422"/>
      <c r="P533" s="61"/>
      <c r="Q533" s="7"/>
      <c r="R533" s="397" t="s">
        <v>1783</v>
      </c>
      <c r="S533" s="316" t="s">
        <v>1176</v>
      </c>
      <c r="T533" s="688"/>
      <c r="U533" s="421"/>
    </row>
    <row r="534" spans="1:21" s="377" customFormat="1" ht="20.100000000000001" customHeight="1">
      <c r="A534" s="1128" t="s">
        <v>2951</v>
      </c>
      <c r="B534" s="1188" t="s">
        <v>343</v>
      </c>
      <c r="C534" s="1193" t="s">
        <v>1069</v>
      </c>
      <c r="D534" s="811"/>
      <c r="E534" s="160"/>
      <c r="F534" s="160"/>
      <c r="G534" s="803" t="s">
        <v>18</v>
      </c>
      <c r="H534" s="425">
        <v>7</v>
      </c>
      <c r="I534" s="379" t="s">
        <v>17</v>
      </c>
      <c r="J534" s="51"/>
      <c r="K534" s="380" t="s">
        <v>151</v>
      </c>
      <c r="L534" s="380" t="s">
        <v>649</v>
      </c>
      <c r="M534" s="381">
        <v>43084</v>
      </c>
      <c r="N534" s="381">
        <v>43100</v>
      </c>
      <c r="O534" s="422"/>
      <c r="P534" s="112"/>
      <c r="Q534" s="7"/>
      <c r="R534" s="384" t="s">
        <v>273</v>
      </c>
      <c r="S534" s="316" t="s">
        <v>2905</v>
      </c>
      <c r="T534" s="689"/>
      <c r="U534" s="421"/>
    </row>
    <row r="535" spans="1:21" s="377" customFormat="1" ht="20.100000000000001" customHeight="1">
      <c r="A535" s="1188" t="s">
        <v>1111</v>
      </c>
      <c r="B535" s="1188" t="s">
        <v>343</v>
      </c>
      <c r="C535" s="1128" t="s">
        <v>4291</v>
      </c>
      <c r="D535" s="535">
        <v>400</v>
      </c>
      <c r="E535" s="535">
        <v>450</v>
      </c>
      <c r="F535" s="535">
        <v>450</v>
      </c>
      <c r="G535" s="699" t="s">
        <v>208</v>
      </c>
      <c r="H535" s="401">
        <v>3</v>
      </c>
      <c r="I535" s="386" t="s">
        <v>17</v>
      </c>
      <c r="J535" s="38"/>
      <c r="K535" s="50" t="s">
        <v>3002</v>
      </c>
      <c r="L535" s="380" t="s">
        <v>652</v>
      </c>
      <c r="M535" s="381">
        <v>43084</v>
      </c>
      <c r="N535" s="381">
        <v>43089</v>
      </c>
      <c r="O535" s="422"/>
      <c r="P535" s="752"/>
      <c r="Q535" s="7"/>
      <c r="R535" s="397" t="s">
        <v>450</v>
      </c>
      <c r="S535" s="327" t="s">
        <v>3066</v>
      </c>
      <c r="T535" s="717"/>
      <c r="U535" s="421"/>
    </row>
    <row r="536" spans="1:21" s="377" customFormat="1" ht="20.100000000000001" customHeight="1">
      <c r="A536" s="1188" t="s">
        <v>2951</v>
      </c>
      <c r="B536" s="1188" t="s">
        <v>343</v>
      </c>
      <c r="C536" s="1188" t="s">
        <v>406</v>
      </c>
      <c r="D536" s="1063">
        <v>500</v>
      </c>
      <c r="E536" s="1063">
        <v>600</v>
      </c>
      <c r="F536" s="1063">
        <v>600</v>
      </c>
      <c r="G536" s="29" t="s">
        <v>33</v>
      </c>
      <c r="H536" s="401">
        <v>3</v>
      </c>
      <c r="I536" s="386" t="s">
        <v>17</v>
      </c>
      <c r="J536" s="38"/>
      <c r="K536" s="50" t="s">
        <v>3002</v>
      </c>
      <c r="L536" s="398" t="s">
        <v>639</v>
      </c>
      <c r="M536" s="391">
        <v>43086</v>
      </c>
      <c r="N536" s="391">
        <v>43092</v>
      </c>
      <c r="O536" s="422"/>
      <c r="P536" s="61"/>
      <c r="Q536" s="7"/>
      <c r="R536" s="397" t="s">
        <v>450</v>
      </c>
      <c r="S536" s="316" t="s">
        <v>1176</v>
      </c>
      <c r="T536" s="717"/>
      <c r="U536" s="421"/>
    </row>
    <row r="537" spans="1:21" s="377" customFormat="1" ht="20.100000000000001" customHeight="1">
      <c r="A537" s="1188" t="s">
        <v>2951</v>
      </c>
      <c r="B537" s="1188" t="s">
        <v>343</v>
      </c>
      <c r="C537" s="1188" t="s">
        <v>406</v>
      </c>
      <c r="D537" s="11">
        <v>475</v>
      </c>
      <c r="E537" s="32">
        <v>500</v>
      </c>
      <c r="F537" s="32">
        <v>500</v>
      </c>
      <c r="G537" s="70" t="s">
        <v>30</v>
      </c>
      <c r="H537" s="401">
        <v>3</v>
      </c>
      <c r="I537" s="386" t="s">
        <v>17</v>
      </c>
      <c r="J537" s="38"/>
      <c r="K537" s="50" t="s">
        <v>3002</v>
      </c>
      <c r="L537" s="398" t="s">
        <v>639</v>
      </c>
      <c r="M537" s="399">
        <v>43061</v>
      </c>
      <c r="N537" s="399">
        <v>43083</v>
      </c>
      <c r="O537" s="423" t="s">
        <v>602</v>
      </c>
      <c r="P537" s="61"/>
      <c r="Q537" s="7"/>
      <c r="R537" s="397" t="s">
        <v>450</v>
      </c>
      <c r="S537" s="316"/>
      <c r="T537" s="717"/>
      <c r="U537" s="421"/>
    </row>
    <row r="538" spans="1:21" s="377" customFormat="1" ht="20.100000000000001" customHeight="1">
      <c r="A538" s="1188" t="s">
        <v>2951</v>
      </c>
      <c r="B538" s="1188" t="s">
        <v>343</v>
      </c>
      <c r="C538" s="1188" t="s">
        <v>406</v>
      </c>
      <c r="D538" s="536"/>
      <c r="E538" s="536"/>
      <c r="F538" s="536"/>
      <c r="G538" s="66" t="s">
        <v>13</v>
      </c>
      <c r="H538" s="401">
        <v>3</v>
      </c>
      <c r="I538" s="386" t="s">
        <v>17</v>
      </c>
      <c r="J538" s="38"/>
      <c r="K538" s="50" t="s">
        <v>3002</v>
      </c>
      <c r="L538" s="398" t="s">
        <v>652</v>
      </c>
      <c r="M538" s="404">
        <v>43040</v>
      </c>
      <c r="N538" s="404">
        <v>43100</v>
      </c>
      <c r="O538" s="423" t="s">
        <v>601</v>
      </c>
      <c r="P538" s="61"/>
      <c r="Q538" s="7"/>
      <c r="R538" s="397" t="s">
        <v>450</v>
      </c>
      <c r="S538" s="316"/>
      <c r="T538" s="717"/>
      <c r="U538" s="421"/>
    </row>
    <row r="539" spans="1:21" s="377" customFormat="1" ht="20.100000000000001" customHeight="1">
      <c r="A539" s="1188" t="s">
        <v>2951</v>
      </c>
      <c r="B539" s="1188" t="s">
        <v>343</v>
      </c>
      <c r="C539" s="1188" t="s">
        <v>406</v>
      </c>
      <c r="D539" s="13">
        <v>475</v>
      </c>
      <c r="E539" s="13">
        <v>500</v>
      </c>
      <c r="F539" s="13">
        <v>500</v>
      </c>
      <c r="G539" s="63" t="s">
        <v>29</v>
      </c>
      <c r="H539" s="401">
        <v>3</v>
      </c>
      <c r="I539" s="386" t="s">
        <v>17</v>
      </c>
      <c r="J539" s="38"/>
      <c r="K539" s="50" t="s">
        <v>3002</v>
      </c>
      <c r="L539" s="398" t="s">
        <v>652</v>
      </c>
      <c r="M539" s="404">
        <v>43082</v>
      </c>
      <c r="N539" s="404">
        <v>43086</v>
      </c>
      <c r="O539" s="422"/>
      <c r="P539" s="61" t="s">
        <v>599</v>
      </c>
      <c r="Q539" s="7"/>
      <c r="R539" s="397" t="s">
        <v>450</v>
      </c>
      <c r="S539" s="316" t="s">
        <v>2898</v>
      </c>
      <c r="T539" s="717"/>
      <c r="U539" s="421"/>
    </row>
    <row r="540" spans="1:21" s="377" customFormat="1" ht="20.100000000000001" customHeight="1">
      <c r="A540" s="1188" t="s">
        <v>2951</v>
      </c>
      <c r="B540" s="1188" t="s">
        <v>343</v>
      </c>
      <c r="C540" s="1188" t="s">
        <v>406</v>
      </c>
      <c r="D540" s="13"/>
      <c r="E540" s="13"/>
      <c r="F540" s="13"/>
      <c r="G540" s="63" t="s">
        <v>6</v>
      </c>
      <c r="H540" s="385" t="s">
        <v>725</v>
      </c>
      <c r="I540" s="386" t="s">
        <v>17</v>
      </c>
      <c r="J540" s="38"/>
      <c r="K540" s="379" t="s">
        <v>750</v>
      </c>
      <c r="L540" s="51" t="s">
        <v>3849</v>
      </c>
      <c r="M540" s="6">
        <v>43083</v>
      </c>
      <c r="N540" s="391">
        <v>43093</v>
      </c>
      <c r="O540" s="422"/>
      <c r="P540" s="61"/>
      <c r="Q540" s="7"/>
      <c r="R540" s="49" t="s">
        <v>4166</v>
      </c>
      <c r="S540" s="316"/>
      <c r="T540" s="849"/>
      <c r="U540" s="421"/>
    </row>
    <row r="541" spans="1:21" s="377" customFormat="1" ht="20.100000000000001" customHeight="1">
      <c r="A541" s="1188" t="s">
        <v>2951</v>
      </c>
      <c r="B541" s="1188" t="s">
        <v>343</v>
      </c>
      <c r="C541" s="1188" t="s">
        <v>406</v>
      </c>
      <c r="D541" s="13"/>
      <c r="E541" s="13"/>
      <c r="F541" s="13"/>
      <c r="G541" s="63" t="s">
        <v>5</v>
      </c>
      <c r="H541" s="385" t="s">
        <v>725</v>
      </c>
      <c r="I541" s="386" t="s">
        <v>17</v>
      </c>
      <c r="J541" s="38"/>
      <c r="K541" s="379" t="s">
        <v>750</v>
      </c>
      <c r="L541" s="51" t="s">
        <v>3849</v>
      </c>
      <c r="M541" s="6">
        <v>43083</v>
      </c>
      <c r="N541" s="6">
        <v>43083</v>
      </c>
      <c r="O541" s="675" t="s">
        <v>600</v>
      </c>
      <c r="P541" s="61" t="s">
        <v>590</v>
      </c>
      <c r="Q541" s="7" t="s">
        <v>4190</v>
      </c>
      <c r="R541" s="17" t="s">
        <v>1131</v>
      </c>
      <c r="S541" s="315" t="s">
        <v>2893</v>
      </c>
      <c r="T541" s="818"/>
      <c r="U541" s="421"/>
    </row>
    <row r="542" spans="1:21" s="377" customFormat="1" ht="20.100000000000001" customHeight="1">
      <c r="A542" s="1188" t="s">
        <v>2951</v>
      </c>
      <c r="B542" s="1188" t="s">
        <v>343</v>
      </c>
      <c r="C542" s="1188" t="s">
        <v>406</v>
      </c>
      <c r="D542" s="11">
        <v>435</v>
      </c>
      <c r="E542" s="11">
        <v>510</v>
      </c>
      <c r="F542" s="11">
        <v>510</v>
      </c>
      <c r="G542" s="63" t="s">
        <v>37</v>
      </c>
      <c r="H542" s="385" t="s">
        <v>725</v>
      </c>
      <c r="I542" s="386" t="s">
        <v>17</v>
      </c>
      <c r="J542" s="38"/>
      <c r="K542" s="379" t="s">
        <v>750</v>
      </c>
      <c r="L542" s="51" t="s">
        <v>3849</v>
      </c>
      <c r="M542" s="392">
        <v>43083</v>
      </c>
      <c r="N542" s="392">
        <v>43084</v>
      </c>
      <c r="O542" s="675"/>
      <c r="P542" s="61"/>
      <c r="Q542" s="7"/>
      <c r="R542" s="17" t="s">
        <v>4089</v>
      </c>
      <c r="S542" s="315" t="s">
        <v>2903</v>
      </c>
      <c r="T542" s="316"/>
      <c r="U542" s="421"/>
    </row>
    <row r="543" spans="1:21" s="377" customFormat="1" ht="20.100000000000001" customHeight="1">
      <c r="A543" s="1188" t="s">
        <v>2951</v>
      </c>
      <c r="B543" s="1188" t="s">
        <v>343</v>
      </c>
      <c r="C543" s="1188" t="s">
        <v>406</v>
      </c>
      <c r="D543" s="11">
        <v>375</v>
      </c>
      <c r="E543" s="32"/>
      <c r="F543" s="32"/>
      <c r="G543" s="218" t="s">
        <v>956</v>
      </c>
      <c r="H543" s="385" t="s">
        <v>725</v>
      </c>
      <c r="I543" s="386" t="s">
        <v>17</v>
      </c>
      <c r="J543" s="38"/>
      <c r="K543" s="379" t="s">
        <v>750</v>
      </c>
      <c r="L543" s="379" t="s">
        <v>641</v>
      </c>
      <c r="M543" s="6">
        <v>43073</v>
      </c>
      <c r="N543" s="6">
        <v>43093</v>
      </c>
      <c r="O543" s="422"/>
      <c r="P543" s="61"/>
      <c r="Q543" s="745"/>
      <c r="R543" s="397" t="s">
        <v>826</v>
      </c>
      <c r="S543" s="322" t="s">
        <v>1176</v>
      </c>
      <c r="T543" s="78"/>
      <c r="U543" s="421"/>
    </row>
    <row r="544" spans="1:21" s="377" customFormat="1" ht="20.100000000000001" customHeight="1">
      <c r="A544" s="1188" t="s">
        <v>2951</v>
      </c>
      <c r="B544" s="1188" t="s">
        <v>343</v>
      </c>
      <c r="C544" s="1188" t="s">
        <v>406</v>
      </c>
      <c r="D544" s="11">
        <v>375</v>
      </c>
      <c r="E544" s="11">
        <v>450</v>
      </c>
      <c r="F544" s="11">
        <v>450</v>
      </c>
      <c r="G544" s="218" t="s">
        <v>52</v>
      </c>
      <c r="H544" s="385" t="s">
        <v>725</v>
      </c>
      <c r="I544" s="386" t="s">
        <v>17</v>
      </c>
      <c r="J544" s="38"/>
      <c r="K544" s="379" t="s">
        <v>750</v>
      </c>
      <c r="L544" s="379" t="s">
        <v>641</v>
      </c>
      <c r="M544" s="381">
        <v>43082</v>
      </c>
      <c r="N544" s="381">
        <v>43086</v>
      </c>
      <c r="O544" s="394" t="s">
        <v>1949</v>
      </c>
      <c r="P544" s="61"/>
      <c r="Q544" s="7"/>
      <c r="R544" s="397" t="s">
        <v>839</v>
      </c>
      <c r="S544" s="336" t="s">
        <v>1176</v>
      </c>
      <c r="T544" s="323" t="s">
        <v>2935</v>
      </c>
      <c r="U544" s="421"/>
    </row>
    <row r="545" spans="1:21" s="377" customFormat="1" ht="20.100000000000001" customHeight="1">
      <c r="A545" s="1188" t="s">
        <v>2951</v>
      </c>
      <c r="B545" s="1188" t="s">
        <v>343</v>
      </c>
      <c r="C545" s="1188" t="s">
        <v>406</v>
      </c>
      <c r="D545" s="11">
        <v>510</v>
      </c>
      <c r="E545" s="11">
        <v>720</v>
      </c>
      <c r="F545" s="11">
        <v>720</v>
      </c>
      <c r="G545" s="218" t="s">
        <v>10</v>
      </c>
      <c r="H545" s="385" t="s">
        <v>725</v>
      </c>
      <c r="I545" s="386" t="s">
        <v>17</v>
      </c>
      <c r="J545" s="38"/>
      <c r="K545" s="379" t="s">
        <v>750</v>
      </c>
      <c r="L545" s="379" t="s">
        <v>641</v>
      </c>
      <c r="M545" s="381">
        <v>43045</v>
      </c>
      <c r="N545" s="547">
        <v>43087</v>
      </c>
      <c r="O545" s="422"/>
      <c r="P545" s="677"/>
      <c r="Q545" s="7"/>
      <c r="R545" s="397" t="s">
        <v>836</v>
      </c>
      <c r="S545" s="316" t="s">
        <v>1176</v>
      </c>
      <c r="T545" s="78"/>
      <c r="U545" s="421"/>
    </row>
    <row r="546" spans="1:21" s="377" customFormat="1" ht="20.100000000000001" customHeight="1">
      <c r="A546" s="1188" t="s">
        <v>2951</v>
      </c>
      <c r="B546" s="1188" t="s">
        <v>343</v>
      </c>
      <c r="C546" s="1188" t="s">
        <v>406</v>
      </c>
      <c r="D546" s="11">
        <v>435</v>
      </c>
      <c r="E546" s="11">
        <v>510</v>
      </c>
      <c r="F546" s="11">
        <v>510</v>
      </c>
      <c r="G546" s="63" t="s">
        <v>37</v>
      </c>
      <c r="H546" s="417">
        <v>5</v>
      </c>
      <c r="I546" s="386" t="s">
        <v>17</v>
      </c>
      <c r="J546" s="38"/>
      <c r="K546" s="406" t="s">
        <v>813</v>
      </c>
      <c r="L546" s="380" t="s">
        <v>649</v>
      </c>
      <c r="M546" s="392">
        <v>43063</v>
      </c>
      <c r="N546" s="392">
        <v>43084</v>
      </c>
      <c r="O546" s="419"/>
      <c r="P546" s="750"/>
      <c r="Q546" s="7"/>
      <c r="R546" s="397" t="s">
        <v>179</v>
      </c>
      <c r="S546" s="315" t="s">
        <v>2903</v>
      </c>
      <c r="T546" s="316"/>
      <c r="U546" s="421"/>
    </row>
    <row r="547" spans="1:21" s="377" customFormat="1" ht="20.100000000000001" customHeight="1">
      <c r="A547" s="1188" t="s">
        <v>2951</v>
      </c>
      <c r="B547" s="1188" t="s">
        <v>343</v>
      </c>
      <c r="C547" s="1188" t="s">
        <v>406</v>
      </c>
      <c r="D547" s="32">
        <v>250</v>
      </c>
      <c r="E547" s="32">
        <v>450</v>
      </c>
      <c r="F547" s="32">
        <v>400</v>
      </c>
      <c r="G547" s="63" t="s">
        <v>28</v>
      </c>
      <c r="H547" s="417">
        <v>5</v>
      </c>
      <c r="I547" s="386" t="s">
        <v>17</v>
      </c>
      <c r="J547" s="38"/>
      <c r="K547" s="406" t="s">
        <v>813</v>
      </c>
      <c r="L547" s="380" t="s">
        <v>649</v>
      </c>
      <c r="M547" s="392">
        <v>43084</v>
      </c>
      <c r="N547" s="392">
        <v>43088</v>
      </c>
      <c r="O547" s="423" t="s">
        <v>601</v>
      </c>
      <c r="P547" s="61"/>
      <c r="Q547" s="7"/>
      <c r="R547" s="397" t="s">
        <v>179</v>
      </c>
      <c r="S547" s="316" t="s">
        <v>2909</v>
      </c>
      <c r="T547" s="689"/>
      <c r="U547" s="421"/>
    </row>
    <row r="548" spans="1:21" s="377" customFormat="1" ht="20.100000000000001" customHeight="1">
      <c r="A548" s="1188" t="s">
        <v>2951</v>
      </c>
      <c r="B548" s="1188" t="s">
        <v>343</v>
      </c>
      <c r="C548" s="1188" t="s">
        <v>406</v>
      </c>
      <c r="D548" s="62">
        <v>400</v>
      </c>
      <c r="E548" s="62">
        <v>500</v>
      </c>
      <c r="F548" s="62">
        <v>500</v>
      </c>
      <c r="G548" s="63" t="s">
        <v>232</v>
      </c>
      <c r="H548" s="425" t="s">
        <v>721</v>
      </c>
      <c r="I548" s="414" t="s">
        <v>17</v>
      </c>
      <c r="J548" s="38"/>
      <c r="K548" s="380" t="s">
        <v>743</v>
      </c>
      <c r="L548" s="379" t="s">
        <v>641</v>
      </c>
      <c r="M548" s="399">
        <v>43064</v>
      </c>
      <c r="N548" s="399">
        <v>43086</v>
      </c>
      <c r="O548" s="423" t="s">
        <v>601</v>
      </c>
      <c r="P548" s="750"/>
      <c r="Q548" s="7"/>
      <c r="R548" s="424" t="s">
        <v>202</v>
      </c>
      <c r="S548" s="322"/>
      <c r="T548" s="78"/>
      <c r="U548" s="421"/>
    </row>
    <row r="549" spans="1:21" s="377" customFormat="1" ht="20.100000000000001" customHeight="1">
      <c r="A549" s="1188" t="s">
        <v>2951</v>
      </c>
      <c r="B549" s="1188" t="s">
        <v>343</v>
      </c>
      <c r="C549" s="1188" t="s">
        <v>406</v>
      </c>
      <c r="D549" s="888">
        <v>350</v>
      </c>
      <c r="E549" s="888">
        <v>390</v>
      </c>
      <c r="F549" s="888">
        <v>390</v>
      </c>
      <c r="G549" s="63" t="s">
        <v>12</v>
      </c>
      <c r="H549" s="403" t="s">
        <v>721</v>
      </c>
      <c r="I549" s="414" t="s">
        <v>17</v>
      </c>
      <c r="J549" s="38"/>
      <c r="K549" s="380" t="s">
        <v>743</v>
      </c>
      <c r="L549" s="379" t="s">
        <v>641</v>
      </c>
      <c r="M549" s="551">
        <v>43084</v>
      </c>
      <c r="N549" s="551">
        <v>43091</v>
      </c>
      <c r="O549" s="419"/>
      <c r="P549" s="61" t="s">
        <v>590</v>
      </c>
      <c r="Q549" s="7"/>
      <c r="R549" s="424" t="s">
        <v>202</v>
      </c>
      <c r="S549" s="322" t="s">
        <v>1176</v>
      </c>
      <c r="T549" s="688" t="s">
        <v>2933</v>
      </c>
      <c r="U549" s="421"/>
    </row>
    <row r="550" spans="1:21" ht="20.100000000000001" customHeight="1">
      <c r="A550" s="1188" t="s">
        <v>2951</v>
      </c>
      <c r="B550" s="1188" t="s">
        <v>343</v>
      </c>
      <c r="C550" s="1188" t="s">
        <v>406</v>
      </c>
      <c r="D550" s="11">
        <f>D416+100</f>
        <v>550</v>
      </c>
      <c r="E550" s="11">
        <f>E416+200</f>
        <v>700</v>
      </c>
      <c r="F550" s="11">
        <f>F416+200</f>
        <v>700</v>
      </c>
      <c r="G550" s="67" t="s">
        <v>5</v>
      </c>
      <c r="H550" s="22">
        <v>1</v>
      </c>
      <c r="I550" s="38" t="s">
        <v>93</v>
      </c>
      <c r="J550" s="38"/>
      <c r="K550" s="681" t="s">
        <v>684</v>
      </c>
      <c r="L550" s="51" t="s">
        <v>636</v>
      </c>
      <c r="M550" s="6">
        <v>43080</v>
      </c>
      <c r="N550" s="6">
        <v>43086</v>
      </c>
      <c r="O550" s="675" t="s">
        <v>600</v>
      </c>
      <c r="P550" s="61" t="s">
        <v>590</v>
      </c>
      <c r="Q550" s="7"/>
      <c r="R550" s="73" t="s">
        <v>1873</v>
      </c>
      <c r="S550" s="315" t="s">
        <v>2893</v>
      </c>
      <c r="T550" s="78"/>
      <c r="U550" s="42"/>
    </row>
    <row r="551" spans="1:21" s="377" customFormat="1" ht="20.100000000000001" customHeight="1">
      <c r="A551" s="1188" t="s">
        <v>2951</v>
      </c>
      <c r="B551" s="1188" t="s">
        <v>343</v>
      </c>
      <c r="C551" s="1188" t="s">
        <v>406</v>
      </c>
      <c r="D551" s="11">
        <v>435</v>
      </c>
      <c r="E551" s="11">
        <v>570</v>
      </c>
      <c r="F551" s="11">
        <v>570</v>
      </c>
      <c r="G551" s="224" t="s">
        <v>231</v>
      </c>
      <c r="H551" s="417" t="s">
        <v>634</v>
      </c>
      <c r="I551" s="380" t="s">
        <v>23</v>
      </c>
      <c r="J551" s="50"/>
      <c r="K551" s="379" t="s">
        <v>684</v>
      </c>
      <c r="L551" s="379" t="s">
        <v>637</v>
      </c>
      <c r="M551" s="547">
        <v>43073</v>
      </c>
      <c r="N551" s="547">
        <v>43087</v>
      </c>
      <c r="O551" s="422"/>
      <c r="P551" s="61"/>
      <c r="Q551" s="7"/>
      <c r="R551" s="384" t="s">
        <v>1480</v>
      </c>
      <c r="S551" s="322"/>
      <c r="T551" s="689"/>
      <c r="U551" s="421"/>
    </row>
    <row r="552" spans="1:21" s="377" customFormat="1" ht="20.100000000000001" customHeight="1">
      <c r="A552" s="1188" t="s">
        <v>2951</v>
      </c>
      <c r="B552" s="1188" t="s">
        <v>343</v>
      </c>
      <c r="C552" s="1188" t="s">
        <v>406</v>
      </c>
      <c r="D552" s="790">
        <v>600</v>
      </c>
      <c r="E552" s="793">
        <v>1100</v>
      </c>
      <c r="F552" s="793">
        <v>1100</v>
      </c>
      <c r="G552" s="218" t="s">
        <v>14</v>
      </c>
      <c r="H552" s="56" t="s">
        <v>742</v>
      </c>
      <c r="I552" s="386" t="s">
        <v>16</v>
      </c>
      <c r="J552" s="38"/>
      <c r="K552" s="428" t="s">
        <v>680</v>
      </c>
      <c r="L552" s="398" t="s">
        <v>652</v>
      </c>
      <c r="M552" s="547">
        <v>43044</v>
      </c>
      <c r="N552" s="547">
        <v>43092</v>
      </c>
      <c r="O552" s="422"/>
      <c r="P552" s="61"/>
      <c r="Q552" s="7"/>
      <c r="R552" s="17" t="s">
        <v>449</v>
      </c>
      <c r="S552" s="319"/>
      <c r="T552" s="689"/>
      <c r="U552" s="421"/>
    </row>
    <row r="553" spans="1:21" s="377" customFormat="1" ht="20.100000000000001" customHeight="1">
      <c r="A553" s="1188" t="s">
        <v>2951</v>
      </c>
      <c r="B553" s="1188" t="s">
        <v>343</v>
      </c>
      <c r="C553" s="1188" t="s">
        <v>406</v>
      </c>
      <c r="D553" s="800" t="s">
        <v>3853</v>
      </c>
      <c r="E553" s="800" t="s">
        <v>2226</v>
      </c>
      <c r="F553" s="800" t="s">
        <v>2226</v>
      </c>
      <c r="G553" s="803" t="s">
        <v>18</v>
      </c>
      <c r="H553" s="674" t="s">
        <v>843</v>
      </c>
      <c r="I553" s="386" t="s">
        <v>1</v>
      </c>
      <c r="J553" s="38"/>
      <c r="K553" s="398" t="s">
        <v>941</v>
      </c>
      <c r="L553" s="386" t="s">
        <v>643</v>
      </c>
      <c r="M553" s="381">
        <v>43084</v>
      </c>
      <c r="N553" s="381">
        <v>43100</v>
      </c>
      <c r="O553" s="422"/>
      <c r="P553" s="61"/>
      <c r="Q553" s="147"/>
      <c r="R553" s="397" t="s">
        <v>942</v>
      </c>
      <c r="S553" s="316" t="s">
        <v>2905</v>
      </c>
      <c r="T553" s="78"/>
      <c r="U553" s="421"/>
    </row>
    <row r="554" spans="1:21" s="377" customFormat="1" ht="20.100000000000001" customHeight="1">
      <c r="A554" s="1128" t="s">
        <v>2951</v>
      </c>
      <c r="B554" s="1188" t="s">
        <v>343</v>
      </c>
      <c r="C554" s="1188" t="s">
        <v>406</v>
      </c>
      <c r="D554" s="11">
        <v>375</v>
      </c>
      <c r="E554" s="11">
        <v>450</v>
      </c>
      <c r="F554" s="11">
        <v>450</v>
      </c>
      <c r="G554" s="218" t="s">
        <v>52</v>
      </c>
      <c r="H554" s="385" t="s">
        <v>725</v>
      </c>
      <c r="I554" s="386" t="s">
        <v>17</v>
      </c>
      <c r="J554" s="38"/>
      <c r="K554" s="379" t="s">
        <v>750</v>
      </c>
      <c r="L554" s="379" t="s">
        <v>641</v>
      </c>
      <c r="M554" s="381">
        <v>43082</v>
      </c>
      <c r="N554" s="381">
        <v>43086</v>
      </c>
      <c r="O554" s="394" t="s">
        <v>1949</v>
      </c>
      <c r="P554" s="61"/>
      <c r="Q554" s="677" t="s">
        <v>3022</v>
      </c>
      <c r="R554" s="397" t="s">
        <v>826</v>
      </c>
      <c r="S554" s="336" t="s">
        <v>1176</v>
      </c>
      <c r="T554" s="323" t="s">
        <v>2935</v>
      </c>
      <c r="U554" s="421"/>
    </row>
    <row r="555" spans="1:21" s="377" customFormat="1" ht="20.100000000000001" customHeight="1">
      <c r="A555" s="1128" t="s">
        <v>2951</v>
      </c>
      <c r="B555" s="1188" t="s">
        <v>343</v>
      </c>
      <c r="C555" s="1188" t="s">
        <v>406</v>
      </c>
      <c r="D555" s="13">
        <v>475</v>
      </c>
      <c r="E555" s="13">
        <v>500</v>
      </c>
      <c r="F555" s="13">
        <v>500</v>
      </c>
      <c r="G555" s="63" t="s">
        <v>29</v>
      </c>
      <c r="H555" s="385" t="s">
        <v>659</v>
      </c>
      <c r="I555" s="386" t="s">
        <v>17</v>
      </c>
      <c r="J555" s="38"/>
      <c r="K555" s="386" t="s">
        <v>663</v>
      </c>
      <c r="L555" s="386" t="s">
        <v>639</v>
      </c>
      <c r="M555" s="404">
        <v>43082</v>
      </c>
      <c r="N555" s="404">
        <v>43086</v>
      </c>
      <c r="O555" s="422"/>
      <c r="P555" s="61" t="s">
        <v>599</v>
      </c>
      <c r="Q555" s="677" t="s">
        <v>3022</v>
      </c>
      <c r="R555" s="397" t="s">
        <v>450</v>
      </c>
      <c r="S555" s="316" t="s">
        <v>2898</v>
      </c>
      <c r="T555" s="689"/>
      <c r="U555" s="421"/>
    </row>
    <row r="556" spans="1:21" s="377" customFormat="1" ht="20.100000000000001" customHeight="1">
      <c r="A556" s="1185" t="s">
        <v>1111</v>
      </c>
      <c r="B556" s="1185" t="s">
        <v>343</v>
      </c>
      <c r="C556" s="1185" t="s">
        <v>1110</v>
      </c>
      <c r="D556" s="13">
        <f>D550+200</f>
        <v>750</v>
      </c>
      <c r="E556" s="13">
        <f>E550+400</f>
        <v>1100</v>
      </c>
      <c r="F556" s="13">
        <f>F550+400</f>
        <v>1100</v>
      </c>
      <c r="G556" s="705" t="s">
        <v>5</v>
      </c>
      <c r="H556" s="22">
        <v>1</v>
      </c>
      <c r="I556" s="38" t="s">
        <v>3406</v>
      </c>
      <c r="J556" s="38"/>
      <c r="K556" s="681" t="s">
        <v>685</v>
      </c>
      <c r="L556" s="51" t="s">
        <v>636</v>
      </c>
      <c r="M556" s="6">
        <v>43080</v>
      </c>
      <c r="N556" s="6">
        <v>43086</v>
      </c>
      <c r="O556" s="675" t="s">
        <v>600</v>
      </c>
      <c r="P556" s="61" t="s">
        <v>590</v>
      </c>
      <c r="Q556" s="7"/>
      <c r="R556" s="73" t="s">
        <v>1873</v>
      </c>
      <c r="S556" s="315" t="s">
        <v>2893</v>
      </c>
      <c r="T556" s="778"/>
      <c r="U556" s="421"/>
    </row>
    <row r="557" spans="1:21" s="377" customFormat="1" ht="20.100000000000001" customHeight="1">
      <c r="A557" s="1186" t="s">
        <v>1111</v>
      </c>
      <c r="B557" s="1186" t="s">
        <v>343</v>
      </c>
      <c r="C557" s="1186" t="s">
        <v>1110</v>
      </c>
      <c r="D557" s="11">
        <v>725</v>
      </c>
      <c r="E557" s="11">
        <v>1050</v>
      </c>
      <c r="F557" s="11">
        <v>1050</v>
      </c>
      <c r="G557" s="218" t="s">
        <v>1180</v>
      </c>
      <c r="H557" s="385" t="s">
        <v>725</v>
      </c>
      <c r="I557" s="386" t="s">
        <v>17</v>
      </c>
      <c r="J557" s="38"/>
      <c r="K557" s="379" t="s">
        <v>683</v>
      </c>
      <c r="L557" s="379" t="s">
        <v>641</v>
      </c>
      <c r="M557" s="381">
        <v>43075</v>
      </c>
      <c r="N557" s="381">
        <v>43086</v>
      </c>
      <c r="O557" s="394" t="s">
        <v>1949</v>
      </c>
      <c r="P557" s="61" t="s">
        <v>590</v>
      </c>
      <c r="Q557" s="7"/>
      <c r="R557" s="397" t="s">
        <v>839</v>
      </c>
      <c r="S557" s="336" t="s">
        <v>1176</v>
      </c>
      <c r="T557" s="323" t="s">
        <v>2935</v>
      </c>
      <c r="U557" s="421"/>
    </row>
    <row r="558" spans="1:21" s="377" customFormat="1" ht="20.100000000000001" customHeight="1">
      <c r="A558" s="1186" t="s">
        <v>1111</v>
      </c>
      <c r="B558" s="1186" t="s">
        <v>343</v>
      </c>
      <c r="C558" s="1186" t="s">
        <v>1110</v>
      </c>
      <c r="D558" s="11">
        <v>950</v>
      </c>
      <c r="E558" s="11">
        <v>1300</v>
      </c>
      <c r="F558" s="11">
        <v>1300</v>
      </c>
      <c r="G558" s="218" t="s">
        <v>10</v>
      </c>
      <c r="H558" s="385" t="s">
        <v>725</v>
      </c>
      <c r="I558" s="386" t="s">
        <v>17</v>
      </c>
      <c r="J558" s="38"/>
      <c r="K558" s="379" t="s">
        <v>683</v>
      </c>
      <c r="L558" s="379" t="s">
        <v>641</v>
      </c>
      <c r="M558" s="381">
        <v>43045</v>
      </c>
      <c r="N558" s="547">
        <v>43087</v>
      </c>
      <c r="O558" s="394"/>
      <c r="P558" s="61"/>
      <c r="Q558" s="7"/>
      <c r="R558" s="49" t="s">
        <v>836</v>
      </c>
      <c r="S558" s="316" t="s">
        <v>1176</v>
      </c>
      <c r="T558" s="323"/>
      <c r="U558" s="421"/>
    </row>
    <row r="559" spans="1:21" s="377" customFormat="1" ht="20.100000000000001" customHeight="1">
      <c r="A559" s="1186" t="s">
        <v>1111</v>
      </c>
      <c r="B559" s="1186" t="s">
        <v>343</v>
      </c>
      <c r="C559" s="1186" t="s">
        <v>1110</v>
      </c>
      <c r="D559" s="13">
        <v>800</v>
      </c>
      <c r="E559" s="13">
        <v>1300</v>
      </c>
      <c r="F559" s="13">
        <v>1300</v>
      </c>
      <c r="G559" s="63" t="s">
        <v>87</v>
      </c>
      <c r="H559" s="425" t="s">
        <v>631</v>
      </c>
      <c r="I559" s="386" t="s">
        <v>23</v>
      </c>
      <c r="J559" s="38"/>
      <c r="K559" s="398" t="s">
        <v>680</v>
      </c>
      <c r="L559" s="415" t="s">
        <v>637</v>
      </c>
      <c r="M559" s="547">
        <v>43040</v>
      </c>
      <c r="N559" s="547">
        <v>43080</v>
      </c>
      <c r="O559" s="422"/>
      <c r="P559" s="61" t="s">
        <v>590</v>
      </c>
      <c r="Q559" s="761"/>
      <c r="R559" s="432" t="s">
        <v>849</v>
      </c>
      <c r="S559" s="322" t="s">
        <v>2849</v>
      </c>
      <c r="T559" s="689"/>
      <c r="U559" s="421"/>
    </row>
    <row r="560" spans="1:21" s="377" customFormat="1" ht="20.100000000000001" customHeight="1">
      <c r="A560" s="1187" t="s">
        <v>1111</v>
      </c>
      <c r="B560" s="1187" t="s">
        <v>343</v>
      </c>
      <c r="C560" s="1187" t="s">
        <v>1110</v>
      </c>
      <c r="D560" s="11"/>
      <c r="E560" s="11"/>
      <c r="F560" s="11"/>
      <c r="G560" s="63" t="s">
        <v>37</v>
      </c>
      <c r="H560" s="417">
        <v>5</v>
      </c>
      <c r="I560" s="386" t="s">
        <v>17</v>
      </c>
      <c r="J560" s="38"/>
      <c r="K560" s="386" t="s">
        <v>1112</v>
      </c>
      <c r="L560" s="380" t="s">
        <v>649</v>
      </c>
      <c r="M560" s="392">
        <v>43039</v>
      </c>
      <c r="N560" s="392">
        <v>43080</v>
      </c>
      <c r="O560" s="419"/>
      <c r="P560" s="750"/>
      <c r="Q560" s="52" t="s">
        <v>3031</v>
      </c>
      <c r="R560" s="397" t="s">
        <v>179</v>
      </c>
      <c r="S560" s="316" t="s">
        <v>2913</v>
      </c>
      <c r="T560" s="316"/>
      <c r="U560" s="421"/>
    </row>
    <row r="561" spans="1:21" ht="20.100000000000001" customHeight="1">
      <c r="A561" s="1128" t="s">
        <v>2951</v>
      </c>
      <c r="B561" s="1188" t="s">
        <v>343</v>
      </c>
      <c r="C561" s="1128" t="s">
        <v>3850</v>
      </c>
      <c r="D561" s="537">
        <f>D416+300</f>
        <v>750</v>
      </c>
      <c r="E561" s="537">
        <f>E416+450</f>
        <v>950</v>
      </c>
      <c r="F561" s="537">
        <f>F416+450</f>
        <v>950</v>
      </c>
      <c r="G561" s="67" t="s">
        <v>5</v>
      </c>
      <c r="H561" s="35">
        <v>1</v>
      </c>
      <c r="I561" s="38" t="s">
        <v>93</v>
      </c>
      <c r="J561" s="681"/>
      <c r="K561" s="681" t="s">
        <v>766</v>
      </c>
      <c r="L561" s="51" t="s">
        <v>636</v>
      </c>
      <c r="M561" s="6">
        <v>43080</v>
      </c>
      <c r="N561" s="6">
        <v>43086</v>
      </c>
      <c r="O561" s="675" t="s">
        <v>600</v>
      </c>
      <c r="P561" s="61" t="s">
        <v>938</v>
      </c>
      <c r="Q561" s="7"/>
      <c r="R561" s="73" t="s">
        <v>1873</v>
      </c>
      <c r="S561" s="315" t="s">
        <v>2893</v>
      </c>
      <c r="T561" s="689"/>
      <c r="U561" s="42"/>
    </row>
    <row r="562" spans="1:21" s="377" customFormat="1" ht="20.100000000000001" customHeight="1">
      <c r="A562" s="1128" t="s">
        <v>2951</v>
      </c>
      <c r="B562" s="1188" t="s">
        <v>343</v>
      </c>
      <c r="C562" s="1188" t="s">
        <v>477</v>
      </c>
      <c r="D562" s="538">
        <f>D419+150</f>
        <v>425</v>
      </c>
      <c r="E562" s="538">
        <f>E419+300</f>
        <v>650</v>
      </c>
      <c r="F562" s="538">
        <f>F419+300</f>
        <v>650</v>
      </c>
      <c r="G562" s="217" t="s">
        <v>92</v>
      </c>
      <c r="H562" s="390">
        <v>1</v>
      </c>
      <c r="I562" s="426" t="s">
        <v>93</v>
      </c>
      <c r="J562" s="681"/>
      <c r="K562" s="426">
        <v>21</v>
      </c>
      <c r="L562" s="379" t="s">
        <v>636</v>
      </c>
      <c r="M562" s="381">
        <v>43087</v>
      </c>
      <c r="N562" s="381">
        <v>43087</v>
      </c>
      <c r="O562" s="422"/>
      <c r="P562" s="61" t="s">
        <v>913</v>
      </c>
      <c r="Q562" s="7"/>
      <c r="R562" s="397" t="s">
        <v>203</v>
      </c>
      <c r="S562" s="315" t="s">
        <v>2904</v>
      </c>
      <c r="T562" s="689"/>
      <c r="U562" s="421"/>
    </row>
    <row r="563" spans="1:21" s="377" customFormat="1" ht="20.100000000000001" customHeight="1">
      <c r="A563" s="1128" t="s">
        <v>2951</v>
      </c>
      <c r="B563" s="1188" t="s">
        <v>343</v>
      </c>
      <c r="C563" s="1188" t="s">
        <v>477</v>
      </c>
      <c r="D563" s="537">
        <f>D422+200+150</f>
        <v>550</v>
      </c>
      <c r="E563" s="537">
        <f>E422+300+150</f>
        <v>700</v>
      </c>
      <c r="F563" s="537">
        <f>F422+300+150</f>
        <v>700</v>
      </c>
      <c r="G563" s="707" t="s">
        <v>87</v>
      </c>
      <c r="H563" s="385" t="s">
        <v>1101</v>
      </c>
      <c r="I563" s="426" t="s">
        <v>93</v>
      </c>
      <c r="J563" s="37"/>
      <c r="K563" s="398" t="s">
        <v>747</v>
      </c>
      <c r="L563" s="398" t="s">
        <v>649</v>
      </c>
      <c r="M563" s="547">
        <v>43080</v>
      </c>
      <c r="N563" s="547">
        <v>43080</v>
      </c>
      <c r="O563" s="422"/>
      <c r="P563" s="59" t="s">
        <v>1483</v>
      </c>
      <c r="Q563" s="61" t="s">
        <v>918</v>
      </c>
      <c r="R563" s="397" t="s">
        <v>251</v>
      </c>
      <c r="S563" s="322" t="s">
        <v>2861</v>
      </c>
      <c r="T563" s="689"/>
      <c r="U563" s="421"/>
    </row>
    <row r="564" spans="1:21" s="377" customFormat="1" ht="20.100000000000001" customHeight="1">
      <c r="A564" s="1128" t="s">
        <v>2951</v>
      </c>
      <c r="B564" s="1188" t="s">
        <v>343</v>
      </c>
      <c r="C564" s="1188" t="s">
        <v>477</v>
      </c>
      <c r="D564" s="538">
        <v>380</v>
      </c>
      <c r="E564" s="536">
        <v>625</v>
      </c>
      <c r="F564" s="536">
        <v>625</v>
      </c>
      <c r="G564" s="708" t="s">
        <v>14</v>
      </c>
      <c r="H564" s="56" t="s">
        <v>742</v>
      </c>
      <c r="I564" s="426" t="s">
        <v>93</v>
      </c>
      <c r="J564" s="681"/>
      <c r="K564" s="398">
        <v>17</v>
      </c>
      <c r="L564" s="398" t="s">
        <v>652</v>
      </c>
      <c r="M564" s="547">
        <v>43086</v>
      </c>
      <c r="N564" s="547">
        <v>43092</v>
      </c>
      <c r="O564" s="422"/>
      <c r="P564" s="61" t="s">
        <v>605</v>
      </c>
      <c r="Q564" s="7"/>
      <c r="R564" s="17" t="s">
        <v>449</v>
      </c>
      <c r="S564" s="322" t="s">
        <v>1176</v>
      </c>
      <c r="T564" s="689"/>
      <c r="U564" s="421"/>
    </row>
    <row r="565" spans="1:21" s="377" customFormat="1" ht="20.100000000000001" customHeight="1">
      <c r="A565" s="1128" t="s">
        <v>2951</v>
      </c>
      <c r="B565" s="1188" t="s">
        <v>343</v>
      </c>
      <c r="C565" s="1188" t="s">
        <v>477</v>
      </c>
      <c r="D565" s="32">
        <v>750</v>
      </c>
      <c r="E565" s="32">
        <v>1100</v>
      </c>
      <c r="F565" s="32">
        <v>1000</v>
      </c>
      <c r="G565" s="709" t="s">
        <v>28</v>
      </c>
      <c r="H565" s="385" t="s">
        <v>1102</v>
      </c>
      <c r="I565" s="426" t="s">
        <v>93</v>
      </c>
      <c r="J565" s="681"/>
      <c r="K565" s="398">
        <v>18</v>
      </c>
      <c r="L565" s="398" t="s">
        <v>652</v>
      </c>
      <c r="M565" s="392">
        <v>43077</v>
      </c>
      <c r="N565" s="392">
        <v>43088</v>
      </c>
      <c r="O565" s="423" t="s">
        <v>601</v>
      </c>
      <c r="P565" s="61" t="s">
        <v>1942</v>
      </c>
      <c r="Q565" s="7"/>
      <c r="R565" s="424" t="s">
        <v>449</v>
      </c>
      <c r="S565" s="316" t="s">
        <v>2909</v>
      </c>
      <c r="T565" s="689"/>
      <c r="U565" s="421"/>
    </row>
    <row r="566" spans="1:21" s="377" customFormat="1" ht="20.100000000000001" customHeight="1">
      <c r="A566" s="1128" t="s">
        <v>2951</v>
      </c>
      <c r="B566" s="1188" t="s">
        <v>343</v>
      </c>
      <c r="C566" s="1188" t="s">
        <v>477</v>
      </c>
      <c r="D566" s="538">
        <f>D442+150</f>
        <v>425</v>
      </c>
      <c r="E566" s="538">
        <f>E442+300</f>
        <v>650</v>
      </c>
      <c r="F566" s="538">
        <f>F442+300</f>
        <v>650</v>
      </c>
      <c r="G566" s="217" t="s">
        <v>10</v>
      </c>
      <c r="H566" s="385" t="s">
        <v>725</v>
      </c>
      <c r="I566" s="426" t="s">
        <v>93</v>
      </c>
      <c r="J566" s="38"/>
      <c r="K566" s="386" t="s">
        <v>752</v>
      </c>
      <c r="L566" s="379" t="s">
        <v>641</v>
      </c>
      <c r="M566" s="381">
        <v>43083</v>
      </c>
      <c r="N566" s="381">
        <v>43087</v>
      </c>
      <c r="O566" s="422"/>
      <c r="P566" s="61" t="s">
        <v>913</v>
      </c>
      <c r="Q566" s="7"/>
      <c r="R566" s="397" t="s">
        <v>838</v>
      </c>
      <c r="S566" s="315" t="s">
        <v>2904</v>
      </c>
      <c r="T566" s="689"/>
      <c r="U566" s="421"/>
    </row>
    <row r="567" spans="1:21" s="377" customFormat="1" ht="20.100000000000001" customHeight="1">
      <c r="A567" s="1128" t="s">
        <v>2951</v>
      </c>
      <c r="B567" s="1188" t="s">
        <v>343</v>
      </c>
      <c r="C567" s="1188" t="s">
        <v>477</v>
      </c>
      <c r="D567" s="538">
        <f>D445+150</f>
        <v>475</v>
      </c>
      <c r="E567" s="538">
        <f>E445+300</f>
        <v>650</v>
      </c>
      <c r="F567" s="538">
        <f>F445+300</f>
        <v>650</v>
      </c>
      <c r="G567" s="707" t="s">
        <v>233</v>
      </c>
      <c r="H567" s="425" t="s">
        <v>656</v>
      </c>
      <c r="I567" s="398" t="s">
        <v>93</v>
      </c>
      <c r="J567" s="681"/>
      <c r="K567" s="398" t="s">
        <v>1872</v>
      </c>
      <c r="L567" s="386" t="s">
        <v>1871</v>
      </c>
      <c r="M567" s="399">
        <v>43064</v>
      </c>
      <c r="N567" s="399">
        <v>43086</v>
      </c>
      <c r="O567" s="423" t="s">
        <v>601</v>
      </c>
      <c r="P567" s="751" t="s">
        <v>1937</v>
      </c>
      <c r="Q567" s="7"/>
      <c r="R567" s="424" t="s">
        <v>1870</v>
      </c>
      <c r="S567" s="315" t="s">
        <v>2907</v>
      </c>
      <c r="T567" s="689"/>
      <c r="U567" s="421"/>
    </row>
    <row r="568" spans="1:21" s="377" customFormat="1" ht="20.100000000000001" customHeight="1">
      <c r="A568" s="1128" t="s">
        <v>2951</v>
      </c>
      <c r="B568" s="1188" t="s">
        <v>343</v>
      </c>
      <c r="C568" s="1188" t="s">
        <v>477</v>
      </c>
      <c r="D568" s="940">
        <v>550</v>
      </c>
      <c r="E568" s="940">
        <v>690</v>
      </c>
      <c r="F568" s="940">
        <v>690</v>
      </c>
      <c r="G568" s="63" t="s">
        <v>12</v>
      </c>
      <c r="H568" s="417">
        <v>6</v>
      </c>
      <c r="I568" s="386" t="s">
        <v>93</v>
      </c>
      <c r="J568" s="38"/>
      <c r="K568" s="386">
        <v>20</v>
      </c>
      <c r="L568" s="386" t="s">
        <v>641</v>
      </c>
      <c r="M568" s="551">
        <v>43084</v>
      </c>
      <c r="N568" s="551">
        <v>43091</v>
      </c>
      <c r="O568" s="423"/>
      <c r="P568" s="72" t="s">
        <v>1947</v>
      </c>
      <c r="Q568" s="7"/>
      <c r="R568" s="384" t="s">
        <v>202</v>
      </c>
      <c r="S568" s="322" t="s">
        <v>1176</v>
      </c>
      <c r="T568" s="688" t="s">
        <v>2933</v>
      </c>
      <c r="U568" s="421"/>
    </row>
    <row r="569" spans="1:21" s="377" customFormat="1" ht="20.100000000000001" customHeight="1">
      <c r="A569" s="1128" t="s">
        <v>2951</v>
      </c>
      <c r="B569" s="1188" t="s">
        <v>343</v>
      </c>
      <c r="C569" s="1188" t="s">
        <v>477</v>
      </c>
      <c r="D569" s="537">
        <f>D448+155</f>
        <v>515</v>
      </c>
      <c r="E569" s="537">
        <f>E448+250</f>
        <v>600</v>
      </c>
      <c r="F569" s="537">
        <f>F448+250</f>
        <v>600</v>
      </c>
      <c r="G569" s="64" t="s">
        <v>432</v>
      </c>
      <c r="H569" s="417">
        <v>6</v>
      </c>
      <c r="I569" s="386" t="s">
        <v>93</v>
      </c>
      <c r="J569" s="38"/>
      <c r="K569" s="386">
        <v>20</v>
      </c>
      <c r="L569" s="386" t="s">
        <v>641</v>
      </c>
      <c r="M569" s="391">
        <v>43050</v>
      </c>
      <c r="N569" s="547">
        <v>43089</v>
      </c>
      <c r="O569" s="422"/>
      <c r="P569" s="61" t="s">
        <v>1944</v>
      </c>
      <c r="Q569" s="7"/>
      <c r="R569" s="397" t="s">
        <v>202</v>
      </c>
      <c r="S569" s="319" t="s">
        <v>1177</v>
      </c>
      <c r="T569" s="689"/>
      <c r="U569" s="421"/>
    </row>
    <row r="570" spans="1:21" s="377" customFormat="1" ht="20.100000000000001" customHeight="1">
      <c r="A570" s="1144" t="s">
        <v>2951</v>
      </c>
      <c r="B570" s="1144" t="s">
        <v>1122</v>
      </c>
      <c r="C570" s="1144" t="s">
        <v>342</v>
      </c>
      <c r="D570" s="528">
        <v>1300</v>
      </c>
      <c r="E570" s="13">
        <v>1650</v>
      </c>
      <c r="F570" s="13">
        <v>1650</v>
      </c>
      <c r="G570" s="218" t="s">
        <v>10</v>
      </c>
      <c r="H570" s="390" t="s">
        <v>729</v>
      </c>
      <c r="I570" s="386" t="s">
        <v>16</v>
      </c>
      <c r="J570" s="38"/>
      <c r="K570" s="398">
        <v>25</v>
      </c>
      <c r="L570" s="379" t="s">
        <v>636</v>
      </c>
      <c r="M570" s="381">
        <v>43045</v>
      </c>
      <c r="N570" s="547">
        <v>43087</v>
      </c>
      <c r="O570" s="422"/>
      <c r="P570" s="61" t="s">
        <v>590</v>
      </c>
      <c r="Q570" s="7"/>
      <c r="R570" s="397" t="s">
        <v>203</v>
      </c>
      <c r="S570" s="316" t="s">
        <v>1176</v>
      </c>
      <c r="T570" s="689"/>
      <c r="U570" s="421"/>
    </row>
    <row r="571" spans="1:21" s="377" customFormat="1" ht="20.100000000000001" customHeight="1">
      <c r="A571" s="1145" t="s">
        <v>2951</v>
      </c>
      <c r="B571" s="1145" t="s">
        <v>1122</v>
      </c>
      <c r="C571" s="1145" t="s">
        <v>342</v>
      </c>
      <c r="D571" s="2">
        <v>1250</v>
      </c>
      <c r="E571" s="2">
        <v>1500</v>
      </c>
      <c r="F571" s="2">
        <v>1500</v>
      </c>
      <c r="G571" s="699" t="s">
        <v>51</v>
      </c>
      <c r="H571" s="417" t="s">
        <v>2370</v>
      </c>
      <c r="I571" s="398" t="s">
        <v>16</v>
      </c>
      <c r="J571" s="39"/>
      <c r="K571" s="415" t="s">
        <v>1989</v>
      </c>
      <c r="L571" s="380" t="s">
        <v>637</v>
      </c>
      <c r="M571" s="381">
        <v>43080</v>
      </c>
      <c r="N571" s="381">
        <v>43089</v>
      </c>
      <c r="O571" s="433"/>
      <c r="P571" s="753"/>
      <c r="Q571" s="52"/>
      <c r="R571" s="384" t="s">
        <v>2371</v>
      </c>
      <c r="S571" s="316"/>
      <c r="T571" s="689"/>
      <c r="U571" s="421"/>
    </row>
    <row r="572" spans="1:21" s="377" customFormat="1" ht="20.100000000000001" customHeight="1">
      <c r="A572" s="1145" t="s">
        <v>2951</v>
      </c>
      <c r="B572" s="1145" t="s">
        <v>1122</v>
      </c>
      <c r="C572" s="1145" t="s">
        <v>342</v>
      </c>
      <c r="D572" s="537">
        <v>1600</v>
      </c>
      <c r="E572" s="537">
        <v>1900</v>
      </c>
      <c r="F572" s="537">
        <v>1900</v>
      </c>
      <c r="G572" s="66" t="s">
        <v>874</v>
      </c>
      <c r="H572" s="385" t="s">
        <v>886</v>
      </c>
      <c r="I572" s="379" t="s">
        <v>126</v>
      </c>
      <c r="J572" s="51"/>
      <c r="K572" s="380" t="s">
        <v>682</v>
      </c>
      <c r="L572" s="379" t="s">
        <v>768</v>
      </c>
      <c r="M572" s="391">
        <v>43040</v>
      </c>
      <c r="N572" s="391">
        <v>43092</v>
      </c>
      <c r="O572" s="422"/>
      <c r="P572" s="61"/>
      <c r="Q572" s="7"/>
      <c r="R572" s="397" t="s">
        <v>2407</v>
      </c>
      <c r="S572" s="316" t="s">
        <v>1176</v>
      </c>
      <c r="T572" s="689"/>
      <c r="U572" s="421"/>
    </row>
    <row r="573" spans="1:21" s="377" customFormat="1" ht="20.100000000000001" customHeight="1">
      <c r="A573" s="1145" t="s">
        <v>2951</v>
      </c>
      <c r="B573" s="1145" t="s">
        <v>1122</v>
      </c>
      <c r="C573" s="1145" t="s">
        <v>342</v>
      </c>
      <c r="D573" s="537">
        <v>975</v>
      </c>
      <c r="E573" s="537">
        <v>1350</v>
      </c>
      <c r="F573" s="537">
        <v>1350</v>
      </c>
      <c r="G573" s="66" t="s">
        <v>29</v>
      </c>
      <c r="H573" s="674" t="s">
        <v>4321</v>
      </c>
      <c r="I573" s="51" t="s">
        <v>23</v>
      </c>
      <c r="J573" s="51"/>
      <c r="K573" s="50" t="s">
        <v>4322</v>
      </c>
      <c r="L573" s="415" t="s">
        <v>637</v>
      </c>
      <c r="M573" s="404">
        <v>43080</v>
      </c>
      <c r="N573" s="404">
        <v>43086</v>
      </c>
      <c r="O573" s="422"/>
      <c r="P573" s="61"/>
      <c r="Q573" s="7"/>
      <c r="R573" s="49" t="s">
        <v>4323</v>
      </c>
      <c r="S573" s="316" t="s">
        <v>2898</v>
      </c>
      <c r="T573" s="870"/>
      <c r="U573" s="421"/>
    </row>
    <row r="574" spans="1:21" s="377" customFormat="1" ht="20.100000000000001" customHeight="1">
      <c r="A574" s="1145" t="s">
        <v>2951</v>
      </c>
      <c r="B574" s="1145" t="s">
        <v>1122</v>
      </c>
      <c r="C574" s="1145" t="s">
        <v>342</v>
      </c>
      <c r="D574" s="2">
        <v>900</v>
      </c>
      <c r="E574" s="2">
        <v>1250</v>
      </c>
      <c r="F574" s="2">
        <v>1250</v>
      </c>
      <c r="G574" s="218" t="s">
        <v>14</v>
      </c>
      <c r="H574" s="56" t="s">
        <v>742</v>
      </c>
      <c r="I574" s="386" t="s">
        <v>16</v>
      </c>
      <c r="J574" s="38"/>
      <c r="K574" s="682" t="s">
        <v>4064</v>
      </c>
      <c r="L574" s="398" t="s">
        <v>652</v>
      </c>
      <c r="M574" s="547">
        <v>43071</v>
      </c>
      <c r="N574" s="547">
        <v>43092</v>
      </c>
      <c r="O574" s="422"/>
      <c r="P574" s="61" t="s">
        <v>4063</v>
      </c>
      <c r="Q574" s="7"/>
      <c r="R574" s="17" t="s">
        <v>449</v>
      </c>
      <c r="S574" s="322" t="s">
        <v>1176</v>
      </c>
      <c r="T574" s="688" t="s">
        <v>2935</v>
      </c>
      <c r="U574" s="421"/>
    </row>
    <row r="575" spans="1:21" ht="20.100000000000001" customHeight="1">
      <c r="A575" s="1145" t="s">
        <v>2951</v>
      </c>
      <c r="B575" s="1145" t="s">
        <v>1122</v>
      </c>
      <c r="C575" s="1145" t="s">
        <v>342</v>
      </c>
      <c r="D575" s="528">
        <v>875</v>
      </c>
      <c r="E575" s="13">
        <v>1450</v>
      </c>
      <c r="F575" s="13">
        <v>1450</v>
      </c>
      <c r="G575" s="65" t="s">
        <v>5</v>
      </c>
      <c r="H575" s="35" t="s">
        <v>2112</v>
      </c>
      <c r="I575" s="38" t="s">
        <v>23</v>
      </c>
      <c r="J575" s="38"/>
      <c r="K575" s="681" t="s">
        <v>680</v>
      </c>
      <c r="L575" s="51" t="s">
        <v>643</v>
      </c>
      <c r="M575" s="6">
        <v>43066</v>
      </c>
      <c r="N575" s="6">
        <v>43086</v>
      </c>
      <c r="O575" s="675" t="s">
        <v>600</v>
      </c>
      <c r="P575" s="61" t="s">
        <v>2098</v>
      </c>
      <c r="Q575" s="683"/>
      <c r="R575" s="49" t="s">
        <v>2113</v>
      </c>
      <c r="S575" s="315" t="s">
        <v>2893</v>
      </c>
      <c r="T575" s="689"/>
      <c r="U575" s="42"/>
    </row>
    <row r="576" spans="1:21" ht="20.100000000000001" customHeight="1">
      <c r="A576" s="1145" t="s">
        <v>2951</v>
      </c>
      <c r="B576" s="1145" t="s">
        <v>1122</v>
      </c>
      <c r="C576" s="1145" t="s">
        <v>342</v>
      </c>
      <c r="D576" s="804">
        <v>750</v>
      </c>
      <c r="E576" s="828"/>
      <c r="F576" s="828"/>
      <c r="G576" s="63" t="s">
        <v>3894</v>
      </c>
      <c r="H576" s="35" t="s">
        <v>742</v>
      </c>
      <c r="I576" s="38" t="s">
        <v>3900</v>
      </c>
      <c r="J576" s="38"/>
      <c r="K576" s="681"/>
      <c r="L576" s="386" t="s">
        <v>636</v>
      </c>
      <c r="M576" s="551">
        <v>43076</v>
      </c>
      <c r="N576" s="551">
        <v>43090</v>
      </c>
      <c r="O576" s="419"/>
      <c r="P576" s="61" t="s">
        <v>4193</v>
      </c>
      <c r="Q576" s="7"/>
      <c r="R576" s="49" t="s">
        <v>1523</v>
      </c>
      <c r="S576" s="704" t="s">
        <v>1176</v>
      </c>
      <c r="T576" s="317" t="s">
        <v>3883</v>
      </c>
      <c r="U576" s="42"/>
    </row>
    <row r="577" spans="1:21" s="377" customFormat="1" ht="20.100000000000001" customHeight="1">
      <c r="A577" s="1145" t="s">
        <v>2951</v>
      </c>
      <c r="B577" s="1145" t="s">
        <v>1122</v>
      </c>
      <c r="C577" s="1145" t="s">
        <v>4320</v>
      </c>
      <c r="D577" s="805">
        <v>1050</v>
      </c>
      <c r="E577" s="805">
        <v>1300</v>
      </c>
      <c r="F577" s="805">
        <v>1280</v>
      </c>
      <c r="G577" s="63" t="s">
        <v>137</v>
      </c>
      <c r="H577" s="417" t="s">
        <v>742</v>
      </c>
      <c r="I577" s="386" t="s">
        <v>16</v>
      </c>
      <c r="J577" s="38"/>
      <c r="K577" s="386">
        <v>16</v>
      </c>
      <c r="L577" s="415" t="s">
        <v>639</v>
      </c>
      <c r="M577" s="392">
        <v>43070</v>
      </c>
      <c r="N577" s="392">
        <v>43088</v>
      </c>
      <c r="O577" s="423" t="s">
        <v>601</v>
      </c>
      <c r="P577" s="61" t="s">
        <v>1943</v>
      </c>
      <c r="Q577" s="7"/>
      <c r="R577" s="397" t="s">
        <v>1114</v>
      </c>
      <c r="S577" s="316" t="s">
        <v>2909</v>
      </c>
      <c r="T577" s="689"/>
      <c r="U577" s="421"/>
    </row>
    <row r="578" spans="1:21" s="377" customFormat="1" ht="20.100000000000001" customHeight="1">
      <c r="A578" s="1145" t="s">
        <v>2951</v>
      </c>
      <c r="B578" s="1145" t="s">
        <v>1122</v>
      </c>
      <c r="C578" s="1145" t="s">
        <v>342</v>
      </c>
      <c r="D578" s="800" t="s">
        <v>4074</v>
      </c>
      <c r="E578" s="800" t="s">
        <v>4075</v>
      </c>
      <c r="F578" s="800" t="s">
        <v>4075</v>
      </c>
      <c r="G578" s="803" t="s">
        <v>18</v>
      </c>
      <c r="H578" s="674" t="s">
        <v>1233</v>
      </c>
      <c r="I578" s="51" t="s">
        <v>1923</v>
      </c>
      <c r="J578" s="51"/>
      <c r="K578" s="380" t="s">
        <v>750</v>
      </c>
      <c r="L578" s="380" t="s">
        <v>649</v>
      </c>
      <c r="M578" s="381">
        <v>43066</v>
      </c>
      <c r="N578" s="381">
        <v>43100</v>
      </c>
      <c r="O578" s="422"/>
      <c r="P578" s="59"/>
      <c r="Q578" s="147"/>
      <c r="R578" s="384" t="s">
        <v>273</v>
      </c>
      <c r="S578" s="316" t="s">
        <v>2905</v>
      </c>
      <c r="T578" s="689"/>
      <c r="U578" s="421"/>
    </row>
    <row r="579" spans="1:21" s="377" customFormat="1" ht="20.100000000000001" customHeight="1">
      <c r="A579" s="1145" t="s">
        <v>2951</v>
      </c>
      <c r="B579" s="1145" t="s">
        <v>1122</v>
      </c>
      <c r="C579" s="1145" t="s">
        <v>4320</v>
      </c>
      <c r="D579" s="809">
        <v>915</v>
      </c>
      <c r="E579" s="808">
        <v>1730</v>
      </c>
      <c r="F579" s="808">
        <v>1730</v>
      </c>
      <c r="G579" s="63" t="s">
        <v>75</v>
      </c>
      <c r="H579" s="417" t="s">
        <v>742</v>
      </c>
      <c r="I579" s="386" t="s">
        <v>16</v>
      </c>
      <c r="J579" s="38"/>
      <c r="K579" s="428">
        <v>15</v>
      </c>
      <c r="L579" s="429" t="s">
        <v>637</v>
      </c>
      <c r="M579" s="399">
        <v>43070</v>
      </c>
      <c r="N579" s="399">
        <v>43083</v>
      </c>
      <c r="O579" s="423" t="s">
        <v>602</v>
      </c>
      <c r="P579" s="751" t="s">
        <v>1939</v>
      </c>
      <c r="Q579" s="677"/>
      <c r="R579" s="424" t="s">
        <v>1977</v>
      </c>
      <c r="S579" s="316" t="s">
        <v>2916</v>
      </c>
      <c r="T579" s="689"/>
      <c r="U579" s="421"/>
    </row>
    <row r="580" spans="1:21" s="377" customFormat="1" ht="20.100000000000001" customHeight="1">
      <c r="A580" s="1145" t="s">
        <v>2951</v>
      </c>
      <c r="B580" s="1145" t="s">
        <v>1122</v>
      </c>
      <c r="C580" s="1145" t="s">
        <v>342</v>
      </c>
      <c r="D580" s="528">
        <v>975</v>
      </c>
      <c r="E580" s="536">
        <v>1350</v>
      </c>
      <c r="F580" s="536">
        <v>1350</v>
      </c>
      <c r="G580" s="218" t="s">
        <v>10</v>
      </c>
      <c r="H580" s="36" t="s">
        <v>3020</v>
      </c>
      <c r="I580" s="38" t="s">
        <v>3021</v>
      </c>
      <c r="J580" s="38"/>
      <c r="K580" s="429" t="s">
        <v>727</v>
      </c>
      <c r="L580" s="386" t="s">
        <v>636</v>
      </c>
      <c r="M580" s="381">
        <v>43046</v>
      </c>
      <c r="N580" s="547">
        <v>43087</v>
      </c>
      <c r="O580" s="422"/>
      <c r="P580" s="59"/>
      <c r="Q580" s="7"/>
      <c r="R580" s="384" t="s">
        <v>2286</v>
      </c>
      <c r="S580" s="315" t="s">
        <v>2904</v>
      </c>
      <c r="T580" s="760"/>
      <c r="U580" s="421"/>
    </row>
    <row r="581" spans="1:21" s="377" customFormat="1" ht="20.100000000000001" customHeight="1">
      <c r="A581" s="1145" t="s">
        <v>2951</v>
      </c>
      <c r="B581" s="1145" t="s">
        <v>1122</v>
      </c>
      <c r="C581" s="1145" t="s">
        <v>4320</v>
      </c>
      <c r="D581" s="529">
        <v>1000</v>
      </c>
      <c r="E581" s="529">
        <v>1500</v>
      </c>
      <c r="F581" s="529">
        <v>1500</v>
      </c>
      <c r="G581" s="66" t="s">
        <v>158</v>
      </c>
      <c r="H581" s="385" t="s">
        <v>656</v>
      </c>
      <c r="I581" s="386" t="s">
        <v>16</v>
      </c>
      <c r="J581" s="38"/>
      <c r="K581" s="386">
        <v>16</v>
      </c>
      <c r="L581" s="379" t="s">
        <v>637</v>
      </c>
      <c r="M581" s="391">
        <v>43039</v>
      </c>
      <c r="N581" s="391">
        <v>43093</v>
      </c>
      <c r="O581" s="419"/>
      <c r="P581" s="61" t="s">
        <v>1928</v>
      </c>
      <c r="Q581" s="7"/>
      <c r="R581" s="397" t="s">
        <v>1861</v>
      </c>
      <c r="S581" s="316" t="s">
        <v>2917</v>
      </c>
      <c r="T581" s="137"/>
      <c r="U581" s="421"/>
    </row>
    <row r="582" spans="1:21" s="377" customFormat="1" ht="20.100000000000001" customHeight="1">
      <c r="A582" s="1145" t="s">
        <v>2951</v>
      </c>
      <c r="B582" s="1145" t="s">
        <v>1122</v>
      </c>
      <c r="C582" s="1145" t="s">
        <v>4320</v>
      </c>
      <c r="D582" s="11">
        <v>865</v>
      </c>
      <c r="E582" s="32"/>
      <c r="F582" s="32"/>
      <c r="G582" s="218" t="s">
        <v>956</v>
      </c>
      <c r="H582" s="55" t="s">
        <v>3015</v>
      </c>
      <c r="I582" s="386" t="s">
        <v>299</v>
      </c>
      <c r="J582" s="38"/>
      <c r="K582" s="386" t="s">
        <v>957</v>
      </c>
      <c r="L582" s="380" t="s">
        <v>958</v>
      </c>
      <c r="M582" s="6">
        <v>43080</v>
      </c>
      <c r="N582" s="6">
        <v>43093</v>
      </c>
      <c r="O582" s="422"/>
      <c r="P582" s="14" t="s">
        <v>3399</v>
      </c>
      <c r="Q582" s="7"/>
      <c r="R582" s="17" t="s">
        <v>3016</v>
      </c>
      <c r="S582" s="322" t="s">
        <v>1176</v>
      </c>
      <c r="T582" s="689"/>
      <c r="U582" s="421"/>
    </row>
    <row r="583" spans="1:21" s="377" customFormat="1" ht="20.100000000000001" customHeight="1">
      <c r="A583" s="1145" t="s">
        <v>2951</v>
      </c>
      <c r="B583" s="1145" t="s">
        <v>1122</v>
      </c>
      <c r="C583" s="1145" t="s">
        <v>4320</v>
      </c>
      <c r="D583" s="13">
        <v>1000</v>
      </c>
      <c r="E583" s="13">
        <v>1700</v>
      </c>
      <c r="F583" s="13">
        <v>1700</v>
      </c>
      <c r="G583" s="63" t="s">
        <v>232</v>
      </c>
      <c r="H583" s="385" t="s">
        <v>659</v>
      </c>
      <c r="I583" s="386" t="s">
        <v>2022</v>
      </c>
      <c r="J583" s="38"/>
      <c r="K583" s="398">
        <v>23</v>
      </c>
      <c r="L583" s="386" t="s">
        <v>650</v>
      </c>
      <c r="M583" s="399">
        <v>43030</v>
      </c>
      <c r="N583" s="399">
        <v>43086</v>
      </c>
      <c r="O583" s="423" t="s">
        <v>601</v>
      </c>
      <c r="P583" s="750"/>
      <c r="Q583" s="7"/>
      <c r="R583" s="397" t="s">
        <v>247</v>
      </c>
      <c r="S583" s="316"/>
      <c r="T583" s="689"/>
      <c r="U583" s="421"/>
    </row>
    <row r="584" spans="1:21" s="377" customFormat="1" ht="20.100000000000001" customHeight="1">
      <c r="A584" s="1145" t="s">
        <v>2951</v>
      </c>
      <c r="B584" s="1145" t="s">
        <v>1122</v>
      </c>
      <c r="C584" s="1145" t="s">
        <v>4320</v>
      </c>
      <c r="D584" s="32">
        <v>1235</v>
      </c>
      <c r="E584" s="11">
        <v>2310</v>
      </c>
      <c r="F584" s="11">
        <v>2310</v>
      </c>
      <c r="G584" s="63" t="s">
        <v>102</v>
      </c>
      <c r="H584" s="430" t="s">
        <v>1652</v>
      </c>
      <c r="I584" s="398" t="s">
        <v>16</v>
      </c>
      <c r="J584" s="38"/>
      <c r="K584" s="428" t="s">
        <v>1510</v>
      </c>
      <c r="L584" s="429" t="s">
        <v>637</v>
      </c>
      <c r="M584" s="392">
        <v>43039</v>
      </c>
      <c r="N584" s="392">
        <v>43080</v>
      </c>
      <c r="O584" s="419"/>
      <c r="P584" s="61" t="s">
        <v>1932</v>
      </c>
      <c r="Q584" s="7"/>
      <c r="R584" s="397" t="s">
        <v>1857</v>
      </c>
      <c r="S584" s="316" t="s">
        <v>2913</v>
      </c>
      <c r="T584" s="316"/>
      <c r="U584" s="421"/>
    </row>
    <row r="585" spans="1:21" s="377" customFormat="1" ht="20.100000000000001" customHeight="1">
      <c r="A585" s="1145" t="s">
        <v>2951</v>
      </c>
      <c r="B585" s="1145" t="s">
        <v>1122</v>
      </c>
      <c r="C585" s="1145" t="s">
        <v>4320</v>
      </c>
      <c r="D585" s="13">
        <v>950</v>
      </c>
      <c r="E585" s="13">
        <v>1600</v>
      </c>
      <c r="F585" s="13">
        <v>1600</v>
      </c>
      <c r="G585" s="63" t="s">
        <v>61</v>
      </c>
      <c r="H585" s="425" t="s">
        <v>2114</v>
      </c>
      <c r="I585" s="386" t="s">
        <v>16</v>
      </c>
      <c r="J585" s="38"/>
      <c r="K585" s="398" t="s">
        <v>1961</v>
      </c>
      <c r="L585" s="415" t="s">
        <v>637</v>
      </c>
      <c r="M585" s="404">
        <v>43040</v>
      </c>
      <c r="N585" s="404">
        <v>43100</v>
      </c>
      <c r="O585" s="423" t="s">
        <v>601</v>
      </c>
      <c r="P585" s="61" t="s">
        <v>590</v>
      </c>
      <c r="Q585" s="677"/>
      <c r="R585" s="431" t="s">
        <v>2268</v>
      </c>
      <c r="S585" s="316" t="s">
        <v>2918</v>
      </c>
      <c r="T585" s="689"/>
      <c r="U585" s="421"/>
    </row>
    <row r="586" spans="1:21" s="377" customFormat="1" ht="20.100000000000001" customHeight="1">
      <c r="A586" s="1145" t="s">
        <v>2951</v>
      </c>
      <c r="B586" s="1145" t="s">
        <v>1122</v>
      </c>
      <c r="C586" s="1145" t="s">
        <v>4320</v>
      </c>
      <c r="D586" s="935">
        <v>975</v>
      </c>
      <c r="E586" s="320">
        <v>1440</v>
      </c>
      <c r="F586" s="320">
        <v>1440</v>
      </c>
      <c r="G586" s="70" t="s">
        <v>106</v>
      </c>
      <c r="H586" s="413" t="s">
        <v>2021</v>
      </c>
      <c r="I586" s="380" t="s">
        <v>2023</v>
      </c>
      <c r="J586" s="50"/>
      <c r="K586" s="379">
        <v>26</v>
      </c>
      <c r="L586" s="379" t="s">
        <v>641</v>
      </c>
      <c r="M586" s="551">
        <v>43084</v>
      </c>
      <c r="N586" s="551">
        <v>43091</v>
      </c>
      <c r="O586" s="419"/>
      <c r="P586" s="59" t="s">
        <v>3014</v>
      </c>
      <c r="Q586" s="52"/>
      <c r="R586" s="384" t="s">
        <v>1300</v>
      </c>
      <c r="S586" s="315" t="s">
        <v>2912</v>
      </c>
      <c r="T586" s="688" t="s">
        <v>2840</v>
      </c>
      <c r="U586" s="421"/>
    </row>
    <row r="587" spans="1:21" s="377" customFormat="1" ht="20.100000000000001" customHeight="1">
      <c r="A587" s="1145" t="s">
        <v>2951</v>
      </c>
      <c r="B587" s="1145" t="s">
        <v>1122</v>
      </c>
      <c r="C587" s="1145" t="s">
        <v>4320</v>
      </c>
      <c r="D587" s="32">
        <v>975</v>
      </c>
      <c r="E587" s="525">
        <v>1350</v>
      </c>
      <c r="F587" s="525">
        <v>1350</v>
      </c>
      <c r="G587" s="218" t="s">
        <v>2282</v>
      </c>
      <c r="H587" s="413" t="s">
        <v>2283</v>
      </c>
      <c r="I587" s="380" t="s">
        <v>23</v>
      </c>
      <c r="J587" s="50"/>
      <c r="K587" s="379" t="s">
        <v>2284</v>
      </c>
      <c r="L587" s="379" t="s">
        <v>641</v>
      </c>
      <c r="M587" s="381">
        <v>43075</v>
      </c>
      <c r="N587" s="381">
        <v>43086</v>
      </c>
      <c r="O587" s="394" t="s">
        <v>1949</v>
      </c>
      <c r="P587" s="72" t="s">
        <v>2438</v>
      </c>
      <c r="Q587" s="7"/>
      <c r="R587" s="397" t="s">
        <v>826</v>
      </c>
      <c r="S587" s="336" t="s">
        <v>1176</v>
      </c>
      <c r="T587" s="323" t="s">
        <v>2935</v>
      </c>
      <c r="U587" s="421"/>
    </row>
    <row r="588" spans="1:21" s="377" customFormat="1" ht="20.100000000000001" customHeight="1">
      <c r="A588" s="1145" t="s">
        <v>2951</v>
      </c>
      <c r="B588" s="1145" t="s">
        <v>1122</v>
      </c>
      <c r="C588" s="1145" t="s">
        <v>4320</v>
      </c>
      <c r="D588" s="528">
        <v>1300</v>
      </c>
      <c r="E588" s="13">
        <v>1650</v>
      </c>
      <c r="F588" s="13">
        <v>1650</v>
      </c>
      <c r="G588" s="218" t="s">
        <v>10</v>
      </c>
      <c r="H588" s="385" t="s">
        <v>725</v>
      </c>
      <c r="I588" s="386" t="s">
        <v>16</v>
      </c>
      <c r="J588" s="38"/>
      <c r="K588" s="398">
        <v>25</v>
      </c>
      <c r="L588" s="379" t="s">
        <v>641</v>
      </c>
      <c r="M588" s="381">
        <v>43045</v>
      </c>
      <c r="N588" s="547">
        <v>43087</v>
      </c>
      <c r="O588" s="422"/>
      <c r="P588" s="61" t="s">
        <v>590</v>
      </c>
      <c r="Q588" s="7"/>
      <c r="R588" s="397" t="s">
        <v>836</v>
      </c>
      <c r="S588" s="316" t="s">
        <v>1176</v>
      </c>
      <c r="T588" s="689"/>
      <c r="U588" s="421"/>
    </row>
    <row r="589" spans="1:21" s="377" customFormat="1" ht="20.100000000000001" customHeight="1">
      <c r="A589" s="1145" t="s">
        <v>2951</v>
      </c>
      <c r="B589" s="1145" t="s">
        <v>1122</v>
      </c>
      <c r="C589" s="1145" t="s">
        <v>4320</v>
      </c>
      <c r="D589" s="11">
        <v>1350</v>
      </c>
      <c r="E589" s="11">
        <v>2400</v>
      </c>
      <c r="F589" s="11">
        <v>2400</v>
      </c>
      <c r="G589" s="63" t="s">
        <v>88</v>
      </c>
      <c r="H589" s="425" t="s">
        <v>631</v>
      </c>
      <c r="I589" s="386" t="s">
        <v>16</v>
      </c>
      <c r="J589" s="38"/>
      <c r="K589" s="398" t="s">
        <v>851</v>
      </c>
      <c r="L589" s="415" t="s">
        <v>637</v>
      </c>
      <c r="M589" s="547">
        <v>43040</v>
      </c>
      <c r="N589" s="547">
        <v>43080</v>
      </c>
      <c r="O589" s="422"/>
      <c r="P589" s="59" t="s">
        <v>604</v>
      </c>
      <c r="Q589" s="761"/>
      <c r="R589" s="432" t="s">
        <v>849</v>
      </c>
      <c r="S589" s="322" t="s">
        <v>2849</v>
      </c>
      <c r="T589" s="689"/>
      <c r="U589" s="421"/>
    </row>
    <row r="590" spans="1:21" s="377" customFormat="1" ht="20.100000000000001" customHeight="1">
      <c r="A590" s="1145" t="s">
        <v>2951</v>
      </c>
      <c r="B590" s="1145" t="s">
        <v>1122</v>
      </c>
      <c r="C590" s="1145" t="s">
        <v>342</v>
      </c>
      <c r="D590" s="805">
        <v>1050</v>
      </c>
      <c r="E590" s="805">
        <v>1300</v>
      </c>
      <c r="F590" s="805">
        <v>1280</v>
      </c>
      <c r="G590" s="63" t="s">
        <v>28</v>
      </c>
      <c r="H590" s="417" t="s">
        <v>681</v>
      </c>
      <c r="I590" s="386" t="s">
        <v>16</v>
      </c>
      <c r="J590" s="38"/>
      <c r="K590" s="386">
        <v>16</v>
      </c>
      <c r="L590" s="415" t="s">
        <v>649</v>
      </c>
      <c r="M590" s="392">
        <v>43070</v>
      </c>
      <c r="N590" s="392">
        <v>43088</v>
      </c>
      <c r="O590" s="423" t="s">
        <v>601</v>
      </c>
      <c r="P590" s="61" t="s">
        <v>1943</v>
      </c>
      <c r="Q590" s="7"/>
      <c r="R590" s="397" t="s">
        <v>179</v>
      </c>
      <c r="S590" s="316" t="s">
        <v>2909</v>
      </c>
      <c r="T590" s="689"/>
      <c r="U590" s="421"/>
    </row>
    <row r="591" spans="1:21" s="377" customFormat="1" ht="20.100000000000001" customHeight="1">
      <c r="A591" s="1146" t="s">
        <v>2951</v>
      </c>
      <c r="B591" s="1146" t="s">
        <v>1122</v>
      </c>
      <c r="C591" s="1146" t="s">
        <v>4320</v>
      </c>
      <c r="D591" s="529">
        <v>1600</v>
      </c>
      <c r="E591" s="529">
        <v>2500</v>
      </c>
      <c r="F591" s="529">
        <v>2500</v>
      </c>
      <c r="G591" s="699" t="s">
        <v>22</v>
      </c>
      <c r="H591" s="385" t="s">
        <v>706</v>
      </c>
      <c r="I591" s="386" t="s">
        <v>16</v>
      </c>
      <c r="J591" s="38"/>
      <c r="K591" s="386" t="s">
        <v>1531</v>
      </c>
      <c r="L591" s="379" t="s">
        <v>643</v>
      </c>
      <c r="M591" s="392">
        <v>42962</v>
      </c>
      <c r="N591" s="392">
        <v>43100</v>
      </c>
      <c r="O591" s="422"/>
      <c r="P591" s="61"/>
      <c r="Q591" s="7"/>
      <c r="R591" s="397" t="s">
        <v>1783</v>
      </c>
      <c r="S591" s="316" t="s">
        <v>2919</v>
      </c>
      <c r="T591" s="689"/>
      <c r="U591" s="421"/>
    </row>
    <row r="592" spans="1:21" s="377" customFormat="1" ht="20.100000000000001" customHeight="1">
      <c r="A592" s="1144" t="s">
        <v>2951</v>
      </c>
      <c r="B592" s="1185" t="s">
        <v>343</v>
      </c>
      <c r="C592" s="1185" t="s">
        <v>2757</v>
      </c>
      <c r="D592" s="535">
        <v>1100</v>
      </c>
      <c r="E592" s="535">
        <v>1500</v>
      </c>
      <c r="F592" s="535">
        <v>1500</v>
      </c>
      <c r="G592" s="70" t="s">
        <v>874</v>
      </c>
      <c r="H592" s="385" t="s">
        <v>886</v>
      </c>
      <c r="I592" s="379" t="s">
        <v>126</v>
      </c>
      <c r="J592" s="51"/>
      <c r="K592" s="380" t="s">
        <v>680</v>
      </c>
      <c r="L592" s="379" t="s">
        <v>768</v>
      </c>
      <c r="M592" s="391">
        <v>43040</v>
      </c>
      <c r="N592" s="391">
        <v>43092</v>
      </c>
      <c r="O592" s="422"/>
      <c r="P592" s="61"/>
      <c r="Q592" s="7"/>
      <c r="R592" s="397" t="s">
        <v>2407</v>
      </c>
      <c r="S592" s="316" t="s">
        <v>1176</v>
      </c>
      <c r="T592" s="689"/>
      <c r="U592" s="421"/>
    </row>
    <row r="593" spans="1:21" ht="20.100000000000001" customHeight="1">
      <c r="A593" s="1145" t="s">
        <v>2951</v>
      </c>
      <c r="B593" s="1186" t="s">
        <v>343</v>
      </c>
      <c r="C593" s="1186" t="s">
        <v>490</v>
      </c>
      <c r="D593" s="528">
        <v>875</v>
      </c>
      <c r="E593" s="13">
        <v>1450</v>
      </c>
      <c r="F593" s="13">
        <v>1450</v>
      </c>
      <c r="G593" s="70" t="s">
        <v>5</v>
      </c>
      <c r="H593" s="35" t="s">
        <v>742</v>
      </c>
      <c r="I593" s="38" t="s">
        <v>23</v>
      </c>
      <c r="J593" s="38"/>
      <c r="K593" s="681" t="s">
        <v>680</v>
      </c>
      <c r="L593" s="51" t="s">
        <v>643</v>
      </c>
      <c r="M593" s="6">
        <v>43066</v>
      </c>
      <c r="N593" s="6">
        <v>43086</v>
      </c>
      <c r="O593" s="675" t="s">
        <v>600</v>
      </c>
      <c r="P593" s="61" t="s">
        <v>2098</v>
      </c>
      <c r="Q593" s="683"/>
      <c r="R593" s="49" t="s">
        <v>2113</v>
      </c>
      <c r="S593" s="315" t="s">
        <v>2893</v>
      </c>
      <c r="T593" s="689"/>
      <c r="U593" s="42"/>
    </row>
    <row r="594" spans="1:21" s="377" customFormat="1" ht="20.100000000000001" customHeight="1">
      <c r="A594" s="1145" t="s">
        <v>2951</v>
      </c>
      <c r="B594" s="1186" t="s">
        <v>343</v>
      </c>
      <c r="C594" s="1186" t="s">
        <v>490</v>
      </c>
      <c r="D594" s="804">
        <v>1115</v>
      </c>
      <c r="E594" s="807">
        <v>2180</v>
      </c>
      <c r="F594" s="807">
        <v>2180</v>
      </c>
      <c r="G594" s="63" t="s">
        <v>30</v>
      </c>
      <c r="H594" s="417" t="s">
        <v>742</v>
      </c>
      <c r="I594" s="386" t="s">
        <v>16</v>
      </c>
      <c r="J594" s="38"/>
      <c r="K594" s="428">
        <v>15</v>
      </c>
      <c r="L594" s="429" t="s">
        <v>637</v>
      </c>
      <c r="M594" s="399">
        <v>43040</v>
      </c>
      <c r="N594" s="399">
        <v>43083</v>
      </c>
      <c r="O594" s="423" t="s">
        <v>602</v>
      </c>
      <c r="P594" s="751"/>
      <c r="Q594" s="677"/>
      <c r="R594" s="424" t="s">
        <v>1977</v>
      </c>
      <c r="S594" s="316" t="s">
        <v>2916</v>
      </c>
      <c r="T594" s="689"/>
      <c r="U594" s="421"/>
    </row>
    <row r="595" spans="1:21" s="377" customFormat="1" ht="20.100000000000001" customHeight="1">
      <c r="A595" s="1145" t="s">
        <v>2951</v>
      </c>
      <c r="B595" s="1186" t="s">
        <v>343</v>
      </c>
      <c r="C595" s="1194" t="s">
        <v>490</v>
      </c>
      <c r="D595" s="800" t="s">
        <v>4074</v>
      </c>
      <c r="E595" s="800" t="s">
        <v>4075</v>
      </c>
      <c r="F595" s="800" t="s">
        <v>4075</v>
      </c>
      <c r="G595" s="803" t="s">
        <v>18</v>
      </c>
      <c r="H595" s="674" t="s">
        <v>843</v>
      </c>
      <c r="I595" s="379" t="s">
        <v>126</v>
      </c>
      <c r="J595" s="51"/>
      <c r="K595" s="380" t="s">
        <v>750</v>
      </c>
      <c r="L595" s="386" t="s">
        <v>643</v>
      </c>
      <c r="M595" s="381">
        <v>43066</v>
      </c>
      <c r="N595" s="381">
        <v>43100</v>
      </c>
      <c r="O595" s="422"/>
      <c r="P595" s="59"/>
      <c r="Q595" s="147"/>
      <c r="R595" s="384" t="s">
        <v>748</v>
      </c>
      <c r="S595" s="316" t="s">
        <v>2905</v>
      </c>
      <c r="T595" s="689"/>
      <c r="U595" s="421"/>
    </row>
    <row r="596" spans="1:21" s="377" customFormat="1" ht="20.100000000000001" customHeight="1">
      <c r="A596" s="1145" t="s">
        <v>2951</v>
      </c>
      <c r="B596" s="1186" t="s">
        <v>343</v>
      </c>
      <c r="C596" s="1186" t="s">
        <v>490</v>
      </c>
      <c r="D596" s="843">
        <v>1300</v>
      </c>
      <c r="E596" s="843">
        <v>1700</v>
      </c>
      <c r="F596" s="843">
        <v>1600</v>
      </c>
      <c r="G596" s="70" t="s">
        <v>137</v>
      </c>
      <c r="H596" s="417" t="s">
        <v>742</v>
      </c>
      <c r="I596" s="386" t="s">
        <v>16</v>
      </c>
      <c r="J596" s="51"/>
      <c r="K596" s="380">
        <v>19</v>
      </c>
      <c r="L596" s="415" t="s">
        <v>639</v>
      </c>
      <c r="M596" s="392">
        <v>43070</v>
      </c>
      <c r="N596" s="392">
        <v>43088</v>
      </c>
      <c r="O596" s="423" t="s">
        <v>601</v>
      </c>
      <c r="P596" s="61"/>
      <c r="Q596" s="7"/>
      <c r="R596" s="397" t="s">
        <v>1114</v>
      </c>
      <c r="S596" s="316" t="s">
        <v>2909</v>
      </c>
      <c r="T596" s="689"/>
      <c r="U596" s="421"/>
    </row>
    <row r="597" spans="1:21" s="377" customFormat="1" ht="20.100000000000001" customHeight="1">
      <c r="A597" s="1145" t="s">
        <v>2951</v>
      </c>
      <c r="B597" s="1186" t="s">
        <v>343</v>
      </c>
      <c r="C597" s="1186" t="s">
        <v>490</v>
      </c>
      <c r="D597" s="11">
        <v>925</v>
      </c>
      <c r="E597" s="32"/>
      <c r="F597" s="32"/>
      <c r="G597" s="218" t="s">
        <v>956</v>
      </c>
      <c r="H597" s="55" t="s">
        <v>3015</v>
      </c>
      <c r="I597" s="386" t="s">
        <v>16</v>
      </c>
      <c r="J597" s="38"/>
      <c r="K597" s="386" t="s">
        <v>957</v>
      </c>
      <c r="L597" s="380" t="s">
        <v>958</v>
      </c>
      <c r="M597" s="6">
        <v>43080</v>
      </c>
      <c r="N597" s="6">
        <v>43093</v>
      </c>
      <c r="O597" s="422"/>
      <c r="P597" s="14" t="s">
        <v>3399</v>
      </c>
      <c r="Q597" s="7"/>
      <c r="R597" s="17" t="s">
        <v>3016</v>
      </c>
      <c r="S597" s="315" t="s">
        <v>2915</v>
      </c>
      <c r="T597" s="689"/>
      <c r="U597" s="421"/>
    </row>
    <row r="598" spans="1:21" s="377" customFormat="1" ht="20.100000000000001" customHeight="1">
      <c r="A598" s="1145" t="s">
        <v>2951</v>
      </c>
      <c r="B598" s="1186" t="s">
        <v>343</v>
      </c>
      <c r="C598" s="1186" t="s">
        <v>490</v>
      </c>
      <c r="D598" s="32">
        <f>D584+400</f>
        <v>1635</v>
      </c>
      <c r="E598" s="32">
        <f>E584+800</f>
        <v>3110</v>
      </c>
      <c r="F598" s="32">
        <f>F584+800</f>
        <v>3110</v>
      </c>
      <c r="G598" s="705" t="s">
        <v>102</v>
      </c>
      <c r="H598" s="430" t="s">
        <v>1652</v>
      </c>
      <c r="I598" s="398" t="s">
        <v>16</v>
      </c>
      <c r="J598" s="38"/>
      <c r="K598" s="428" t="s">
        <v>1511</v>
      </c>
      <c r="L598" s="429" t="s">
        <v>637</v>
      </c>
      <c r="M598" s="392">
        <v>43039</v>
      </c>
      <c r="N598" s="392">
        <v>43080</v>
      </c>
      <c r="O598" s="419"/>
      <c r="P598" s="61" t="s">
        <v>1931</v>
      </c>
      <c r="Q598" s="7"/>
      <c r="R598" s="397" t="s">
        <v>1857</v>
      </c>
      <c r="S598" s="316" t="s">
        <v>2913</v>
      </c>
      <c r="T598" s="316"/>
      <c r="U598" s="421"/>
    </row>
    <row r="599" spans="1:21" s="377" customFormat="1" ht="20.100000000000001" customHeight="1">
      <c r="A599" s="1145" t="s">
        <v>2951</v>
      </c>
      <c r="B599" s="1186" t="s">
        <v>343</v>
      </c>
      <c r="C599" s="1186" t="s">
        <v>490</v>
      </c>
      <c r="D599" s="13">
        <v>950</v>
      </c>
      <c r="E599" s="13">
        <v>1600</v>
      </c>
      <c r="F599" s="13">
        <v>1600</v>
      </c>
      <c r="G599" s="63" t="s">
        <v>61</v>
      </c>
      <c r="H599" s="425" t="s">
        <v>2114</v>
      </c>
      <c r="I599" s="386" t="s">
        <v>16</v>
      </c>
      <c r="J599" s="38"/>
      <c r="K599" s="398" t="s">
        <v>1962</v>
      </c>
      <c r="L599" s="415" t="s">
        <v>637</v>
      </c>
      <c r="M599" s="404">
        <v>43040</v>
      </c>
      <c r="N599" s="404">
        <v>43100</v>
      </c>
      <c r="O599" s="423" t="s">
        <v>601</v>
      </c>
      <c r="P599" s="61"/>
      <c r="Q599" s="677"/>
      <c r="R599" s="431" t="s">
        <v>2268</v>
      </c>
      <c r="S599" s="316" t="s">
        <v>2918</v>
      </c>
      <c r="T599" s="689"/>
      <c r="U599" s="421"/>
    </row>
    <row r="600" spans="1:21" s="377" customFormat="1" ht="20.100000000000001" customHeight="1">
      <c r="A600" s="1146" t="s">
        <v>2951</v>
      </c>
      <c r="B600" s="1187" t="s">
        <v>343</v>
      </c>
      <c r="C600" s="1187" t="s">
        <v>490</v>
      </c>
      <c r="D600" s="843">
        <v>1300</v>
      </c>
      <c r="E600" s="843">
        <v>1700</v>
      </c>
      <c r="F600" s="843">
        <v>1600</v>
      </c>
      <c r="G600" s="70" t="s">
        <v>28</v>
      </c>
      <c r="H600" s="417" t="s">
        <v>681</v>
      </c>
      <c r="I600" s="386" t="s">
        <v>16</v>
      </c>
      <c r="J600" s="51"/>
      <c r="K600" s="380">
        <v>19</v>
      </c>
      <c r="L600" s="415" t="s">
        <v>649</v>
      </c>
      <c r="M600" s="392">
        <v>43070</v>
      </c>
      <c r="N600" s="392">
        <v>43088</v>
      </c>
      <c r="O600" s="423" t="s">
        <v>601</v>
      </c>
      <c r="P600" s="61"/>
      <c r="Q600" s="7"/>
      <c r="R600" s="397" t="s">
        <v>179</v>
      </c>
      <c r="S600" s="316" t="s">
        <v>2909</v>
      </c>
      <c r="T600" s="689"/>
      <c r="U600" s="421"/>
    </row>
    <row r="601" spans="1:21" s="377" customFormat="1" ht="20.100000000000001" customHeight="1">
      <c r="A601" s="740" t="s">
        <v>2951</v>
      </c>
      <c r="B601" s="434" t="s">
        <v>343</v>
      </c>
      <c r="C601" s="434" t="s">
        <v>2502</v>
      </c>
      <c r="D601" s="956">
        <v>755</v>
      </c>
      <c r="E601" s="956">
        <v>895</v>
      </c>
      <c r="F601" s="956">
        <v>895</v>
      </c>
      <c r="G601" s="70" t="s">
        <v>874</v>
      </c>
      <c r="H601" s="401" t="s">
        <v>1350</v>
      </c>
      <c r="I601" s="379" t="s">
        <v>472</v>
      </c>
      <c r="J601" s="51"/>
      <c r="K601" s="380" t="s">
        <v>727</v>
      </c>
      <c r="L601" s="379" t="s">
        <v>639</v>
      </c>
      <c r="M601" s="391">
        <v>43086</v>
      </c>
      <c r="N601" s="391">
        <v>43092</v>
      </c>
      <c r="O601" s="422"/>
      <c r="P601" s="7" t="s">
        <v>590</v>
      </c>
      <c r="Q601" s="7"/>
      <c r="R601" s="397" t="s">
        <v>450</v>
      </c>
      <c r="S601" s="316" t="s">
        <v>1176</v>
      </c>
      <c r="T601" s="689"/>
      <c r="U601" s="421"/>
    </row>
    <row r="602" spans="1:21" s="377" customFormat="1" ht="20.100000000000001" customHeight="1">
      <c r="A602" s="1128" t="s">
        <v>2951</v>
      </c>
      <c r="B602" s="1188" t="s">
        <v>343</v>
      </c>
      <c r="C602" s="1188" t="s">
        <v>497</v>
      </c>
      <c r="D602" s="32">
        <v>785</v>
      </c>
      <c r="E602" s="32">
        <v>1210</v>
      </c>
      <c r="F602" s="32">
        <v>960</v>
      </c>
      <c r="G602" s="706" t="s">
        <v>102</v>
      </c>
      <c r="H602" s="390">
        <v>1</v>
      </c>
      <c r="I602" s="398" t="s">
        <v>126</v>
      </c>
      <c r="J602" s="37"/>
      <c r="K602" s="428">
        <v>19</v>
      </c>
      <c r="L602" s="429" t="s">
        <v>637</v>
      </c>
      <c r="M602" s="392">
        <v>43073</v>
      </c>
      <c r="N602" s="392">
        <v>43080</v>
      </c>
      <c r="O602" s="419"/>
      <c r="P602" s="750"/>
      <c r="Q602" s="7"/>
      <c r="R602" s="397" t="s">
        <v>192</v>
      </c>
      <c r="S602" s="315" t="s">
        <v>2903</v>
      </c>
      <c r="T602" s="316"/>
      <c r="U602" s="421"/>
    </row>
    <row r="603" spans="1:21" s="377" customFormat="1" ht="20.100000000000001" customHeight="1">
      <c r="A603" s="1128" t="s">
        <v>2951</v>
      </c>
      <c r="B603" s="1188" t="s">
        <v>343</v>
      </c>
      <c r="C603" s="1188" t="s">
        <v>497</v>
      </c>
      <c r="D603" s="32">
        <v>550</v>
      </c>
      <c r="E603" s="32">
        <v>790</v>
      </c>
      <c r="F603" s="32">
        <v>790</v>
      </c>
      <c r="G603" s="706" t="s">
        <v>12</v>
      </c>
      <c r="H603" s="56" t="s">
        <v>659</v>
      </c>
      <c r="I603" s="398" t="s">
        <v>126</v>
      </c>
      <c r="J603" s="37"/>
      <c r="K603" s="682" t="s">
        <v>3386</v>
      </c>
      <c r="L603" s="51" t="s">
        <v>3039</v>
      </c>
      <c r="M603" s="551">
        <v>43076</v>
      </c>
      <c r="N603" s="551">
        <v>43091</v>
      </c>
      <c r="O603" s="419"/>
      <c r="P603" s="752"/>
      <c r="Q603" s="7"/>
      <c r="R603" s="73" t="s">
        <v>3387</v>
      </c>
      <c r="S603" s="315" t="s">
        <v>2912</v>
      </c>
      <c r="T603" s="688" t="s">
        <v>2840</v>
      </c>
      <c r="U603" s="421"/>
    </row>
    <row r="604" spans="1:21" s="377" customFormat="1" ht="20.100000000000001" customHeight="1">
      <c r="A604" s="1128" t="s">
        <v>2951</v>
      </c>
      <c r="B604" s="1188" t="s">
        <v>343</v>
      </c>
      <c r="C604" s="1188" t="s">
        <v>497</v>
      </c>
      <c r="D604" s="529">
        <v>850</v>
      </c>
      <c r="E604" s="529">
        <v>1000</v>
      </c>
      <c r="F604" s="529">
        <v>1000</v>
      </c>
      <c r="G604" s="699" t="s">
        <v>51</v>
      </c>
      <c r="H604" s="385" t="s">
        <v>1966</v>
      </c>
      <c r="I604" s="398" t="s">
        <v>126</v>
      </c>
      <c r="J604" s="681"/>
      <c r="K604" s="426" t="s">
        <v>1967</v>
      </c>
      <c r="L604" s="380" t="s">
        <v>952</v>
      </c>
      <c r="M604" s="381">
        <v>43080</v>
      </c>
      <c r="N604" s="381">
        <v>43089</v>
      </c>
      <c r="O604" s="422"/>
      <c r="P604" s="752"/>
      <c r="Q604" s="7"/>
      <c r="R604" s="424" t="s">
        <v>1968</v>
      </c>
      <c r="S604" s="319"/>
      <c r="T604" s="689"/>
      <c r="U604" s="421"/>
    </row>
    <row r="605" spans="1:21" ht="20.100000000000001" customHeight="1">
      <c r="A605" s="1128" t="s">
        <v>2951</v>
      </c>
      <c r="B605" s="1188" t="s">
        <v>343</v>
      </c>
      <c r="C605" s="1188" t="s">
        <v>497</v>
      </c>
      <c r="D605" s="793">
        <f>D416+150</f>
        <v>600</v>
      </c>
      <c r="E605" s="793">
        <f>E416+300</f>
        <v>800</v>
      </c>
      <c r="F605" s="793">
        <f>F416+300</f>
        <v>800</v>
      </c>
      <c r="G605" s="67" t="s">
        <v>5</v>
      </c>
      <c r="H605" s="35" t="s">
        <v>886</v>
      </c>
      <c r="I605" s="37" t="s">
        <v>126</v>
      </c>
      <c r="J605" s="37"/>
      <c r="K605" s="682" t="s">
        <v>767</v>
      </c>
      <c r="L605" s="51" t="s">
        <v>768</v>
      </c>
      <c r="M605" s="6">
        <v>43080</v>
      </c>
      <c r="N605" s="6">
        <v>43086</v>
      </c>
      <c r="O605" s="675" t="s">
        <v>600</v>
      </c>
      <c r="P605" s="61" t="s">
        <v>590</v>
      </c>
      <c r="Q605" s="677"/>
      <c r="R605" s="73" t="s">
        <v>1874</v>
      </c>
      <c r="S605" s="315" t="s">
        <v>2893</v>
      </c>
      <c r="T605" s="689"/>
      <c r="U605" s="42"/>
    </row>
    <row r="606" spans="1:21" s="377" customFormat="1" ht="20.100000000000001" customHeight="1">
      <c r="A606" s="1128" t="s">
        <v>2951</v>
      </c>
      <c r="B606" s="1188" t="s">
        <v>343</v>
      </c>
      <c r="C606" s="1193" t="s">
        <v>497</v>
      </c>
      <c r="D606" s="800" t="s">
        <v>4507</v>
      </c>
      <c r="E606" s="800">
        <v>800</v>
      </c>
      <c r="F606" s="800">
        <v>800</v>
      </c>
      <c r="G606" s="803" t="s">
        <v>18</v>
      </c>
      <c r="H606" s="674" t="s">
        <v>843</v>
      </c>
      <c r="I606" s="379" t="s">
        <v>126</v>
      </c>
      <c r="J606" s="51"/>
      <c r="K606" s="379" t="s">
        <v>751</v>
      </c>
      <c r="L606" s="386" t="s">
        <v>653</v>
      </c>
      <c r="M606" s="381">
        <v>43084</v>
      </c>
      <c r="N606" s="381">
        <v>43100</v>
      </c>
      <c r="O606" s="422"/>
      <c r="P606" s="59"/>
      <c r="Q606" s="147"/>
      <c r="R606" s="384" t="s">
        <v>748</v>
      </c>
      <c r="S606" s="316" t="s">
        <v>2905</v>
      </c>
      <c r="T606" s="689"/>
      <c r="U606" s="421"/>
    </row>
    <row r="607" spans="1:21" s="377" customFormat="1" ht="20.100000000000001" customHeight="1">
      <c r="A607" s="1128" t="s">
        <v>2951</v>
      </c>
      <c r="B607" s="1188" t="s">
        <v>343</v>
      </c>
      <c r="C607" s="1188" t="s">
        <v>497</v>
      </c>
      <c r="D607" s="808">
        <v>865</v>
      </c>
      <c r="E607" s="808">
        <v>1230</v>
      </c>
      <c r="F607" s="808">
        <v>1230</v>
      </c>
      <c r="G607" s="706" t="s">
        <v>75</v>
      </c>
      <c r="H607" s="417" t="s">
        <v>1963</v>
      </c>
      <c r="I607" s="398" t="s">
        <v>126</v>
      </c>
      <c r="J607" s="37"/>
      <c r="K607" s="398" t="s">
        <v>1964</v>
      </c>
      <c r="L607" s="398" t="s">
        <v>652</v>
      </c>
      <c r="M607" s="399">
        <v>43040</v>
      </c>
      <c r="N607" s="399">
        <v>43083</v>
      </c>
      <c r="O607" s="423" t="s">
        <v>602</v>
      </c>
      <c r="P607" s="750"/>
      <c r="Q607" s="7"/>
      <c r="R607" s="397" t="s">
        <v>1915</v>
      </c>
      <c r="S607" s="316" t="s">
        <v>2895</v>
      </c>
      <c r="T607" s="689"/>
      <c r="U607" s="421"/>
    </row>
    <row r="608" spans="1:21" s="377" customFormat="1" ht="20.100000000000001" customHeight="1">
      <c r="A608" s="1128" t="s">
        <v>2951</v>
      </c>
      <c r="B608" s="1188" t="s">
        <v>343</v>
      </c>
      <c r="C608" s="1188" t="s">
        <v>497</v>
      </c>
      <c r="D608" s="529">
        <v>750</v>
      </c>
      <c r="E608" s="529">
        <v>900</v>
      </c>
      <c r="F608" s="529">
        <v>800</v>
      </c>
      <c r="G608" s="66" t="s">
        <v>28</v>
      </c>
      <c r="H608" s="385" t="s">
        <v>742</v>
      </c>
      <c r="I608" s="398" t="s">
        <v>126</v>
      </c>
      <c r="J608" s="681"/>
      <c r="K608" s="426" t="s">
        <v>665</v>
      </c>
      <c r="L608" s="398" t="s">
        <v>639</v>
      </c>
      <c r="M608" s="392">
        <v>43084</v>
      </c>
      <c r="N608" s="392">
        <v>43088</v>
      </c>
      <c r="O608" s="423" t="s">
        <v>601</v>
      </c>
      <c r="P608" s="61"/>
      <c r="Q608" s="7"/>
      <c r="R608" s="424" t="s">
        <v>171</v>
      </c>
      <c r="S608" s="316" t="s">
        <v>2909</v>
      </c>
      <c r="T608" s="689"/>
      <c r="U608" s="421"/>
    </row>
    <row r="609" spans="1:21" s="377" customFormat="1" ht="20.100000000000001" customHeight="1">
      <c r="A609" s="1128" t="s">
        <v>2951</v>
      </c>
      <c r="B609" s="1188" t="s">
        <v>343</v>
      </c>
      <c r="C609" s="1188" t="s">
        <v>497</v>
      </c>
      <c r="D609" s="536">
        <v>850</v>
      </c>
      <c r="E609" s="536">
        <v>1000</v>
      </c>
      <c r="F609" s="536">
        <v>1000</v>
      </c>
      <c r="G609" s="70" t="s">
        <v>874</v>
      </c>
      <c r="H609" s="385" t="s">
        <v>886</v>
      </c>
      <c r="I609" s="379" t="s">
        <v>126</v>
      </c>
      <c r="J609" s="51"/>
      <c r="K609" s="380" t="s">
        <v>151</v>
      </c>
      <c r="L609" s="379" t="s">
        <v>768</v>
      </c>
      <c r="M609" s="391">
        <v>43040</v>
      </c>
      <c r="N609" s="391">
        <v>43092</v>
      </c>
      <c r="O609" s="422"/>
      <c r="P609" s="61"/>
      <c r="Q609" s="7"/>
      <c r="R609" s="397" t="s">
        <v>2407</v>
      </c>
      <c r="S609" s="316" t="s">
        <v>1176</v>
      </c>
      <c r="T609" s="689"/>
      <c r="U609" s="421"/>
    </row>
    <row r="610" spans="1:21" s="377" customFormat="1" ht="20.100000000000001" customHeight="1">
      <c r="A610" s="1128" t="s">
        <v>2951</v>
      </c>
      <c r="B610" s="1188" t="s">
        <v>343</v>
      </c>
      <c r="C610" s="1188" t="s">
        <v>497</v>
      </c>
      <c r="D610" s="529">
        <v>625</v>
      </c>
      <c r="E610" s="529">
        <v>800</v>
      </c>
      <c r="F610" s="529">
        <v>800</v>
      </c>
      <c r="G610" s="66" t="s">
        <v>158</v>
      </c>
      <c r="H610" s="390" t="s">
        <v>729</v>
      </c>
      <c r="I610" s="386" t="s">
        <v>126</v>
      </c>
      <c r="J610" s="38"/>
      <c r="K610" s="428" t="s">
        <v>968</v>
      </c>
      <c r="L610" s="379" t="s">
        <v>636</v>
      </c>
      <c r="M610" s="391">
        <v>43080</v>
      </c>
      <c r="N610" s="391">
        <v>43093</v>
      </c>
      <c r="O610" s="419"/>
      <c r="P610" s="61"/>
      <c r="Q610" s="147"/>
      <c r="R610" s="384" t="s">
        <v>202</v>
      </c>
      <c r="S610" s="316" t="s">
        <v>2920</v>
      </c>
      <c r="T610" s="137"/>
      <c r="U610" s="421"/>
    </row>
    <row r="611" spans="1:21" s="377" customFormat="1" ht="20.100000000000001" customHeight="1">
      <c r="A611" s="1128" t="s">
        <v>2951</v>
      </c>
      <c r="B611" s="1188" t="s">
        <v>343</v>
      </c>
      <c r="C611" s="1188" t="s">
        <v>497</v>
      </c>
      <c r="D611" s="11">
        <v>675</v>
      </c>
      <c r="E611" s="11">
        <v>950</v>
      </c>
      <c r="F611" s="11">
        <v>950</v>
      </c>
      <c r="G611" s="220" t="s">
        <v>52</v>
      </c>
      <c r="H611" s="385" t="s">
        <v>725</v>
      </c>
      <c r="I611" s="379" t="s">
        <v>17</v>
      </c>
      <c r="J611" s="38"/>
      <c r="K611" s="398" t="s">
        <v>151</v>
      </c>
      <c r="L611" s="379" t="s">
        <v>641</v>
      </c>
      <c r="M611" s="381">
        <v>43075</v>
      </c>
      <c r="N611" s="381">
        <v>43086</v>
      </c>
      <c r="O611" s="394" t="s">
        <v>1949</v>
      </c>
      <c r="P611" s="61"/>
      <c r="Q611" s="7"/>
      <c r="R611" s="397" t="s">
        <v>839</v>
      </c>
      <c r="S611" s="336" t="s">
        <v>1176</v>
      </c>
      <c r="T611" s="323" t="s">
        <v>2935</v>
      </c>
      <c r="U611" s="421"/>
    </row>
    <row r="612" spans="1:21" s="377" customFormat="1" ht="20.100000000000001" customHeight="1">
      <c r="A612" s="1128" t="s">
        <v>2951</v>
      </c>
      <c r="B612" s="1188" t="s">
        <v>343</v>
      </c>
      <c r="C612" s="1188" t="s">
        <v>497</v>
      </c>
      <c r="D612" s="11">
        <v>785</v>
      </c>
      <c r="E612" s="11">
        <v>1070</v>
      </c>
      <c r="F612" s="11">
        <v>1070</v>
      </c>
      <c r="G612" s="220" t="s">
        <v>10</v>
      </c>
      <c r="H612" s="385" t="s">
        <v>725</v>
      </c>
      <c r="I612" s="379" t="s">
        <v>17</v>
      </c>
      <c r="J612" s="38"/>
      <c r="K612" s="398" t="s">
        <v>151</v>
      </c>
      <c r="L612" s="379" t="s">
        <v>641</v>
      </c>
      <c r="M612" s="381">
        <v>43045</v>
      </c>
      <c r="N612" s="547">
        <v>43087</v>
      </c>
      <c r="O612" s="422"/>
      <c r="P612" s="677"/>
      <c r="Q612" s="7"/>
      <c r="R612" s="397" t="s">
        <v>836</v>
      </c>
      <c r="S612" s="316" t="s">
        <v>1176</v>
      </c>
      <c r="T612" s="689"/>
      <c r="U612" s="421"/>
    </row>
    <row r="613" spans="1:21" s="377" customFormat="1" ht="20.100000000000001" customHeight="1">
      <c r="A613" s="1128" t="s">
        <v>2951</v>
      </c>
      <c r="B613" s="1188" t="s">
        <v>343</v>
      </c>
      <c r="C613" s="1188" t="s">
        <v>1882</v>
      </c>
      <c r="D613" s="32">
        <v>1050</v>
      </c>
      <c r="E613" s="32">
        <v>1550</v>
      </c>
      <c r="F613" s="32">
        <v>1550</v>
      </c>
      <c r="G613" s="699" t="s">
        <v>22</v>
      </c>
      <c r="H613" s="385" t="s">
        <v>706</v>
      </c>
      <c r="I613" s="386" t="s">
        <v>16</v>
      </c>
      <c r="J613" s="37"/>
      <c r="K613" s="398" t="s">
        <v>1138</v>
      </c>
      <c r="L613" s="379" t="s">
        <v>643</v>
      </c>
      <c r="M613" s="392">
        <v>42962</v>
      </c>
      <c r="N613" s="392">
        <v>43100</v>
      </c>
      <c r="O613" s="422"/>
      <c r="P613" s="61"/>
      <c r="Q613" s="7"/>
      <c r="R613" s="397" t="s">
        <v>1783</v>
      </c>
      <c r="S613" s="316" t="s">
        <v>1176</v>
      </c>
      <c r="T613" s="689"/>
      <c r="U613" s="421"/>
    </row>
    <row r="614" spans="1:21" s="377" customFormat="1" ht="20.100000000000001" customHeight="1">
      <c r="A614" s="1188" t="s">
        <v>2951</v>
      </c>
      <c r="B614" s="1188" t="s">
        <v>343</v>
      </c>
      <c r="C614" s="1188" t="s">
        <v>1304</v>
      </c>
      <c r="D614" s="32">
        <v>785</v>
      </c>
      <c r="E614" s="32">
        <v>1210</v>
      </c>
      <c r="F614" s="32">
        <v>960</v>
      </c>
      <c r="G614" s="706" t="s">
        <v>102</v>
      </c>
      <c r="H614" s="390">
        <v>1</v>
      </c>
      <c r="I614" s="398" t="s">
        <v>126</v>
      </c>
      <c r="J614" s="37"/>
      <c r="K614" s="428">
        <v>18</v>
      </c>
      <c r="L614" s="429" t="s">
        <v>637</v>
      </c>
      <c r="M614" s="392">
        <v>43073</v>
      </c>
      <c r="N614" s="392">
        <v>43080</v>
      </c>
      <c r="O614" s="419"/>
      <c r="P614" s="750"/>
      <c r="Q614" s="7"/>
      <c r="R614" s="397" t="s">
        <v>192</v>
      </c>
      <c r="S614" s="315" t="s">
        <v>2903</v>
      </c>
      <c r="T614" s="316"/>
      <c r="U614" s="421"/>
    </row>
    <row r="615" spans="1:21" s="377" customFormat="1" ht="20.100000000000001" customHeight="1">
      <c r="A615" s="1188" t="s">
        <v>2951</v>
      </c>
      <c r="B615" s="1188" t="s">
        <v>343</v>
      </c>
      <c r="C615" s="1188" t="s">
        <v>1304</v>
      </c>
      <c r="D615" s="889">
        <v>625</v>
      </c>
      <c r="E615" s="889">
        <v>800</v>
      </c>
      <c r="F615" s="889">
        <v>800</v>
      </c>
      <c r="G615" s="706" t="s">
        <v>6</v>
      </c>
      <c r="H615" s="390" t="s">
        <v>2322</v>
      </c>
      <c r="I615" s="386" t="s">
        <v>126</v>
      </c>
      <c r="J615" s="37"/>
      <c r="K615" s="428" t="s">
        <v>2323</v>
      </c>
      <c r="L615" s="379" t="s">
        <v>636</v>
      </c>
      <c r="M615" s="391">
        <v>43087</v>
      </c>
      <c r="N615" s="391">
        <v>43093</v>
      </c>
      <c r="O615" s="419"/>
      <c r="P615" s="750"/>
      <c r="Q615" s="7"/>
      <c r="R615" s="384" t="s">
        <v>202</v>
      </c>
      <c r="S615" s="316" t="s">
        <v>2911</v>
      </c>
      <c r="T615" s="316"/>
      <c r="U615" s="421"/>
    </row>
    <row r="616" spans="1:21" ht="20.100000000000001" customHeight="1">
      <c r="A616" s="1188" t="s">
        <v>2951</v>
      </c>
      <c r="B616" s="1188" t="s">
        <v>343</v>
      </c>
      <c r="C616" s="1188" t="s">
        <v>1304</v>
      </c>
      <c r="D616" s="32">
        <f>D416+150</f>
        <v>600</v>
      </c>
      <c r="E616" s="32">
        <f>E416+300</f>
        <v>800</v>
      </c>
      <c r="F616" s="32">
        <f>F416+300</f>
        <v>800</v>
      </c>
      <c r="G616" s="67" t="s">
        <v>5</v>
      </c>
      <c r="H616" s="35" t="s">
        <v>886</v>
      </c>
      <c r="I616" s="37" t="s">
        <v>126</v>
      </c>
      <c r="J616" s="37"/>
      <c r="K616" s="682" t="s">
        <v>767</v>
      </c>
      <c r="L616" s="51" t="s">
        <v>768</v>
      </c>
      <c r="M616" s="6">
        <v>43080</v>
      </c>
      <c r="N616" s="6">
        <v>43086</v>
      </c>
      <c r="O616" s="675" t="s">
        <v>600</v>
      </c>
      <c r="P616" s="61" t="s">
        <v>590</v>
      </c>
      <c r="Q616" s="677"/>
      <c r="R616" s="73" t="s">
        <v>1874</v>
      </c>
      <c r="S616" s="315" t="s">
        <v>2893</v>
      </c>
      <c r="T616" s="689"/>
      <c r="U616" s="42"/>
    </row>
    <row r="617" spans="1:21" s="377" customFormat="1" ht="20.100000000000001" customHeight="1">
      <c r="A617" s="1188" t="s">
        <v>2951</v>
      </c>
      <c r="B617" s="1188" t="s">
        <v>343</v>
      </c>
      <c r="C617" s="1188" t="s">
        <v>1304</v>
      </c>
      <c r="D617" s="529">
        <v>850</v>
      </c>
      <c r="E617" s="529">
        <v>1000</v>
      </c>
      <c r="F617" s="529">
        <v>1000</v>
      </c>
      <c r="G617" s="699" t="s">
        <v>51</v>
      </c>
      <c r="H617" s="385" t="s">
        <v>1966</v>
      </c>
      <c r="I617" s="398" t="s">
        <v>126</v>
      </c>
      <c r="J617" s="681"/>
      <c r="K617" s="426" t="s">
        <v>1967</v>
      </c>
      <c r="L617" s="380" t="s">
        <v>952</v>
      </c>
      <c r="M617" s="381">
        <v>43080</v>
      </c>
      <c r="N617" s="381">
        <v>43089</v>
      </c>
      <c r="O617" s="422"/>
      <c r="P617" s="752"/>
      <c r="Q617" s="7"/>
      <c r="R617" s="424" t="s">
        <v>1968</v>
      </c>
      <c r="S617" s="319"/>
      <c r="T617" s="689"/>
      <c r="U617" s="421"/>
    </row>
    <row r="618" spans="1:21" s="377" customFormat="1" ht="20.100000000000001" customHeight="1">
      <c r="A618" s="1188" t="s">
        <v>2951</v>
      </c>
      <c r="B618" s="1188" t="s">
        <v>343</v>
      </c>
      <c r="C618" s="1193" t="s">
        <v>1304</v>
      </c>
      <c r="D618" s="800" t="s">
        <v>4507</v>
      </c>
      <c r="E618" s="800">
        <v>800</v>
      </c>
      <c r="F618" s="800">
        <v>800</v>
      </c>
      <c r="G618" s="803" t="s">
        <v>18</v>
      </c>
      <c r="H618" s="674" t="s">
        <v>843</v>
      </c>
      <c r="I618" s="379" t="s">
        <v>126</v>
      </c>
      <c r="J618" s="51"/>
      <c r="K618" s="379" t="s">
        <v>752</v>
      </c>
      <c r="L618" s="386" t="s">
        <v>653</v>
      </c>
      <c r="M618" s="381">
        <v>43084</v>
      </c>
      <c r="N618" s="381">
        <v>43100</v>
      </c>
      <c r="O618" s="422"/>
      <c r="P618" s="59"/>
      <c r="Q618" s="147"/>
      <c r="R618" s="384" t="s">
        <v>748</v>
      </c>
      <c r="S618" s="316" t="s">
        <v>2905</v>
      </c>
      <c r="T618" s="689"/>
      <c r="U618" s="421"/>
    </row>
    <row r="619" spans="1:21" s="377" customFormat="1" ht="20.100000000000001" customHeight="1">
      <c r="A619" s="1188" t="s">
        <v>2951</v>
      </c>
      <c r="B619" s="1188" t="s">
        <v>343</v>
      </c>
      <c r="C619" s="1188" t="s">
        <v>1304</v>
      </c>
      <c r="D619" s="808">
        <v>865</v>
      </c>
      <c r="E619" s="808">
        <v>1230</v>
      </c>
      <c r="F619" s="808">
        <v>1230</v>
      </c>
      <c r="G619" s="706" t="s">
        <v>75</v>
      </c>
      <c r="H619" s="417" t="s">
        <v>1963</v>
      </c>
      <c r="I619" s="398" t="s">
        <v>126</v>
      </c>
      <c r="J619" s="37"/>
      <c r="K619" s="398" t="s">
        <v>1964</v>
      </c>
      <c r="L619" s="398" t="s">
        <v>652</v>
      </c>
      <c r="M619" s="399">
        <v>43040</v>
      </c>
      <c r="N619" s="399">
        <v>43083</v>
      </c>
      <c r="O619" s="423" t="s">
        <v>602</v>
      </c>
      <c r="P619" s="750"/>
      <c r="Q619" s="7"/>
      <c r="R619" s="397" t="s">
        <v>1915</v>
      </c>
      <c r="S619" s="316" t="s">
        <v>2895</v>
      </c>
      <c r="T619" s="689"/>
      <c r="U619" s="421"/>
    </row>
    <row r="620" spans="1:21" s="377" customFormat="1" ht="20.100000000000001" customHeight="1">
      <c r="A620" s="1188" t="s">
        <v>2951</v>
      </c>
      <c r="B620" s="1188" t="s">
        <v>343</v>
      </c>
      <c r="C620" s="1188" t="s">
        <v>1304</v>
      </c>
      <c r="D620" s="529">
        <v>750</v>
      </c>
      <c r="E620" s="529">
        <v>900</v>
      </c>
      <c r="F620" s="529">
        <v>800</v>
      </c>
      <c r="G620" s="66" t="s">
        <v>28</v>
      </c>
      <c r="H620" s="385" t="s">
        <v>742</v>
      </c>
      <c r="I620" s="398" t="s">
        <v>126</v>
      </c>
      <c r="J620" s="681"/>
      <c r="K620" s="426" t="s">
        <v>665</v>
      </c>
      <c r="L620" s="398" t="s">
        <v>639</v>
      </c>
      <c r="M620" s="392">
        <v>43084</v>
      </c>
      <c r="N620" s="392">
        <v>43088</v>
      </c>
      <c r="O620" s="423" t="s">
        <v>601</v>
      </c>
      <c r="P620" s="61"/>
      <c r="Q620" s="7"/>
      <c r="R620" s="424" t="s">
        <v>171</v>
      </c>
      <c r="S620" s="316" t="s">
        <v>2909</v>
      </c>
      <c r="T620" s="689"/>
      <c r="U620" s="421"/>
    </row>
    <row r="621" spans="1:21" s="377" customFormat="1" ht="20.100000000000001" customHeight="1">
      <c r="A621" s="1188" t="s">
        <v>2951</v>
      </c>
      <c r="B621" s="1188" t="s">
        <v>343</v>
      </c>
      <c r="C621" s="1188" t="s">
        <v>1304</v>
      </c>
      <c r="D621" s="536">
        <v>850</v>
      </c>
      <c r="E621" s="536">
        <v>1300</v>
      </c>
      <c r="F621" s="536">
        <v>1300</v>
      </c>
      <c r="G621" s="706" t="s">
        <v>874</v>
      </c>
      <c r="H621" s="385" t="s">
        <v>886</v>
      </c>
      <c r="I621" s="379" t="s">
        <v>126</v>
      </c>
      <c r="J621" s="51"/>
      <c r="K621" s="380" t="s">
        <v>743</v>
      </c>
      <c r="L621" s="379" t="s">
        <v>768</v>
      </c>
      <c r="M621" s="391">
        <v>43040</v>
      </c>
      <c r="N621" s="391">
        <v>43092</v>
      </c>
      <c r="O621" s="422"/>
      <c r="P621" s="61"/>
      <c r="Q621" s="7"/>
      <c r="R621" s="397" t="s">
        <v>2407</v>
      </c>
      <c r="S621" s="316" t="s">
        <v>1176</v>
      </c>
      <c r="T621" s="689"/>
      <c r="U621" s="421"/>
    </row>
    <row r="622" spans="1:21" s="377" customFormat="1" ht="20.100000000000001" customHeight="1">
      <c r="A622" s="1188" t="s">
        <v>2951</v>
      </c>
      <c r="B622" s="1188" t="s">
        <v>343</v>
      </c>
      <c r="C622" s="1188" t="s">
        <v>1304</v>
      </c>
      <c r="D622" s="11">
        <v>600</v>
      </c>
      <c r="E622" s="11">
        <v>790</v>
      </c>
      <c r="F622" s="11">
        <v>790</v>
      </c>
      <c r="G622" s="66" t="s">
        <v>12</v>
      </c>
      <c r="H622" s="56" t="s">
        <v>659</v>
      </c>
      <c r="I622" s="37" t="s">
        <v>23</v>
      </c>
      <c r="J622" s="37"/>
      <c r="K622" s="682" t="s">
        <v>724</v>
      </c>
      <c r="L622" s="51" t="s">
        <v>3039</v>
      </c>
      <c r="M622" s="392">
        <v>43057</v>
      </c>
      <c r="N622" s="551">
        <v>43091</v>
      </c>
      <c r="O622" s="419"/>
      <c r="P622" s="752"/>
      <c r="Q622" s="7"/>
      <c r="R622" s="73" t="s">
        <v>3387</v>
      </c>
      <c r="S622" s="315" t="s">
        <v>2912</v>
      </c>
      <c r="T622" s="688" t="s">
        <v>2840</v>
      </c>
      <c r="U622" s="421"/>
    </row>
    <row r="623" spans="1:21" s="377" customFormat="1" ht="20.100000000000001" customHeight="1">
      <c r="A623" s="1188" t="s">
        <v>2951</v>
      </c>
      <c r="B623" s="1188" t="s">
        <v>343</v>
      </c>
      <c r="C623" s="1188" t="s">
        <v>1304</v>
      </c>
      <c r="D623" s="32">
        <v>925</v>
      </c>
      <c r="E623" s="32">
        <v>1250</v>
      </c>
      <c r="F623" s="32">
        <v>1250</v>
      </c>
      <c r="G623" s="220" t="s">
        <v>1073</v>
      </c>
      <c r="H623" s="385" t="s">
        <v>725</v>
      </c>
      <c r="I623" s="379" t="s">
        <v>1912</v>
      </c>
      <c r="J623" s="38"/>
      <c r="K623" s="398" t="s">
        <v>728</v>
      </c>
      <c r="L623" s="379" t="s">
        <v>641</v>
      </c>
      <c r="M623" s="381">
        <v>43075</v>
      </c>
      <c r="N623" s="381">
        <v>43086</v>
      </c>
      <c r="O623" s="394" t="s">
        <v>1949</v>
      </c>
      <c r="P623" s="61"/>
      <c r="Q623" s="7"/>
      <c r="R623" s="397" t="s">
        <v>826</v>
      </c>
      <c r="S623" s="336" t="s">
        <v>1176</v>
      </c>
      <c r="T623" s="323" t="s">
        <v>2935</v>
      </c>
      <c r="U623" s="421"/>
    </row>
    <row r="624" spans="1:21" s="377" customFormat="1" ht="20.100000000000001" customHeight="1">
      <c r="A624" s="1188" t="s">
        <v>2951</v>
      </c>
      <c r="B624" s="1188" t="s">
        <v>343</v>
      </c>
      <c r="C624" s="1188" t="s">
        <v>1304</v>
      </c>
      <c r="D624" s="62">
        <v>975</v>
      </c>
      <c r="E624" s="62">
        <v>1150</v>
      </c>
      <c r="F624" s="62">
        <v>1150</v>
      </c>
      <c r="G624" s="220" t="s">
        <v>10</v>
      </c>
      <c r="H624" s="385" t="s">
        <v>725</v>
      </c>
      <c r="I624" s="386" t="s">
        <v>274</v>
      </c>
      <c r="J624" s="38"/>
      <c r="K624" s="398">
        <v>25</v>
      </c>
      <c r="L624" s="379" t="s">
        <v>641</v>
      </c>
      <c r="M624" s="381">
        <v>43045</v>
      </c>
      <c r="N624" s="547">
        <v>43087</v>
      </c>
      <c r="O624" s="422"/>
      <c r="P624" s="61"/>
      <c r="Q624" s="7"/>
      <c r="R624" s="397" t="s">
        <v>836</v>
      </c>
      <c r="S624" s="316" t="s">
        <v>1176</v>
      </c>
      <c r="T624" s="689"/>
      <c r="U624" s="421"/>
    </row>
    <row r="625" spans="1:21" s="377" customFormat="1" ht="20.100000000000001" customHeight="1">
      <c r="A625" s="1188" t="s">
        <v>2951</v>
      </c>
      <c r="B625" s="1188" t="s">
        <v>343</v>
      </c>
      <c r="C625" s="1188" t="s">
        <v>1304</v>
      </c>
      <c r="D625" s="32">
        <v>1050</v>
      </c>
      <c r="E625" s="32">
        <v>1700</v>
      </c>
      <c r="F625" s="32">
        <v>1700</v>
      </c>
      <c r="G625" s="699" t="s">
        <v>22</v>
      </c>
      <c r="H625" s="385" t="s">
        <v>706</v>
      </c>
      <c r="I625" s="386" t="s">
        <v>16</v>
      </c>
      <c r="J625" s="37"/>
      <c r="K625" s="398" t="s">
        <v>1138</v>
      </c>
      <c r="L625" s="379" t="s">
        <v>643</v>
      </c>
      <c r="M625" s="392">
        <v>42962</v>
      </c>
      <c r="N625" s="392">
        <v>43100</v>
      </c>
      <c r="O625" s="422"/>
      <c r="P625" s="61"/>
      <c r="Q625" s="7"/>
      <c r="R625" s="397" t="s">
        <v>1783</v>
      </c>
      <c r="S625" s="316" t="s">
        <v>1176</v>
      </c>
      <c r="T625" s="689"/>
      <c r="U625" s="421"/>
    </row>
    <row r="626" spans="1:21" ht="20.100000000000001" customHeight="1">
      <c r="A626" s="1128" t="s">
        <v>2951</v>
      </c>
      <c r="B626" s="1188" t="s">
        <v>343</v>
      </c>
      <c r="C626" s="1188" t="s">
        <v>265</v>
      </c>
      <c r="D626" s="790">
        <f>D416+350</f>
        <v>800</v>
      </c>
      <c r="E626" s="790">
        <f>E416+650</f>
        <v>1150</v>
      </c>
      <c r="F626" s="790">
        <f>F416+650</f>
        <v>1150</v>
      </c>
      <c r="G626" s="67" t="s">
        <v>5</v>
      </c>
      <c r="H626" s="35" t="s">
        <v>886</v>
      </c>
      <c r="I626" s="37" t="s">
        <v>126</v>
      </c>
      <c r="J626" s="37"/>
      <c r="K626" s="682" t="s">
        <v>767</v>
      </c>
      <c r="L626" s="51" t="s">
        <v>768</v>
      </c>
      <c r="M626" s="6">
        <v>43080</v>
      </c>
      <c r="N626" s="6">
        <v>43086</v>
      </c>
      <c r="O626" s="675" t="s">
        <v>600</v>
      </c>
      <c r="P626" s="61" t="s">
        <v>590</v>
      </c>
      <c r="Q626" s="677"/>
      <c r="R626" s="73" t="s">
        <v>1874</v>
      </c>
      <c r="S626" s="315" t="s">
        <v>2893</v>
      </c>
      <c r="T626" s="689"/>
      <c r="U626" s="42"/>
    </row>
    <row r="627" spans="1:21" s="377" customFormat="1" ht="20.100000000000001" customHeight="1">
      <c r="A627" s="1128" t="s">
        <v>2951</v>
      </c>
      <c r="B627" s="1188" t="s">
        <v>343</v>
      </c>
      <c r="C627" s="1193" t="s">
        <v>265</v>
      </c>
      <c r="D627" s="800" t="s">
        <v>4509</v>
      </c>
      <c r="E627" s="800">
        <v>1025</v>
      </c>
      <c r="F627" s="800">
        <v>1025</v>
      </c>
      <c r="G627" s="803" t="s">
        <v>18</v>
      </c>
      <c r="H627" s="674" t="s">
        <v>843</v>
      </c>
      <c r="I627" s="386" t="s">
        <v>126</v>
      </c>
      <c r="J627" s="38"/>
      <c r="K627" s="386" t="s">
        <v>753</v>
      </c>
      <c r="L627" s="386" t="s">
        <v>653</v>
      </c>
      <c r="M627" s="381">
        <v>43084</v>
      </c>
      <c r="N627" s="381">
        <v>43100</v>
      </c>
      <c r="O627" s="422"/>
      <c r="P627" s="751"/>
      <c r="Q627" s="147"/>
      <c r="R627" s="384" t="s">
        <v>748</v>
      </c>
      <c r="S627" s="316" t="s">
        <v>2905</v>
      </c>
      <c r="T627" s="689"/>
      <c r="U627" s="421"/>
    </row>
    <row r="628" spans="1:21" s="377" customFormat="1" ht="20.100000000000001" customHeight="1">
      <c r="A628" s="1128" t="s">
        <v>2951</v>
      </c>
      <c r="B628" s="1188" t="s">
        <v>343</v>
      </c>
      <c r="C628" s="1188" t="s">
        <v>265</v>
      </c>
      <c r="D628" s="791">
        <v>1165</v>
      </c>
      <c r="E628" s="791">
        <v>2130</v>
      </c>
      <c r="F628" s="791">
        <v>2130</v>
      </c>
      <c r="G628" s="63" t="s">
        <v>30</v>
      </c>
      <c r="H628" s="417" t="s">
        <v>1963</v>
      </c>
      <c r="I628" s="398" t="s">
        <v>126</v>
      </c>
      <c r="J628" s="37"/>
      <c r="K628" s="398" t="s">
        <v>1964</v>
      </c>
      <c r="L628" s="398" t="s">
        <v>652</v>
      </c>
      <c r="M628" s="399">
        <v>43040</v>
      </c>
      <c r="N628" s="399">
        <v>43083</v>
      </c>
      <c r="O628" s="423" t="s">
        <v>602</v>
      </c>
      <c r="P628" s="750"/>
      <c r="Q628" s="7"/>
      <c r="R628" s="397" t="s">
        <v>1915</v>
      </c>
      <c r="S628" s="316" t="s">
        <v>2895</v>
      </c>
      <c r="T628" s="689"/>
      <c r="U628" s="421"/>
    </row>
    <row r="629" spans="1:21" s="377" customFormat="1" ht="20.100000000000001" customHeight="1">
      <c r="A629" s="1128" t="s">
        <v>2951</v>
      </c>
      <c r="B629" s="1188" t="s">
        <v>343</v>
      </c>
      <c r="C629" s="1188" t="s">
        <v>265</v>
      </c>
      <c r="D629" s="528">
        <v>1100</v>
      </c>
      <c r="E629" s="528">
        <v>1900</v>
      </c>
      <c r="F629" s="528">
        <v>1900</v>
      </c>
      <c r="G629" s="706" t="s">
        <v>874</v>
      </c>
      <c r="H629" s="385" t="s">
        <v>886</v>
      </c>
      <c r="I629" s="379" t="s">
        <v>126</v>
      </c>
      <c r="J629" s="51"/>
      <c r="K629" s="380" t="s">
        <v>747</v>
      </c>
      <c r="L629" s="379" t="s">
        <v>768</v>
      </c>
      <c r="M629" s="391">
        <v>43040</v>
      </c>
      <c r="N629" s="391">
        <v>43092</v>
      </c>
      <c r="O629" s="422"/>
      <c r="P629" s="61"/>
      <c r="Q629" s="7"/>
      <c r="R629" s="397" t="s">
        <v>2407</v>
      </c>
      <c r="S629" s="316" t="s">
        <v>1176</v>
      </c>
      <c r="T629" s="689"/>
      <c r="U629" s="421"/>
    </row>
    <row r="630" spans="1:21" ht="20.100000000000001" customHeight="1">
      <c r="A630" s="1128" t="s">
        <v>2951</v>
      </c>
      <c r="B630" s="1188" t="s">
        <v>343</v>
      </c>
      <c r="C630" s="1188" t="s">
        <v>266</v>
      </c>
      <c r="D630" s="856">
        <f>D416+400</f>
        <v>850</v>
      </c>
      <c r="E630" s="856">
        <f>E416+850</f>
        <v>1350</v>
      </c>
      <c r="F630" s="856">
        <f>F416+850</f>
        <v>1350</v>
      </c>
      <c r="G630" s="67" t="s">
        <v>5</v>
      </c>
      <c r="H630" s="35" t="s">
        <v>886</v>
      </c>
      <c r="I630" s="37" t="s">
        <v>126</v>
      </c>
      <c r="J630" s="37"/>
      <c r="K630" s="682" t="s">
        <v>767</v>
      </c>
      <c r="L630" s="51" t="s">
        <v>768</v>
      </c>
      <c r="M630" s="6">
        <v>43080</v>
      </c>
      <c r="N630" s="6">
        <v>43086</v>
      </c>
      <c r="O630" s="675" t="s">
        <v>600</v>
      </c>
      <c r="P630" s="61" t="s">
        <v>590</v>
      </c>
      <c r="Q630" s="677"/>
      <c r="R630" s="73" t="s">
        <v>1874</v>
      </c>
      <c r="S630" s="315" t="s">
        <v>2893</v>
      </c>
      <c r="T630" s="689"/>
      <c r="U630" s="42"/>
    </row>
    <row r="631" spans="1:21" s="377" customFormat="1" ht="20.100000000000001" customHeight="1">
      <c r="A631" s="1128" t="s">
        <v>2951</v>
      </c>
      <c r="B631" s="1188" t="s">
        <v>343</v>
      </c>
      <c r="C631" s="1193" t="s">
        <v>266</v>
      </c>
      <c r="D631" s="800" t="s">
        <v>4510</v>
      </c>
      <c r="E631" s="800">
        <v>1340</v>
      </c>
      <c r="F631" s="800">
        <v>1340</v>
      </c>
      <c r="G631" s="803" t="s">
        <v>18</v>
      </c>
      <c r="H631" s="674" t="s">
        <v>843</v>
      </c>
      <c r="I631" s="386" t="s">
        <v>126</v>
      </c>
      <c r="J631" s="38"/>
      <c r="K631" s="386" t="s">
        <v>754</v>
      </c>
      <c r="L631" s="386" t="s">
        <v>653</v>
      </c>
      <c r="M631" s="381">
        <v>43084</v>
      </c>
      <c r="N631" s="381">
        <v>43100</v>
      </c>
      <c r="O631" s="422"/>
      <c r="P631" s="751"/>
      <c r="Q631" s="147"/>
      <c r="R631" s="397" t="s">
        <v>748</v>
      </c>
      <c r="S631" s="316" t="s">
        <v>2905</v>
      </c>
      <c r="T631" s="689"/>
      <c r="U631" s="421"/>
    </row>
    <row r="632" spans="1:21" s="377" customFormat="1" ht="20.100000000000001" customHeight="1">
      <c r="A632" s="1128" t="s">
        <v>2951</v>
      </c>
      <c r="B632" s="1188" t="s">
        <v>343</v>
      </c>
      <c r="C632" s="1188" t="s">
        <v>266</v>
      </c>
      <c r="D632" s="791">
        <v>1165</v>
      </c>
      <c r="E632" s="791">
        <v>2130</v>
      </c>
      <c r="F632" s="791">
        <v>2130</v>
      </c>
      <c r="G632" s="63" t="s">
        <v>30</v>
      </c>
      <c r="H632" s="417" t="s">
        <v>1963</v>
      </c>
      <c r="I632" s="398" t="s">
        <v>126</v>
      </c>
      <c r="J632" s="37"/>
      <c r="K632" s="398" t="s">
        <v>1964</v>
      </c>
      <c r="L632" s="398" t="s">
        <v>652</v>
      </c>
      <c r="M632" s="399">
        <v>43040</v>
      </c>
      <c r="N632" s="399">
        <v>43083</v>
      </c>
      <c r="O632" s="423" t="s">
        <v>602</v>
      </c>
      <c r="P632" s="750"/>
      <c r="Q632" s="7"/>
      <c r="R632" s="397" t="s">
        <v>1915</v>
      </c>
      <c r="S632" s="316" t="s">
        <v>2895</v>
      </c>
      <c r="T632" s="689"/>
      <c r="U632" s="421"/>
    </row>
    <row r="633" spans="1:21" s="377" customFormat="1" ht="20.100000000000001" customHeight="1">
      <c r="A633" s="1128" t="s">
        <v>2951</v>
      </c>
      <c r="B633" s="1188" t="s">
        <v>343</v>
      </c>
      <c r="C633" s="1188" t="s">
        <v>266</v>
      </c>
      <c r="D633" s="528">
        <v>1100</v>
      </c>
      <c r="E633" s="528">
        <v>1900</v>
      </c>
      <c r="F633" s="528">
        <v>1900</v>
      </c>
      <c r="G633" s="706" t="s">
        <v>874</v>
      </c>
      <c r="H633" s="385" t="s">
        <v>886</v>
      </c>
      <c r="I633" s="379" t="s">
        <v>126</v>
      </c>
      <c r="J633" s="51"/>
      <c r="K633" s="380" t="s">
        <v>747</v>
      </c>
      <c r="L633" s="379" t="s">
        <v>768</v>
      </c>
      <c r="M633" s="391">
        <v>43040</v>
      </c>
      <c r="N633" s="391">
        <v>43092</v>
      </c>
      <c r="O633" s="422"/>
      <c r="P633" s="61"/>
      <c r="Q633" s="7"/>
      <c r="R633" s="397" t="s">
        <v>2407</v>
      </c>
      <c r="S633" s="316" t="s">
        <v>1176</v>
      </c>
      <c r="T633" s="689"/>
      <c r="U633" s="421"/>
    </row>
    <row r="634" spans="1:21" s="377" customFormat="1" ht="20.100000000000001" customHeight="1">
      <c r="A634" s="1128" t="s">
        <v>2951</v>
      </c>
      <c r="B634" s="1188" t="s">
        <v>940</v>
      </c>
      <c r="C634" s="1188" t="s">
        <v>408</v>
      </c>
      <c r="D634" s="535">
        <v>400</v>
      </c>
      <c r="E634" s="535">
        <v>450</v>
      </c>
      <c r="F634" s="535">
        <v>450</v>
      </c>
      <c r="G634" s="699" t="s">
        <v>208</v>
      </c>
      <c r="H634" s="401">
        <v>3</v>
      </c>
      <c r="I634" s="386" t="s">
        <v>17</v>
      </c>
      <c r="J634" s="681" t="s">
        <v>332</v>
      </c>
      <c r="K634" s="50" t="s">
        <v>2998</v>
      </c>
      <c r="L634" s="380" t="s">
        <v>652</v>
      </c>
      <c r="M634" s="381">
        <v>43084</v>
      </c>
      <c r="N634" s="381">
        <v>43089</v>
      </c>
      <c r="O634" s="388"/>
      <c r="P634" s="61"/>
      <c r="Q634" s="7"/>
      <c r="R634" s="397" t="s">
        <v>450</v>
      </c>
      <c r="S634" s="327" t="s">
        <v>3066</v>
      </c>
      <c r="T634" s="680"/>
      <c r="U634" s="421"/>
    </row>
    <row r="635" spans="1:21" s="377" customFormat="1" ht="20.100000000000001" customHeight="1">
      <c r="A635" s="1128" t="s">
        <v>2951</v>
      </c>
      <c r="B635" s="1188" t="s">
        <v>940</v>
      </c>
      <c r="C635" s="1188" t="s">
        <v>408</v>
      </c>
      <c r="D635" s="1063">
        <v>500</v>
      </c>
      <c r="E635" s="1063">
        <v>600</v>
      </c>
      <c r="F635" s="1063">
        <v>600</v>
      </c>
      <c r="G635" s="706" t="s">
        <v>33</v>
      </c>
      <c r="H635" s="401">
        <v>3</v>
      </c>
      <c r="I635" s="386" t="s">
        <v>17</v>
      </c>
      <c r="J635" s="681" t="s">
        <v>332</v>
      </c>
      <c r="K635" s="50" t="s">
        <v>2998</v>
      </c>
      <c r="L635" s="398" t="s">
        <v>639</v>
      </c>
      <c r="M635" s="391">
        <v>43086</v>
      </c>
      <c r="N635" s="391">
        <v>43092</v>
      </c>
      <c r="O635" s="388"/>
      <c r="P635" s="61"/>
      <c r="Q635" s="7"/>
      <c r="R635" s="397" t="s">
        <v>450</v>
      </c>
      <c r="S635" s="316" t="s">
        <v>1176</v>
      </c>
      <c r="T635" s="603"/>
      <c r="U635" s="421"/>
    </row>
    <row r="636" spans="1:21" s="377" customFormat="1" ht="20.100000000000001" customHeight="1">
      <c r="A636" s="1128" t="s">
        <v>2951</v>
      </c>
      <c r="B636" s="1188" t="s">
        <v>940</v>
      </c>
      <c r="C636" s="1188" t="s">
        <v>408</v>
      </c>
      <c r="D636" s="11">
        <v>475</v>
      </c>
      <c r="E636" s="32">
        <v>500</v>
      </c>
      <c r="F636" s="32">
        <v>500</v>
      </c>
      <c r="G636" s="70" t="s">
        <v>30</v>
      </c>
      <c r="H636" s="401">
        <v>3</v>
      </c>
      <c r="I636" s="386" t="s">
        <v>17</v>
      </c>
      <c r="J636" s="681" t="s">
        <v>332</v>
      </c>
      <c r="K636" s="50" t="s">
        <v>2998</v>
      </c>
      <c r="L636" s="398" t="s">
        <v>639</v>
      </c>
      <c r="M636" s="399">
        <v>43068</v>
      </c>
      <c r="N636" s="399">
        <v>43083</v>
      </c>
      <c r="O636" s="435" t="s">
        <v>602</v>
      </c>
      <c r="P636" s="751"/>
      <c r="Q636" s="7"/>
      <c r="R636" s="397" t="s">
        <v>450</v>
      </c>
      <c r="S636" s="322"/>
      <c r="T636" s="305" t="s">
        <v>2936</v>
      </c>
      <c r="U636" s="421"/>
    </row>
    <row r="637" spans="1:21" s="377" customFormat="1" ht="20.100000000000001" customHeight="1">
      <c r="A637" s="1128" t="s">
        <v>2951</v>
      </c>
      <c r="B637" s="1188" t="s">
        <v>940</v>
      </c>
      <c r="C637" s="1188" t="s">
        <v>408</v>
      </c>
      <c r="D637" s="531">
        <v>425</v>
      </c>
      <c r="E637" s="531">
        <v>450</v>
      </c>
      <c r="F637" s="531">
        <v>450</v>
      </c>
      <c r="G637" s="63" t="s">
        <v>29</v>
      </c>
      <c r="H637" s="401">
        <v>3</v>
      </c>
      <c r="I637" s="386" t="s">
        <v>17</v>
      </c>
      <c r="J637" s="681" t="s">
        <v>332</v>
      </c>
      <c r="K637" s="50" t="s">
        <v>2998</v>
      </c>
      <c r="L637" s="398" t="s">
        <v>652</v>
      </c>
      <c r="M637" s="404">
        <v>43061</v>
      </c>
      <c r="N637" s="404">
        <v>43086</v>
      </c>
      <c r="O637" s="388"/>
      <c r="P637" s="61"/>
      <c r="Q637" s="7"/>
      <c r="R637" s="397" t="s">
        <v>450</v>
      </c>
      <c r="S637" s="315" t="s">
        <v>2921</v>
      </c>
      <c r="T637" s="603"/>
      <c r="U637" s="421"/>
    </row>
    <row r="638" spans="1:21" s="377" customFormat="1" ht="20.100000000000001" customHeight="1">
      <c r="A638" s="1128" t="s">
        <v>2951</v>
      </c>
      <c r="B638" s="1188" t="s">
        <v>940</v>
      </c>
      <c r="C638" s="1188" t="s">
        <v>408</v>
      </c>
      <c r="D638" s="536">
        <v>450</v>
      </c>
      <c r="E638" s="536">
        <v>575</v>
      </c>
      <c r="F638" s="536">
        <v>575</v>
      </c>
      <c r="G638" s="706" t="s">
        <v>61</v>
      </c>
      <c r="H638" s="401">
        <v>3</v>
      </c>
      <c r="I638" s="386" t="s">
        <v>17</v>
      </c>
      <c r="J638" s="681" t="s">
        <v>332</v>
      </c>
      <c r="K638" s="50" t="s">
        <v>2998</v>
      </c>
      <c r="L638" s="398" t="s">
        <v>652</v>
      </c>
      <c r="M638" s="404">
        <v>43061</v>
      </c>
      <c r="N638" s="404">
        <v>43086</v>
      </c>
      <c r="O638" s="393" t="s">
        <v>601</v>
      </c>
      <c r="P638" s="61" t="s">
        <v>1978</v>
      </c>
      <c r="Q638" s="7"/>
      <c r="R638" s="397" t="s">
        <v>450</v>
      </c>
      <c r="S638" s="316" t="s">
        <v>2922</v>
      </c>
      <c r="T638" s="603"/>
      <c r="U638" s="421"/>
    </row>
    <row r="639" spans="1:21" s="377" customFormat="1" ht="20.100000000000001" customHeight="1">
      <c r="A639" s="1128" t="s">
        <v>2951</v>
      </c>
      <c r="B639" s="1188" t="s">
        <v>940</v>
      </c>
      <c r="C639" s="1188" t="s">
        <v>408</v>
      </c>
      <c r="D639" s="62">
        <v>700</v>
      </c>
      <c r="E639" s="62">
        <v>900</v>
      </c>
      <c r="F639" s="62">
        <v>900</v>
      </c>
      <c r="G639" s="218" t="s">
        <v>19</v>
      </c>
      <c r="H639" s="417" t="s">
        <v>2292</v>
      </c>
      <c r="I639" s="386" t="s">
        <v>107</v>
      </c>
      <c r="J639" s="681" t="s">
        <v>332</v>
      </c>
      <c r="K639" s="406" t="s">
        <v>684</v>
      </c>
      <c r="L639" s="380" t="s">
        <v>648</v>
      </c>
      <c r="M639" s="399">
        <v>43068</v>
      </c>
      <c r="N639" s="399">
        <v>43081</v>
      </c>
      <c r="O639" s="382" t="s">
        <v>611</v>
      </c>
      <c r="P639" s="61"/>
      <c r="Q639" s="7"/>
      <c r="R639" s="397" t="s">
        <v>2324</v>
      </c>
      <c r="S639" s="316" t="s">
        <v>1176</v>
      </c>
      <c r="T639" s="305"/>
      <c r="U639" s="421"/>
    </row>
    <row r="640" spans="1:21" s="377" customFormat="1" ht="20.100000000000001" customHeight="1">
      <c r="A640" s="1128" t="s">
        <v>2951</v>
      </c>
      <c r="B640" s="1188" t="s">
        <v>940</v>
      </c>
      <c r="C640" s="1188" t="s">
        <v>408</v>
      </c>
      <c r="D640" s="32">
        <v>550</v>
      </c>
      <c r="E640" s="32">
        <v>600</v>
      </c>
      <c r="F640" s="32">
        <v>600</v>
      </c>
      <c r="G640" s="70" t="s">
        <v>89</v>
      </c>
      <c r="H640" s="425" t="s">
        <v>631</v>
      </c>
      <c r="I640" s="379" t="s">
        <v>16</v>
      </c>
      <c r="J640" s="34" t="s">
        <v>332</v>
      </c>
      <c r="K640" s="380" t="s">
        <v>850</v>
      </c>
      <c r="L640" s="415" t="s">
        <v>637</v>
      </c>
      <c r="M640" s="547">
        <v>43040</v>
      </c>
      <c r="N640" s="547">
        <v>43080</v>
      </c>
      <c r="O640" s="420"/>
      <c r="P640" s="61" t="s">
        <v>590</v>
      </c>
      <c r="Q640" s="59"/>
      <c r="R640" s="427" t="s">
        <v>849</v>
      </c>
      <c r="S640" s="322" t="s">
        <v>2861</v>
      </c>
      <c r="T640" s="717"/>
      <c r="U640" s="421"/>
    </row>
    <row r="641" spans="1:21" ht="20.100000000000001" customHeight="1">
      <c r="A641" s="1128" t="s">
        <v>2951</v>
      </c>
      <c r="B641" s="1188" t="s">
        <v>940</v>
      </c>
      <c r="C641" s="1188" t="s">
        <v>408</v>
      </c>
      <c r="D641" s="11">
        <v>575</v>
      </c>
      <c r="E641" s="11">
        <v>800</v>
      </c>
      <c r="F641" s="11">
        <v>800</v>
      </c>
      <c r="G641" s="48" t="s">
        <v>5</v>
      </c>
      <c r="H641" s="69" t="s">
        <v>1971</v>
      </c>
      <c r="I641" s="51" t="s">
        <v>128</v>
      </c>
      <c r="J641" s="34" t="s">
        <v>332</v>
      </c>
      <c r="K641" s="50" t="s">
        <v>1972</v>
      </c>
      <c r="L641" s="51" t="s">
        <v>639</v>
      </c>
      <c r="M641" s="6">
        <v>43080</v>
      </c>
      <c r="N641" s="6">
        <v>43086</v>
      </c>
      <c r="O641" s="675" t="s">
        <v>600</v>
      </c>
      <c r="P641" s="61"/>
      <c r="Q641" s="52" t="s">
        <v>4072</v>
      </c>
      <c r="R641" s="58" t="s">
        <v>1973</v>
      </c>
      <c r="S641" s="315" t="s">
        <v>2893</v>
      </c>
      <c r="T641" s="717"/>
      <c r="U641" s="42"/>
    </row>
    <row r="642" spans="1:21" s="377" customFormat="1" ht="20.100000000000001" customHeight="1">
      <c r="A642" s="1128" t="s">
        <v>2951</v>
      </c>
      <c r="B642" s="1188" t="s">
        <v>940</v>
      </c>
      <c r="C642" s="1188" t="s">
        <v>408</v>
      </c>
      <c r="D642" s="62">
        <v>700</v>
      </c>
      <c r="E642" s="62">
        <v>900</v>
      </c>
      <c r="F642" s="62">
        <v>900</v>
      </c>
      <c r="G642" s="218" t="s">
        <v>19</v>
      </c>
      <c r="H642" s="417" t="s">
        <v>706</v>
      </c>
      <c r="I642" s="386" t="s">
        <v>107</v>
      </c>
      <c r="J642" s="681" t="s">
        <v>332</v>
      </c>
      <c r="K642" s="406" t="s">
        <v>680</v>
      </c>
      <c r="L642" s="380" t="s">
        <v>643</v>
      </c>
      <c r="M642" s="399">
        <v>43068</v>
      </c>
      <c r="N642" s="399">
        <v>43081</v>
      </c>
      <c r="O642" s="382" t="s">
        <v>611</v>
      </c>
      <c r="P642" s="61"/>
      <c r="Q642" s="7"/>
      <c r="R642" s="397" t="s">
        <v>1783</v>
      </c>
      <c r="S642" s="316" t="s">
        <v>1176</v>
      </c>
      <c r="T642" s="305"/>
      <c r="U642" s="421"/>
    </row>
    <row r="643" spans="1:21" s="377" customFormat="1" ht="20.100000000000001" customHeight="1">
      <c r="A643" s="1185" t="s">
        <v>2951</v>
      </c>
      <c r="B643" s="1185" t="s">
        <v>940</v>
      </c>
      <c r="C643" s="1185" t="s">
        <v>408</v>
      </c>
      <c r="D643" s="13">
        <v>375</v>
      </c>
      <c r="E643" s="536">
        <v>450</v>
      </c>
      <c r="F643" s="536">
        <v>450</v>
      </c>
      <c r="G643" s="48" t="s">
        <v>6</v>
      </c>
      <c r="H643" s="436">
        <v>2</v>
      </c>
      <c r="I643" s="414" t="s">
        <v>17</v>
      </c>
      <c r="J643" s="38" t="s">
        <v>333</v>
      </c>
      <c r="K643" s="30" t="s">
        <v>4168</v>
      </c>
      <c r="L643" s="386" t="s">
        <v>636</v>
      </c>
      <c r="M643" s="391">
        <v>43087</v>
      </c>
      <c r="N643" s="391">
        <v>43093</v>
      </c>
      <c r="O643" s="437"/>
      <c r="P643" s="684"/>
      <c r="Q643" s="7"/>
      <c r="R643" s="17" t="s">
        <v>4169</v>
      </c>
      <c r="S643" s="315" t="s">
        <v>3067</v>
      </c>
      <c r="T643" s="305" t="s">
        <v>3068</v>
      </c>
      <c r="U643" s="421"/>
    </row>
    <row r="644" spans="1:21" ht="20.100000000000001" customHeight="1">
      <c r="A644" s="1186" t="s">
        <v>2951</v>
      </c>
      <c r="B644" s="1186" t="s">
        <v>940</v>
      </c>
      <c r="C644" s="1186" t="s">
        <v>408</v>
      </c>
      <c r="D644" s="11">
        <v>425</v>
      </c>
      <c r="E644" s="11">
        <v>500</v>
      </c>
      <c r="F644" s="11">
        <v>500</v>
      </c>
      <c r="G644" s="48" t="s">
        <v>5</v>
      </c>
      <c r="H644" s="48">
        <v>2</v>
      </c>
      <c r="I644" s="30" t="s">
        <v>17</v>
      </c>
      <c r="J644" s="38" t="s">
        <v>333</v>
      </c>
      <c r="K644" s="30" t="s">
        <v>4168</v>
      </c>
      <c r="L644" s="51" t="s">
        <v>636</v>
      </c>
      <c r="M644" s="6">
        <v>43080</v>
      </c>
      <c r="N644" s="6">
        <v>43086</v>
      </c>
      <c r="O644" s="675" t="s">
        <v>600</v>
      </c>
      <c r="P644" s="61" t="s">
        <v>604</v>
      </c>
      <c r="Q644" s="7"/>
      <c r="R644" s="17" t="s">
        <v>4189</v>
      </c>
      <c r="S644" s="315" t="s">
        <v>2893</v>
      </c>
      <c r="T644" s="78"/>
      <c r="U644" s="42"/>
    </row>
    <row r="645" spans="1:21" ht="20.100000000000001" customHeight="1">
      <c r="A645" s="1186" t="s">
        <v>2951</v>
      </c>
      <c r="B645" s="1186" t="s">
        <v>940</v>
      </c>
      <c r="C645" s="1186" t="s">
        <v>408</v>
      </c>
      <c r="D645" s="11">
        <v>410</v>
      </c>
      <c r="E645" s="11">
        <v>485</v>
      </c>
      <c r="F645" s="11">
        <v>485</v>
      </c>
      <c r="G645" s="63" t="s">
        <v>37</v>
      </c>
      <c r="H645" s="48" t="s">
        <v>4091</v>
      </c>
      <c r="I645" s="30" t="s">
        <v>17</v>
      </c>
      <c r="J645" s="38" t="s">
        <v>333</v>
      </c>
      <c r="K645" s="30" t="s">
        <v>4092</v>
      </c>
      <c r="L645" s="51" t="s">
        <v>636</v>
      </c>
      <c r="M645" s="392">
        <v>43081</v>
      </c>
      <c r="N645" s="392">
        <v>43084</v>
      </c>
      <c r="O645" s="675"/>
      <c r="P645" s="61" t="s">
        <v>590</v>
      </c>
      <c r="Q645" s="7"/>
      <c r="R645" s="49" t="s">
        <v>4093</v>
      </c>
      <c r="S645" s="315" t="s">
        <v>2903</v>
      </c>
      <c r="T645" s="847"/>
      <c r="U645" s="42"/>
    </row>
    <row r="646" spans="1:21" s="377" customFormat="1" ht="20.100000000000001" customHeight="1">
      <c r="A646" s="1186" t="s">
        <v>2951</v>
      </c>
      <c r="B646" s="1186" t="s">
        <v>940</v>
      </c>
      <c r="C646" s="1186" t="s">
        <v>408</v>
      </c>
      <c r="D646" s="11">
        <v>410</v>
      </c>
      <c r="E646" s="11">
        <v>485</v>
      </c>
      <c r="F646" s="11">
        <v>485</v>
      </c>
      <c r="G646" s="63" t="s">
        <v>102</v>
      </c>
      <c r="H646" s="417">
        <v>5</v>
      </c>
      <c r="I646" s="386" t="s">
        <v>17</v>
      </c>
      <c r="J646" s="38" t="s">
        <v>333</v>
      </c>
      <c r="K646" s="406" t="s">
        <v>812</v>
      </c>
      <c r="L646" s="380" t="s">
        <v>649</v>
      </c>
      <c r="M646" s="392">
        <v>43081</v>
      </c>
      <c r="N646" s="392">
        <v>43084</v>
      </c>
      <c r="O646" s="388"/>
      <c r="P646" s="61" t="s">
        <v>590</v>
      </c>
      <c r="Q646" s="7"/>
      <c r="R646" s="397" t="s">
        <v>179</v>
      </c>
      <c r="S646" s="315" t="s">
        <v>2903</v>
      </c>
      <c r="T646" s="680"/>
      <c r="U646" s="421"/>
    </row>
    <row r="647" spans="1:21" s="377" customFormat="1" ht="20.100000000000001" customHeight="1">
      <c r="A647" s="1186" t="s">
        <v>2951</v>
      </c>
      <c r="B647" s="1186" t="s">
        <v>940</v>
      </c>
      <c r="C647" s="1186" t="s">
        <v>408</v>
      </c>
      <c r="D647" s="32">
        <v>440</v>
      </c>
      <c r="E647" s="32">
        <v>450</v>
      </c>
      <c r="F647" s="32">
        <v>450</v>
      </c>
      <c r="G647" s="706" t="s">
        <v>137</v>
      </c>
      <c r="H647" s="417">
        <v>5</v>
      </c>
      <c r="I647" s="386" t="s">
        <v>17</v>
      </c>
      <c r="J647" s="38" t="s">
        <v>333</v>
      </c>
      <c r="K647" s="406" t="s">
        <v>812</v>
      </c>
      <c r="L647" s="380" t="s">
        <v>649</v>
      </c>
      <c r="M647" s="392">
        <v>43084</v>
      </c>
      <c r="N647" s="392">
        <v>43088</v>
      </c>
      <c r="O647" s="393" t="s">
        <v>601</v>
      </c>
      <c r="P647" s="61" t="s">
        <v>604</v>
      </c>
      <c r="Q647" s="7"/>
      <c r="R647" s="397" t="s">
        <v>179</v>
      </c>
      <c r="S647" s="316" t="s">
        <v>2909</v>
      </c>
      <c r="T647" s="603" t="s">
        <v>3498</v>
      </c>
      <c r="U647" s="421"/>
    </row>
    <row r="648" spans="1:21" s="377" customFormat="1" ht="20.100000000000001" customHeight="1">
      <c r="A648" s="1186" t="s">
        <v>2951</v>
      </c>
      <c r="B648" s="1186" t="s">
        <v>940</v>
      </c>
      <c r="C648" s="1186" t="s">
        <v>408</v>
      </c>
      <c r="D648" s="13">
        <v>650</v>
      </c>
      <c r="E648" s="13">
        <v>750</v>
      </c>
      <c r="F648" s="13">
        <v>750</v>
      </c>
      <c r="G648" s="218" t="s">
        <v>51</v>
      </c>
      <c r="H648" s="417" t="s">
        <v>2370</v>
      </c>
      <c r="I648" s="398" t="s">
        <v>16</v>
      </c>
      <c r="J648" s="38" t="s">
        <v>333</v>
      </c>
      <c r="K648" s="51" t="s">
        <v>3008</v>
      </c>
      <c r="L648" s="380" t="s">
        <v>637</v>
      </c>
      <c r="M648" s="381">
        <v>43084</v>
      </c>
      <c r="N648" s="381">
        <v>43089</v>
      </c>
      <c r="O648" s="393"/>
      <c r="P648" s="754"/>
      <c r="Q648" s="745"/>
      <c r="R648" s="384" t="s">
        <v>2371</v>
      </c>
      <c r="S648" s="327" t="s">
        <v>3066</v>
      </c>
      <c r="T648" s="757"/>
      <c r="U648" s="421"/>
    </row>
    <row r="649" spans="1:21" s="377" customFormat="1" ht="20.100000000000001" customHeight="1">
      <c r="A649" s="1186" t="s">
        <v>2951</v>
      </c>
      <c r="B649" s="1186" t="s">
        <v>940</v>
      </c>
      <c r="C649" s="1186" t="s">
        <v>408</v>
      </c>
      <c r="D649" s="13">
        <v>600</v>
      </c>
      <c r="E649" s="13">
        <v>1200</v>
      </c>
      <c r="F649" s="13">
        <v>1200</v>
      </c>
      <c r="G649" s="218" t="s">
        <v>14</v>
      </c>
      <c r="H649" s="56" t="s">
        <v>742</v>
      </c>
      <c r="I649" s="386" t="s">
        <v>16</v>
      </c>
      <c r="J649" s="38" t="s">
        <v>333</v>
      </c>
      <c r="K649" s="386">
        <v>23</v>
      </c>
      <c r="L649" s="398" t="s">
        <v>652</v>
      </c>
      <c r="M649" s="547">
        <v>43044</v>
      </c>
      <c r="N649" s="547">
        <v>43092</v>
      </c>
      <c r="O649" s="388"/>
      <c r="P649" s="61"/>
      <c r="Q649" s="7"/>
      <c r="R649" s="17" t="s">
        <v>449</v>
      </c>
      <c r="S649" s="319"/>
      <c r="T649" s="78"/>
      <c r="U649" s="421"/>
    </row>
    <row r="650" spans="1:21" s="377" customFormat="1" ht="20.100000000000001" customHeight="1">
      <c r="A650" s="1186" t="s">
        <v>2951</v>
      </c>
      <c r="B650" s="1186" t="s">
        <v>940</v>
      </c>
      <c r="C650" s="1186" t="s">
        <v>408</v>
      </c>
      <c r="D650" s="11">
        <v>850</v>
      </c>
      <c r="E650" s="32"/>
      <c r="F650" s="32"/>
      <c r="G650" s="218" t="s">
        <v>76</v>
      </c>
      <c r="H650" s="55" t="s">
        <v>3015</v>
      </c>
      <c r="I650" s="386" t="s">
        <v>16</v>
      </c>
      <c r="J650" s="38" t="s">
        <v>333</v>
      </c>
      <c r="K650" s="414" t="s">
        <v>727</v>
      </c>
      <c r="L650" s="380" t="s">
        <v>637</v>
      </c>
      <c r="M650" s="6">
        <v>43045</v>
      </c>
      <c r="N650" s="6">
        <v>43093</v>
      </c>
      <c r="O650" s="393"/>
      <c r="P650" s="61" t="s">
        <v>604</v>
      </c>
      <c r="Q650" s="10"/>
      <c r="R650" s="17" t="s">
        <v>3016</v>
      </c>
      <c r="S650" s="322" t="s">
        <v>1176</v>
      </c>
      <c r="T650" s="78"/>
      <c r="U650" s="421"/>
    </row>
    <row r="651" spans="1:21" s="377" customFormat="1" ht="20.100000000000001" customHeight="1">
      <c r="A651" s="1186" t="s">
        <v>2951</v>
      </c>
      <c r="B651" s="1186" t="s">
        <v>940</v>
      </c>
      <c r="C651" s="1186" t="s">
        <v>408</v>
      </c>
      <c r="D651" s="62">
        <v>700</v>
      </c>
      <c r="E651" s="62">
        <v>900</v>
      </c>
      <c r="F651" s="62">
        <v>900</v>
      </c>
      <c r="G651" s="218" t="s">
        <v>19</v>
      </c>
      <c r="H651" s="417" t="s">
        <v>2292</v>
      </c>
      <c r="I651" s="386" t="s">
        <v>107</v>
      </c>
      <c r="J651" s="34" t="s">
        <v>333</v>
      </c>
      <c r="K651" s="406" t="s">
        <v>684</v>
      </c>
      <c r="L651" s="380" t="s">
        <v>648</v>
      </c>
      <c r="M651" s="399">
        <v>43068</v>
      </c>
      <c r="N651" s="399">
        <v>43081</v>
      </c>
      <c r="O651" s="382" t="s">
        <v>611</v>
      </c>
      <c r="P651" s="61"/>
      <c r="Q651" s="7"/>
      <c r="R651" s="397" t="s">
        <v>2324</v>
      </c>
      <c r="S651" s="316" t="s">
        <v>1176</v>
      </c>
      <c r="T651" s="78"/>
      <c r="U651" s="421"/>
    </row>
    <row r="652" spans="1:21" s="377" customFormat="1" ht="20.100000000000001" customHeight="1">
      <c r="A652" s="1186" t="s">
        <v>2951</v>
      </c>
      <c r="B652" s="1186" t="s">
        <v>940</v>
      </c>
      <c r="C652" s="1186" t="s">
        <v>408</v>
      </c>
      <c r="D652" s="32">
        <v>550</v>
      </c>
      <c r="E652" s="32">
        <v>600</v>
      </c>
      <c r="F652" s="32">
        <v>600</v>
      </c>
      <c r="G652" s="70" t="s">
        <v>87</v>
      </c>
      <c r="H652" s="425" t="s">
        <v>631</v>
      </c>
      <c r="I652" s="379" t="s">
        <v>16</v>
      </c>
      <c r="J652" s="38" t="s">
        <v>333</v>
      </c>
      <c r="K652" s="380" t="s">
        <v>850</v>
      </c>
      <c r="L652" s="415" t="s">
        <v>637</v>
      </c>
      <c r="M652" s="547">
        <v>43040</v>
      </c>
      <c r="N652" s="547">
        <v>43080</v>
      </c>
      <c r="O652" s="420"/>
      <c r="P652" s="61" t="s">
        <v>590</v>
      </c>
      <c r="Q652" s="59"/>
      <c r="R652" s="427" t="s">
        <v>849</v>
      </c>
      <c r="S652" s="322" t="s">
        <v>2861</v>
      </c>
      <c r="T652" s="689"/>
      <c r="U652" s="421"/>
    </row>
    <row r="653" spans="1:21" s="377" customFormat="1" ht="20.100000000000001" customHeight="1">
      <c r="A653" s="1187" t="s">
        <v>2951</v>
      </c>
      <c r="B653" s="1187" t="s">
        <v>940</v>
      </c>
      <c r="C653" s="1187" t="s">
        <v>408</v>
      </c>
      <c r="D653" s="62">
        <v>700</v>
      </c>
      <c r="E653" s="62">
        <v>900</v>
      </c>
      <c r="F653" s="62">
        <v>900</v>
      </c>
      <c r="G653" s="218" t="s">
        <v>19</v>
      </c>
      <c r="H653" s="417" t="s">
        <v>706</v>
      </c>
      <c r="I653" s="386" t="s">
        <v>107</v>
      </c>
      <c r="J653" s="34" t="s">
        <v>333</v>
      </c>
      <c r="K653" s="406" t="s">
        <v>680</v>
      </c>
      <c r="L653" s="380" t="s">
        <v>643</v>
      </c>
      <c r="M653" s="399">
        <v>43068</v>
      </c>
      <c r="N653" s="399">
        <v>43081</v>
      </c>
      <c r="O653" s="382" t="s">
        <v>611</v>
      </c>
      <c r="P653" s="61"/>
      <c r="Q653" s="7"/>
      <c r="R653" s="397" t="s">
        <v>1783</v>
      </c>
      <c r="S653" s="316" t="s">
        <v>1176</v>
      </c>
      <c r="T653" s="78"/>
      <c r="U653" s="421"/>
    </row>
    <row r="654" spans="1:21" s="377" customFormat="1" ht="20.100000000000001" customHeight="1">
      <c r="A654" s="1186" t="s">
        <v>1111</v>
      </c>
      <c r="B654" s="1186" t="s">
        <v>940</v>
      </c>
      <c r="C654" s="1186" t="s">
        <v>1879</v>
      </c>
      <c r="D654" s="800" t="s">
        <v>1147</v>
      </c>
      <c r="E654" s="800" t="s">
        <v>1156</v>
      </c>
      <c r="F654" s="800" t="s">
        <v>1156</v>
      </c>
      <c r="G654" s="803" t="s">
        <v>18</v>
      </c>
      <c r="H654" s="436">
        <v>2</v>
      </c>
      <c r="I654" s="414" t="s">
        <v>17</v>
      </c>
      <c r="J654" s="38" t="s">
        <v>1880</v>
      </c>
      <c r="K654" s="414" t="s">
        <v>747</v>
      </c>
      <c r="L654" s="379" t="s">
        <v>636</v>
      </c>
      <c r="M654" s="381">
        <v>43066</v>
      </c>
      <c r="N654" s="381">
        <v>43100</v>
      </c>
      <c r="O654" s="387"/>
      <c r="P654" s="684"/>
      <c r="Q654" s="7"/>
      <c r="R654" s="397" t="s">
        <v>1916</v>
      </c>
      <c r="S654" s="316" t="s">
        <v>2905</v>
      </c>
      <c r="T654" s="305"/>
      <c r="U654" s="421"/>
    </row>
    <row r="655" spans="1:21" s="377" customFormat="1" ht="20.100000000000001" customHeight="1">
      <c r="A655" s="1186" t="s">
        <v>1111</v>
      </c>
      <c r="B655" s="1186" t="s">
        <v>940</v>
      </c>
      <c r="C655" s="1186" t="s">
        <v>1879</v>
      </c>
      <c r="D655" s="792">
        <v>350</v>
      </c>
      <c r="E655" s="792">
        <v>400</v>
      </c>
      <c r="F655" s="792">
        <v>400</v>
      </c>
      <c r="G655" s="36" t="s">
        <v>87</v>
      </c>
      <c r="H655" s="56" t="s">
        <v>659</v>
      </c>
      <c r="I655" s="51" t="s">
        <v>17</v>
      </c>
      <c r="J655" s="38" t="s">
        <v>1880</v>
      </c>
      <c r="K655" s="51" t="s">
        <v>3042</v>
      </c>
      <c r="L655" s="38" t="s">
        <v>3039</v>
      </c>
      <c r="M655" s="547">
        <v>43075</v>
      </c>
      <c r="N655" s="547">
        <v>43080</v>
      </c>
      <c r="O655" s="544"/>
      <c r="P655" s="572"/>
      <c r="Q655" s="52"/>
      <c r="R655" s="73" t="s">
        <v>3058</v>
      </c>
      <c r="S655" s="322" t="s">
        <v>2861</v>
      </c>
      <c r="T655" s="632"/>
      <c r="U655" s="421"/>
    </row>
    <row r="656" spans="1:21" s="377" customFormat="1" ht="20.100000000000001" customHeight="1">
      <c r="A656" s="1186" t="s">
        <v>1111</v>
      </c>
      <c r="B656" s="1186" t="s">
        <v>940</v>
      </c>
      <c r="C656" s="1186" t="s">
        <v>1879</v>
      </c>
      <c r="D656" s="32">
        <v>300</v>
      </c>
      <c r="E656" s="32">
        <v>400</v>
      </c>
      <c r="F656" s="32">
        <v>400</v>
      </c>
      <c r="G656" s="224" t="s">
        <v>10</v>
      </c>
      <c r="H656" s="56" t="s">
        <v>659</v>
      </c>
      <c r="I656" s="51" t="s">
        <v>17</v>
      </c>
      <c r="J656" s="38" t="s">
        <v>1880</v>
      </c>
      <c r="K656" s="51" t="s">
        <v>3042</v>
      </c>
      <c r="L656" s="38" t="s">
        <v>3039</v>
      </c>
      <c r="M656" s="547">
        <v>43082</v>
      </c>
      <c r="N656" s="547">
        <v>43087</v>
      </c>
      <c r="O656" s="544"/>
      <c r="P656" s="572"/>
      <c r="Q656" s="52"/>
      <c r="R656" s="73" t="s">
        <v>3052</v>
      </c>
      <c r="S656" s="316" t="s">
        <v>1176</v>
      </c>
      <c r="T656" s="632"/>
      <c r="U656" s="421"/>
    </row>
    <row r="657" spans="1:21" s="377" customFormat="1" ht="20.100000000000001" customHeight="1">
      <c r="A657" s="1186" t="s">
        <v>1111</v>
      </c>
      <c r="B657" s="1186" t="s">
        <v>940</v>
      </c>
      <c r="C657" s="1186" t="s">
        <v>1879</v>
      </c>
      <c r="D657" s="894">
        <v>350</v>
      </c>
      <c r="E657" s="894">
        <v>400</v>
      </c>
      <c r="F657" s="894">
        <v>400</v>
      </c>
      <c r="G657" s="224" t="s">
        <v>1659</v>
      </c>
      <c r="H657" s="56" t="s">
        <v>659</v>
      </c>
      <c r="I657" s="51" t="s">
        <v>17</v>
      </c>
      <c r="J657" s="38" t="s">
        <v>1880</v>
      </c>
      <c r="K657" s="51" t="s">
        <v>3042</v>
      </c>
      <c r="L657" s="38" t="s">
        <v>3039</v>
      </c>
      <c r="M657" s="547">
        <v>43089</v>
      </c>
      <c r="N657" s="547">
        <v>43090</v>
      </c>
      <c r="O657" s="544"/>
      <c r="P657" s="572"/>
      <c r="Q657" s="52"/>
      <c r="R657" s="73" t="s">
        <v>3040</v>
      </c>
      <c r="S657" s="322"/>
      <c r="T657" s="626">
        <v>14</v>
      </c>
      <c r="U657" s="421"/>
    </row>
    <row r="658" spans="1:21" s="377" customFormat="1" ht="20.100000000000001" customHeight="1">
      <c r="A658" s="1186" t="s">
        <v>1111</v>
      </c>
      <c r="B658" s="1186" t="s">
        <v>940</v>
      </c>
      <c r="C658" s="1186" t="s">
        <v>1879</v>
      </c>
      <c r="D658" s="32">
        <v>340</v>
      </c>
      <c r="E658" s="32">
        <v>380</v>
      </c>
      <c r="F658" s="32">
        <v>380</v>
      </c>
      <c r="G658" s="64" t="s">
        <v>432</v>
      </c>
      <c r="H658" s="56" t="s">
        <v>659</v>
      </c>
      <c r="I658" s="51" t="s">
        <v>17</v>
      </c>
      <c r="J658" s="38" t="s">
        <v>1880</v>
      </c>
      <c r="K658" s="51" t="s">
        <v>3042</v>
      </c>
      <c r="L658" s="38" t="s">
        <v>3039</v>
      </c>
      <c r="M658" s="547">
        <v>43068</v>
      </c>
      <c r="N658" s="547">
        <v>43089</v>
      </c>
      <c r="O658" s="544"/>
      <c r="P658" s="572"/>
      <c r="Q658" s="52"/>
      <c r="R658" s="73" t="s">
        <v>3040</v>
      </c>
      <c r="S658" s="319" t="s">
        <v>1176</v>
      </c>
      <c r="T658" s="626"/>
      <c r="U658" s="421"/>
    </row>
    <row r="659" spans="1:21" s="377" customFormat="1" ht="20.100000000000001" customHeight="1">
      <c r="A659" s="1186" t="s">
        <v>1111</v>
      </c>
      <c r="B659" s="1186" t="s">
        <v>940</v>
      </c>
      <c r="C659" s="1186" t="s">
        <v>1879</v>
      </c>
      <c r="D659" s="32">
        <v>350</v>
      </c>
      <c r="E659" s="32">
        <v>390</v>
      </c>
      <c r="F659" s="32">
        <v>390</v>
      </c>
      <c r="G659" s="66" t="s">
        <v>12</v>
      </c>
      <c r="H659" s="56" t="s">
        <v>659</v>
      </c>
      <c r="I659" s="51" t="s">
        <v>17</v>
      </c>
      <c r="J659" s="38" t="s">
        <v>1880</v>
      </c>
      <c r="K659" s="51" t="s">
        <v>3042</v>
      </c>
      <c r="L659" s="38" t="s">
        <v>3039</v>
      </c>
      <c r="M659" s="551">
        <v>43078</v>
      </c>
      <c r="N659" s="551">
        <v>43091</v>
      </c>
      <c r="O659" s="544"/>
      <c r="P659" s="61" t="s">
        <v>1974</v>
      </c>
      <c r="Q659" s="52"/>
      <c r="R659" s="73" t="s">
        <v>3387</v>
      </c>
      <c r="S659" s="322" t="s">
        <v>1176</v>
      </c>
      <c r="T659" s="688" t="s">
        <v>2933</v>
      </c>
      <c r="U659" s="421"/>
    </row>
    <row r="660" spans="1:21" s="377" customFormat="1" ht="20.100000000000001" customHeight="1">
      <c r="A660" s="1186" t="s">
        <v>1111</v>
      </c>
      <c r="B660" s="1186" t="s">
        <v>940</v>
      </c>
      <c r="C660" s="1186" t="s">
        <v>1879</v>
      </c>
      <c r="D660" s="535">
        <v>350</v>
      </c>
      <c r="E660" s="535">
        <v>400</v>
      </c>
      <c r="F660" s="535">
        <v>400</v>
      </c>
      <c r="G660" s="699" t="s">
        <v>51</v>
      </c>
      <c r="H660" s="401">
        <v>3</v>
      </c>
      <c r="I660" s="386" t="s">
        <v>17</v>
      </c>
      <c r="J660" s="681" t="s">
        <v>1880</v>
      </c>
      <c r="K660" s="50" t="s">
        <v>3001</v>
      </c>
      <c r="L660" s="380" t="s">
        <v>639</v>
      </c>
      <c r="M660" s="381">
        <v>43084</v>
      </c>
      <c r="N660" s="381">
        <v>43089</v>
      </c>
      <c r="O660" s="388"/>
      <c r="P660" s="61"/>
      <c r="Q660" s="7"/>
      <c r="R660" s="397" t="s">
        <v>450</v>
      </c>
      <c r="S660" s="327" t="s">
        <v>3066</v>
      </c>
      <c r="T660" s="305"/>
      <c r="U660" s="421"/>
    </row>
    <row r="661" spans="1:21" s="377" customFormat="1" ht="20.100000000000001" customHeight="1">
      <c r="A661" s="1186" t="s">
        <v>1111</v>
      </c>
      <c r="B661" s="1186" t="s">
        <v>940</v>
      </c>
      <c r="C661" s="1186" t="s">
        <v>1879</v>
      </c>
      <c r="D661" s="1063">
        <v>500</v>
      </c>
      <c r="E661" s="1063">
        <v>600</v>
      </c>
      <c r="F661" s="1063">
        <v>600</v>
      </c>
      <c r="G661" s="706" t="s">
        <v>33</v>
      </c>
      <c r="H661" s="401">
        <v>3</v>
      </c>
      <c r="I661" s="386" t="s">
        <v>17</v>
      </c>
      <c r="J661" s="681" t="s">
        <v>1880</v>
      </c>
      <c r="K661" s="50" t="s">
        <v>3001</v>
      </c>
      <c r="L661" s="380" t="s">
        <v>639</v>
      </c>
      <c r="M661" s="391">
        <v>43086</v>
      </c>
      <c r="N661" s="391">
        <v>43092</v>
      </c>
      <c r="O661" s="388"/>
      <c r="P661" s="61"/>
      <c r="Q661" s="7"/>
      <c r="R661" s="397" t="s">
        <v>450</v>
      </c>
      <c r="S661" s="316" t="s">
        <v>1176</v>
      </c>
      <c r="T661" s="305"/>
      <c r="U661" s="421"/>
    </row>
    <row r="662" spans="1:21" s="377" customFormat="1" ht="20.100000000000001" customHeight="1">
      <c r="A662" s="1186" t="s">
        <v>1111</v>
      </c>
      <c r="B662" s="1186" t="s">
        <v>940</v>
      </c>
      <c r="C662" s="1186" t="s">
        <v>1879</v>
      </c>
      <c r="D662" s="11">
        <v>475</v>
      </c>
      <c r="E662" s="32">
        <v>500</v>
      </c>
      <c r="F662" s="32">
        <v>500</v>
      </c>
      <c r="G662" s="70" t="s">
        <v>30</v>
      </c>
      <c r="H662" s="401">
        <v>3</v>
      </c>
      <c r="I662" s="386" t="s">
        <v>17</v>
      </c>
      <c r="J662" s="681" t="s">
        <v>1880</v>
      </c>
      <c r="K662" s="50" t="s">
        <v>3001</v>
      </c>
      <c r="L662" s="380" t="s">
        <v>639</v>
      </c>
      <c r="M662" s="399">
        <v>43068</v>
      </c>
      <c r="N662" s="399">
        <v>43083</v>
      </c>
      <c r="O662" s="435" t="s">
        <v>602</v>
      </c>
      <c r="P662" s="61"/>
      <c r="Q662" s="7"/>
      <c r="R662" s="397" t="s">
        <v>450</v>
      </c>
      <c r="S662" s="322"/>
      <c r="T662" s="305" t="s">
        <v>2936</v>
      </c>
      <c r="U662" s="421"/>
    </row>
    <row r="663" spans="1:21" s="377" customFormat="1" ht="20.100000000000001" customHeight="1">
      <c r="A663" s="1186" t="s">
        <v>1111</v>
      </c>
      <c r="B663" s="1186" t="s">
        <v>940</v>
      </c>
      <c r="C663" s="1186" t="s">
        <v>1879</v>
      </c>
      <c r="D663" s="536">
        <v>450</v>
      </c>
      <c r="E663" s="536">
        <v>575</v>
      </c>
      <c r="F663" s="536">
        <v>575</v>
      </c>
      <c r="G663" s="70" t="s">
        <v>13</v>
      </c>
      <c r="H663" s="401">
        <v>3</v>
      </c>
      <c r="I663" s="386" t="s">
        <v>17</v>
      </c>
      <c r="J663" s="681" t="s">
        <v>1880</v>
      </c>
      <c r="K663" s="50" t="s">
        <v>3001</v>
      </c>
      <c r="L663" s="380" t="s">
        <v>639</v>
      </c>
      <c r="M663" s="404">
        <v>43061</v>
      </c>
      <c r="N663" s="404">
        <v>43086</v>
      </c>
      <c r="O663" s="393" t="s">
        <v>601</v>
      </c>
      <c r="P663" s="61" t="s">
        <v>604</v>
      </c>
      <c r="Q663" s="7"/>
      <c r="R663" s="397" t="s">
        <v>450</v>
      </c>
      <c r="S663" s="316" t="s">
        <v>2922</v>
      </c>
      <c r="T663" s="305"/>
      <c r="U663" s="421"/>
    </row>
    <row r="664" spans="1:21" s="377" customFormat="1" ht="20.100000000000001" customHeight="1">
      <c r="A664" s="1186" t="s">
        <v>1111</v>
      </c>
      <c r="B664" s="1186" t="s">
        <v>940</v>
      </c>
      <c r="C664" s="1186" t="s">
        <v>1879</v>
      </c>
      <c r="D664" s="531">
        <v>425</v>
      </c>
      <c r="E664" s="531">
        <v>450</v>
      </c>
      <c r="F664" s="531">
        <v>450</v>
      </c>
      <c r="G664" s="70" t="s">
        <v>29</v>
      </c>
      <c r="H664" s="401">
        <v>3</v>
      </c>
      <c r="I664" s="386" t="s">
        <v>17</v>
      </c>
      <c r="J664" s="681" t="s">
        <v>1880</v>
      </c>
      <c r="K664" s="50" t="s">
        <v>3001</v>
      </c>
      <c r="L664" s="380" t="s">
        <v>639</v>
      </c>
      <c r="M664" s="404">
        <v>43068</v>
      </c>
      <c r="N664" s="404">
        <v>43086</v>
      </c>
      <c r="O664" s="388"/>
      <c r="P664" s="61"/>
      <c r="Q664" s="7"/>
      <c r="R664" s="397" t="s">
        <v>450</v>
      </c>
      <c r="S664" s="315" t="s">
        <v>2921</v>
      </c>
      <c r="T664" s="305"/>
      <c r="U664" s="421"/>
    </row>
    <row r="665" spans="1:21" s="377" customFormat="1" ht="20.100000000000001" customHeight="1">
      <c r="A665" s="1186" t="s">
        <v>1111</v>
      </c>
      <c r="B665" s="1186" t="s">
        <v>940</v>
      </c>
      <c r="C665" s="1186" t="s">
        <v>1879</v>
      </c>
      <c r="D665" s="13">
        <v>375</v>
      </c>
      <c r="E665" s="536">
        <v>425</v>
      </c>
      <c r="F665" s="536">
        <v>425</v>
      </c>
      <c r="G665" s="48" t="s">
        <v>6</v>
      </c>
      <c r="H665" s="56" t="s">
        <v>4170</v>
      </c>
      <c r="I665" s="414" t="s">
        <v>17</v>
      </c>
      <c r="J665" s="38" t="s">
        <v>1880</v>
      </c>
      <c r="K665" s="30" t="s">
        <v>4171</v>
      </c>
      <c r="L665" s="386" t="s">
        <v>636</v>
      </c>
      <c r="M665" s="391">
        <v>43083</v>
      </c>
      <c r="N665" s="391">
        <v>43093</v>
      </c>
      <c r="O665" s="437"/>
      <c r="P665" s="684"/>
      <c r="Q665" s="7"/>
      <c r="R665" s="424" t="s">
        <v>816</v>
      </c>
      <c r="S665" s="315" t="s">
        <v>3067</v>
      </c>
      <c r="T665" s="305" t="s">
        <v>3068</v>
      </c>
      <c r="U665" s="421"/>
    </row>
    <row r="666" spans="1:21" s="377" customFormat="1" ht="20.100000000000001" customHeight="1">
      <c r="A666" s="1186" t="s">
        <v>1111</v>
      </c>
      <c r="B666" s="1186" t="s">
        <v>940</v>
      </c>
      <c r="C666" s="1186" t="s">
        <v>1879</v>
      </c>
      <c r="D666" s="790">
        <v>400</v>
      </c>
      <c r="E666" s="790">
        <v>450</v>
      </c>
      <c r="F666" s="790">
        <v>450</v>
      </c>
      <c r="G666" s="48" t="s">
        <v>5</v>
      </c>
      <c r="H666" s="56" t="s">
        <v>1225</v>
      </c>
      <c r="I666" s="414" t="s">
        <v>17</v>
      </c>
      <c r="J666" s="38" t="s">
        <v>1880</v>
      </c>
      <c r="K666" s="30" t="s">
        <v>4171</v>
      </c>
      <c r="L666" s="386" t="s">
        <v>636</v>
      </c>
      <c r="M666" s="6">
        <v>43080</v>
      </c>
      <c r="N666" s="6">
        <v>43086</v>
      </c>
      <c r="O666" s="675" t="s">
        <v>600</v>
      </c>
      <c r="P666" s="684"/>
      <c r="Q666" s="7"/>
      <c r="R666" s="17" t="s">
        <v>1131</v>
      </c>
      <c r="S666" s="315" t="s">
        <v>2893</v>
      </c>
      <c r="T666" s="305"/>
      <c r="U666" s="421"/>
    </row>
    <row r="667" spans="1:21" s="377" customFormat="1" ht="20.100000000000001" customHeight="1">
      <c r="A667" s="1186" t="s">
        <v>1111</v>
      </c>
      <c r="B667" s="1186" t="s">
        <v>940</v>
      </c>
      <c r="C667" s="1186" t="s">
        <v>1879</v>
      </c>
      <c r="D667" s="11">
        <v>410</v>
      </c>
      <c r="E667" s="11">
        <v>485</v>
      </c>
      <c r="F667" s="11">
        <v>485</v>
      </c>
      <c r="G667" s="70" t="s">
        <v>37</v>
      </c>
      <c r="H667" s="48" t="s">
        <v>4090</v>
      </c>
      <c r="I667" s="30" t="s">
        <v>17</v>
      </c>
      <c r="J667" s="38" t="s">
        <v>1880</v>
      </c>
      <c r="K667" s="30" t="s">
        <v>968</v>
      </c>
      <c r="L667" s="51" t="s">
        <v>636</v>
      </c>
      <c r="M667" s="392">
        <v>43083</v>
      </c>
      <c r="N667" s="392">
        <v>43084</v>
      </c>
      <c r="O667" s="675"/>
      <c r="P667" s="61"/>
      <c r="Q667" s="7"/>
      <c r="R667" s="17" t="s">
        <v>4089</v>
      </c>
      <c r="S667" s="315" t="s">
        <v>2903</v>
      </c>
      <c r="T667" s="316"/>
      <c r="U667" s="421"/>
    </row>
    <row r="668" spans="1:21" s="377" customFormat="1" ht="20.100000000000001" customHeight="1">
      <c r="A668" s="1186" t="s">
        <v>1111</v>
      </c>
      <c r="B668" s="1186" t="s">
        <v>940</v>
      </c>
      <c r="C668" s="1186" t="s">
        <v>1879</v>
      </c>
      <c r="D668" s="32">
        <v>400</v>
      </c>
      <c r="E668" s="32">
        <v>450</v>
      </c>
      <c r="F668" s="32">
        <v>450</v>
      </c>
      <c r="G668" s="63" t="s">
        <v>232</v>
      </c>
      <c r="H668" s="425" t="s">
        <v>721</v>
      </c>
      <c r="I668" s="414" t="s">
        <v>17</v>
      </c>
      <c r="J668" s="38" t="s">
        <v>1880</v>
      </c>
      <c r="K668" s="380" t="s">
        <v>750</v>
      </c>
      <c r="L668" s="379" t="s">
        <v>641</v>
      </c>
      <c r="M668" s="399">
        <v>43064</v>
      </c>
      <c r="N668" s="399">
        <v>43086</v>
      </c>
      <c r="O668" s="393" t="s">
        <v>601</v>
      </c>
      <c r="P668" s="61" t="s">
        <v>604</v>
      </c>
      <c r="Q668" s="7"/>
      <c r="R668" s="424" t="s">
        <v>202</v>
      </c>
      <c r="S668" s="322"/>
      <c r="T668" s="680"/>
      <c r="U668" s="421"/>
    </row>
    <row r="669" spans="1:21" s="377" customFormat="1" ht="20.100000000000001" customHeight="1">
      <c r="A669" s="1186" t="s">
        <v>1111</v>
      </c>
      <c r="B669" s="1186" t="s">
        <v>940</v>
      </c>
      <c r="C669" s="1186" t="s">
        <v>1879</v>
      </c>
      <c r="D669" s="32">
        <v>340</v>
      </c>
      <c r="E669" s="32">
        <v>380</v>
      </c>
      <c r="F669" s="32">
        <v>380</v>
      </c>
      <c r="G669" s="64" t="s">
        <v>432</v>
      </c>
      <c r="H669" s="425" t="s">
        <v>721</v>
      </c>
      <c r="I669" s="414" t="s">
        <v>17</v>
      </c>
      <c r="J669" s="38" t="s">
        <v>1880</v>
      </c>
      <c r="K669" s="380" t="s">
        <v>750</v>
      </c>
      <c r="L669" s="379" t="s">
        <v>641</v>
      </c>
      <c r="M669" s="547">
        <v>43064</v>
      </c>
      <c r="N669" s="547">
        <v>43089</v>
      </c>
      <c r="O669" s="393"/>
      <c r="P669" s="751"/>
      <c r="Q669" s="7"/>
      <c r="R669" s="424" t="s">
        <v>202</v>
      </c>
      <c r="S669" s="319" t="s">
        <v>1176</v>
      </c>
      <c r="T669" s="680"/>
      <c r="U669" s="421"/>
    </row>
    <row r="670" spans="1:21" s="377" customFormat="1" ht="20.100000000000001" customHeight="1">
      <c r="A670" s="1186" t="s">
        <v>1111</v>
      </c>
      <c r="B670" s="1186" t="s">
        <v>940</v>
      </c>
      <c r="C670" s="1186" t="s">
        <v>1879</v>
      </c>
      <c r="D670" s="32">
        <v>350</v>
      </c>
      <c r="E670" s="32">
        <v>390</v>
      </c>
      <c r="F670" s="32">
        <v>390</v>
      </c>
      <c r="G670" s="70" t="s">
        <v>12</v>
      </c>
      <c r="H670" s="425" t="s">
        <v>721</v>
      </c>
      <c r="I670" s="414" t="s">
        <v>17</v>
      </c>
      <c r="J670" s="38" t="s">
        <v>1880</v>
      </c>
      <c r="K670" s="380" t="s">
        <v>750</v>
      </c>
      <c r="L670" s="379" t="s">
        <v>641</v>
      </c>
      <c r="M670" s="551">
        <v>43078</v>
      </c>
      <c r="N670" s="551">
        <v>43091</v>
      </c>
      <c r="O670" s="393"/>
      <c r="P670" s="61" t="s">
        <v>1974</v>
      </c>
      <c r="Q670" s="7"/>
      <c r="R670" s="424" t="s">
        <v>202</v>
      </c>
      <c r="S670" s="322" t="s">
        <v>1176</v>
      </c>
      <c r="T670" s="688" t="s">
        <v>2934</v>
      </c>
      <c r="U670" s="421"/>
    </row>
    <row r="671" spans="1:21" s="377" customFormat="1" ht="20.100000000000001" customHeight="1">
      <c r="A671" s="1186" t="s">
        <v>1111</v>
      </c>
      <c r="B671" s="1186" t="s">
        <v>940</v>
      </c>
      <c r="C671" s="1186" t="s">
        <v>1879</v>
      </c>
      <c r="D671" s="32">
        <v>1185</v>
      </c>
      <c r="E671" s="32">
        <v>1420</v>
      </c>
      <c r="F671" s="32">
        <v>1420</v>
      </c>
      <c r="G671" s="224" t="s">
        <v>231</v>
      </c>
      <c r="H671" s="417" t="s">
        <v>634</v>
      </c>
      <c r="I671" s="380" t="s">
        <v>23</v>
      </c>
      <c r="J671" s="38" t="s">
        <v>1880</v>
      </c>
      <c r="K671" s="379" t="s">
        <v>750</v>
      </c>
      <c r="L671" s="379" t="s">
        <v>637</v>
      </c>
      <c r="M671" s="381">
        <v>43040</v>
      </c>
      <c r="N671" s="547">
        <v>43087</v>
      </c>
      <c r="O671" s="420"/>
      <c r="P671" s="7" t="s">
        <v>1741</v>
      </c>
      <c r="Q671" s="7"/>
      <c r="R671" s="384" t="s">
        <v>1480</v>
      </c>
      <c r="S671" s="322"/>
      <c r="T671" s="632" t="s">
        <v>2937</v>
      </c>
      <c r="U671" s="421"/>
    </row>
    <row r="672" spans="1:21" s="377" customFormat="1" ht="20.100000000000001" customHeight="1">
      <c r="A672" s="1186" t="s">
        <v>1111</v>
      </c>
      <c r="B672" s="1186" t="s">
        <v>940</v>
      </c>
      <c r="C672" s="1186" t="s">
        <v>1879</v>
      </c>
      <c r="D672" s="11">
        <v>850</v>
      </c>
      <c r="E672" s="32"/>
      <c r="F672" s="32"/>
      <c r="G672" s="218" t="s">
        <v>956</v>
      </c>
      <c r="H672" s="55" t="s">
        <v>3015</v>
      </c>
      <c r="I672" s="386" t="s">
        <v>16</v>
      </c>
      <c r="J672" s="38" t="s">
        <v>1880</v>
      </c>
      <c r="K672" s="414" t="s">
        <v>727</v>
      </c>
      <c r="L672" s="380" t="s">
        <v>958</v>
      </c>
      <c r="M672" s="6">
        <v>43045</v>
      </c>
      <c r="N672" s="6">
        <v>43093</v>
      </c>
      <c r="O672" s="393"/>
      <c r="P672" s="61" t="s">
        <v>604</v>
      </c>
      <c r="Q672" s="10"/>
      <c r="R672" s="17" t="s">
        <v>3016</v>
      </c>
      <c r="S672" s="322" t="s">
        <v>1176</v>
      </c>
      <c r="T672" s="680"/>
      <c r="U672" s="421"/>
    </row>
    <row r="673" spans="1:21" s="377" customFormat="1" ht="20.100000000000001" customHeight="1">
      <c r="A673" s="1187" t="s">
        <v>1111</v>
      </c>
      <c r="B673" s="1187" t="s">
        <v>940</v>
      </c>
      <c r="C673" s="1187" t="s">
        <v>1879</v>
      </c>
      <c r="D673" s="13">
        <v>1500</v>
      </c>
      <c r="E673" s="13">
        <v>1900</v>
      </c>
      <c r="F673" s="13">
        <v>1900</v>
      </c>
      <c r="G673" s="699" t="s">
        <v>22</v>
      </c>
      <c r="H673" s="385" t="s">
        <v>706</v>
      </c>
      <c r="I673" s="386" t="s">
        <v>16</v>
      </c>
      <c r="J673" s="38" t="s">
        <v>1880</v>
      </c>
      <c r="K673" s="386">
        <v>23</v>
      </c>
      <c r="L673" s="379" t="s">
        <v>643</v>
      </c>
      <c r="M673" s="392">
        <v>42962</v>
      </c>
      <c r="N673" s="392">
        <v>43100</v>
      </c>
      <c r="O673" s="388"/>
      <c r="P673" s="61"/>
      <c r="Q673" s="7"/>
      <c r="R673" s="397" t="s">
        <v>1783</v>
      </c>
      <c r="S673" s="315" t="s">
        <v>2923</v>
      </c>
      <c r="T673" s="688" t="s">
        <v>2938</v>
      </c>
      <c r="U673" s="421"/>
    </row>
    <row r="674" spans="1:21" ht="20.100000000000001" customHeight="1">
      <c r="A674" s="1186" t="s">
        <v>2951</v>
      </c>
      <c r="B674" s="1186" t="s">
        <v>940</v>
      </c>
      <c r="C674" s="1186" t="s">
        <v>1879</v>
      </c>
      <c r="D674" s="790">
        <v>400</v>
      </c>
      <c r="E674" s="790">
        <v>450</v>
      </c>
      <c r="F674" s="790">
        <v>450</v>
      </c>
      <c r="G674" s="673" t="s">
        <v>5</v>
      </c>
      <c r="H674" s="56" t="s">
        <v>1225</v>
      </c>
      <c r="I674" s="414" t="s">
        <v>17</v>
      </c>
      <c r="J674" s="38" t="s">
        <v>159</v>
      </c>
      <c r="K674" s="30" t="s">
        <v>4172</v>
      </c>
      <c r="L674" s="51" t="s">
        <v>636</v>
      </c>
      <c r="M674" s="6">
        <v>43080</v>
      </c>
      <c r="N674" s="6">
        <v>43086</v>
      </c>
      <c r="O674" s="675" t="s">
        <v>769</v>
      </c>
      <c r="P674" s="61"/>
      <c r="Q674" s="7"/>
      <c r="R674" s="17" t="s">
        <v>1131</v>
      </c>
      <c r="S674" s="315" t="s">
        <v>2893</v>
      </c>
      <c r="T674" s="680"/>
      <c r="U674" s="42"/>
    </row>
    <row r="675" spans="1:21" s="377" customFormat="1" ht="20.100000000000001" customHeight="1">
      <c r="A675" s="1186" t="s">
        <v>2951</v>
      </c>
      <c r="B675" s="1186" t="s">
        <v>940</v>
      </c>
      <c r="C675" s="1186" t="s">
        <v>1879</v>
      </c>
      <c r="D675" s="800" t="s">
        <v>1147</v>
      </c>
      <c r="E675" s="800" t="s">
        <v>1156</v>
      </c>
      <c r="F675" s="800" t="s">
        <v>1156</v>
      </c>
      <c r="G675" s="803" t="s">
        <v>18</v>
      </c>
      <c r="H675" s="436">
        <v>2</v>
      </c>
      <c r="I675" s="414" t="s">
        <v>17</v>
      </c>
      <c r="J675" s="38" t="s">
        <v>159</v>
      </c>
      <c r="K675" s="414" t="s">
        <v>750</v>
      </c>
      <c r="L675" s="386" t="s">
        <v>636</v>
      </c>
      <c r="M675" s="381">
        <v>43066</v>
      </c>
      <c r="N675" s="381">
        <v>43100</v>
      </c>
      <c r="O675" s="388"/>
      <c r="P675" s="61"/>
      <c r="Q675" s="7"/>
      <c r="R675" s="397" t="s">
        <v>1916</v>
      </c>
      <c r="S675" s="316" t="s">
        <v>2905</v>
      </c>
      <c r="T675" s="680"/>
      <c r="U675" s="421"/>
    </row>
    <row r="676" spans="1:21" s="377" customFormat="1" ht="20.100000000000001" customHeight="1">
      <c r="A676" s="1186" t="s">
        <v>2951</v>
      </c>
      <c r="B676" s="1186" t="s">
        <v>940</v>
      </c>
      <c r="C676" s="1186" t="s">
        <v>408</v>
      </c>
      <c r="D676" s="13">
        <v>375</v>
      </c>
      <c r="E676" s="536">
        <v>425</v>
      </c>
      <c r="F676" s="536">
        <v>425</v>
      </c>
      <c r="G676" s="48" t="s">
        <v>6</v>
      </c>
      <c r="H676" s="56" t="s">
        <v>4170</v>
      </c>
      <c r="I676" s="414" t="s">
        <v>17</v>
      </c>
      <c r="J676" s="38" t="s">
        <v>159</v>
      </c>
      <c r="K676" s="30" t="s">
        <v>4172</v>
      </c>
      <c r="L676" s="386" t="s">
        <v>636</v>
      </c>
      <c r="M676" s="391">
        <v>43083</v>
      </c>
      <c r="N676" s="391">
        <v>43093</v>
      </c>
      <c r="O676" s="437"/>
      <c r="P676" s="684"/>
      <c r="Q676" s="7"/>
      <c r="R676" s="424" t="s">
        <v>816</v>
      </c>
      <c r="S676" s="315" t="s">
        <v>3067</v>
      </c>
      <c r="T676" s="305" t="s">
        <v>3068</v>
      </c>
      <c r="U676" s="421"/>
    </row>
    <row r="677" spans="1:21" s="377" customFormat="1" ht="20.100000000000001" customHeight="1">
      <c r="A677" s="1186" t="s">
        <v>2951</v>
      </c>
      <c r="B677" s="1186" t="s">
        <v>940</v>
      </c>
      <c r="C677" s="1186" t="s">
        <v>1879</v>
      </c>
      <c r="D677" s="11">
        <v>410</v>
      </c>
      <c r="E677" s="11">
        <v>485</v>
      </c>
      <c r="F677" s="11">
        <v>485</v>
      </c>
      <c r="G677" s="803" t="s">
        <v>37</v>
      </c>
      <c r="H677" s="48" t="s">
        <v>4090</v>
      </c>
      <c r="I677" s="30" t="s">
        <v>17</v>
      </c>
      <c r="J677" s="38" t="s">
        <v>159</v>
      </c>
      <c r="K677" s="30" t="s">
        <v>660</v>
      </c>
      <c r="L677" s="51" t="s">
        <v>636</v>
      </c>
      <c r="M677" s="392">
        <v>43083</v>
      </c>
      <c r="N677" s="392">
        <v>43084</v>
      </c>
      <c r="O677" s="675"/>
      <c r="P677" s="61"/>
      <c r="Q677" s="7"/>
      <c r="R677" s="17" t="s">
        <v>4089</v>
      </c>
      <c r="S677" s="315" t="s">
        <v>2903</v>
      </c>
      <c r="T677" s="846"/>
      <c r="U677" s="421"/>
    </row>
    <row r="678" spans="1:21" s="377" customFormat="1" ht="20.100000000000001" customHeight="1">
      <c r="A678" s="1186" t="s">
        <v>1111</v>
      </c>
      <c r="B678" s="1186" t="s">
        <v>940</v>
      </c>
      <c r="C678" s="1186" t="s">
        <v>1879</v>
      </c>
      <c r="D678" s="62">
        <v>850</v>
      </c>
      <c r="E678" s="62">
        <v>1300</v>
      </c>
      <c r="F678" s="62">
        <v>1300</v>
      </c>
      <c r="G678" s="218" t="s">
        <v>19</v>
      </c>
      <c r="H678" s="417" t="s">
        <v>2292</v>
      </c>
      <c r="I678" s="386" t="s">
        <v>107</v>
      </c>
      <c r="J678" s="38" t="s">
        <v>159</v>
      </c>
      <c r="K678" s="406" t="s">
        <v>684</v>
      </c>
      <c r="L678" s="380" t="s">
        <v>648</v>
      </c>
      <c r="M678" s="399">
        <v>43068</v>
      </c>
      <c r="N678" s="399">
        <v>43081</v>
      </c>
      <c r="O678" s="382" t="s">
        <v>611</v>
      </c>
      <c r="P678" s="61"/>
      <c r="Q678" s="7"/>
      <c r="R678" s="397" t="s">
        <v>2324</v>
      </c>
      <c r="S678" s="316" t="s">
        <v>1176</v>
      </c>
      <c r="T678" s="680"/>
      <c r="U678" s="421"/>
    </row>
    <row r="679" spans="1:21" s="377" customFormat="1" ht="20.100000000000001" customHeight="1">
      <c r="A679" s="1187" t="s">
        <v>1111</v>
      </c>
      <c r="B679" s="1187" t="s">
        <v>940</v>
      </c>
      <c r="C679" s="1187" t="s">
        <v>1879</v>
      </c>
      <c r="D679" s="62">
        <v>850</v>
      </c>
      <c r="E679" s="62">
        <v>1300</v>
      </c>
      <c r="F679" s="62">
        <v>1300</v>
      </c>
      <c r="G679" s="218" t="s">
        <v>19</v>
      </c>
      <c r="H679" s="417" t="s">
        <v>706</v>
      </c>
      <c r="I679" s="386" t="s">
        <v>107</v>
      </c>
      <c r="J679" s="38" t="s">
        <v>159</v>
      </c>
      <c r="K679" s="406" t="s">
        <v>680</v>
      </c>
      <c r="L679" s="380" t="s">
        <v>643</v>
      </c>
      <c r="M679" s="399">
        <v>43068</v>
      </c>
      <c r="N679" s="399">
        <v>43081</v>
      </c>
      <c r="O679" s="382" t="s">
        <v>611</v>
      </c>
      <c r="P679" s="61"/>
      <c r="Q679" s="7"/>
      <c r="R679" s="397" t="s">
        <v>1783</v>
      </c>
      <c r="S679" s="316" t="s">
        <v>1176</v>
      </c>
      <c r="T679" s="680"/>
      <c r="U679" s="421"/>
    </row>
    <row r="680" spans="1:21" s="377" customFormat="1" ht="20.100000000000001" customHeight="1">
      <c r="A680" s="1128" t="s">
        <v>2951</v>
      </c>
      <c r="B680" s="1188" t="s">
        <v>940</v>
      </c>
      <c r="C680" s="1193" t="s">
        <v>1956</v>
      </c>
      <c r="D680" s="22"/>
      <c r="E680" s="22"/>
      <c r="F680" s="22"/>
      <c r="G680" s="803" t="s">
        <v>18</v>
      </c>
      <c r="H680" s="385" t="s">
        <v>742</v>
      </c>
      <c r="I680" s="386" t="s">
        <v>154</v>
      </c>
      <c r="J680" s="38"/>
      <c r="K680" s="386" t="s">
        <v>682</v>
      </c>
      <c r="L680" s="386" t="s">
        <v>636</v>
      </c>
      <c r="M680" s="381">
        <v>43066</v>
      </c>
      <c r="N680" s="381">
        <v>43100</v>
      </c>
      <c r="O680" s="388"/>
      <c r="P680" s="61"/>
      <c r="Q680" s="7"/>
      <c r="R680" s="397" t="s">
        <v>1916</v>
      </c>
      <c r="S680" s="316" t="s">
        <v>2905</v>
      </c>
      <c r="T680" s="680"/>
      <c r="U680" s="421"/>
    </row>
    <row r="681" spans="1:21" s="377" customFormat="1" ht="20.100000000000001" customHeight="1">
      <c r="A681" s="1128" t="s">
        <v>2951</v>
      </c>
      <c r="B681" s="1188" t="s">
        <v>940</v>
      </c>
      <c r="C681" s="1188" t="s">
        <v>485</v>
      </c>
      <c r="D681" s="810">
        <f>D638+950+50</f>
        <v>1450</v>
      </c>
      <c r="E681" s="810">
        <f>E638+1250+100</f>
        <v>1925</v>
      </c>
      <c r="F681" s="810">
        <f>F638+1250+100</f>
        <v>1925</v>
      </c>
      <c r="G681" s="705" t="s">
        <v>13</v>
      </c>
      <c r="H681" s="401">
        <v>3</v>
      </c>
      <c r="I681" s="386" t="s">
        <v>154</v>
      </c>
      <c r="J681" s="681"/>
      <c r="K681" s="398">
        <v>28</v>
      </c>
      <c r="L681" s="379" t="s">
        <v>636</v>
      </c>
      <c r="M681" s="404">
        <v>43061</v>
      </c>
      <c r="N681" s="404">
        <v>43086</v>
      </c>
      <c r="O681" s="393" t="s">
        <v>601</v>
      </c>
      <c r="P681" s="61"/>
      <c r="Q681" s="7"/>
      <c r="R681" s="397" t="s">
        <v>450</v>
      </c>
      <c r="S681" s="316" t="s">
        <v>2922</v>
      </c>
      <c r="T681" s="680" t="s">
        <v>2939</v>
      </c>
      <c r="U681" s="421"/>
    </row>
    <row r="682" spans="1:21" s="377" customFormat="1" ht="20.100000000000001" customHeight="1">
      <c r="A682" s="1128" t="s">
        <v>2951</v>
      </c>
      <c r="B682" s="1188" t="s">
        <v>409</v>
      </c>
      <c r="C682" s="1188" t="s">
        <v>410</v>
      </c>
      <c r="D682" s="32">
        <f>D694+450</f>
        <v>1610</v>
      </c>
      <c r="E682" s="32">
        <f>E694+700</f>
        <v>1910</v>
      </c>
      <c r="F682" s="32">
        <f>F694+700</f>
        <v>1910</v>
      </c>
      <c r="G682" s="705" t="s">
        <v>102</v>
      </c>
      <c r="H682" s="430" t="s">
        <v>1652</v>
      </c>
      <c r="I682" s="398" t="s">
        <v>125</v>
      </c>
      <c r="J682" s="37"/>
      <c r="K682" s="398" t="s">
        <v>1509</v>
      </c>
      <c r="L682" s="429" t="s">
        <v>637</v>
      </c>
      <c r="M682" s="392">
        <v>43070</v>
      </c>
      <c r="N682" s="392">
        <v>43080</v>
      </c>
      <c r="O682" s="382"/>
      <c r="P682" s="105"/>
      <c r="Q682" s="7"/>
      <c r="R682" s="397" t="s">
        <v>1857</v>
      </c>
      <c r="S682" s="316" t="s">
        <v>2913</v>
      </c>
      <c r="T682" s="689"/>
      <c r="U682" s="421"/>
    </row>
    <row r="683" spans="1:21" s="377" customFormat="1" ht="20.100000000000001" customHeight="1">
      <c r="A683" s="1128" t="s">
        <v>2951</v>
      </c>
      <c r="B683" s="1188" t="s">
        <v>409</v>
      </c>
      <c r="C683" s="1188" t="s">
        <v>410</v>
      </c>
      <c r="D683" s="11">
        <v>1575</v>
      </c>
      <c r="E683" s="2">
        <v>1950</v>
      </c>
      <c r="F683" s="2">
        <v>1950</v>
      </c>
      <c r="G683" s="218" t="s">
        <v>19</v>
      </c>
      <c r="H683" s="385" t="s">
        <v>742</v>
      </c>
      <c r="I683" s="386" t="s">
        <v>16</v>
      </c>
      <c r="J683" s="38"/>
      <c r="K683" s="426" t="s">
        <v>680</v>
      </c>
      <c r="L683" s="398" t="s">
        <v>639</v>
      </c>
      <c r="M683" s="399">
        <v>43045</v>
      </c>
      <c r="N683" s="399">
        <v>43079</v>
      </c>
      <c r="O683" s="382" t="s">
        <v>611</v>
      </c>
      <c r="P683" s="105"/>
      <c r="Q683" s="7"/>
      <c r="R683" s="397" t="s">
        <v>187</v>
      </c>
      <c r="S683" s="316"/>
      <c r="T683" s="689"/>
      <c r="U683" s="421"/>
    </row>
    <row r="684" spans="1:21" s="377" customFormat="1" ht="20.100000000000001" customHeight="1">
      <c r="A684" s="1128" t="s">
        <v>2951</v>
      </c>
      <c r="B684" s="1188" t="s">
        <v>409</v>
      </c>
      <c r="C684" s="1188" t="s">
        <v>410</v>
      </c>
      <c r="D684" s="878">
        <v>1325</v>
      </c>
      <c r="E684" s="536">
        <v>1800</v>
      </c>
      <c r="F684" s="536">
        <v>1800</v>
      </c>
      <c r="G684" s="218" t="s">
        <v>14</v>
      </c>
      <c r="H684" s="56" t="s">
        <v>742</v>
      </c>
      <c r="I684" s="386" t="s">
        <v>16</v>
      </c>
      <c r="J684" s="37"/>
      <c r="K684" s="398">
        <v>24</v>
      </c>
      <c r="L684" s="398" t="s">
        <v>652</v>
      </c>
      <c r="M684" s="547">
        <v>43086</v>
      </c>
      <c r="N684" s="547">
        <v>43092</v>
      </c>
      <c r="O684" s="388"/>
      <c r="P684" s="61"/>
      <c r="Q684" s="7"/>
      <c r="R684" s="17" t="s">
        <v>449</v>
      </c>
      <c r="S684" s="319"/>
      <c r="T684" s="689"/>
      <c r="U684" s="421"/>
    </row>
    <row r="685" spans="1:21" s="377" customFormat="1" ht="20.100000000000001" customHeight="1">
      <c r="A685" s="1128" t="s">
        <v>2951</v>
      </c>
      <c r="B685" s="1188" t="s">
        <v>409</v>
      </c>
      <c r="C685" s="1188" t="s">
        <v>410</v>
      </c>
      <c r="D685" s="11">
        <v>1450</v>
      </c>
      <c r="E685" s="11">
        <v>1730</v>
      </c>
      <c r="F685" s="11">
        <v>1770</v>
      </c>
      <c r="G685" s="70" t="s">
        <v>28</v>
      </c>
      <c r="H685" s="417" t="s">
        <v>1717</v>
      </c>
      <c r="I685" s="379" t="s">
        <v>125</v>
      </c>
      <c r="J685" s="37" t="s">
        <v>961</v>
      </c>
      <c r="K685" s="379">
        <v>22</v>
      </c>
      <c r="L685" s="415" t="s">
        <v>637</v>
      </c>
      <c r="M685" s="392">
        <v>43084</v>
      </c>
      <c r="N685" s="392">
        <v>43088</v>
      </c>
      <c r="O685" s="393" t="s">
        <v>601</v>
      </c>
      <c r="P685" s="754" t="s">
        <v>1139</v>
      </c>
      <c r="Q685" s="754"/>
      <c r="R685" s="384" t="s">
        <v>1718</v>
      </c>
      <c r="S685" s="316" t="s">
        <v>2909</v>
      </c>
      <c r="T685" s="689"/>
      <c r="U685" s="421"/>
    </row>
    <row r="686" spans="1:21" s="377" customFormat="1" ht="20.100000000000001" customHeight="1">
      <c r="A686" s="1128" t="s">
        <v>2951</v>
      </c>
      <c r="B686" s="1188" t="s">
        <v>409</v>
      </c>
      <c r="C686" s="1188" t="s">
        <v>410</v>
      </c>
      <c r="D686" s="529">
        <f>D702+360</f>
        <v>1870</v>
      </c>
      <c r="E686" s="529">
        <f>E702+350</f>
        <v>2220</v>
      </c>
      <c r="F686" s="529">
        <f>F702+350</f>
        <v>2220</v>
      </c>
      <c r="G686" s="705" t="s">
        <v>62</v>
      </c>
      <c r="H686" s="425" t="s">
        <v>659</v>
      </c>
      <c r="I686" s="398" t="s">
        <v>125</v>
      </c>
      <c r="J686" s="37" t="s">
        <v>961</v>
      </c>
      <c r="K686" s="398" t="s">
        <v>723</v>
      </c>
      <c r="L686" s="398" t="s">
        <v>639</v>
      </c>
      <c r="M686" s="549">
        <v>43039</v>
      </c>
      <c r="N686" s="549">
        <v>43086</v>
      </c>
      <c r="O686" s="388" t="s">
        <v>1238</v>
      </c>
      <c r="P686" s="61"/>
      <c r="Q686" s="7"/>
      <c r="R686" s="397" t="s">
        <v>1336</v>
      </c>
      <c r="S686" s="315" t="s">
        <v>2924</v>
      </c>
      <c r="T686" s="689"/>
      <c r="U686" s="421"/>
    </row>
    <row r="687" spans="1:21" s="377" customFormat="1" ht="20.100000000000001" customHeight="1">
      <c r="A687" s="1128" t="s">
        <v>2951</v>
      </c>
      <c r="B687" s="1188" t="s">
        <v>409</v>
      </c>
      <c r="C687" s="1188" t="s">
        <v>410</v>
      </c>
      <c r="D687" s="529">
        <v>1500</v>
      </c>
      <c r="E687" s="529">
        <v>1800</v>
      </c>
      <c r="F687" s="529">
        <v>1800</v>
      </c>
      <c r="G687" s="63" t="s">
        <v>13</v>
      </c>
      <c r="H687" s="425" t="s">
        <v>2269</v>
      </c>
      <c r="I687" s="398" t="s">
        <v>125</v>
      </c>
      <c r="J687" s="50"/>
      <c r="K687" s="398">
        <v>20</v>
      </c>
      <c r="L687" s="415" t="s">
        <v>637</v>
      </c>
      <c r="M687" s="404">
        <v>43047</v>
      </c>
      <c r="N687" s="404">
        <v>43100</v>
      </c>
      <c r="O687" s="393" t="s">
        <v>601</v>
      </c>
      <c r="P687" s="61"/>
      <c r="Q687" s="61"/>
      <c r="R687" s="431" t="s">
        <v>2270</v>
      </c>
      <c r="S687" s="316" t="s">
        <v>2925</v>
      </c>
      <c r="T687" s="689"/>
      <c r="U687" s="421"/>
    </row>
    <row r="688" spans="1:21" s="377" customFormat="1" ht="20.100000000000001" customHeight="1">
      <c r="A688" s="1128" t="s">
        <v>2951</v>
      </c>
      <c r="B688" s="1188" t="s">
        <v>409</v>
      </c>
      <c r="C688" s="1188" t="s">
        <v>410</v>
      </c>
      <c r="D688" s="11">
        <f>D707+360</f>
        <v>1495</v>
      </c>
      <c r="E688" s="11">
        <f>E707+350</f>
        <v>1695</v>
      </c>
      <c r="F688" s="11">
        <f>F707+350</f>
        <v>1695</v>
      </c>
      <c r="G688" s="705" t="s">
        <v>62</v>
      </c>
      <c r="H688" s="417" t="s">
        <v>681</v>
      </c>
      <c r="I688" s="398" t="s">
        <v>125</v>
      </c>
      <c r="J688" s="37" t="s">
        <v>961</v>
      </c>
      <c r="K688" s="398" t="s">
        <v>747</v>
      </c>
      <c r="L688" s="398" t="s">
        <v>649</v>
      </c>
      <c r="M688" s="549">
        <v>43056</v>
      </c>
      <c r="N688" s="549">
        <v>43086</v>
      </c>
      <c r="O688" s="388" t="s">
        <v>1238</v>
      </c>
      <c r="P688" s="61"/>
      <c r="Q688" s="7"/>
      <c r="R688" s="397" t="s">
        <v>1845</v>
      </c>
      <c r="S688" s="315" t="s">
        <v>2924</v>
      </c>
      <c r="T688" s="689"/>
      <c r="U688" s="421"/>
    </row>
    <row r="689" spans="1:21" s="377" customFormat="1" ht="20.100000000000001" customHeight="1">
      <c r="A689" s="1128" t="s">
        <v>2951</v>
      </c>
      <c r="B689" s="1188" t="s">
        <v>409</v>
      </c>
      <c r="C689" s="1188" t="s">
        <v>410</v>
      </c>
      <c r="D689" s="2">
        <f>D712+360</f>
        <v>1870</v>
      </c>
      <c r="E689" s="2">
        <f>E712+350</f>
        <v>2220</v>
      </c>
      <c r="F689" s="2">
        <f>F712+350</f>
        <v>2220</v>
      </c>
      <c r="G689" s="705" t="s">
        <v>140</v>
      </c>
      <c r="H689" s="425" t="s">
        <v>706</v>
      </c>
      <c r="I689" s="398" t="s">
        <v>125</v>
      </c>
      <c r="J689" s="37" t="s">
        <v>961</v>
      </c>
      <c r="K689" s="398" t="s">
        <v>746</v>
      </c>
      <c r="L689" s="398" t="s">
        <v>639</v>
      </c>
      <c r="M689" s="549">
        <v>43039</v>
      </c>
      <c r="N689" s="549">
        <v>43086</v>
      </c>
      <c r="O689" s="388" t="s">
        <v>1238</v>
      </c>
      <c r="P689" s="61"/>
      <c r="Q689" s="7"/>
      <c r="R689" s="397" t="s">
        <v>164</v>
      </c>
      <c r="S689" s="315" t="s">
        <v>2924</v>
      </c>
      <c r="T689" s="689"/>
      <c r="U689" s="421"/>
    </row>
    <row r="690" spans="1:21" s="377" customFormat="1" ht="20.100000000000001" customHeight="1">
      <c r="A690" s="1185" t="s">
        <v>2951</v>
      </c>
      <c r="B690" s="1185" t="s">
        <v>409</v>
      </c>
      <c r="C690" s="1185" t="s">
        <v>411</v>
      </c>
      <c r="D690" s="11">
        <v>1250</v>
      </c>
      <c r="E690" s="11">
        <v>1300</v>
      </c>
      <c r="F690" s="11">
        <v>1300</v>
      </c>
      <c r="G690" s="218" t="s">
        <v>51</v>
      </c>
      <c r="H690" s="417" t="s">
        <v>2370</v>
      </c>
      <c r="I690" s="398" t="s">
        <v>16</v>
      </c>
      <c r="J690" s="51"/>
      <c r="K690" s="379" t="s">
        <v>1151</v>
      </c>
      <c r="L690" s="380" t="s">
        <v>637</v>
      </c>
      <c r="M690" s="381">
        <v>43040</v>
      </c>
      <c r="N690" s="381">
        <v>43089</v>
      </c>
      <c r="O690" s="393"/>
      <c r="P690" s="754" t="s">
        <v>2365</v>
      </c>
      <c r="Q690" s="745"/>
      <c r="R690" s="384" t="s">
        <v>2371</v>
      </c>
      <c r="S690" s="322"/>
      <c r="T690" s="689"/>
      <c r="U690" s="421"/>
    </row>
    <row r="691" spans="1:21" s="377" customFormat="1" ht="20.100000000000001" customHeight="1">
      <c r="A691" s="1186" t="s">
        <v>2951</v>
      </c>
      <c r="B691" s="1186" t="s">
        <v>409</v>
      </c>
      <c r="C691" s="1186" t="s">
        <v>411</v>
      </c>
      <c r="D691" s="2">
        <v>1700</v>
      </c>
      <c r="E691" s="2">
        <v>2400</v>
      </c>
      <c r="F691" s="2">
        <v>2400</v>
      </c>
      <c r="G691" s="63" t="s">
        <v>874</v>
      </c>
      <c r="H691" s="385" t="s">
        <v>886</v>
      </c>
      <c r="I691" s="379" t="s">
        <v>126</v>
      </c>
      <c r="J691" s="37"/>
      <c r="K691" s="398" t="s">
        <v>747</v>
      </c>
      <c r="L691" s="379" t="s">
        <v>768</v>
      </c>
      <c r="M691" s="391">
        <v>43040</v>
      </c>
      <c r="N691" s="391">
        <v>43092</v>
      </c>
      <c r="O691" s="388"/>
      <c r="P691" s="61"/>
      <c r="Q691" s="7"/>
      <c r="R691" s="397" t="s">
        <v>2407</v>
      </c>
      <c r="S691" s="316" t="s">
        <v>1176</v>
      </c>
      <c r="T691" s="689"/>
      <c r="U691" s="421"/>
    </row>
    <row r="692" spans="1:21" s="377" customFormat="1" ht="20.100000000000001" customHeight="1">
      <c r="A692" s="1186" t="s">
        <v>2951</v>
      </c>
      <c r="B692" s="1186" t="s">
        <v>409</v>
      </c>
      <c r="C692" s="1186" t="s">
        <v>411</v>
      </c>
      <c r="D692" s="13">
        <v>975</v>
      </c>
      <c r="E692" s="536">
        <v>1200</v>
      </c>
      <c r="F692" s="536">
        <v>1200</v>
      </c>
      <c r="G692" s="218" t="s">
        <v>14</v>
      </c>
      <c r="H692" s="56" t="s">
        <v>742</v>
      </c>
      <c r="I692" s="386" t="s">
        <v>16</v>
      </c>
      <c r="J692" s="37"/>
      <c r="K692" s="37" t="s">
        <v>4064</v>
      </c>
      <c r="L692" s="398" t="s">
        <v>652</v>
      </c>
      <c r="M692" s="547">
        <v>43086</v>
      </c>
      <c r="N692" s="547">
        <v>43092</v>
      </c>
      <c r="O692" s="388"/>
      <c r="P692" s="61" t="s">
        <v>2319</v>
      </c>
      <c r="Q692" s="7"/>
      <c r="R692" s="17" t="s">
        <v>449</v>
      </c>
      <c r="S692" s="322" t="s">
        <v>1176</v>
      </c>
      <c r="T692" s="689"/>
      <c r="U692" s="421"/>
    </row>
    <row r="693" spans="1:21" s="377" customFormat="1" ht="20.100000000000001" customHeight="1">
      <c r="A693" s="1186" t="s">
        <v>2951</v>
      </c>
      <c r="B693" s="1186" t="s">
        <v>409</v>
      </c>
      <c r="C693" s="1186" t="s">
        <v>411</v>
      </c>
      <c r="D693" s="13">
        <v>1375</v>
      </c>
      <c r="E693" s="13">
        <v>1950</v>
      </c>
      <c r="F693" s="13">
        <v>1950</v>
      </c>
      <c r="G693" s="218" t="s">
        <v>150</v>
      </c>
      <c r="H693" s="390" t="s">
        <v>633</v>
      </c>
      <c r="I693" s="386" t="s">
        <v>16</v>
      </c>
      <c r="J693" s="38"/>
      <c r="K693" s="398">
        <v>25</v>
      </c>
      <c r="L693" s="379" t="s">
        <v>637</v>
      </c>
      <c r="M693" s="381">
        <v>43045</v>
      </c>
      <c r="N693" s="547">
        <v>43087</v>
      </c>
      <c r="O693" s="388"/>
      <c r="P693" s="61"/>
      <c r="Q693" s="677"/>
      <c r="R693" s="397" t="s">
        <v>1015</v>
      </c>
      <c r="S693" s="316" t="s">
        <v>1176</v>
      </c>
      <c r="T693" s="689"/>
      <c r="U693" s="421"/>
    </row>
    <row r="694" spans="1:21" s="377" customFormat="1" ht="20.100000000000001" customHeight="1">
      <c r="A694" s="1186" t="s">
        <v>2951</v>
      </c>
      <c r="B694" s="1186" t="s">
        <v>409</v>
      </c>
      <c r="C694" s="1186" t="s">
        <v>411</v>
      </c>
      <c r="D694" s="32">
        <v>1160</v>
      </c>
      <c r="E694" s="32">
        <v>1210</v>
      </c>
      <c r="F694" s="32">
        <v>1210</v>
      </c>
      <c r="G694" s="63" t="s">
        <v>102</v>
      </c>
      <c r="H694" s="430" t="s">
        <v>1653</v>
      </c>
      <c r="I694" s="398" t="s">
        <v>16</v>
      </c>
      <c r="J694" s="37"/>
      <c r="K694" s="398" t="s">
        <v>1508</v>
      </c>
      <c r="L694" s="429" t="s">
        <v>637</v>
      </c>
      <c r="M694" s="392">
        <v>43070</v>
      </c>
      <c r="N694" s="392">
        <v>43080</v>
      </c>
      <c r="O694" s="388"/>
      <c r="P694" s="61"/>
      <c r="Q694" s="7"/>
      <c r="R694" s="397" t="s">
        <v>2508</v>
      </c>
      <c r="S694" s="316" t="s">
        <v>2913</v>
      </c>
      <c r="T694" s="689"/>
      <c r="U694" s="421"/>
    </row>
    <row r="695" spans="1:21" s="377" customFormat="1" ht="20.100000000000001" customHeight="1">
      <c r="A695" s="1186" t="s">
        <v>2951</v>
      </c>
      <c r="B695" s="1186" t="s">
        <v>409</v>
      </c>
      <c r="C695" s="1186" t="s">
        <v>411</v>
      </c>
      <c r="D695" s="529">
        <v>1150</v>
      </c>
      <c r="E695" s="529">
        <v>1350</v>
      </c>
      <c r="F695" s="529">
        <v>1350</v>
      </c>
      <c r="G695" s="63" t="s">
        <v>13</v>
      </c>
      <c r="H695" s="425" t="s">
        <v>2269</v>
      </c>
      <c r="I695" s="398" t="s">
        <v>16</v>
      </c>
      <c r="J695" s="50"/>
      <c r="K695" s="398">
        <v>17</v>
      </c>
      <c r="L695" s="415" t="s">
        <v>637</v>
      </c>
      <c r="M695" s="404">
        <v>43047</v>
      </c>
      <c r="N695" s="404">
        <v>43100</v>
      </c>
      <c r="O695" s="393" t="s">
        <v>601</v>
      </c>
      <c r="P695" s="61"/>
      <c r="Q695" s="61" t="s">
        <v>3032</v>
      </c>
      <c r="R695" s="431" t="s">
        <v>2270</v>
      </c>
      <c r="S695" s="316" t="s">
        <v>2925</v>
      </c>
      <c r="T695" s="689"/>
      <c r="U695" s="421"/>
    </row>
    <row r="696" spans="1:21" s="377" customFormat="1" ht="20.100000000000001" customHeight="1">
      <c r="A696" s="1186" t="s">
        <v>2951</v>
      </c>
      <c r="B696" s="1186" t="s">
        <v>409</v>
      </c>
      <c r="C696" s="1186" t="s">
        <v>411</v>
      </c>
      <c r="D696" s="536">
        <v>915</v>
      </c>
      <c r="E696" s="536">
        <v>1630</v>
      </c>
      <c r="F696" s="536">
        <v>1630</v>
      </c>
      <c r="G696" s="63" t="s">
        <v>75</v>
      </c>
      <c r="H696" s="417" t="s">
        <v>742</v>
      </c>
      <c r="I696" s="386" t="s">
        <v>16</v>
      </c>
      <c r="J696" s="38"/>
      <c r="K696" s="428">
        <v>16</v>
      </c>
      <c r="L696" s="429" t="s">
        <v>637</v>
      </c>
      <c r="M696" s="399">
        <v>43070</v>
      </c>
      <c r="N696" s="399">
        <v>43083</v>
      </c>
      <c r="O696" s="393" t="s">
        <v>602</v>
      </c>
      <c r="P696" s="750" t="s">
        <v>598</v>
      </c>
      <c r="Q696" s="677"/>
      <c r="R696" s="424" t="s">
        <v>1977</v>
      </c>
      <c r="S696" s="316"/>
      <c r="T696" s="317">
        <v>14</v>
      </c>
      <c r="U696" s="421"/>
    </row>
    <row r="697" spans="1:21" s="377" customFormat="1" ht="20.100000000000001" customHeight="1">
      <c r="A697" s="1186" t="s">
        <v>2951</v>
      </c>
      <c r="B697" s="1186" t="s">
        <v>409</v>
      </c>
      <c r="C697" s="1186" t="s">
        <v>411</v>
      </c>
      <c r="D697" s="11">
        <v>1275</v>
      </c>
      <c r="E697" s="2">
        <v>1450</v>
      </c>
      <c r="F697" s="2">
        <v>1450</v>
      </c>
      <c r="G697" s="218" t="s">
        <v>19</v>
      </c>
      <c r="H697" s="385" t="s">
        <v>742</v>
      </c>
      <c r="I697" s="386" t="s">
        <v>16</v>
      </c>
      <c r="J697" s="38"/>
      <c r="K697" s="426" t="s">
        <v>682</v>
      </c>
      <c r="L697" s="398" t="s">
        <v>639</v>
      </c>
      <c r="M697" s="399">
        <v>43045</v>
      </c>
      <c r="N697" s="399">
        <v>43079</v>
      </c>
      <c r="O697" s="382" t="s">
        <v>611</v>
      </c>
      <c r="P697" s="105"/>
      <c r="Q697" s="7"/>
      <c r="R697" s="397" t="s">
        <v>187</v>
      </c>
      <c r="S697" s="315" t="s">
        <v>2926</v>
      </c>
      <c r="T697" s="689"/>
      <c r="U697" s="421"/>
    </row>
    <row r="698" spans="1:21" s="377" customFormat="1" ht="20.100000000000001" customHeight="1">
      <c r="A698" s="1186" t="s">
        <v>2951</v>
      </c>
      <c r="B698" s="1186" t="s">
        <v>409</v>
      </c>
      <c r="C698" s="1186" t="s">
        <v>411</v>
      </c>
      <c r="D698" s="11">
        <v>1050</v>
      </c>
      <c r="E698" s="11">
        <v>1130</v>
      </c>
      <c r="F698" s="11">
        <v>1170</v>
      </c>
      <c r="G698" s="70" t="s">
        <v>28</v>
      </c>
      <c r="H698" s="417" t="s">
        <v>742</v>
      </c>
      <c r="I698" s="379" t="s">
        <v>16</v>
      </c>
      <c r="J698" s="51"/>
      <c r="K698" s="379">
        <v>18</v>
      </c>
      <c r="L698" s="415" t="s">
        <v>1715</v>
      </c>
      <c r="M698" s="392">
        <v>43084</v>
      </c>
      <c r="N698" s="392">
        <v>43088</v>
      </c>
      <c r="O698" s="393" t="s">
        <v>601</v>
      </c>
      <c r="P698" s="754" t="s">
        <v>1140</v>
      </c>
      <c r="Q698" s="7"/>
      <c r="R698" s="384" t="s">
        <v>1716</v>
      </c>
      <c r="S698" s="316" t="s">
        <v>2909</v>
      </c>
      <c r="T698" s="689"/>
      <c r="U698" s="421"/>
    </row>
    <row r="699" spans="1:21" s="377" customFormat="1" ht="20.100000000000001" customHeight="1">
      <c r="A699" s="1186" t="s">
        <v>2951</v>
      </c>
      <c r="B699" s="1186" t="s">
        <v>409</v>
      </c>
      <c r="C699" s="1186" t="s">
        <v>411</v>
      </c>
      <c r="D699" s="11">
        <v>965</v>
      </c>
      <c r="E699" s="2"/>
      <c r="F699" s="2"/>
      <c r="G699" s="63" t="s">
        <v>3894</v>
      </c>
      <c r="H699" s="385" t="s">
        <v>742</v>
      </c>
      <c r="I699" s="38" t="s">
        <v>3900</v>
      </c>
      <c r="J699" s="37"/>
      <c r="K699" s="398"/>
      <c r="L699" s="398" t="s">
        <v>639</v>
      </c>
      <c r="M699" s="551">
        <v>43083</v>
      </c>
      <c r="N699" s="551">
        <v>43090</v>
      </c>
      <c r="O699" s="423"/>
      <c r="P699" s="61" t="s">
        <v>2098</v>
      </c>
      <c r="Q699" s="7"/>
      <c r="R699" s="397" t="s">
        <v>171</v>
      </c>
      <c r="S699" s="704" t="s">
        <v>1176</v>
      </c>
      <c r="T699" s="317" t="s">
        <v>3883</v>
      </c>
      <c r="U699" s="421"/>
    </row>
    <row r="700" spans="1:21" s="377" customFormat="1" ht="20.100000000000001" customHeight="1">
      <c r="A700" s="1186" t="s">
        <v>2951</v>
      </c>
      <c r="B700" s="1186" t="s">
        <v>409</v>
      </c>
      <c r="C700" s="1186" t="s">
        <v>411</v>
      </c>
      <c r="D700" s="11">
        <v>980</v>
      </c>
      <c r="E700" s="2"/>
      <c r="F700" s="2"/>
      <c r="G700" s="699" t="s">
        <v>956</v>
      </c>
      <c r="H700" s="55" t="s">
        <v>3015</v>
      </c>
      <c r="I700" s="386" t="s">
        <v>16</v>
      </c>
      <c r="J700" s="38"/>
      <c r="K700" s="386" t="s">
        <v>957</v>
      </c>
      <c r="L700" s="380" t="s">
        <v>958</v>
      </c>
      <c r="M700" s="6">
        <v>43087</v>
      </c>
      <c r="N700" s="6">
        <v>43093</v>
      </c>
      <c r="O700" s="388"/>
      <c r="P700" s="14" t="s">
        <v>3477</v>
      </c>
      <c r="Q700" s="61"/>
      <c r="R700" s="17" t="s">
        <v>3016</v>
      </c>
      <c r="S700" s="322" t="s">
        <v>1176</v>
      </c>
      <c r="T700" s="689"/>
      <c r="U700" s="421"/>
    </row>
    <row r="701" spans="1:21" s="377" customFormat="1" ht="20.100000000000001" customHeight="1">
      <c r="A701" s="1186" t="s">
        <v>2951</v>
      </c>
      <c r="B701" s="1186" t="s">
        <v>409</v>
      </c>
      <c r="C701" s="1186" t="s">
        <v>411</v>
      </c>
      <c r="D701" s="62">
        <v>1125</v>
      </c>
      <c r="E701" s="528">
        <v>1250</v>
      </c>
      <c r="F701" s="62">
        <v>1250</v>
      </c>
      <c r="G701" s="63" t="s">
        <v>35</v>
      </c>
      <c r="H701" s="425" t="s">
        <v>152</v>
      </c>
      <c r="I701" s="398" t="s">
        <v>23</v>
      </c>
      <c r="J701" s="37"/>
      <c r="K701" s="398">
        <v>20</v>
      </c>
      <c r="L701" s="415" t="s">
        <v>637</v>
      </c>
      <c r="M701" s="404">
        <v>43060</v>
      </c>
      <c r="N701" s="404">
        <v>43086</v>
      </c>
      <c r="O701" s="388"/>
      <c r="P701" s="61" t="s">
        <v>597</v>
      </c>
      <c r="Q701" s="677"/>
      <c r="R701" s="397" t="s">
        <v>741</v>
      </c>
      <c r="S701" s="316" t="s">
        <v>2898</v>
      </c>
      <c r="T701" s="689"/>
      <c r="U701" s="421"/>
    </row>
    <row r="702" spans="1:21" s="377" customFormat="1" ht="20.100000000000001" customHeight="1">
      <c r="A702" s="1186" t="s">
        <v>2951</v>
      </c>
      <c r="B702" s="1186" t="s">
        <v>409</v>
      </c>
      <c r="C702" s="1186" t="s">
        <v>411</v>
      </c>
      <c r="D702" s="2">
        <v>1510</v>
      </c>
      <c r="E702" s="2">
        <v>1870</v>
      </c>
      <c r="F702" s="2">
        <v>1870</v>
      </c>
      <c r="G702" s="66" t="s">
        <v>62</v>
      </c>
      <c r="H702" s="425" t="s">
        <v>1334</v>
      </c>
      <c r="I702" s="386" t="s">
        <v>17</v>
      </c>
      <c r="J702" s="61" t="s">
        <v>2982</v>
      </c>
      <c r="K702" s="386" t="s">
        <v>1335</v>
      </c>
      <c r="L702" s="398" t="s">
        <v>639</v>
      </c>
      <c r="M702" s="549">
        <v>43039</v>
      </c>
      <c r="N702" s="549">
        <v>43086</v>
      </c>
      <c r="O702" s="388" t="s">
        <v>1238</v>
      </c>
      <c r="P702" s="61" t="s">
        <v>597</v>
      </c>
      <c r="Q702" s="7"/>
      <c r="R702" s="397" t="s">
        <v>1336</v>
      </c>
      <c r="S702" s="315" t="s">
        <v>2927</v>
      </c>
      <c r="T702" s="689"/>
      <c r="U702" s="421"/>
    </row>
    <row r="703" spans="1:21" s="377" customFormat="1" ht="20.100000000000001" customHeight="1">
      <c r="A703" s="1186" t="s">
        <v>2951</v>
      </c>
      <c r="B703" s="1186" t="s">
        <v>409</v>
      </c>
      <c r="C703" s="1186" t="s">
        <v>411</v>
      </c>
      <c r="D703" s="2">
        <v>2480</v>
      </c>
      <c r="E703" s="2">
        <v>4430</v>
      </c>
      <c r="F703" s="2">
        <v>4430</v>
      </c>
      <c r="G703" s="66" t="s">
        <v>62</v>
      </c>
      <c r="H703" s="425" t="s">
        <v>1334</v>
      </c>
      <c r="I703" s="386" t="s">
        <v>17</v>
      </c>
      <c r="J703" s="61" t="s">
        <v>2983</v>
      </c>
      <c r="K703" s="386" t="s">
        <v>746</v>
      </c>
      <c r="L703" s="398" t="s">
        <v>639</v>
      </c>
      <c r="M703" s="549">
        <v>43039</v>
      </c>
      <c r="N703" s="549">
        <v>43086</v>
      </c>
      <c r="O703" s="388" t="s">
        <v>1238</v>
      </c>
      <c r="P703" s="61" t="s">
        <v>597</v>
      </c>
      <c r="Q703" s="7"/>
      <c r="R703" s="397" t="s">
        <v>1336</v>
      </c>
      <c r="S703" s="315" t="s">
        <v>2927</v>
      </c>
      <c r="T703" s="689"/>
      <c r="U703" s="421"/>
    </row>
    <row r="704" spans="1:21" s="377" customFormat="1" ht="20.100000000000001" customHeight="1">
      <c r="A704" s="1186" t="s">
        <v>2951</v>
      </c>
      <c r="B704" s="1186" t="s">
        <v>409</v>
      </c>
      <c r="C704" s="1186" t="s">
        <v>411</v>
      </c>
      <c r="D704" s="11">
        <v>1680</v>
      </c>
      <c r="E704" s="11">
        <v>2030</v>
      </c>
      <c r="F704" s="11">
        <v>2030</v>
      </c>
      <c r="G704" s="63" t="s">
        <v>232</v>
      </c>
      <c r="H704" s="385" t="s">
        <v>629</v>
      </c>
      <c r="I704" s="379" t="s">
        <v>16</v>
      </c>
      <c r="J704" s="50"/>
      <c r="K704" s="379">
        <v>17</v>
      </c>
      <c r="L704" s="379" t="s">
        <v>641</v>
      </c>
      <c r="M704" s="399">
        <v>43030</v>
      </c>
      <c r="N704" s="399">
        <v>43086</v>
      </c>
      <c r="O704" s="423" t="s">
        <v>601</v>
      </c>
      <c r="P704" s="106"/>
      <c r="Q704" s="52"/>
      <c r="R704" s="397" t="s">
        <v>1300</v>
      </c>
      <c r="S704" s="316"/>
      <c r="T704" s="689"/>
      <c r="U704" s="421"/>
    </row>
    <row r="705" spans="1:21" s="377" customFormat="1" ht="20.100000000000001" customHeight="1">
      <c r="A705" s="1186" t="s">
        <v>2951</v>
      </c>
      <c r="B705" s="1186" t="s">
        <v>409</v>
      </c>
      <c r="C705" s="1186" t="s">
        <v>411</v>
      </c>
      <c r="D705" s="11"/>
      <c r="E705" s="2"/>
      <c r="F705" s="2"/>
      <c r="G705" s="218" t="s">
        <v>1659</v>
      </c>
      <c r="H705" s="385" t="s">
        <v>725</v>
      </c>
      <c r="I705" s="386" t="s">
        <v>23</v>
      </c>
      <c r="J705" s="38"/>
      <c r="K705" s="426" t="s">
        <v>1906</v>
      </c>
      <c r="L705" s="386" t="s">
        <v>641</v>
      </c>
      <c r="M705" s="547">
        <v>43069</v>
      </c>
      <c r="N705" s="547">
        <v>43090</v>
      </c>
      <c r="O705" s="382"/>
      <c r="P705" s="105" t="s">
        <v>1909</v>
      </c>
      <c r="Q705" s="7"/>
      <c r="R705" s="384" t="s">
        <v>1910</v>
      </c>
      <c r="S705" s="315" t="s">
        <v>2862</v>
      </c>
      <c r="T705" s="626">
        <v>14</v>
      </c>
      <c r="U705" s="421"/>
    </row>
    <row r="706" spans="1:21" s="377" customFormat="1" ht="20.100000000000001" customHeight="1">
      <c r="A706" s="1186" t="s">
        <v>2951</v>
      </c>
      <c r="B706" s="1186" t="s">
        <v>409</v>
      </c>
      <c r="C706" s="1186" t="s">
        <v>411</v>
      </c>
      <c r="D706" s="11">
        <v>1215</v>
      </c>
      <c r="E706" s="11">
        <v>1630</v>
      </c>
      <c r="F706" s="11">
        <v>1630</v>
      </c>
      <c r="G706" s="224" t="s">
        <v>434</v>
      </c>
      <c r="H706" s="417" t="s">
        <v>631</v>
      </c>
      <c r="I706" s="415" t="s">
        <v>16</v>
      </c>
      <c r="J706" s="37"/>
      <c r="K706" s="415">
        <v>16</v>
      </c>
      <c r="L706" s="398" t="s">
        <v>637</v>
      </c>
      <c r="M706" s="549">
        <v>43038</v>
      </c>
      <c r="N706" s="549">
        <v>43093</v>
      </c>
      <c r="O706" s="437"/>
      <c r="P706" s="755"/>
      <c r="Q706" s="74"/>
      <c r="R706" s="432" t="s">
        <v>1560</v>
      </c>
      <c r="S706" s="316" t="s">
        <v>1176</v>
      </c>
      <c r="T706" s="317">
        <v>14</v>
      </c>
      <c r="U706" s="421"/>
    </row>
    <row r="707" spans="1:21" s="377" customFormat="1" ht="20.100000000000001" customHeight="1">
      <c r="A707" s="1186" t="s">
        <v>2951</v>
      </c>
      <c r="B707" s="1186" t="s">
        <v>409</v>
      </c>
      <c r="C707" s="1186" t="s">
        <v>411</v>
      </c>
      <c r="D707" s="2">
        <v>1135</v>
      </c>
      <c r="E707" s="2">
        <v>1345</v>
      </c>
      <c r="F707" s="2">
        <v>1345</v>
      </c>
      <c r="G707" s="66" t="s">
        <v>140</v>
      </c>
      <c r="H707" s="417" t="s">
        <v>681</v>
      </c>
      <c r="I707" s="386" t="s">
        <v>1</v>
      </c>
      <c r="J707" s="61" t="s">
        <v>2982</v>
      </c>
      <c r="K707" s="386">
        <v>16</v>
      </c>
      <c r="L707" s="380" t="s">
        <v>649</v>
      </c>
      <c r="M707" s="549">
        <v>43056</v>
      </c>
      <c r="N707" s="549">
        <v>43086</v>
      </c>
      <c r="O707" s="388" t="s">
        <v>1238</v>
      </c>
      <c r="P707" s="61" t="s">
        <v>597</v>
      </c>
      <c r="Q707" s="7"/>
      <c r="R707" s="397" t="s">
        <v>1845</v>
      </c>
      <c r="S707" s="315" t="s">
        <v>2927</v>
      </c>
      <c r="T707" s="689"/>
      <c r="U707" s="421"/>
    </row>
    <row r="708" spans="1:21" s="377" customFormat="1" ht="20.100000000000001" customHeight="1">
      <c r="A708" s="1186" t="s">
        <v>2951</v>
      </c>
      <c r="B708" s="1186" t="s">
        <v>409</v>
      </c>
      <c r="C708" s="1186" t="s">
        <v>411</v>
      </c>
      <c r="D708" s="2">
        <v>1185</v>
      </c>
      <c r="E708" s="2">
        <v>1445</v>
      </c>
      <c r="F708" s="2">
        <v>1445</v>
      </c>
      <c r="G708" s="66" t="s">
        <v>140</v>
      </c>
      <c r="H708" s="417" t="s">
        <v>681</v>
      </c>
      <c r="I708" s="386" t="s">
        <v>1</v>
      </c>
      <c r="J708" s="61" t="s">
        <v>2983</v>
      </c>
      <c r="K708" s="386">
        <v>16</v>
      </c>
      <c r="L708" s="380" t="s">
        <v>649</v>
      </c>
      <c r="M708" s="549">
        <v>43056</v>
      </c>
      <c r="N708" s="549">
        <v>43086</v>
      </c>
      <c r="O708" s="388" t="s">
        <v>1238</v>
      </c>
      <c r="P708" s="61" t="s">
        <v>597</v>
      </c>
      <c r="Q708" s="7"/>
      <c r="R708" s="397" t="s">
        <v>1845</v>
      </c>
      <c r="S708" s="315" t="s">
        <v>2927</v>
      </c>
      <c r="T708" s="689"/>
      <c r="U708" s="421"/>
    </row>
    <row r="709" spans="1:21" s="377" customFormat="1" ht="20.100000000000001" customHeight="1">
      <c r="A709" s="1186" t="s">
        <v>2951</v>
      </c>
      <c r="B709" s="1186" t="s">
        <v>409</v>
      </c>
      <c r="C709" s="1186" t="s">
        <v>411</v>
      </c>
      <c r="D709" s="11">
        <v>1050</v>
      </c>
      <c r="E709" s="11">
        <v>1130</v>
      </c>
      <c r="F709" s="11">
        <v>1170</v>
      </c>
      <c r="G709" s="70" t="s">
        <v>137</v>
      </c>
      <c r="H709" s="417" t="s">
        <v>681</v>
      </c>
      <c r="I709" s="379" t="s">
        <v>16</v>
      </c>
      <c r="J709" s="51"/>
      <c r="K709" s="379">
        <v>18</v>
      </c>
      <c r="L709" s="415" t="s">
        <v>649</v>
      </c>
      <c r="M709" s="392">
        <v>43084</v>
      </c>
      <c r="N709" s="392">
        <v>43088</v>
      </c>
      <c r="O709" s="393" t="s">
        <v>601</v>
      </c>
      <c r="P709" s="754" t="s">
        <v>1139</v>
      </c>
      <c r="Q709" s="7"/>
      <c r="R709" s="384" t="s">
        <v>179</v>
      </c>
      <c r="S709" s="316" t="s">
        <v>2909</v>
      </c>
      <c r="T709" s="689"/>
      <c r="U709" s="421"/>
    </row>
    <row r="710" spans="1:21" s="377" customFormat="1" ht="20.100000000000001" customHeight="1">
      <c r="A710" s="1186" t="s">
        <v>2951</v>
      </c>
      <c r="B710" s="1186" t="s">
        <v>409</v>
      </c>
      <c r="C710" s="1186" t="s">
        <v>411</v>
      </c>
      <c r="D710" s="11">
        <v>985</v>
      </c>
      <c r="E710" s="11">
        <v>1110</v>
      </c>
      <c r="F710" s="11">
        <v>1310</v>
      </c>
      <c r="G710" s="70" t="s">
        <v>106</v>
      </c>
      <c r="H710" s="425" t="s">
        <v>721</v>
      </c>
      <c r="I710" s="380" t="s">
        <v>23</v>
      </c>
      <c r="J710" s="50"/>
      <c r="K710" s="380">
        <v>25</v>
      </c>
      <c r="L710" s="379" t="s">
        <v>641</v>
      </c>
      <c r="M710" s="551">
        <v>43076</v>
      </c>
      <c r="N710" s="551">
        <v>43091</v>
      </c>
      <c r="O710" s="383"/>
      <c r="P710" s="59"/>
      <c r="Q710" s="7"/>
      <c r="R710" s="424" t="s">
        <v>202</v>
      </c>
      <c r="S710" s="315" t="s">
        <v>2912</v>
      </c>
      <c r="T710" s="688" t="s">
        <v>2939</v>
      </c>
      <c r="U710" s="421"/>
    </row>
    <row r="711" spans="1:21" s="377" customFormat="1" ht="20.100000000000001" customHeight="1">
      <c r="A711" s="1186" t="s">
        <v>2951</v>
      </c>
      <c r="B711" s="1186" t="s">
        <v>409</v>
      </c>
      <c r="C711" s="1186" t="s">
        <v>411</v>
      </c>
      <c r="D711" s="2">
        <v>1400</v>
      </c>
      <c r="E711" s="2">
        <v>2050</v>
      </c>
      <c r="F711" s="2">
        <v>2050</v>
      </c>
      <c r="G711" s="699" t="s">
        <v>22</v>
      </c>
      <c r="H711" s="401" t="s">
        <v>1773</v>
      </c>
      <c r="I711" s="386" t="s">
        <v>16</v>
      </c>
      <c r="J711" s="61"/>
      <c r="K711" s="386" t="s">
        <v>1530</v>
      </c>
      <c r="L711" s="379" t="s">
        <v>643</v>
      </c>
      <c r="M711" s="392">
        <v>42962</v>
      </c>
      <c r="N711" s="392">
        <v>43100</v>
      </c>
      <c r="O711" s="388"/>
      <c r="P711" s="61"/>
      <c r="Q711" s="7"/>
      <c r="R711" s="397" t="s">
        <v>1783</v>
      </c>
      <c r="S711" s="316" t="s">
        <v>2919</v>
      </c>
      <c r="T711" s="689"/>
      <c r="U711" s="421"/>
    </row>
    <row r="712" spans="1:21" s="377" customFormat="1" ht="20.100000000000001" customHeight="1">
      <c r="A712" s="1186" t="s">
        <v>2951</v>
      </c>
      <c r="B712" s="1186" t="s">
        <v>409</v>
      </c>
      <c r="C712" s="1186" t="s">
        <v>411</v>
      </c>
      <c r="D712" s="2">
        <v>1510</v>
      </c>
      <c r="E712" s="2">
        <v>1870</v>
      </c>
      <c r="F712" s="2">
        <v>1870</v>
      </c>
      <c r="G712" s="66" t="s">
        <v>140</v>
      </c>
      <c r="H712" s="425">
        <v>7</v>
      </c>
      <c r="I712" s="386" t="s">
        <v>17</v>
      </c>
      <c r="J712" s="61" t="s">
        <v>2982</v>
      </c>
      <c r="K712" s="386">
        <v>12</v>
      </c>
      <c r="L712" s="398" t="s">
        <v>652</v>
      </c>
      <c r="M712" s="549">
        <v>43039</v>
      </c>
      <c r="N712" s="549">
        <v>43086</v>
      </c>
      <c r="O712" s="388" t="s">
        <v>1238</v>
      </c>
      <c r="P712" s="61" t="s">
        <v>597</v>
      </c>
      <c r="Q712" s="7"/>
      <c r="R712" s="397" t="s">
        <v>164</v>
      </c>
      <c r="S712" s="315" t="s">
        <v>2927</v>
      </c>
      <c r="T712" s="689"/>
      <c r="U712" s="421"/>
    </row>
    <row r="713" spans="1:21" s="377" customFormat="1" ht="20.100000000000001" customHeight="1">
      <c r="A713" s="1187" t="s">
        <v>2951</v>
      </c>
      <c r="B713" s="1187" t="s">
        <v>409</v>
      </c>
      <c r="C713" s="1187" t="s">
        <v>411</v>
      </c>
      <c r="D713" s="2">
        <v>2480</v>
      </c>
      <c r="E713" s="2">
        <v>4430</v>
      </c>
      <c r="F713" s="2">
        <v>4430</v>
      </c>
      <c r="G713" s="66" t="s">
        <v>140</v>
      </c>
      <c r="H713" s="425">
        <v>7</v>
      </c>
      <c r="I713" s="386" t="s">
        <v>17</v>
      </c>
      <c r="J713" s="61" t="s">
        <v>2983</v>
      </c>
      <c r="K713" s="386" t="s">
        <v>20</v>
      </c>
      <c r="L713" s="398" t="s">
        <v>652</v>
      </c>
      <c r="M713" s="549">
        <v>43039</v>
      </c>
      <c r="N713" s="549">
        <v>43086</v>
      </c>
      <c r="O713" s="388" t="s">
        <v>1238</v>
      </c>
      <c r="P713" s="61" t="s">
        <v>597</v>
      </c>
      <c r="Q713" s="7"/>
      <c r="R713" s="397" t="s">
        <v>164</v>
      </c>
      <c r="S713" s="315" t="s">
        <v>2927</v>
      </c>
      <c r="T713" s="689"/>
      <c r="U713" s="421"/>
    </row>
    <row r="714" spans="1:21" s="377" customFormat="1" ht="20.100000000000001" customHeight="1">
      <c r="A714" s="1128" t="s">
        <v>2951</v>
      </c>
      <c r="B714" s="1188" t="s">
        <v>409</v>
      </c>
      <c r="C714" s="1188" t="s">
        <v>877</v>
      </c>
      <c r="D714" s="11">
        <f>D694+700</f>
        <v>1860</v>
      </c>
      <c r="E714" s="11">
        <f>E694+1400</f>
        <v>2610</v>
      </c>
      <c r="F714" s="11">
        <f>F694+1400</f>
        <v>2610</v>
      </c>
      <c r="G714" s="705" t="s">
        <v>37</v>
      </c>
      <c r="H714" s="430" t="s">
        <v>1652</v>
      </c>
      <c r="I714" s="398" t="s">
        <v>16</v>
      </c>
      <c r="J714" s="37"/>
      <c r="K714" s="398" t="s">
        <v>1512</v>
      </c>
      <c r="L714" s="429" t="s">
        <v>637</v>
      </c>
      <c r="M714" s="392">
        <v>43070</v>
      </c>
      <c r="N714" s="392">
        <v>43080</v>
      </c>
      <c r="O714" s="388"/>
      <c r="P714" s="61"/>
      <c r="Q714" s="7"/>
      <c r="R714" s="397" t="s">
        <v>1857</v>
      </c>
      <c r="S714" s="316" t="s">
        <v>2913</v>
      </c>
      <c r="T714" s="689"/>
      <c r="U714" s="421"/>
    </row>
    <row r="715" spans="1:21" s="377" customFormat="1" ht="20.100000000000001" customHeight="1">
      <c r="A715" s="1128" t="s">
        <v>2951</v>
      </c>
      <c r="B715" s="1188" t="s">
        <v>409</v>
      </c>
      <c r="C715" s="1188" t="s">
        <v>486</v>
      </c>
      <c r="D715" s="11"/>
      <c r="E715" s="2"/>
      <c r="F715" s="2"/>
      <c r="G715" s="218" t="s">
        <v>76</v>
      </c>
      <c r="H715" s="403" t="s">
        <v>742</v>
      </c>
      <c r="I715" s="386" t="s">
        <v>16</v>
      </c>
      <c r="J715" s="38"/>
      <c r="K715" s="386" t="s">
        <v>728</v>
      </c>
      <c r="L715" s="380" t="s">
        <v>637</v>
      </c>
      <c r="M715" s="6">
        <v>43045</v>
      </c>
      <c r="N715" s="6">
        <v>43093</v>
      </c>
      <c r="O715" s="388"/>
      <c r="P715" s="61"/>
      <c r="Q715" s="7"/>
      <c r="R715" s="397" t="s">
        <v>2099</v>
      </c>
      <c r="S715" s="315" t="s">
        <v>2915</v>
      </c>
      <c r="T715" s="689"/>
      <c r="U715" s="421"/>
    </row>
    <row r="716" spans="1:21" s="377" customFormat="1" ht="20.100000000000001" customHeight="1">
      <c r="A716" s="1128" t="s">
        <v>2951</v>
      </c>
      <c r="B716" s="1188" t="s">
        <v>409</v>
      </c>
      <c r="C716" s="1188" t="s">
        <v>486</v>
      </c>
      <c r="D716" s="13">
        <v>1350</v>
      </c>
      <c r="E716" s="13">
        <v>2050</v>
      </c>
      <c r="F716" s="13">
        <v>2050</v>
      </c>
      <c r="G716" s="70" t="s">
        <v>28</v>
      </c>
      <c r="H716" s="417" t="s">
        <v>645</v>
      </c>
      <c r="I716" s="379" t="s">
        <v>16</v>
      </c>
      <c r="J716" s="51"/>
      <c r="K716" s="379" t="s">
        <v>909</v>
      </c>
      <c r="L716" s="415" t="s">
        <v>637</v>
      </c>
      <c r="M716" s="392">
        <v>43084</v>
      </c>
      <c r="N716" s="392">
        <v>43088</v>
      </c>
      <c r="O716" s="393" t="s">
        <v>601</v>
      </c>
      <c r="P716" s="754" t="s">
        <v>1141</v>
      </c>
      <c r="Q716" s="754"/>
      <c r="R716" s="384" t="s">
        <v>451</v>
      </c>
      <c r="S716" s="316" t="s">
        <v>2909</v>
      </c>
      <c r="T716" s="689"/>
      <c r="U716" s="421"/>
    </row>
    <row r="717" spans="1:21" s="377" customFormat="1" ht="20.100000000000001" customHeight="1">
      <c r="A717" s="1128" t="s">
        <v>2951</v>
      </c>
      <c r="B717" s="1188" t="s">
        <v>409</v>
      </c>
      <c r="C717" s="1188" t="s">
        <v>486</v>
      </c>
      <c r="D717" s="529">
        <v>1150</v>
      </c>
      <c r="E717" s="529">
        <v>1350</v>
      </c>
      <c r="F717" s="529">
        <v>1350</v>
      </c>
      <c r="G717" s="63" t="s">
        <v>13</v>
      </c>
      <c r="H717" s="425" t="s">
        <v>2269</v>
      </c>
      <c r="I717" s="398" t="s">
        <v>16</v>
      </c>
      <c r="J717" s="50"/>
      <c r="K717" s="398">
        <v>20</v>
      </c>
      <c r="L717" s="415" t="s">
        <v>637</v>
      </c>
      <c r="M717" s="404">
        <v>43047</v>
      </c>
      <c r="N717" s="404">
        <v>43100</v>
      </c>
      <c r="O717" s="393" t="s">
        <v>601</v>
      </c>
      <c r="P717" s="61"/>
      <c r="Q717" s="61"/>
      <c r="R717" s="431" t="s">
        <v>2270</v>
      </c>
      <c r="S717" s="316" t="s">
        <v>2925</v>
      </c>
      <c r="T717" s="689"/>
      <c r="U717" s="421"/>
    </row>
    <row r="718" spans="1:21" s="377" customFormat="1" ht="20.100000000000001" customHeight="1">
      <c r="A718" s="1128" t="s">
        <v>2951</v>
      </c>
      <c r="B718" s="1188" t="s">
        <v>409</v>
      </c>
      <c r="C718" s="1188" t="s">
        <v>486</v>
      </c>
      <c r="D718" s="13">
        <v>1075</v>
      </c>
      <c r="E718" s="13">
        <v>1650</v>
      </c>
      <c r="F718" s="13">
        <v>1650</v>
      </c>
      <c r="G718" s="63" t="s">
        <v>62</v>
      </c>
      <c r="H718" s="417" t="s">
        <v>681</v>
      </c>
      <c r="I718" s="386" t="s">
        <v>1</v>
      </c>
      <c r="J718" s="38"/>
      <c r="K718" s="386">
        <v>22</v>
      </c>
      <c r="L718" s="380" t="s">
        <v>649</v>
      </c>
      <c r="M718" s="549">
        <v>43039</v>
      </c>
      <c r="N718" s="549">
        <v>43086</v>
      </c>
      <c r="O718" s="388" t="s">
        <v>1238</v>
      </c>
      <c r="P718" s="61"/>
      <c r="Q718" s="7"/>
      <c r="R718" s="397" t="s">
        <v>1845</v>
      </c>
      <c r="S718" s="315" t="s">
        <v>2928</v>
      </c>
      <c r="T718" s="689"/>
      <c r="U718" s="421"/>
    </row>
    <row r="719" spans="1:21" s="377" customFormat="1" ht="20.100000000000001" customHeight="1">
      <c r="A719" s="733" t="s">
        <v>2951</v>
      </c>
      <c r="B719" s="440" t="s">
        <v>409</v>
      </c>
      <c r="C719" s="440" t="s">
        <v>470</v>
      </c>
      <c r="D719" s="13">
        <v>2060</v>
      </c>
      <c r="E719" s="13">
        <v>2790</v>
      </c>
      <c r="F719" s="13">
        <v>2790</v>
      </c>
      <c r="G719" s="63" t="s">
        <v>62</v>
      </c>
      <c r="H719" s="417" t="s">
        <v>646</v>
      </c>
      <c r="I719" s="398" t="s">
        <v>125</v>
      </c>
      <c r="J719" s="38"/>
      <c r="K719" s="386" t="s">
        <v>1338</v>
      </c>
      <c r="L719" s="398" t="s">
        <v>639</v>
      </c>
      <c r="M719" s="549">
        <v>43054</v>
      </c>
      <c r="N719" s="549">
        <v>43086</v>
      </c>
      <c r="O719" s="388" t="s">
        <v>1238</v>
      </c>
      <c r="P719" s="61"/>
      <c r="Q719" s="7"/>
      <c r="R719" s="397" t="s">
        <v>1337</v>
      </c>
      <c r="S719" s="715" t="s">
        <v>2929</v>
      </c>
      <c r="T719" s="689"/>
      <c r="U719" s="421"/>
    </row>
    <row r="720" spans="1:21" s="377" customFormat="1" ht="20.100000000000001" customHeight="1">
      <c r="A720" s="1185" t="s">
        <v>2951</v>
      </c>
      <c r="B720" s="1185" t="s">
        <v>412</v>
      </c>
      <c r="C720" s="1144" t="s">
        <v>4198</v>
      </c>
      <c r="D720" s="32"/>
      <c r="E720" s="32"/>
      <c r="F720" s="32"/>
      <c r="G720" s="218" t="s">
        <v>51</v>
      </c>
      <c r="H720" s="441">
        <v>1</v>
      </c>
      <c r="I720" s="379" t="s">
        <v>17</v>
      </c>
      <c r="J720" s="50"/>
      <c r="K720" s="379">
        <v>15</v>
      </c>
      <c r="L720" s="379" t="s">
        <v>636</v>
      </c>
      <c r="M720" s="381">
        <v>43066</v>
      </c>
      <c r="N720" s="381">
        <v>43089</v>
      </c>
      <c r="O720" s="388"/>
      <c r="P720" s="61" t="s">
        <v>1179</v>
      </c>
      <c r="Q720" s="52" t="s">
        <v>4094</v>
      </c>
      <c r="R720" s="397" t="s">
        <v>1734</v>
      </c>
      <c r="S720" s="316"/>
      <c r="T720" s="78"/>
      <c r="U720" s="421"/>
    </row>
    <row r="721" spans="1:21" s="377" customFormat="1" ht="20.100000000000001" customHeight="1">
      <c r="A721" s="1186" t="s">
        <v>2951</v>
      </c>
      <c r="B721" s="1186" t="s">
        <v>412</v>
      </c>
      <c r="C721" s="1186" t="s">
        <v>3851</v>
      </c>
      <c r="D721" s="13"/>
      <c r="E721" s="13"/>
      <c r="F721" s="13"/>
      <c r="G721" s="65" t="s">
        <v>2408</v>
      </c>
      <c r="H721" s="378">
        <v>1</v>
      </c>
      <c r="I721" s="379" t="s">
        <v>17</v>
      </c>
      <c r="J721" s="50"/>
      <c r="K721" s="379">
        <v>15</v>
      </c>
      <c r="L721" s="379" t="s">
        <v>636</v>
      </c>
      <c r="M721" s="391">
        <v>43040</v>
      </c>
      <c r="N721" s="391">
        <v>43092</v>
      </c>
      <c r="O721" s="388"/>
      <c r="P721" s="61"/>
      <c r="Q721" s="52" t="s">
        <v>4094</v>
      </c>
      <c r="R721" s="397" t="s">
        <v>2409</v>
      </c>
      <c r="S721" s="316" t="s">
        <v>1176</v>
      </c>
      <c r="T721" s="78"/>
      <c r="U721" s="421"/>
    </row>
    <row r="722" spans="1:21" s="377" customFormat="1" ht="20.100000000000001" customHeight="1">
      <c r="A722" s="1186" t="s">
        <v>2951</v>
      </c>
      <c r="B722" s="1186" t="s">
        <v>412</v>
      </c>
      <c r="C722" s="1186" t="s">
        <v>3851</v>
      </c>
      <c r="D722" s="867">
        <v>600</v>
      </c>
      <c r="E722" s="867">
        <v>800</v>
      </c>
      <c r="F722" s="867">
        <v>800</v>
      </c>
      <c r="G722" s="706" t="s">
        <v>13</v>
      </c>
      <c r="H722" s="390">
        <v>1</v>
      </c>
      <c r="I722" s="386" t="s">
        <v>17</v>
      </c>
      <c r="J722" s="37"/>
      <c r="K722" s="398">
        <v>14</v>
      </c>
      <c r="L722" s="379" t="s">
        <v>636</v>
      </c>
      <c r="M722" s="404">
        <v>43070</v>
      </c>
      <c r="N722" s="404">
        <v>43100</v>
      </c>
      <c r="O722" s="393" t="s">
        <v>601</v>
      </c>
      <c r="P722" s="61" t="s">
        <v>1658</v>
      </c>
      <c r="Q722" s="7"/>
      <c r="R722" s="442" t="s">
        <v>1814</v>
      </c>
      <c r="S722" s="316" t="s">
        <v>2906</v>
      </c>
      <c r="T722" s="78"/>
      <c r="U722" s="421"/>
    </row>
    <row r="723" spans="1:21" s="377" customFormat="1" ht="20.100000000000001" customHeight="1">
      <c r="A723" s="1186" t="s">
        <v>2951</v>
      </c>
      <c r="B723" s="1186" t="s">
        <v>412</v>
      </c>
      <c r="C723" s="1186" t="s">
        <v>3851</v>
      </c>
      <c r="D723" s="11"/>
      <c r="E723" s="11"/>
      <c r="F723" s="11"/>
      <c r="G723" s="706" t="s">
        <v>90</v>
      </c>
      <c r="H723" s="390">
        <v>1</v>
      </c>
      <c r="I723" s="386" t="s">
        <v>17</v>
      </c>
      <c r="J723" s="37"/>
      <c r="K723" s="398">
        <v>14</v>
      </c>
      <c r="L723" s="379" t="s">
        <v>636</v>
      </c>
      <c r="M723" s="392">
        <v>43057</v>
      </c>
      <c r="N723" s="551">
        <v>43091</v>
      </c>
      <c r="O723" s="388"/>
      <c r="P723" s="61" t="s">
        <v>597</v>
      </c>
      <c r="Q723" s="7"/>
      <c r="R723" s="397" t="s">
        <v>168</v>
      </c>
      <c r="S723" s="315" t="s">
        <v>2912</v>
      </c>
      <c r="T723" s="688" t="s">
        <v>2840</v>
      </c>
      <c r="U723" s="421"/>
    </row>
    <row r="724" spans="1:21" s="377" customFormat="1" ht="20.100000000000001" customHeight="1">
      <c r="A724" s="1186" t="s">
        <v>2951</v>
      </c>
      <c r="B724" s="1186" t="s">
        <v>412</v>
      </c>
      <c r="C724" s="1186" t="s">
        <v>3851</v>
      </c>
      <c r="D724" s="11">
        <v>600</v>
      </c>
      <c r="E724" s="11">
        <v>800</v>
      </c>
      <c r="F724" s="11">
        <v>800</v>
      </c>
      <c r="G724" s="706" t="s">
        <v>6</v>
      </c>
      <c r="H724" s="390">
        <v>1</v>
      </c>
      <c r="I724" s="386" t="s">
        <v>17</v>
      </c>
      <c r="J724" s="681"/>
      <c r="K724" s="426">
        <v>16</v>
      </c>
      <c r="L724" s="379" t="s">
        <v>636</v>
      </c>
      <c r="M724" s="391">
        <v>43080</v>
      </c>
      <c r="N724" s="391">
        <v>43093</v>
      </c>
      <c r="O724" s="388"/>
      <c r="P724" s="61" t="s">
        <v>607</v>
      </c>
      <c r="Q724" s="7"/>
      <c r="R724" s="384" t="s">
        <v>202</v>
      </c>
      <c r="S724" s="316" t="s">
        <v>1176</v>
      </c>
      <c r="T724" s="688"/>
      <c r="U724" s="421"/>
    </row>
    <row r="725" spans="1:21" ht="20.100000000000001" customHeight="1">
      <c r="A725" s="1186" t="s">
        <v>2951</v>
      </c>
      <c r="B725" s="1186" t="s">
        <v>412</v>
      </c>
      <c r="C725" s="1186" t="s">
        <v>3851</v>
      </c>
      <c r="D725" s="32">
        <v>700</v>
      </c>
      <c r="E725" s="32">
        <v>800</v>
      </c>
      <c r="F725" s="32">
        <v>800</v>
      </c>
      <c r="G725" s="673" t="s">
        <v>5</v>
      </c>
      <c r="H725" s="35">
        <v>1</v>
      </c>
      <c r="I725" s="38" t="s">
        <v>17</v>
      </c>
      <c r="J725" s="681"/>
      <c r="K725" s="681">
        <v>16</v>
      </c>
      <c r="L725" s="51" t="s">
        <v>636</v>
      </c>
      <c r="M725" s="6">
        <v>43080</v>
      </c>
      <c r="N725" s="6">
        <v>43086</v>
      </c>
      <c r="O725" s="675" t="s">
        <v>769</v>
      </c>
      <c r="P725" s="61" t="s">
        <v>939</v>
      </c>
      <c r="Q725" s="7"/>
      <c r="R725" s="73" t="s">
        <v>1873</v>
      </c>
      <c r="S725" s="315" t="s">
        <v>2893</v>
      </c>
      <c r="T725" s="78"/>
      <c r="U725" s="42"/>
    </row>
    <row r="726" spans="1:21" s="377" customFormat="1" ht="20.100000000000001" customHeight="1">
      <c r="A726" s="1186" t="s">
        <v>2951</v>
      </c>
      <c r="B726" s="1186" t="s">
        <v>412</v>
      </c>
      <c r="C726" s="1186" t="s">
        <v>3851</v>
      </c>
      <c r="D726" s="32">
        <v>735</v>
      </c>
      <c r="E726" s="32">
        <v>860</v>
      </c>
      <c r="F726" s="32">
        <v>860</v>
      </c>
      <c r="G726" s="706" t="s">
        <v>37</v>
      </c>
      <c r="H726" s="390">
        <v>1</v>
      </c>
      <c r="I726" s="386" t="s">
        <v>17</v>
      </c>
      <c r="J726" s="38"/>
      <c r="K726" s="398">
        <v>16</v>
      </c>
      <c r="L726" s="379" t="s">
        <v>636</v>
      </c>
      <c r="M726" s="392">
        <v>43080</v>
      </c>
      <c r="N726" s="392">
        <v>43080</v>
      </c>
      <c r="O726" s="388"/>
      <c r="P726" s="61"/>
      <c r="Q726" s="7"/>
      <c r="R726" s="397" t="s">
        <v>192</v>
      </c>
      <c r="S726" s="316" t="s">
        <v>2913</v>
      </c>
      <c r="T726" s="78"/>
      <c r="U726" s="421"/>
    </row>
    <row r="727" spans="1:21" s="377" customFormat="1" ht="20.100000000000001" customHeight="1">
      <c r="A727" s="1186" t="s">
        <v>2951</v>
      </c>
      <c r="B727" s="1186" t="s">
        <v>412</v>
      </c>
      <c r="C727" s="1186" t="s">
        <v>3851</v>
      </c>
      <c r="D727" s="536">
        <v>750</v>
      </c>
      <c r="E727" s="536">
        <v>1050</v>
      </c>
      <c r="F727" s="536">
        <v>1050</v>
      </c>
      <c r="G727" s="220" t="s">
        <v>92</v>
      </c>
      <c r="H727" s="390">
        <v>1</v>
      </c>
      <c r="I727" s="386" t="s">
        <v>17</v>
      </c>
      <c r="J727" s="37"/>
      <c r="K727" s="398">
        <v>16</v>
      </c>
      <c r="L727" s="379" t="s">
        <v>636</v>
      </c>
      <c r="M727" s="381">
        <v>43059</v>
      </c>
      <c r="N727" s="547">
        <v>43087</v>
      </c>
      <c r="O727" s="410"/>
      <c r="P727" s="61" t="s">
        <v>597</v>
      </c>
      <c r="Q727" s="7"/>
      <c r="R727" s="397" t="s">
        <v>203</v>
      </c>
      <c r="S727" s="316" t="s">
        <v>1176</v>
      </c>
      <c r="T727" s="78"/>
      <c r="U727" s="421"/>
    </row>
    <row r="728" spans="1:21" s="377" customFormat="1" ht="20.100000000000001" customHeight="1">
      <c r="A728" s="1186" t="s">
        <v>2951</v>
      </c>
      <c r="B728" s="1186" t="s">
        <v>412</v>
      </c>
      <c r="C728" s="1186" t="s">
        <v>3851</v>
      </c>
      <c r="D728" s="536">
        <v>650</v>
      </c>
      <c r="E728" s="536">
        <v>750</v>
      </c>
      <c r="F728" s="536">
        <v>750</v>
      </c>
      <c r="G728" s="220" t="s">
        <v>105</v>
      </c>
      <c r="H728" s="385" t="s">
        <v>1102</v>
      </c>
      <c r="I728" s="398" t="s">
        <v>17</v>
      </c>
      <c r="J728" s="37"/>
      <c r="K728" s="398" t="s">
        <v>1105</v>
      </c>
      <c r="L728" s="398" t="s">
        <v>652</v>
      </c>
      <c r="M728" s="399">
        <v>43080</v>
      </c>
      <c r="N728" s="399">
        <v>43086</v>
      </c>
      <c r="O728" s="382" t="s">
        <v>611</v>
      </c>
      <c r="P728" s="105"/>
      <c r="Q728" s="7"/>
      <c r="R728" s="397" t="s">
        <v>187</v>
      </c>
      <c r="S728" s="316" t="s">
        <v>2908</v>
      </c>
      <c r="T728" s="78"/>
      <c r="U728" s="421"/>
    </row>
    <row r="729" spans="1:21" s="377" customFormat="1" ht="20.100000000000001" customHeight="1">
      <c r="A729" s="1186" t="s">
        <v>2951</v>
      </c>
      <c r="B729" s="1186" t="s">
        <v>412</v>
      </c>
      <c r="C729" s="1186" t="s">
        <v>3851</v>
      </c>
      <c r="D729" s="536">
        <v>865</v>
      </c>
      <c r="E729" s="536">
        <v>1230</v>
      </c>
      <c r="F729" s="536">
        <v>1230</v>
      </c>
      <c r="G729" s="706" t="s">
        <v>30</v>
      </c>
      <c r="H729" s="385" t="s">
        <v>742</v>
      </c>
      <c r="I729" s="398" t="s">
        <v>17</v>
      </c>
      <c r="J729" s="37"/>
      <c r="K729" s="398" t="s">
        <v>684</v>
      </c>
      <c r="L729" s="398" t="s">
        <v>639</v>
      </c>
      <c r="M729" s="399">
        <v>43040</v>
      </c>
      <c r="N729" s="399">
        <v>43083</v>
      </c>
      <c r="O729" s="435" t="s">
        <v>602</v>
      </c>
      <c r="P729" s="61" t="s">
        <v>597</v>
      </c>
      <c r="Q729" s="7"/>
      <c r="R729" s="397" t="s">
        <v>1915</v>
      </c>
      <c r="S729" s="316" t="s">
        <v>2895</v>
      </c>
      <c r="T729" s="78"/>
      <c r="U729" s="421"/>
    </row>
    <row r="730" spans="1:21" s="377" customFormat="1" ht="20.100000000000001" customHeight="1">
      <c r="A730" s="1186" t="s">
        <v>2951</v>
      </c>
      <c r="B730" s="1186" t="s">
        <v>412</v>
      </c>
      <c r="C730" s="1186" t="s">
        <v>413</v>
      </c>
      <c r="D730" s="536">
        <v>805</v>
      </c>
      <c r="E730" s="536">
        <v>1210</v>
      </c>
      <c r="F730" s="536">
        <v>1210</v>
      </c>
      <c r="G730" s="63" t="s">
        <v>3894</v>
      </c>
      <c r="H730" s="385" t="s">
        <v>742</v>
      </c>
      <c r="I730" s="398" t="s">
        <v>17</v>
      </c>
      <c r="J730" s="37"/>
      <c r="K730" s="398" t="s">
        <v>684</v>
      </c>
      <c r="L730" s="398" t="s">
        <v>639</v>
      </c>
      <c r="M730" s="551">
        <v>43061</v>
      </c>
      <c r="N730" s="551">
        <v>43090</v>
      </c>
      <c r="O730" s="435"/>
      <c r="P730" s="61" t="s">
        <v>597</v>
      </c>
      <c r="Q730" s="7"/>
      <c r="R730" s="397" t="s">
        <v>171</v>
      </c>
      <c r="S730" s="704" t="s">
        <v>1176</v>
      </c>
      <c r="T730" s="317" t="s">
        <v>3883</v>
      </c>
      <c r="U730" s="421"/>
    </row>
    <row r="731" spans="1:21" s="377" customFormat="1" ht="20.100000000000001" customHeight="1">
      <c r="A731" s="1186" t="s">
        <v>2951</v>
      </c>
      <c r="B731" s="1186" t="s">
        <v>412</v>
      </c>
      <c r="C731" s="1186" t="s">
        <v>3851</v>
      </c>
      <c r="D731" s="536">
        <v>700</v>
      </c>
      <c r="E731" s="536">
        <v>850</v>
      </c>
      <c r="F731" s="536">
        <v>850</v>
      </c>
      <c r="G731" s="220" t="s">
        <v>1659</v>
      </c>
      <c r="H731" s="385" t="s">
        <v>742</v>
      </c>
      <c r="I731" s="398" t="s">
        <v>17</v>
      </c>
      <c r="J731" s="37"/>
      <c r="K731" s="398" t="s">
        <v>684</v>
      </c>
      <c r="L731" s="398" t="s">
        <v>639</v>
      </c>
      <c r="M731" s="547">
        <v>43060</v>
      </c>
      <c r="N731" s="547">
        <v>43090</v>
      </c>
      <c r="O731" s="382"/>
      <c r="P731" s="105" t="s">
        <v>1885</v>
      </c>
      <c r="Q731" s="7"/>
      <c r="R731" s="397" t="s">
        <v>1660</v>
      </c>
      <c r="S731" s="315" t="s">
        <v>2862</v>
      </c>
      <c r="T731" s="626">
        <v>14</v>
      </c>
      <c r="U731" s="421"/>
    </row>
    <row r="732" spans="1:21" s="377" customFormat="1" ht="20.100000000000001" customHeight="1">
      <c r="A732" s="1186" t="s">
        <v>2951</v>
      </c>
      <c r="B732" s="1186" t="s">
        <v>412</v>
      </c>
      <c r="C732" s="1186" t="s">
        <v>3851</v>
      </c>
      <c r="D732" s="536">
        <v>675</v>
      </c>
      <c r="E732" s="536">
        <v>1075</v>
      </c>
      <c r="F732" s="536">
        <v>1075</v>
      </c>
      <c r="G732" s="220" t="s">
        <v>14</v>
      </c>
      <c r="H732" s="385" t="s">
        <v>742</v>
      </c>
      <c r="I732" s="398" t="s">
        <v>17</v>
      </c>
      <c r="J732" s="37"/>
      <c r="K732" s="398" t="s">
        <v>684</v>
      </c>
      <c r="L732" s="398" t="s">
        <v>639</v>
      </c>
      <c r="M732" s="547">
        <v>43071</v>
      </c>
      <c r="N732" s="547">
        <v>43092</v>
      </c>
      <c r="O732" s="382"/>
      <c r="P732" s="105"/>
      <c r="Q732" s="7"/>
      <c r="R732" s="397" t="s">
        <v>171</v>
      </c>
      <c r="S732" s="322"/>
      <c r="T732" s="626"/>
      <c r="U732" s="421"/>
    </row>
    <row r="733" spans="1:21" s="377" customFormat="1" ht="20.100000000000001" customHeight="1">
      <c r="A733" s="1186" t="s">
        <v>2951</v>
      </c>
      <c r="B733" s="1186" t="s">
        <v>412</v>
      </c>
      <c r="C733" s="1186" t="s">
        <v>3851</v>
      </c>
      <c r="D733" s="32"/>
      <c r="E733" s="32"/>
      <c r="F733" s="32"/>
      <c r="G733" s="220" t="s">
        <v>51</v>
      </c>
      <c r="H733" s="194" t="s">
        <v>742</v>
      </c>
      <c r="I733" s="386" t="s">
        <v>17</v>
      </c>
      <c r="J733" s="37"/>
      <c r="K733" s="398" t="s">
        <v>684</v>
      </c>
      <c r="L733" s="380" t="s">
        <v>639</v>
      </c>
      <c r="M733" s="381">
        <v>43066</v>
      </c>
      <c r="N733" s="381">
        <v>43089</v>
      </c>
      <c r="O733" s="382"/>
      <c r="P733" s="61" t="s">
        <v>1179</v>
      </c>
      <c r="Q733" s="7"/>
      <c r="R733" s="424" t="s">
        <v>171</v>
      </c>
      <c r="S733" s="319"/>
      <c r="T733" s="78"/>
      <c r="U733" s="421"/>
    </row>
    <row r="734" spans="1:21" s="377" customFormat="1" ht="20.100000000000001" customHeight="1">
      <c r="A734" s="1186" t="s">
        <v>2951</v>
      </c>
      <c r="B734" s="1186" t="s">
        <v>412</v>
      </c>
      <c r="C734" s="1186" t="s">
        <v>3851</v>
      </c>
      <c r="D734" s="790">
        <v>600</v>
      </c>
      <c r="E734" s="790">
        <v>700</v>
      </c>
      <c r="F734" s="790">
        <v>700</v>
      </c>
      <c r="G734" s="29" t="s">
        <v>82</v>
      </c>
      <c r="H734" s="385" t="s">
        <v>742</v>
      </c>
      <c r="I734" s="386" t="s">
        <v>17</v>
      </c>
      <c r="J734" s="37"/>
      <c r="K734" s="398" t="s">
        <v>684</v>
      </c>
      <c r="L734" s="398" t="s">
        <v>639</v>
      </c>
      <c r="M734" s="392">
        <v>43084</v>
      </c>
      <c r="N734" s="392">
        <v>43088</v>
      </c>
      <c r="O734" s="393" t="s">
        <v>601</v>
      </c>
      <c r="P734" s="61" t="s">
        <v>597</v>
      </c>
      <c r="Q734" s="7"/>
      <c r="R734" s="424" t="s">
        <v>171</v>
      </c>
      <c r="S734" s="316" t="s">
        <v>2909</v>
      </c>
      <c r="T734" s="78"/>
      <c r="U734" s="421"/>
    </row>
    <row r="735" spans="1:21" s="377" customFormat="1" ht="20.100000000000001" customHeight="1">
      <c r="A735" s="1186" t="s">
        <v>2951</v>
      </c>
      <c r="B735" s="1186" t="s">
        <v>412</v>
      </c>
      <c r="C735" s="1186" t="s">
        <v>3851</v>
      </c>
      <c r="D735" s="800" t="s">
        <v>4507</v>
      </c>
      <c r="E735" s="800">
        <v>800</v>
      </c>
      <c r="F735" s="800">
        <v>800</v>
      </c>
      <c r="G735" s="803" t="s">
        <v>18</v>
      </c>
      <c r="H735" s="674" t="s">
        <v>843</v>
      </c>
      <c r="I735" s="386" t="s">
        <v>17</v>
      </c>
      <c r="J735" s="37"/>
      <c r="K735" s="37" t="s">
        <v>3905</v>
      </c>
      <c r="L735" s="386" t="s">
        <v>643</v>
      </c>
      <c r="M735" s="381">
        <v>43084</v>
      </c>
      <c r="N735" s="381">
        <v>43100</v>
      </c>
      <c r="O735" s="411"/>
      <c r="P735" s="683"/>
      <c r="Q735" s="147"/>
      <c r="R735" s="384" t="s">
        <v>748</v>
      </c>
      <c r="S735" s="316" t="s">
        <v>2905</v>
      </c>
      <c r="T735" s="689"/>
      <c r="U735" s="421"/>
    </row>
    <row r="736" spans="1:21" ht="20.100000000000001" customHeight="1">
      <c r="A736" s="1186" t="s">
        <v>2951</v>
      </c>
      <c r="B736" s="1186" t="s">
        <v>412</v>
      </c>
      <c r="C736" s="1186" t="s">
        <v>3851</v>
      </c>
      <c r="D736" s="32">
        <v>650</v>
      </c>
      <c r="E736" s="32">
        <v>700</v>
      </c>
      <c r="F736" s="32">
        <v>700</v>
      </c>
      <c r="G736" s="673" t="s">
        <v>5</v>
      </c>
      <c r="H736" s="674" t="s">
        <v>1102</v>
      </c>
      <c r="I736" s="51" t="s">
        <v>80</v>
      </c>
      <c r="J736" s="37"/>
      <c r="K736" s="37" t="s">
        <v>2281</v>
      </c>
      <c r="L736" s="51" t="s">
        <v>643</v>
      </c>
      <c r="M736" s="6">
        <v>43080</v>
      </c>
      <c r="N736" s="6">
        <v>43086</v>
      </c>
      <c r="O736" s="675" t="s">
        <v>600</v>
      </c>
      <c r="P736" s="61" t="s">
        <v>597</v>
      </c>
      <c r="Q736" s="147"/>
      <c r="R736" s="17" t="s">
        <v>2113</v>
      </c>
      <c r="S736" s="315" t="s">
        <v>2893</v>
      </c>
      <c r="T736" s="689"/>
      <c r="U736" s="42"/>
    </row>
    <row r="737" spans="1:21" s="377" customFormat="1" ht="20.100000000000001" customHeight="1">
      <c r="A737" s="1186" t="s">
        <v>2951</v>
      </c>
      <c r="B737" s="1186" t="s">
        <v>412</v>
      </c>
      <c r="C737" s="1186" t="s">
        <v>3851</v>
      </c>
      <c r="D737" s="11">
        <v>650</v>
      </c>
      <c r="E737" s="11">
        <v>800</v>
      </c>
      <c r="F737" s="11">
        <v>800</v>
      </c>
      <c r="G737" s="63" t="s">
        <v>87</v>
      </c>
      <c r="H737" s="56" t="s">
        <v>659</v>
      </c>
      <c r="I737" s="51" t="s">
        <v>17</v>
      </c>
      <c r="J737" s="38"/>
      <c r="K737" s="37" t="s">
        <v>3041</v>
      </c>
      <c r="L737" s="38" t="s">
        <v>3039</v>
      </c>
      <c r="M737" s="547">
        <v>43068</v>
      </c>
      <c r="N737" s="547">
        <v>43080</v>
      </c>
      <c r="O737" s="393"/>
      <c r="P737" s="61"/>
      <c r="Q737" s="52"/>
      <c r="R737" s="73" t="s">
        <v>3058</v>
      </c>
      <c r="S737" s="322" t="s">
        <v>2861</v>
      </c>
      <c r="T737" s="78"/>
      <c r="U737" s="421"/>
    </row>
    <row r="738" spans="1:21" s="377" customFormat="1" ht="20.100000000000001" customHeight="1">
      <c r="A738" s="1186" t="s">
        <v>2951</v>
      </c>
      <c r="B738" s="1186" t="s">
        <v>412</v>
      </c>
      <c r="C738" s="1186" t="s">
        <v>3851</v>
      </c>
      <c r="D738" s="536">
        <v>550</v>
      </c>
      <c r="E738" s="536">
        <v>850</v>
      </c>
      <c r="F738" s="536">
        <v>850</v>
      </c>
      <c r="G738" s="218" t="s">
        <v>10</v>
      </c>
      <c r="H738" s="56" t="s">
        <v>659</v>
      </c>
      <c r="I738" s="51" t="s">
        <v>17</v>
      </c>
      <c r="J738" s="38"/>
      <c r="K738" s="37" t="s">
        <v>3041</v>
      </c>
      <c r="L738" s="38" t="s">
        <v>3039</v>
      </c>
      <c r="M738" s="547">
        <v>43061</v>
      </c>
      <c r="N738" s="547">
        <v>43087</v>
      </c>
      <c r="O738" s="544"/>
      <c r="P738" s="61" t="s">
        <v>597</v>
      </c>
      <c r="Q738" s="52"/>
      <c r="R738" s="73" t="s">
        <v>3052</v>
      </c>
      <c r="S738" s="316" t="s">
        <v>1176</v>
      </c>
      <c r="T738" s="765"/>
      <c r="U738" s="421"/>
    </row>
    <row r="739" spans="1:21" s="377" customFormat="1" ht="20.100000000000001" customHeight="1">
      <c r="A739" s="1186" t="s">
        <v>2951</v>
      </c>
      <c r="B739" s="1186" t="s">
        <v>412</v>
      </c>
      <c r="C739" s="1186" t="s">
        <v>3851</v>
      </c>
      <c r="D739" s="536">
        <v>700</v>
      </c>
      <c r="E739" s="536">
        <v>850</v>
      </c>
      <c r="F739" s="536">
        <v>850</v>
      </c>
      <c r="G739" s="224" t="s">
        <v>1659</v>
      </c>
      <c r="H739" s="56" t="s">
        <v>659</v>
      </c>
      <c r="I739" s="51" t="s">
        <v>17</v>
      </c>
      <c r="J739" s="38"/>
      <c r="K739" s="37" t="s">
        <v>3041</v>
      </c>
      <c r="L739" s="38" t="s">
        <v>3039</v>
      </c>
      <c r="M739" s="547">
        <v>43061</v>
      </c>
      <c r="N739" s="547">
        <v>43090</v>
      </c>
      <c r="O739" s="544"/>
      <c r="P739" s="105" t="s">
        <v>1885</v>
      </c>
      <c r="Q739" s="52"/>
      <c r="R739" s="73" t="s">
        <v>3040</v>
      </c>
      <c r="S739" s="315" t="s">
        <v>2862</v>
      </c>
      <c r="T739" s="626">
        <v>14</v>
      </c>
      <c r="U739" s="421"/>
    </row>
    <row r="740" spans="1:21" s="377" customFormat="1" ht="20.100000000000001" customHeight="1">
      <c r="A740" s="1186" t="s">
        <v>2951</v>
      </c>
      <c r="B740" s="1186" t="s">
        <v>412</v>
      </c>
      <c r="C740" s="1186" t="s">
        <v>3851</v>
      </c>
      <c r="D740" s="536">
        <v>550</v>
      </c>
      <c r="E740" s="536">
        <v>850</v>
      </c>
      <c r="F740" s="536">
        <v>850</v>
      </c>
      <c r="G740" s="64" t="s">
        <v>432</v>
      </c>
      <c r="H740" s="56" t="s">
        <v>659</v>
      </c>
      <c r="I740" s="51" t="s">
        <v>17</v>
      </c>
      <c r="J740" s="38"/>
      <c r="K740" s="37" t="s">
        <v>3041</v>
      </c>
      <c r="L740" s="38" t="s">
        <v>3039</v>
      </c>
      <c r="M740" s="547">
        <v>43068</v>
      </c>
      <c r="N740" s="547">
        <v>43089</v>
      </c>
      <c r="O740" s="544"/>
      <c r="P740" s="105"/>
      <c r="Q740" s="52"/>
      <c r="R740" s="73" t="s">
        <v>3040</v>
      </c>
      <c r="S740" s="319" t="s">
        <v>1176</v>
      </c>
      <c r="T740" s="626"/>
      <c r="U740" s="421"/>
    </row>
    <row r="741" spans="1:21" s="377" customFormat="1" ht="20.100000000000001" customHeight="1">
      <c r="A741" s="1186" t="s">
        <v>2951</v>
      </c>
      <c r="B741" s="1186" t="s">
        <v>412</v>
      </c>
      <c r="C741" s="1186" t="s">
        <v>3851</v>
      </c>
      <c r="D741" s="11">
        <v>550</v>
      </c>
      <c r="E741" s="11">
        <v>740</v>
      </c>
      <c r="F741" s="11">
        <v>740</v>
      </c>
      <c r="G741" s="706" t="s">
        <v>12</v>
      </c>
      <c r="H741" s="56" t="s">
        <v>659</v>
      </c>
      <c r="I741" s="51" t="s">
        <v>17</v>
      </c>
      <c r="J741" s="38"/>
      <c r="K741" s="37" t="s">
        <v>3041</v>
      </c>
      <c r="L741" s="38" t="s">
        <v>3039</v>
      </c>
      <c r="M741" s="551">
        <v>43076</v>
      </c>
      <c r="N741" s="551">
        <v>43091</v>
      </c>
      <c r="O741" s="544"/>
      <c r="P741" s="61" t="s">
        <v>597</v>
      </c>
      <c r="Q741" s="52"/>
      <c r="R741" s="73" t="s">
        <v>3387</v>
      </c>
      <c r="S741" s="315" t="s">
        <v>2912</v>
      </c>
      <c r="T741" s="688" t="s">
        <v>2840</v>
      </c>
      <c r="U741" s="421"/>
    </row>
    <row r="742" spans="1:21" s="377" customFormat="1" ht="20.100000000000001" customHeight="1">
      <c r="A742" s="1186" t="s">
        <v>2951</v>
      </c>
      <c r="B742" s="1186" t="s">
        <v>412</v>
      </c>
      <c r="C742" s="1186" t="s">
        <v>3851</v>
      </c>
      <c r="D742" s="11"/>
      <c r="E742" s="11"/>
      <c r="F742" s="11"/>
      <c r="G742" s="706" t="s">
        <v>6</v>
      </c>
      <c r="H742" s="378" t="s">
        <v>1824</v>
      </c>
      <c r="I742" s="386" t="s">
        <v>17</v>
      </c>
      <c r="J742" s="681"/>
      <c r="K742" s="426" t="s">
        <v>771</v>
      </c>
      <c r="L742" s="379" t="s">
        <v>643</v>
      </c>
      <c r="M742" s="391">
        <v>43080</v>
      </c>
      <c r="N742" s="391">
        <v>43093</v>
      </c>
      <c r="O742" s="388"/>
      <c r="P742" s="61" t="s">
        <v>607</v>
      </c>
      <c r="Q742" s="147"/>
      <c r="R742" s="397" t="s">
        <v>1825</v>
      </c>
      <c r="S742" s="316" t="s">
        <v>1176</v>
      </c>
      <c r="T742" s="137"/>
      <c r="U742" s="421"/>
    </row>
    <row r="743" spans="1:21" ht="20.100000000000001" customHeight="1">
      <c r="A743" s="1186" t="s">
        <v>2951</v>
      </c>
      <c r="B743" s="1186" t="s">
        <v>412</v>
      </c>
      <c r="C743" s="1186" t="s">
        <v>3851</v>
      </c>
      <c r="D743" s="32">
        <v>675</v>
      </c>
      <c r="E743" s="32">
        <v>750</v>
      </c>
      <c r="F743" s="32">
        <v>750</v>
      </c>
      <c r="G743" s="673" t="s">
        <v>5</v>
      </c>
      <c r="H743" s="674" t="s">
        <v>659</v>
      </c>
      <c r="I743" s="38" t="s">
        <v>17</v>
      </c>
      <c r="J743" s="37"/>
      <c r="K743" s="37" t="s">
        <v>771</v>
      </c>
      <c r="L743" s="51" t="s">
        <v>643</v>
      </c>
      <c r="M743" s="6">
        <v>43080</v>
      </c>
      <c r="N743" s="6">
        <v>43086</v>
      </c>
      <c r="O743" s="675" t="s">
        <v>769</v>
      </c>
      <c r="P743" s="61" t="s">
        <v>939</v>
      </c>
      <c r="Q743" s="7"/>
      <c r="R743" s="17" t="s">
        <v>1728</v>
      </c>
      <c r="S743" s="315" t="s">
        <v>2893</v>
      </c>
      <c r="T743" s="689"/>
      <c r="U743" s="42"/>
    </row>
    <row r="744" spans="1:21" s="377" customFormat="1" ht="20.100000000000001" customHeight="1">
      <c r="A744" s="1186" t="s">
        <v>2951</v>
      </c>
      <c r="B744" s="1186" t="s">
        <v>412</v>
      </c>
      <c r="C744" s="1186" t="s">
        <v>3851</v>
      </c>
      <c r="D744" s="32">
        <v>650</v>
      </c>
      <c r="E744" s="32">
        <v>750</v>
      </c>
      <c r="F744" s="32">
        <v>750</v>
      </c>
      <c r="G744" s="219" t="s">
        <v>51</v>
      </c>
      <c r="H744" s="385" t="s">
        <v>659</v>
      </c>
      <c r="I744" s="386" t="s">
        <v>17</v>
      </c>
      <c r="J744" s="37"/>
      <c r="K744" s="398" t="s">
        <v>771</v>
      </c>
      <c r="L744" s="379" t="s">
        <v>643</v>
      </c>
      <c r="M744" s="381">
        <v>43084</v>
      </c>
      <c r="N744" s="381">
        <v>43089</v>
      </c>
      <c r="O744" s="387"/>
      <c r="P744" s="61" t="s">
        <v>1179</v>
      </c>
      <c r="Q744" s="7"/>
      <c r="R744" s="424" t="s">
        <v>2459</v>
      </c>
      <c r="S744" s="319"/>
      <c r="T744" s="78"/>
      <c r="U744" s="421"/>
    </row>
    <row r="745" spans="1:21" s="377" customFormat="1" ht="20.100000000000001" customHeight="1">
      <c r="A745" s="1186" t="s">
        <v>2951</v>
      </c>
      <c r="B745" s="1186" t="s">
        <v>412</v>
      </c>
      <c r="C745" s="1186" t="s">
        <v>3851</v>
      </c>
      <c r="D745" s="13">
        <v>850</v>
      </c>
      <c r="E745" s="13">
        <v>950</v>
      </c>
      <c r="F745" s="13">
        <v>950</v>
      </c>
      <c r="G745" s="706" t="s">
        <v>874</v>
      </c>
      <c r="H745" s="385" t="s">
        <v>659</v>
      </c>
      <c r="I745" s="386" t="s">
        <v>17</v>
      </c>
      <c r="J745" s="37"/>
      <c r="K745" s="398" t="s">
        <v>771</v>
      </c>
      <c r="L745" s="386" t="s">
        <v>643</v>
      </c>
      <c r="M745" s="391">
        <v>43052</v>
      </c>
      <c r="N745" s="391">
        <v>43092</v>
      </c>
      <c r="O745" s="387"/>
      <c r="P745" s="61"/>
      <c r="Q745" s="147"/>
      <c r="R745" s="424" t="s">
        <v>1693</v>
      </c>
      <c r="S745" s="316" t="s">
        <v>1176</v>
      </c>
      <c r="T745" s="78"/>
      <c r="U745" s="421"/>
    </row>
    <row r="746" spans="1:21" s="377" customFormat="1" ht="20.100000000000001" customHeight="1">
      <c r="A746" s="1186" t="s">
        <v>2951</v>
      </c>
      <c r="B746" s="1186" t="s">
        <v>412</v>
      </c>
      <c r="C746" s="1186" t="s">
        <v>3851</v>
      </c>
      <c r="D746" s="793">
        <v>600</v>
      </c>
      <c r="E746" s="793">
        <v>700</v>
      </c>
      <c r="F746" s="793">
        <v>700</v>
      </c>
      <c r="G746" s="219" t="s">
        <v>51</v>
      </c>
      <c r="H746" s="403">
        <v>3</v>
      </c>
      <c r="I746" s="386" t="s">
        <v>17</v>
      </c>
      <c r="J746" s="38"/>
      <c r="K746" s="50" t="s">
        <v>3003</v>
      </c>
      <c r="L746" s="380" t="s">
        <v>639</v>
      </c>
      <c r="M746" s="381">
        <v>43084</v>
      </c>
      <c r="N746" s="381">
        <v>43089</v>
      </c>
      <c r="O746" s="411"/>
      <c r="P746" s="61" t="s">
        <v>597</v>
      </c>
      <c r="Q746" s="7"/>
      <c r="R746" s="397" t="s">
        <v>450</v>
      </c>
      <c r="S746" s="327" t="s">
        <v>3066</v>
      </c>
      <c r="T746" s="689"/>
      <c r="U746" s="421"/>
    </row>
    <row r="747" spans="1:21" s="377" customFormat="1" ht="20.100000000000001" customHeight="1">
      <c r="A747" s="1187" t="s">
        <v>2951</v>
      </c>
      <c r="B747" s="1187" t="s">
        <v>412</v>
      </c>
      <c r="C747" s="1187" t="s">
        <v>3851</v>
      </c>
      <c r="D747" s="816">
        <v>1200</v>
      </c>
      <c r="E747" s="816">
        <v>1850</v>
      </c>
      <c r="F747" s="816">
        <v>1850</v>
      </c>
      <c r="G747" s="699" t="s">
        <v>22</v>
      </c>
      <c r="H747" s="401" t="s">
        <v>1773</v>
      </c>
      <c r="I747" s="386" t="s">
        <v>16</v>
      </c>
      <c r="J747" s="37"/>
      <c r="K747" s="398" t="s">
        <v>1842</v>
      </c>
      <c r="L747" s="379" t="s">
        <v>643</v>
      </c>
      <c r="M747" s="392">
        <v>42962</v>
      </c>
      <c r="N747" s="392">
        <v>43100</v>
      </c>
      <c r="O747" s="393"/>
      <c r="P747" s="61"/>
      <c r="Q747" s="7"/>
      <c r="R747" s="397" t="s">
        <v>1783</v>
      </c>
      <c r="S747" s="316" t="s">
        <v>1176</v>
      </c>
      <c r="T747" s="78"/>
      <c r="U747" s="421"/>
    </row>
    <row r="748" spans="1:21" s="377" customFormat="1" ht="20.100000000000001" customHeight="1">
      <c r="A748" s="735" t="s">
        <v>2951</v>
      </c>
      <c r="B748" s="443" t="s">
        <v>1611</v>
      </c>
      <c r="C748" s="868" t="s">
        <v>4203</v>
      </c>
      <c r="D748" s="11">
        <f>D586+59200/60</f>
        <v>1961.6666666666665</v>
      </c>
      <c r="E748" s="11">
        <f>E586+103725/60</f>
        <v>3168.75</v>
      </c>
      <c r="F748" s="11">
        <f>F586+103725/60</f>
        <v>3168.75</v>
      </c>
      <c r="G748" s="705" t="s">
        <v>12</v>
      </c>
      <c r="H748" s="378" t="s">
        <v>1323</v>
      </c>
      <c r="I748" s="426" t="s">
        <v>1324</v>
      </c>
      <c r="J748" s="681"/>
      <c r="K748" s="379" t="s">
        <v>1325</v>
      </c>
      <c r="L748" s="379" t="s">
        <v>636</v>
      </c>
      <c r="M748" s="551">
        <v>43084</v>
      </c>
      <c r="N748" s="551">
        <v>43091</v>
      </c>
      <c r="O748" s="388"/>
      <c r="P748" s="59" t="s">
        <v>597</v>
      </c>
      <c r="Q748" s="61" t="s">
        <v>902</v>
      </c>
      <c r="R748" s="384" t="s">
        <v>168</v>
      </c>
      <c r="S748" s="315" t="s">
        <v>2912</v>
      </c>
      <c r="T748" s="688" t="s">
        <v>2840</v>
      </c>
      <c r="U748" s="421"/>
    </row>
    <row r="749" spans="1:21" s="377" customFormat="1" ht="20.100000000000001" customHeight="1">
      <c r="A749" s="1184" t="s">
        <v>2951</v>
      </c>
      <c r="B749" s="1183" t="s">
        <v>343</v>
      </c>
      <c r="C749" s="1184" t="s">
        <v>922</v>
      </c>
      <c r="D749" s="528">
        <f>D451+(52331/60)*1.15</f>
        <v>1328.0108333333333</v>
      </c>
      <c r="E749" s="528">
        <f>E451+(91268/60)*1.15</f>
        <v>2149.3033333333333</v>
      </c>
      <c r="F749" s="528">
        <f>F451+(91268/60)*1.15</f>
        <v>2149.3033333333333</v>
      </c>
      <c r="G749" s="705" t="s">
        <v>29</v>
      </c>
      <c r="H749" s="385" t="s">
        <v>1101</v>
      </c>
      <c r="I749" s="426" t="s">
        <v>93</v>
      </c>
      <c r="J749" s="681"/>
      <c r="K749" s="398">
        <v>24</v>
      </c>
      <c r="L749" s="398" t="s">
        <v>649</v>
      </c>
      <c r="M749" s="404">
        <v>43080</v>
      </c>
      <c r="N749" s="404">
        <v>43086</v>
      </c>
      <c r="O749" s="422"/>
      <c r="P749" s="751" t="s">
        <v>1072</v>
      </c>
      <c r="Q749" s="61" t="s">
        <v>934</v>
      </c>
      <c r="R749" s="397" t="s">
        <v>251</v>
      </c>
      <c r="S749" s="316" t="s">
        <v>2898</v>
      </c>
      <c r="T749" s="689"/>
      <c r="U749" s="421"/>
    </row>
    <row r="750" spans="1:21" s="377" customFormat="1" ht="20.100000000000001" customHeight="1">
      <c r="A750" s="1184" t="s">
        <v>2951</v>
      </c>
      <c r="B750" s="1183" t="s">
        <v>343</v>
      </c>
      <c r="C750" s="1183" t="s">
        <v>922</v>
      </c>
      <c r="D750" s="528">
        <f>D417+51000/55</f>
        <v>1287.2727272727273</v>
      </c>
      <c r="E750" s="528"/>
      <c r="F750" s="528">
        <f>F417+89500/55</f>
        <v>2012.2727272727273</v>
      </c>
      <c r="G750" s="705" t="s">
        <v>102</v>
      </c>
      <c r="H750" s="390">
        <v>1</v>
      </c>
      <c r="I750" s="398" t="s">
        <v>93</v>
      </c>
      <c r="J750" s="37"/>
      <c r="K750" s="426">
        <v>22</v>
      </c>
      <c r="L750" s="379" t="s">
        <v>636</v>
      </c>
      <c r="M750" s="392">
        <v>43080</v>
      </c>
      <c r="N750" s="392">
        <v>43080</v>
      </c>
      <c r="O750" s="444" t="s">
        <v>1901</v>
      </c>
      <c r="P750" s="61" t="s">
        <v>1933</v>
      </c>
      <c r="Q750" s="61" t="s">
        <v>927</v>
      </c>
      <c r="R750" s="397" t="s">
        <v>192</v>
      </c>
      <c r="S750" s="315" t="s">
        <v>2903</v>
      </c>
      <c r="T750" s="316"/>
      <c r="U750" s="421"/>
    </row>
    <row r="751" spans="1:21" s="377" customFormat="1" ht="20.100000000000001" customHeight="1">
      <c r="A751" s="1184" t="s">
        <v>2951</v>
      </c>
      <c r="B751" s="1183" t="s">
        <v>343</v>
      </c>
      <c r="C751" s="1183" t="s">
        <v>922</v>
      </c>
      <c r="D751" s="539">
        <f>D425+790+25</f>
        <v>1240</v>
      </c>
      <c r="E751" s="539">
        <f>E425+1362+50</f>
        <v>1962</v>
      </c>
      <c r="F751" s="539">
        <f>F425+1362+50</f>
        <v>1962</v>
      </c>
      <c r="G751" s="707" t="s">
        <v>61</v>
      </c>
      <c r="H751" s="385" t="s">
        <v>729</v>
      </c>
      <c r="I751" s="426" t="s">
        <v>93</v>
      </c>
      <c r="J751" s="681"/>
      <c r="K751" s="426" t="s">
        <v>794</v>
      </c>
      <c r="L751" s="398" t="s">
        <v>649</v>
      </c>
      <c r="M751" s="404">
        <v>43070</v>
      </c>
      <c r="N751" s="404">
        <v>43100</v>
      </c>
      <c r="O751" s="423" t="s">
        <v>601</v>
      </c>
      <c r="P751" s="7" t="s">
        <v>1813</v>
      </c>
      <c r="Q751" s="61" t="s">
        <v>934</v>
      </c>
      <c r="R751" s="424" t="s">
        <v>251</v>
      </c>
      <c r="S751" s="316" t="s">
        <v>2906</v>
      </c>
      <c r="T751" s="689"/>
      <c r="U751" s="421"/>
    </row>
    <row r="752" spans="1:21" s="377" customFormat="1" ht="20.100000000000001" customHeight="1">
      <c r="A752" s="1184" t="s">
        <v>2951</v>
      </c>
      <c r="B752" s="1183" t="s">
        <v>343</v>
      </c>
      <c r="C752" s="1183" t="s">
        <v>922</v>
      </c>
      <c r="D752" s="62">
        <f>D422+61448/55</f>
        <v>1317.2363636363636</v>
      </c>
      <c r="E752" s="62">
        <f>E422+92226/55</f>
        <v>1926.8363636363636</v>
      </c>
      <c r="F752" s="62">
        <f>F422+92226/55</f>
        <v>1926.8363636363636</v>
      </c>
      <c r="G752" s="710" t="s">
        <v>87</v>
      </c>
      <c r="H752" s="390" t="s">
        <v>729</v>
      </c>
      <c r="I752" s="406" t="s">
        <v>93</v>
      </c>
      <c r="J752" s="37"/>
      <c r="K752" s="406">
        <v>23</v>
      </c>
      <c r="L752" s="398" t="s">
        <v>649</v>
      </c>
      <c r="M752" s="547">
        <v>43080</v>
      </c>
      <c r="N752" s="547">
        <v>43080</v>
      </c>
      <c r="O752" s="422"/>
      <c r="P752" s="59" t="s">
        <v>603</v>
      </c>
      <c r="Q752" s="61" t="s">
        <v>919</v>
      </c>
      <c r="R752" s="397" t="s">
        <v>251</v>
      </c>
      <c r="S752" s="322" t="s">
        <v>2861</v>
      </c>
      <c r="T752" s="689"/>
      <c r="U752" s="421"/>
    </row>
    <row r="753" spans="1:21" s="377" customFormat="1" ht="20.100000000000001" customHeight="1">
      <c r="A753" s="1184" t="s">
        <v>2951</v>
      </c>
      <c r="B753" s="1183" t="s">
        <v>343</v>
      </c>
      <c r="C753" s="1183" t="s">
        <v>922</v>
      </c>
      <c r="D753" s="62">
        <f>D428+(53690+5000)/60</f>
        <v>1328.1666666666665</v>
      </c>
      <c r="E753" s="62">
        <f>E428+(93400+10000)/60</f>
        <v>2063.333333333333</v>
      </c>
      <c r="F753" s="62">
        <f>F428+(93400+10000)/60</f>
        <v>2063.333333333333</v>
      </c>
      <c r="G753" s="656" t="s">
        <v>51</v>
      </c>
      <c r="H753" s="390" t="s">
        <v>2360</v>
      </c>
      <c r="I753" s="406" t="s">
        <v>93</v>
      </c>
      <c r="J753" s="37"/>
      <c r="K753" s="406" t="s">
        <v>2361</v>
      </c>
      <c r="L753" s="380" t="s">
        <v>637</v>
      </c>
      <c r="M753" s="381">
        <v>43080</v>
      </c>
      <c r="N753" s="381">
        <v>43089</v>
      </c>
      <c r="O753" s="422"/>
      <c r="P753" s="59" t="s">
        <v>2362</v>
      </c>
      <c r="Q753" s="61" t="s">
        <v>902</v>
      </c>
      <c r="R753" s="397" t="s">
        <v>2320</v>
      </c>
      <c r="S753" s="327" t="s">
        <v>3066</v>
      </c>
      <c r="T753" s="689"/>
      <c r="U753" s="421"/>
    </row>
    <row r="754" spans="1:21" s="377" customFormat="1" ht="20.100000000000001" customHeight="1">
      <c r="A754" s="1184" t="s">
        <v>2951</v>
      </c>
      <c r="B754" s="1183" t="s">
        <v>343</v>
      </c>
      <c r="C754" s="1183" t="s">
        <v>922</v>
      </c>
      <c r="D754" s="528">
        <f>(D419+45546/60)+200</f>
        <v>1234.0999999999999</v>
      </c>
      <c r="E754" s="528">
        <f>(E419+79597/60)+600</f>
        <v>2276.6166666666668</v>
      </c>
      <c r="F754" s="528">
        <f>(F419+79597/60)+600</f>
        <v>2276.6166666666668</v>
      </c>
      <c r="G754" s="222" t="s">
        <v>10</v>
      </c>
      <c r="H754" s="390" t="s">
        <v>633</v>
      </c>
      <c r="I754" s="380" t="s">
        <v>93</v>
      </c>
      <c r="J754" s="37"/>
      <c r="K754" s="426" t="s">
        <v>949</v>
      </c>
      <c r="L754" s="379" t="s">
        <v>637</v>
      </c>
      <c r="M754" s="381">
        <v>43087</v>
      </c>
      <c r="N754" s="381">
        <v>43087</v>
      </c>
      <c r="O754" s="422"/>
      <c r="P754" s="61" t="s">
        <v>913</v>
      </c>
      <c r="Q754" s="61" t="s">
        <v>3033</v>
      </c>
      <c r="R754" s="397" t="s">
        <v>1015</v>
      </c>
      <c r="S754" s="315" t="s">
        <v>2904</v>
      </c>
      <c r="T754" s="689"/>
      <c r="U754" s="421"/>
    </row>
    <row r="755" spans="1:21" s="377" customFormat="1" ht="20.100000000000001" customHeight="1">
      <c r="A755" s="1184" t="s">
        <v>2951</v>
      </c>
      <c r="B755" s="1183" t="s">
        <v>343</v>
      </c>
      <c r="C755" s="1183" t="s">
        <v>922</v>
      </c>
      <c r="D755" s="528">
        <f>D435+933+25</f>
        <v>1188</v>
      </c>
      <c r="E755" s="528">
        <f>E435+1762+50</f>
        <v>2137</v>
      </c>
      <c r="F755" s="528">
        <f>F435+1762+50</f>
        <v>2137</v>
      </c>
      <c r="G755" s="222" t="s">
        <v>2347</v>
      </c>
      <c r="H755" s="56" t="s">
        <v>742</v>
      </c>
      <c r="I755" s="380" t="s">
        <v>93</v>
      </c>
      <c r="J755" s="37"/>
      <c r="K755" s="426" t="s">
        <v>2348</v>
      </c>
      <c r="L755" s="398" t="s">
        <v>652</v>
      </c>
      <c r="M755" s="547">
        <v>43086</v>
      </c>
      <c r="N755" s="547">
        <v>43092</v>
      </c>
      <c r="O755" s="422"/>
      <c r="P755" s="61" t="s">
        <v>605</v>
      </c>
      <c r="Q755" s="61" t="s">
        <v>934</v>
      </c>
      <c r="R755" s="17" t="s">
        <v>449</v>
      </c>
      <c r="S755" s="322" t="s">
        <v>1176</v>
      </c>
      <c r="T755" s="689"/>
      <c r="U755" s="421"/>
    </row>
    <row r="756" spans="1:21" s="377" customFormat="1" ht="20.100000000000001" customHeight="1">
      <c r="A756" s="1184" t="s">
        <v>2951</v>
      </c>
      <c r="B756" s="1183" t="s">
        <v>343</v>
      </c>
      <c r="C756" s="1183" t="s">
        <v>922</v>
      </c>
      <c r="D756" s="525">
        <f>D421+60625/60</f>
        <v>1240.4166666666665</v>
      </c>
      <c r="E756" s="525">
        <f>E421+103125/60</f>
        <v>1868.75</v>
      </c>
      <c r="F756" s="525">
        <f>F421+103125/60</f>
        <v>1868.75</v>
      </c>
      <c r="G756" s="67" t="s">
        <v>146</v>
      </c>
      <c r="H756" s="417" t="s">
        <v>651</v>
      </c>
      <c r="I756" s="380" t="s">
        <v>93</v>
      </c>
      <c r="J756" s="50"/>
      <c r="K756" s="380">
        <v>20</v>
      </c>
      <c r="L756" s="415" t="s">
        <v>637</v>
      </c>
      <c r="M756" s="551">
        <v>43084</v>
      </c>
      <c r="N756" s="551">
        <v>43091</v>
      </c>
      <c r="O756" s="419"/>
      <c r="P756" s="72" t="s">
        <v>1941</v>
      </c>
      <c r="Q756" s="61" t="s">
        <v>932</v>
      </c>
      <c r="R756" s="384" t="s">
        <v>1740</v>
      </c>
      <c r="S756" s="322" t="s">
        <v>1176</v>
      </c>
      <c r="T756" s="688" t="s">
        <v>2840</v>
      </c>
      <c r="U756" s="421"/>
    </row>
    <row r="757" spans="1:21" s="377" customFormat="1" ht="20.100000000000001" customHeight="1">
      <c r="A757" s="1184" t="s">
        <v>2951</v>
      </c>
      <c r="B757" s="1183" t="s">
        <v>343</v>
      </c>
      <c r="C757" s="1183" t="s">
        <v>922</v>
      </c>
      <c r="D757" s="525">
        <f>D433+53344/60</f>
        <v>1114.0666666666666</v>
      </c>
      <c r="E757" s="525">
        <f>E433+98096/60</f>
        <v>1909.9333333333334</v>
      </c>
      <c r="F757" s="525">
        <f>F433+96096/60</f>
        <v>1876.6</v>
      </c>
      <c r="G757" s="222" t="s">
        <v>1659</v>
      </c>
      <c r="H757" s="385" t="s">
        <v>742</v>
      </c>
      <c r="I757" s="380" t="s">
        <v>93</v>
      </c>
      <c r="J757" s="50"/>
      <c r="K757" s="380" t="s">
        <v>2345</v>
      </c>
      <c r="L757" s="398" t="s">
        <v>639</v>
      </c>
      <c r="M757" s="547">
        <v>43081</v>
      </c>
      <c r="N757" s="547">
        <v>43090</v>
      </c>
      <c r="O757" s="419"/>
      <c r="P757" s="61" t="s">
        <v>1927</v>
      </c>
      <c r="Q757" s="61" t="s">
        <v>902</v>
      </c>
      <c r="R757" s="397" t="s">
        <v>171</v>
      </c>
      <c r="S757" s="315" t="s">
        <v>2862</v>
      </c>
      <c r="T757" s="626">
        <v>14</v>
      </c>
      <c r="U757" s="421"/>
    </row>
    <row r="758" spans="1:21" s="377" customFormat="1" ht="20.100000000000001" customHeight="1">
      <c r="A758" s="1184" t="s">
        <v>2951</v>
      </c>
      <c r="B758" s="1183" t="s">
        <v>343</v>
      </c>
      <c r="C758" s="1183" t="s">
        <v>922</v>
      </c>
      <c r="D758" s="527">
        <f>D453+1020+25</f>
        <v>1295</v>
      </c>
      <c r="E758" s="527">
        <f>E453+1830+50</f>
        <v>2280</v>
      </c>
      <c r="F758" s="527">
        <f>F453+1830+50</f>
        <v>2180</v>
      </c>
      <c r="G758" s="705" t="s">
        <v>157</v>
      </c>
      <c r="H758" s="385" t="s">
        <v>1102</v>
      </c>
      <c r="I758" s="426" t="s">
        <v>93</v>
      </c>
      <c r="J758" s="681"/>
      <c r="K758" s="426">
        <v>21</v>
      </c>
      <c r="L758" s="398" t="s">
        <v>639</v>
      </c>
      <c r="M758" s="392">
        <v>43084</v>
      </c>
      <c r="N758" s="392">
        <v>43088</v>
      </c>
      <c r="O758" s="423" t="s">
        <v>601</v>
      </c>
      <c r="P758" s="61" t="s">
        <v>1942</v>
      </c>
      <c r="Q758" s="61" t="s">
        <v>3033</v>
      </c>
      <c r="R758" s="424" t="s">
        <v>171</v>
      </c>
      <c r="S758" s="316" t="s">
        <v>2909</v>
      </c>
      <c r="T758" s="689"/>
      <c r="U758" s="421"/>
    </row>
    <row r="759" spans="1:21" s="377" customFormat="1" ht="20.100000000000001" customHeight="1">
      <c r="A759" s="1184" t="s">
        <v>2951</v>
      </c>
      <c r="B759" s="1183" t="s">
        <v>343</v>
      </c>
      <c r="C759" s="1183" t="s">
        <v>922</v>
      </c>
      <c r="D759" s="32">
        <v>1425</v>
      </c>
      <c r="E759" s="32">
        <v>2000</v>
      </c>
      <c r="F759" s="32">
        <v>2000</v>
      </c>
      <c r="G759" s="218" t="s">
        <v>145</v>
      </c>
      <c r="H759" s="385" t="s">
        <v>1102</v>
      </c>
      <c r="I759" s="398" t="s">
        <v>93</v>
      </c>
      <c r="J759" s="37"/>
      <c r="K759" s="398" t="s">
        <v>1261</v>
      </c>
      <c r="L759" s="398" t="s">
        <v>652</v>
      </c>
      <c r="M759" s="399">
        <v>43073</v>
      </c>
      <c r="N759" s="399">
        <v>43086</v>
      </c>
      <c r="O759" s="382" t="s">
        <v>611</v>
      </c>
      <c r="P759" s="61" t="s">
        <v>588</v>
      </c>
      <c r="Q759" s="61" t="s">
        <v>1661</v>
      </c>
      <c r="R759" s="397" t="s">
        <v>187</v>
      </c>
      <c r="S759" s="316" t="s">
        <v>2908</v>
      </c>
      <c r="T759" s="848" t="s">
        <v>4105</v>
      </c>
      <c r="U759" s="421"/>
    </row>
    <row r="760" spans="1:21" s="377" customFormat="1" ht="20.100000000000001" customHeight="1">
      <c r="A760" s="1184" t="s">
        <v>2951</v>
      </c>
      <c r="B760" s="1183" t="s">
        <v>343</v>
      </c>
      <c r="C760" s="1183" t="s">
        <v>922</v>
      </c>
      <c r="D760" s="32">
        <f>D440+50801/60</f>
        <v>1096.6833333333334</v>
      </c>
      <c r="E760" s="32">
        <f>E440+89645/60</f>
        <v>1744.0833333333333</v>
      </c>
      <c r="F760" s="32">
        <f>F440+89645/60</f>
        <v>1744.0833333333333</v>
      </c>
      <c r="G760" s="656" t="s">
        <v>2328</v>
      </c>
      <c r="H760" s="385" t="s">
        <v>725</v>
      </c>
      <c r="I760" s="398" t="s">
        <v>93</v>
      </c>
      <c r="J760" s="37"/>
      <c r="K760" s="398" t="s">
        <v>2336</v>
      </c>
      <c r="L760" s="379" t="s">
        <v>641</v>
      </c>
      <c r="M760" s="381">
        <v>43082</v>
      </c>
      <c r="N760" s="381">
        <v>43086</v>
      </c>
      <c r="O760" s="394" t="s">
        <v>1949</v>
      </c>
      <c r="P760" s="72" t="s">
        <v>2285</v>
      </c>
      <c r="Q760" s="61" t="s">
        <v>2337</v>
      </c>
      <c r="R760" s="397" t="s">
        <v>826</v>
      </c>
      <c r="S760" s="336" t="s">
        <v>1176</v>
      </c>
      <c r="T760" s="323" t="s">
        <v>2935</v>
      </c>
      <c r="U760" s="421"/>
    </row>
    <row r="761" spans="1:21" s="377" customFormat="1" ht="20.100000000000001" customHeight="1">
      <c r="A761" s="1184" t="s">
        <v>2951</v>
      </c>
      <c r="B761" s="1183" t="s">
        <v>343</v>
      </c>
      <c r="C761" s="1183" t="s">
        <v>922</v>
      </c>
      <c r="D761" s="528">
        <f>D448+75925/60</f>
        <v>1625.4166666666667</v>
      </c>
      <c r="E761" s="528">
        <f>E448+128103/60</f>
        <v>2485.0500000000002</v>
      </c>
      <c r="F761" s="528">
        <f>F448+128103/60</f>
        <v>2485.0500000000002</v>
      </c>
      <c r="G761" s="67" t="s">
        <v>432</v>
      </c>
      <c r="H761" s="385" t="s">
        <v>721</v>
      </c>
      <c r="I761" s="426" t="s">
        <v>93</v>
      </c>
      <c r="J761" s="681"/>
      <c r="K761" s="398" t="s">
        <v>1006</v>
      </c>
      <c r="L761" s="415" t="s">
        <v>637</v>
      </c>
      <c r="M761" s="391">
        <v>43050</v>
      </c>
      <c r="N761" s="547">
        <v>43089</v>
      </c>
      <c r="O761" s="422"/>
      <c r="P761" s="61" t="s">
        <v>1944</v>
      </c>
      <c r="Q761" s="61" t="s">
        <v>902</v>
      </c>
      <c r="R761" s="397" t="s">
        <v>202</v>
      </c>
      <c r="S761" s="319" t="s">
        <v>1177</v>
      </c>
      <c r="T761" s="689"/>
      <c r="U761" s="421"/>
    </row>
    <row r="762" spans="1:21" s="377" customFormat="1" ht="20.100000000000001" customHeight="1">
      <c r="A762" s="1184" t="s">
        <v>2951</v>
      </c>
      <c r="B762" s="1183" t="s">
        <v>343</v>
      </c>
      <c r="C762" s="1183" t="s">
        <v>922</v>
      </c>
      <c r="D762" s="528">
        <f>D450+1378+25</f>
        <v>2353</v>
      </c>
      <c r="E762" s="528"/>
      <c r="F762" s="528">
        <f>F450+1826+50</f>
        <v>3426</v>
      </c>
      <c r="G762" s="222" t="s">
        <v>134</v>
      </c>
      <c r="H762" s="401" t="s">
        <v>706</v>
      </c>
      <c r="I762" s="426" t="s">
        <v>93</v>
      </c>
      <c r="J762" s="681"/>
      <c r="K762" s="386">
        <v>23</v>
      </c>
      <c r="L762" s="379" t="s">
        <v>643</v>
      </c>
      <c r="M762" s="392">
        <v>42962</v>
      </c>
      <c r="N762" s="392">
        <v>43100</v>
      </c>
      <c r="O762" s="422"/>
      <c r="P762" s="61" t="s">
        <v>588</v>
      </c>
      <c r="Q762" s="61" t="s">
        <v>919</v>
      </c>
      <c r="R762" s="397" t="s">
        <v>1783</v>
      </c>
      <c r="S762" s="316" t="s">
        <v>1176</v>
      </c>
      <c r="T762" s="689"/>
      <c r="U762" s="421"/>
    </row>
    <row r="763" spans="1:21" s="377" customFormat="1" ht="20.100000000000001" customHeight="1">
      <c r="A763" s="1184" t="s">
        <v>2951</v>
      </c>
      <c r="B763" s="1183" t="s">
        <v>343</v>
      </c>
      <c r="C763" s="1183" t="s">
        <v>922</v>
      </c>
      <c r="D763" s="32">
        <f>D473+52420/55</f>
        <v>1553.090909090909</v>
      </c>
      <c r="E763" s="32">
        <f>E473+78148/55</f>
        <v>2220.8727272727274</v>
      </c>
      <c r="F763" s="32">
        <f>F473+78148/55</f>
        <v>2220.8727272727274</v>
      </c>
      <c r="G763" s="67" t="s">
        <v>207</v>
      </c>
      <c r="H763" s="378">
        <v>1</v>
      </c>
      <c r="I763" s="406" t="s">
        <v>130</v>
      </c>
      <c r="J763" s="50"/>
      <c r="K763" s="406">
        <v>25</v>
      </c>
      <c r="L763" s="379" t="s">
        <v>636</v>
      </c>
      <c r="M763" s="547">
        <v>43040</v>
      </c>
      <c r="N763" s="547">
        <v>43080</v>
      </c>
      <c r="O763" s="422"/>
      <c r="P763" s="59" t="s">
        <v>782</v>
      </c>
      <c r="Q763" s="61" t="s">
        <v>3034</v>
      </c>
      <c r="R763" s="427" t="s">
        <v>192</v>
      </c>
      <c r="S763" s="322" t="s">
        <v>2849</v>
      </c>
      <c r="T763" s="689"/>
      <c r="U763" s="421"/>
    </row>
    <row r="764" spans="1:21" s="377" customFormat="1" ht="20.100000000000001" customHeight="1">
      <c r="A764" s="1184" t="s">
        <v>2951</v>
      </c>
      <c r="B764" s="1183" t="s">
        <v>343</v>
      </c>
      <c r="C764" s="1183" t="s">
        <v>922</v>
      </c>
      <c r="D764" s="528">
        <f>D459+43500/55</f>
        <v>1150.909090909091</v>
      </c>
      <c r="E764" s="528"/>
      <c r="F764" s="528">
        <f>F459+78000/55</f>
        <v>1803.1818181818182</v>
      </c>
      <c r="G764" s="705" t="s">
        <v>37</v>
      </c>
      <c r="H764" s="378">
        <v>1</v>
      </c>
      <c r="I764" s="426" t="s">
        <v>130</v>
      </c>
      <c r="J764" s="681"/>
      <c r="K764" s="426">
        <v>24</v>
      </c>
      <c r="L764" s="379" t="s">
        <v>636</v>
      </c>
      <c r="M764" s="392">
        <v>43080</v>
      </c>
      <c r="N764" s="392">
        <v>43080</v>
      </c>
      <c r="O764" s="444" t="s">
        <v>1901</v>
      </c>
      <c r="P764" s="61" t="s">
        <v>907</v>
      </c>
      <c r="Q764" s="61" t="s">
        <v>927</v>
      </c>
      <c r="R764" s="397" t="s">
        <v>192</v>
      </c>
      <c r="S764" s="315" t="s">
        <v>2903</v>
      </c>
      <c r="T764" s="316"/>
      <c r="U764" s="421"/>
    </row>
    <row r="765" spans="1:21" s="377" customFormat="1" ht="20.100000000000001" customHeight="1">
      <c r="A765" s="1184" t="s">
        <v>2951</v>
      </c>
      <c r="B765" s="1183" t="s">
        <v>343</v>
      </c>
      <c r="C765" s="1183" t="s">
        <v>922</v>
      </c>
      <c r="D765" s="528">
        <f>D474+37876/60</f>
        <v>1006.2666666666667</v>
      </c>
      <c r="E765" s="528">
        <f>E474+66957/60</f>
        <v>1565.95</v>
      </c>
      <c r="F765" s="528">
        <f>F474+66957/60</f>
        <v>1565.95</v>
      </c>
      <c r="G765" s="222" t="s">
        <v>10</v>
      </c>
      <c r="H765" s="378">
        <v>1</v>
      </c>
      <c r="I765" s="426" t="s">
        <v>130</v>
      </c>
      <c r="J765" s="681"/>
      <c r="K765" s="426" t="s">
        <v>951</v>
      </c>
      <c r="L765" s="379" t="s">
        <v>636</v>
      </c>
      <c r="M765" s="381">
        <v>43087</v>
      </c>
      <c r="N765" s="381">
        <v>43087</v>
      </c>
      <c r="O765" s="422"/>
      <c r="P765" s="61"/>
      <c r="Q765" s="61" t="s">
        <v>3033</v>
      </c>
      <c r="R765" s="397" t="s">
        <v>203</v>
      </c>
      <c r="S765" s="315" t="s">
        <v>2904</v>
      </c>
      <c r="T765" s="689"/>
      <c r="U765" s="421"/>
    </row>
    <row r="766" spans="1:21" s="377" customFormat="1" ht="20.100000000000001" customHeight="1">
      <c r="A766" s="1184" t="s">
        <v>2951</v>
      </c>
      <c r="B766" s="1183" t="s">
        <v>343</v>
      </c>
      <c r="C766" s="1183" t="s">
        <v>922</v>
      </c>
      <c r="D766" s="526">
        <f>D462+55000/60</f>
        <v>1291.6666666666665</v>
      </c>
      <c r="E766" s="526">
        <f>E462+97500/60</f>
        <v>2040</v>
      </c>
      <c r="F766" s="526">
        <f>F462+97500/60</f>
        <v>2040</v>
      </c>
      <c r="G766" s="705" t="s">
        <v>12</v>
      </c>
      <c r="H766" s="417" t="s">
        <v>729</v>
      </c>
      <c r="I766" s="398" t="s">
        <v>130</v>
      </c>
      <c r="J766" s="37"/>
      <c r="K766" s="426">
        <v>24</v>
      </c>
      <c r="L766" s="379" t="s">
        <v>636</v>
      </c>
      <c r="M766" s="551">
        <v>43084</v>
      </c>
      <c r="N766" s="551">
        <v>43091</v>
      </c>
      <c r="O766" s="419"/>
      <c r="P766" s="61" t="s">
        <v>597</v>
      </c>
      <c r="Q766" s="61" t="s">
        <v>932</v>
      </c>
      <c r="R766" s="397" t="s">
        <v>271</v>
      </c>
      <c r="S766" s="322" t="s">
        <v>1176</v>
      </c>
      <c r="T766" s="688" t="s">
        <v>2840</v>
      </c>
      <c r="U766" s="421"/>
    </row>
    <row r="767" spans="1:21" s="377" customFormat="1" ht="20.100000000000001" customHeight="1">
      <c r="A767" s="1184" t="s">
        <v>2951</v>
      </c>
      <c r="B767" s="1183" t="s">
        <v>343</v>
      </c>
      <c r="C767" s="1183" t="s">
        <v>922</v>
      </c>
      <c r="D767" s="526">
        <f>D464+(45540+5000)/60</f>
        <v>1442.3333333333335</v>
      </c>
      <c r="E767" s="526">
        <f>E464+(80550+10000)/60</f>
        <v>2159.166666666667</v>
      </c>
      <c r="F767" s="526">
        <f>F464+(80550+10000)/60</f>
        <v>2159.166666666667</v>
      </c>
      <c r="G767" s="222" t="s">
        <v>51</v>
      </c>
      <c r="H767" s="417" t="s">
        <v>2363</v>
      </c>
      <c r="I767" s="398" t="s">
        <v>130</v>
      </c>
      <c r="J767" s="37"/>
      <c r="K767" s="426" t="s">
        <v>2364</v>
      </c>
      <c r="L767" s="380" t="s">
        <v>639</v>
      </c>
      <c r="M767" s="381">
        <v>43080</v>
      </c>
      <c r="N767" s="381">
        <v>43089</v>
      </c>
      <c r="O767" s="419"/>
      <c r="P767" s="61" t="s">
        <v>597</v>
      </c>
      <c r="Q767" s="61" t="s">
        <v>902</v>
      </c>
      <c r="R767" s="424" t="s">
        <v>171</v>
      </c>
      <c r="S767" s="322"/>
      <c r="T767" s="688"/>
      <c r="U767" s="421"/>
    </row>
    <row r="768" spans="1:21" s="377" customFormat="1" ht="20.100000000000001" customHeight="1">
      <c r="A768" s="1184" t="s">
        <v>2951</v>
      </c>
      <c r="B768" s="1183" t="s">
        <v>343</v>
      </c>
      <c r="C768" s="1183" t="s">
        <v>922</v>
      </c>
      <c r="D768" s="526">
        <f>D465+49570/60</f>
        <v>1151.1666666666665</v>
      </c>
      <c r="E768" s="526">
        <f>E465+91370/60</f>
        <v>1997.8333333333333</v>
      </c>
      <c r="F768" s="526">
        <f>F465+88770/60</f>
        <v>1954.5</v>
      </c>
      <c r="G768" s="222" t="s">
        <v>1659</v>
      </c>
      <c r="H768" s="385" t="s">
        <v>742</v>
      </c>
      <c r="I768" s="398" t="s">
        <v>130</v>
      </c>
      <c r="J768" s="37"/>
      <c r="K768" s="380" t="s">
        <v>2346</v>
      </c>
      <c r="L768" s="398" t="s">
        <v>639</v>
      </c>
      <c r="M768" s="547">
        <v>43081</v>
      </c>
      <c r="N768" s="547">
        <v>43090</v>
      </c>
      <c r="O768" s="419"/>
      <c r="P768" s="61"/>
      <c r="Q768" s="61" t="s">
        <v>902</v>
      </c>
      <c r="R768" s="397" t="s">
        <v>171</v>
      </c>
      <c r="S768" s="315" t="s">
        <v>2862</v>
      </c>
      <c r="T768" s="626">
        <v>14</v>
      </c>
      <c r="U768" s="421"/>
    </row>
    <row r="769" spans="1:21" s="377" customFormat="1" ht="20.100000000000001" customHeight="1">
      <c r="A769" s="1184" t="s">
        <v>2951</v>
      </c>
      <c r="B769" s="1183" t="s">
        <v>343</v>
      </c>
      <c r="C769" s="1183" t="s">
        <v>922</v>
      </c>
      <c r="D769" s="526">
        <f>D467+808+25</f>
        <v>1113</v>
      </c>
      <c r="E769" s="526">
        <f>E467+1539+50</f>
        <v>2014</v>
      </c>
      <c r="F769" s="526">
        <f>F467+1539+50</f>
        <v>2014</v>
      </c>
      <c r="G769" s="222" t="s">
        <v>2347</v>
      </c>
      <c r="H769" s="385" t="s">
        <v>2350</v>
      </c>
      <c r="I769" s="398" t="s">
        <v>130</v>
      </c>
      <c r="J769" s="37"/>
      <c r="K769" s="380" t="s">
        <v>2346</v>
      </c>
      <c r="L769" s="386" t="s">
        <v>639</v>
      </c>
      <c r="M769" s="547">
        <v>43086</v>
      </c>
      <c r="N769" s="547">
        <v>43092</v>
      </c>
      <c r="O769" s="419"/>
      <c r="P769" s="61"/>
      <c r="Q769" s="61" t="s">
        <v>934</v>
      </c>
      <c r="R769" s="397" t="s">
        <v>171</v>
      </c>
      <c r="S769" s="322"/>
      <c r="T769" s="626"/>
      <c r="U769" s="421"/>
    </row>
    <row r="770" spans="1:21" s="377" customFormat="1" ht="20.100000000000001" customHeight="1">
      <c r="A770" s="1184" t="s">
        <v>2951</v>
      </c>
      <c r="B770" s="1183" t="s">
        <v>343</v>
      </c>
      <c r="C770" s="1183" t="s">
        <v>922</v>
      </c>
      <c r="D770" s="525">
        <f>D476+910+25</f>
        <v>1185</v>
      </c>
      <c r="E770" s="11">
        <f>E476+1540+50</f>
        <v>1990</v>
      </c>
      <c r="F770" s="11">
        <f>F476+1540+50</f>
        <v>1890</v>
      </c>
      <c r="G770" s="705" t="s">
        <v>157</v>
      </c>
      <c r="H770" s="385" t="s">
        <v>1102</v>
      </c>
      <c r="I770" s="398" t="s">
        <v>130</v>
      </c>
      <c r="J770" s="37"/>
      <c r="K770" s="426">
        <v>23</v>
      </c>
      <c r="L770" s="398" t="s">
        <v>639</v>
      </c>
      <c r="M770" s="392">
        <v>43084</v>
      </c>
      <c r="N770" s="392">
        <v>43088</v>
      </c>
      <c r="O770" s="423" t="s">
        <v>601</v>
      </c>
      <c r="P770" s="61" t="s">
        <v>1942</v>
      </c>
      <c r="Q770" s="61" t="s">
        <v>902</v>
      </c>
      <c r="R770" s="424" t="s">
        <v>171</v>
      </c>
      <c r="S770" s="316" t="s">
        <v>2909</v>
      </c>
      <c r="T770" s="689"/>
      <c r="U770" s="421"/>
    </row>
    <row r="771" spans="1:21" s="377" customFormat="1" ht="20.100000000000001" customHeight="1">
      <c r="A771" s="1184" t="s">
        <v>2951</v>
      </c>
      <c r="B771" s="1183" t="s">
        <v>343</v>
      </c>
      <c r="C771" s="1183" t="s">
        <v>922</v>
      </c>
      <c r="D771" s="32">
        <v>1425</v>
      </c>
      <c r="E771" s="32">
        <v>2000</v>
      </c>
      <c r="F771" s="32">
        <v>2000</v>
      </c>
      <c r="G771" s="218" t="s">
        <v>19</v>
      </c>
      <c r="H771" s="385" t="s">
        <v>1102</v>
      </c>
      <c r="I771" s="398" t="s">
        <v>623</v>
      </c>
      <c r="J771" s="37"/>
      <c r="K771" s="398" t="s">
        <v>1268</v>
      </c>
      <c r="L771" s="398" t="s">
        <v>652</v>
      </c>
      <c r="M771" s="399">
        <v>43073</v>
      </c>
      <c r="N771" s="399">
        <v>43086</v>
      </c>
      <c r="O771" s="382" t="s">
        <v>611</v>
      </c>
      <c r="P771" s="105"/>
      <c r="Q771" s="61" t="s">
        <v>1661</v>
      </c>
      <c r="R771" s="397" t="s">
        <v>187</v>
      </c>
      <c r="S771" s="316" t="s">
        <v>2908</v>
      </c>
      <c r="T771" s="848" t="s">
        <v>4105</v>
      </c>
      <c r="U771" s="421"/>
    </row>
    <row r="772" spans="1:21" s="377" customFormat="1" ht="20.100000000000001" customHeight="1">
      <c r="A772" s="1184" t="s">
        <v>2951</v>
      </c>
      <c r="B772" s="1183" t="s">
        <v>343</v>
      </c>
      <c r="C772" s="1183" t="s">
        <v>922</v>
      </c>
      <c r="D772" s="815">
        <f>D472+688+25</f>
        <v>713</v>
      </c>
      <c r="E772" s="815">
        <f>E472+1200+50</f>
        <v>1250</v>
      </c>
      <c r="F772" s="815">
        <f>F472+1200+50</f>
        <v>1250</v>
      </c>
      <c r="G772" s="705" t="s">
        <v>13</v>
      </c>
      <c r="H772" s="385" t="s">
        <v>721</v>
      </c>
      <c r="I772" s="398" t="s">
        <v>623</v>
      </c>
      <c r="J772" s="37"/>
      <c r="K772" s="398" t="s">
        <v>663</v>
      </c>
      <c r="L772" s="398" t="s">
        <v>639</v>
      </c>
      <c r="M772" s="404">
        <v>43040</v>
      </c>
      <c r="N772" s="404">
        <v>43100</v>
      </c>
      <c r="O772" s="423" t="s">
        <v>601</v>
      </c>
      <c r="P772" s="751"/>
      <c r="Q772" s="61" t="s">
        <v>3035</v>
      </c>
      <c r="R772" s="397" t="s">
        <v>173</v>
      </c>
      <c r="S772" s="316" t="s">
        <v>2906</v>
      </c>
      <c r="T772" s="689"/>
      <c r="U772" s="421"/>
    </row>
    <row r="773" spans="1:21" s="377" customFormat="1" ht="20.100000000000001" customHeight="1">
      <c r="A773" s="1184" t="s">
        <v>2951</v>
      </c>
      <c r="B773" s="1183" t="s">
        <v>343</v>
      </c>
      <c r="C773" s="1214" t="s">
        <v>922</v>
      </c>
      <c r="D773" s="160">
        <f>D475+(41728/60)*1.15</f>
        <v>799.78666666666663</v>
      </c>
      <c r="E773" s="160">
        <f>E475+(72598/60)*1.15</f>
        <v>1391.4616666666666</v>
      </c>
      <c r="F773" s="160">
        <f>F475+(72598/60)*1.15</f>
        <v>1391.4616666666666</v>
      </c>
      <c r="G773" s="814" t="s">
        <v>29</v>
      </c>
      <c r="H773" s="385" t="s">
        <v>1098</v>
      </c>
      <c r="I773" s="398" t="s">
        <v>623</v>
      </c>
      <c r="J773" s="37"/>
      <c r="K773" s="398" t="s">
        <v>1100</v>
      </c>
      <c r="L773" s="398" t="s">
        <v>652</v>
      </c>
      <c r="M773" s="404">
        <v>43038</v>
      </c>
      <c r="N773" s="404">
        <v>43086</v>
      </c>
      <c r="O773" s="422"/>
      <c r="P773" s="61"/>
      <c r="Q773" s="61" t="s">
        <v>3035</v>
      </c>
      <c r="R773" s="397" t="s">
        <v>173</v>
      </c>
      <c r="S773" s="316" t="s">
        <v>2898</v>
      </c>
      <c r="T773" s="689"/>
      <c r="U773" s="421"/>
    </row>
    <row r="774" spans="1:21" s="377" customFormat="1" ht="20.100000000000001" customHeight="1">
      <c r="A774" s="1184" t="s">
        <v>2951</v>
      </c>
      <c r="B774" s="1183" t="s">
        <v>343</v>
      </c>
      <c r="C774" s="1183" t="s">
        <v>922</v>
      </c>
      <c r="D774" s="809">
        <f>D555+(44118/60)*1.15</f>
        <v>1320.5949999999998</v>
      </c>
      <c r="E774" s="809">
        <f>E555+(77558/60)*1.15</f>
        <v>1986.5283333333334</v>
      </c>
      <c r="F774" s="809">
        <f>F555+(77558/60)*1.15</f>
        <v>1986.5283333333334</v>
      </c>
      <c r="G774" s="705" t="s">
        <v>29</v>
      </c>
      <c r="H774" s="385" t="s">
        <v>659</v>
      </c>
      <c r="I774" s="426" t="s">
        <v>472</v>
      </c>
      <c r="J774" s="681"/>
      <c r="K774" s="386">
        <v>33</v>
      </c>
      <c r="L774" s="398" t="s">
        <v>639</v>
      </c>
      <c r="M774" s="404">
        <v>43082</v>
      </c>
      <c r="N774" s="404">
        <v>43086</v>
      </c>
      <c r="O774" s="422"/>
      <c r="P774" s="61" t="s">
        <v>599</v>
      </c>
      <c r="Q774" s="61" t="s">
        <v>934</v>
      </c>
      <c r="R774" s="397" t="s">
        <v>450</v>
      </c>
      <c r="S774" s="316" t="s">
        <v>2898</v>
      </c>
      <c r="T774" s="689"/>
      <c r="U774" s="421"/>
    </row>
    <row r="775" spans="1:21" s="377" customFormat="1" ht="20.100000000000001" customHeight="1">
      <c r="A775" s="1184" t="s">
        <v>2951</v>
      </c>
      <c r="B775" s="1183" t="s">
        <v>343</v>
      </c>
      <c r="C775" s="1183" t="s">
        <v>922</v>
      </c>
      <c r="D775" s="528">
        <f>D535+(47900+5000)/60</f>
        <v>1281.6666666666665</v>
      </c>
      <c r="E775" s="528">
        <f>E535+(85400+10000)/60</f>
        <v>2040</v>
      </c>
      <c r="F775" s="528">
        <f>F535+(85400+10000)/60</f>
        <v>2040</v>
      </c>
      <c r="G775" s="222" t="s">
        <v>51</v>
      </c>
      <c r="H775" s="403">
        <v>3</v>
      </c>
      <c r="I775" s="426" t="s">
        <v>472</v>
      </c>
      <c r="J775" s="681"/>
      <c r="K775" s="386" t="s">
        <v>2364</v>
      </c>
      <c r="L775" s="380" t="s">
        <v>639</v>
      </c>
      <c r="M775" s="381">
        <v>43084</v>
      </c>
      <c r="N775" s="381">
        <v>43089</v>
      </c>
      <c r="O775" s="422"/>
      <c r="P775" s="61" t="s">
        <v>597</v>
      </c>
      <c r="Q775" s="61" t="s">
        <v>902</v>
      </c>
      <c r="R775" s="397" t="s">
        <v>450</v>
      </c>
      <c r="S775" s="327" t="s">
        <v>3066</v>
      </c>
      <c r="T775" s="689"/>
      <c r="U775" s="421"/>
    </row>
    <row r="776" spans="1:21" s="377" customFormat="1" ht="20.100000000000001" customHeight="1">
      <c r="A776" s="1184" t="s">
        <v>2951</v>
      </c>
      <c r="B776" s="1183" t="s">
        <v>343</v>
      </c>
      <c r="C776" s="1183" t="s">
        <v>922</v>
      </c>
      <c r="D776" s="528">
        <f>D554+43369/60</f>
        <v>1097.8166666666666</v>
      </c>
      <c r="E776" s="528">
        <f>E554+79575/60</f>
        <v>1776.25</v>
      </c>
      <c r="F776" s="528">
        <f>F554+79575/60</f>
        <v>1776.25</v>
      </c>
      <c r="G776" s="222" t="s">
        <v>2328</v>
      </c>
      <c r="H776" s="385" t="s">
        <v>725</v>
      </c>
      <c r="I776" s="398" t="s">
        <v>472</v>
      </c>
      <c r="J776" s="681"/>
      <c r="K776" s="386" t="s">
        <v>2341</v>
      </c>
      <c r="L776" s="379" t="s">
        <v>641</v>
      </c>
      <c r="M776" s="381">
        <v>43082</v>
      </c>
      <c r="N776" s="381">
        <v>43086</v>
      </c>
      <c r="O776" s="394" t="s">
        <v>1949</v>
      </c>
      <c r="P776" s="61"/>
      <c r="Q776" s="61" t="s">
        <v>2337</v>
      </c>
      <c r="R776" s="397" t="s">
        <v>826</v>
      </c>
      <c r="S776" s="336" t="s">
        <v>1176</v>
      </c>
      <c r="T776" s="323" t="s">
        <v>2935</v>
      </c>
      <c r="U776" s="421"/>
    </row>
    <row r="777" spans="1:21" s="377" customFormat="1" ht="20.100000000000001" customHeight="1">
      <c r="A777" s="1184" t="s">
        <v>2951</v>
      </c>
      <c r="B777" s="1183" t="s">
        <v>343</v>
      </c>
      <c r="C777" s="1183" t="s">
        <v>922</v>
      </c>
      <c r="D777" s="32">
        <f>D545+42726/60</f>
        <v>1222.0999999999999</v>
      </c>
      <c r="E777" s="32">
        <f>E545+77767/60</f>
        <v>2016.1166666666666</v>
      </c>
      <c r="F777" s="32">
        <f>F545+77767/60</f>
        <v>2016.1166666666666</v>
      </c>
      <c r="G777" s="222" t="s">
        <v>10</v>
      </c>
      <c r="H777" s="385" t="s">
        <v>725</v>
      </c>
      <c r="I777" s="426" t="s">
        <v>472</v>
      </c>
      <c r="J777" s="681"/>
      <c r="K777" s="379" t="s">
        <v>680</v>
      </c>
      <c r="L777" s="379" t="s">
        <v>641</v>
      </c>
      <c r="M777" s="381">
        <v>43045</v>
      </c>
      <c r="N777" s="547">
        <v>43087</v>
      </c>
      <c r="O777" s="422"/>
      <c r="P777" s="677"/>
      <c r="Q777" s="61" t="s">
        <v>3033</v>
      </c>
      <c r="R777" s="397" t="s">
        <v>836</v>
      </c>
      <c r="S777" s="316" t="s">
        <v>1176</v>
      </c>
      <c r="T777" s="689"/>
      <c r="U777" s="421"/>
    </row>
    <row r="778" spans="1:21" s="377" customFormat="1" ht="20.100000000000001" customHeight="1">
      <c r="A778" s="1184" t="s">
        <v>2951</v>
      </c>
      <c r="B778" s="1183" t="s">
        <v>343</v>
      </c>
      <c r="C778" s="1183" t="s">
        <v>922</v>
      </c>
      <c r="D778" s="528">
        <f>D546+44000/55</f>
        <v>1235</v>
      </c>
      <c r="E778" s="528"/>
      <c r="F778" s="528">
        <f>F546+80000/55</f>
        <v>1964.5454545454545</v>
      </c>
      <c r="G778" s="705" t="s">
        <v>37</v>
      </c>
      <c r="H778" s="385">
        <v>5</v>
      </c>
      <c r="I778" s="426" t="s">
        <v>472</v>
      </c>
      <c r="J778" s="681"/>
      <c r="K778" s="386" t="s">
        <v>872</v>
      </c>
      <c r="L778" s="380" t="s">
        <v>649</v>
      </c>
      <c r="M778" s="392">
        <v>43063</v>
      </c>
      <c r="N778" s="392">
        <v>43080</v>
      </c>
      <c r="O778" s="419"/>
      <c r="P778" s="750"/>
      <c r="Q778" s="61" t="s">
        <v>927</v>
      </c>
      <c r="R778" s="397" t="s">
        <v>179</v>
      </c>
      <c r="S778" s="315" t="s">
        <v>2903</v>
      </c>
      <c r="T778" s="316"/>
      <c r="U778" s="421"/>
    </row>
    <row r="779" spans="1:21" s="377" customFormat="1" ht="20.100000000000001" customHeight="1">
      <c r="A779" s="1184" t="s">
        <v>2951</v>
      </c>
      <c r="B779" s="1183" t="s">
        <v>343</v>
      </c>
      <c r="C779" s="1183" t="s">
        <v>922</v>
      </c>
      <c r="D779" s="32">
        <f>D547+970+25</f>
        <v>1245</v>
      </c>
      <c r="E779" s="528">
        <f>E547+1660+50</f>
        <v>2160</v>
      </c>
      <c r="F779" s="528">
        <f>F547+1660+50</f>
        <v>2110</v>
      </c>
      <c r="G779" s="705" t="s">
        <v>28</v>
      </c>
      <c r="H779" s="417">
        <v>5</v>
      </c>
      <c r="I779" s="426" t="s">
        <v>472</v>
      </c>
      <c r="J779" s="681"/>
      <c r="K779" s="386">
        <v>20</v>
      </c>
      <c r="L779" s="380" t="s">
        <v>649</v>
      </c>
      <c r="M779" s="392">
        <v>43084</v>
      </c>
      <c r="N779" s="392">
        <v>43088</v>
      </c>
      <c r="O779" s="422"/>
      <c r="P779" s="61" t="s">
        <v>1676</v>
      </c>
      <c r="Q779" s="61" t="s">
        <v>902</v>
      </c>
      <c r="R779" s="397" t="s">
        <v>504</v>
      </c>
      <c r="S779" s="316" t="s">
        <v>2909</v>
      </c>
      <c r="T779" s="689"/>
      <c r="U779" s="421"/>
    </row>
    <row r="780" spans="1:21" s="377" customFormat="1" ht="20.100000000000001" customHeight="1">
      <c r="A780" s="1184" t="s">
        <v>2951</v>
      </c>
      <c r="B780" s="1183" t="s">
        <v>343</v>
      </c>
      <c r="C780" s="1183" t="s">
        <v>922</v>
      </c>
      <c r="D780" s="526">
        <f>D548+54600/60</f>
        <v>1310</v>
      </c>
      <c r="E780" s="526">
        <f>E548+93600/60</f>
        <v>2060</v>
      </c>
      <c r="F780" s="526">
        <f>F548+93600/60</f>
        <v>2060</v>
      </c>
      <c r="G780" s="705" t="s">
        <v>236</v>
      </c>
      <c r="H780" s="417" t="s">
        <v>721</v>
      </c>
      <c r="I780" s="386" t="s">
        <v>472</v>
      </c>
      <c r="J780" s="37"/>
      <c r="K780" s="398">
        <v>19</v>
      </c>
      <c r="L780" s="386" t="s">
        <v>641</v>
      </c>
      <c r="M780" s="399">
        <v>43064</v>
      </c>
      <c r="N780" s="399">
        <v>43086</v>
      </c>
      <c r="O780" s="423" t="s">
        <v>601</v>
      </c>
      <c r="P780" s="751"/>
      <c r="Q780" s="61" t="s">
        <v>934</v>
      </c>
      <c r="R780" s="424" t="s">
        <v>202</v>
      </c>
      <c r="S780" s="316"/>
      <c r="T780" s="689"/>
      <c r="U780" s="421"/>
    </row>
    <row r="781" spans="1:21" s="377" customFormat="1" ht="20.100000000000001" customHeight="1">
      <c r="A781" s="1184" t="s">
        <v>2951</v>
      </c>
      <c r="B781" s="1183" t="s">
        <v>343</v>
      </c>
      <c r="C781" s="1183" t="s">
        <v>922</v>
      </c>
      <c r="D781" s="528">
        <f>D549+56425/60</f>
        <v>1290.4166666666665</v>
      </c>
      <c r="E781" s="528">
        <f>E549+101825/60</f>
        <v>2087.083333333333</v>
      </c>
      <c r="F781" s="528">
        <f>F549+101825/60</f>
        <v>2087.083333333333</v>
      </c>
      <c r="G781" s="705" t="s">
        <v>12</v>
      </c>
      <c r="H781" s="417" t="s">
        <v>721</v>
      </c>
      <c r="I781" s="426" t="s">
        <v>472</v>
      </c>
      <c r="J781" s="681"/>
      <c r="K781" s="386">
        <v>20</v>
      </c>
      <c r="L781" s="386" t="s">
        <v>650</v>
      </c>
      <c r="M781" s="551">
        <v>43084</v>
      </c>
      <c r="N781" s="551">
        <v>43091</v>
      </c>
      <c r="O781" s="419"/>
      <c r="P781" s="61" t="s">
        <v>597</v>
      </c>
      <c r="Q781" s="61" t="s">
        <v>932</v>
      </c>
      <c r="R781" s="397" t="s">
        <v>202</v>
      </c>
      <c r="S781" s="322" t="s">
        <v>1176</v>
      </c>
      <c r="T781" s="688" t="s">
        <v>2840</v>
      </c>
      <c r="U781" s="421"/>
    </row>
    <row r="782" spans="1:21" s="377" customFormat="1" ht="20.100000000000001" customHeight="1">
      <c r="A782" s="1184" t="s">
        <v>2951</v>
      </c>
      <c r="B782" s="1183" t="s">
        <v>343</v>
      </c>
      <c r="C782" s="1183" t="s">
        <v>923</v>
      </c>
      <c r="D782" s="528">
        <f>D451+(54311/60)*1.15</f>
        <v>1365.9608333333331</v>
      </c>
      <c r="E782" s="528">
        <f>E451+(95621/60)*1.15</f>
        <v>2232.7358333333332</v>
      </c>
      <c r="F782" s="528">
        <f>F451+(95621/60)*1.15</f>
        <v>2232.7358333333332</v>
      </c>
      <c r="G782" s="705" t="s">
        <v>29</v>
      </c>
      <c r="H782" s="385" t="s">
        <v>1101</v>
      </c>
      <c r="I782" s="386" t="s">
        <v>93</v>
      </c>
      <c r="J782" s="681"/>
      <c r="K782" s="398">
        <v>24</v>
      </c>
      <c r="L782" s="398" t="s">
        <v>649</v>
      </c>
      <c r="M782" s="404">
        <v>43080</v>
      </c>
      <c r="N782" s="404">
        <v>43086</v>
      </c>
      <c r="O782" s="422"/>
      <c r="P782" s="751" t="s">
        <v>1072</v>
      </c>
      <c r="Q782" s="61" t="s">
        <v>934</v>
      </c>
      <c r="R782" s="397" t="s">
        <v>251</v>
      </c>
      <c r="S782" s="316" t="s">
        <v>2898</v>
      </c>
      <c r="T782" s="689"/>
      <c r="U782" s="421"/>
    </row>
    <row r="783" spans="1:21" s="377" customFormat="1" ht="20.100000000000001" customHeight="1">
      <c r="A783" s="1184" t="s">
        <v>2951</v>
      </c>
      <c r="B783" s="1183" t="s">
        <v>343</v>
      </c>
      <c r="C783" s="1183" t="s">
        <v>923</v>
      </c>
      <c r="D783" s="528">
        <f>D417+66000/55</f>
        <v>1560</v>
      </c>
      <c r="E783" s="528">
        <f>E417+112000/55</f>
        <v>2421.363636363636</v>
      </c>
      <c r="F783" s="528">
        <f>F417+112000/55</f>
        <v>2421.363636363636</v>
      </c>
      <c r="G783" s="705" t="s">
        <v>102</v>
      </c>
      <c r="H783" s="378">
        <v>1</v>
      </c>
      <c r="I783" s="398" t="s">
        <v>93</v>
      </c>
      <c r="J783" s="681"/>
      <c r="K783" s="426">
        <v>22</v>
      </c>
      <c r="L783" s="379" t="s">
        <v>636</v>
      </c>
      <c r="M783" s="392">
        <v>43080</v>
      </c>
      <c r="N783" s="392">
        <v>43080</v>
      </c>
      <c r="O783" s="419"/>
      <c r="P783" s="61" t="s">
        <v>1933</v>
      </c>
      <c r="Q783" s="61" t="s">
        <v>927</v>
      </c>
      <c r="R783" s="397" t="s">
        <v>192</v>
      </c>
      <c r="S783" s="315" t="s">
        <v>2903</v>
      </c>
      <c r="T783" s="316"/>
      <c r="U783" s="421"/>
    </row>
    <row r="784" spans="1:21" s="377" customFormat="1" ht="20.100000000000001" customHeight="1">
      <c r="A784" s="1184" t="s">
        <v>2951</v>
      </c>
      <c r="B784" s="1183" t="s">
        <v>343</v>
      </c>
      <c r="C784" s="1183" t="s">
        <v>923</v>
      </c>
      <c r="D784" s="536">
        <f>D422+65204/55</f>
        <v>1385.5272727272727</v>
      </c>
      <c r="E784" s="536">
        <f>E422+100087/55</f>
        <v>2069.7636363636366</v>
      </c>
      <c r="F784" s="536">
        <f>F422+100087/55</f>
        <v>2069.7636363636366</v>
      </c>
      <c r="G784" s="710" t="s">
        <v>87</v>
      </c>
      <c r="H784" s="390" t="s">
        <v>729</v>
      </c>
      <c r="I784" s="406" t="s">
        <v>93</v>
      </c>
      <c r="J784" s="37"/>
      <c r="K784" s="406">
        <v>24</v>
      </c>
      <c r="L784" s="398" t="s">
        <v>649</v>
      </c>
      <c r="M784" s="547">
        <v>43080</v>
      </c>
      <c r="N784" s="547">
        <v>43080</v>
      </c>
      <c r="O784" s="422"/>
      <c r="P784" s="59" t="s">
        <v>604</v>
      </c>
      <c r="Q784" s="61" t="s">
        <v>919</v>
      </c>
      <c r="R784" s="397" t="s">
        <v>251</v>
      </c>
      <c r="S784" s="322" t="s">
        <v>2861</v>
      </c>
      <c r="T784" s="689"/>
      <c r="U784" s="421"/>
    </row>
    <row r="785" spans="1:21" s="377" customFormat="1" ht="20.100000000000001" customHeight="1">
      <c r="A785" s="1184" t="s">
        <v>2951</v>
      </c>
      <c r="B785" s="1183" t="s">
        <v>343</v>
      </c>
      <c r="C785" s="1183" t="s">
        <v>923</v>
      </c>
      <c r="D785" s="536">
        <f>D435+1002+25</f>
        <v>1257</v>
      </c>
      <c r="E785" s="536">
        <f>E435+2000+50</f>
        <v>2375</v>
      </c>
      <c r="F785" s="536">
        <f>F435+2000+50</f>
        <v>2375</v>
      </c>
      <c r="G785" s="656" t="s">
        <v>2347</v>
      </c>
      <c r="H785" s="56" t="s">
        <v>742</v>
      </c>
      <c r="I785" s="380" t="s">
        <v>93</v>
      </c>
      <c r="J785" s="37"/>
      <c r="K785" s="426" t="s">
        <v>2348</v>
      </c>
      <c r="L785" s="398" t="s">
        <v>652</v>
      </c>
      <c r="M785" s="547">
        <v>43086</v>
      </c>
      <c r="N785" s="547">
        <v>43092</v>
      </c>
      <c r="O785" s="422"/>
      <c r="P785" s="61" t="s">
        <v>605</v>
      </c>
      <c r="Q785" s="61" t="s">
        <v>934</v>
      </c>
      <c r="R785" s="17" t="s">
        <v>449</v>
      </c>
      <c r="S785" s="322" t="s">
        <v>1176</v>
      </c>
      <c r="T785" s="689"/>
      <c r="U785" s="421"/>
    </row>
    <row r="786" spans="1:21" s="377" customFormat="1" ht="20.100000000000001" customHeight="1">
      <c r="A786" s="1184" t="s">
        <v>2951</v>
      </c>
      <c r="B786" s="1183" t="s">
        <v>343</v>
      </c>
      <c r="C786" s="1183" t="s">
        <v>923</v>
      </c>
      <c r="D786" s="539">
        <f>D759+150</f>
        <v>1575</v>
      </c>
      <c r="E786" s="539">
        <f>E759+300</f>
        <v>2300</v>
      </c>
      <c r="F786" s="539">
        <f>F759+300</f>
        <v>2300</v>
      </c>
      <c r="G786" s="217" t="s">
        <v>19</v>
      </c>
      <c r="H786" s="385" t="s">
        <v>742</v>
      </c>
      <c r="I786" s="398" t="s">
        <v>93</v>
      </c>
      <c r="J786" s="37"/>
      <c r="K786" s="398" t="s">
        <v>1261</v>
      </c>
      <c r="L786" s="398" t="s">
        <v>639</v>
      </c>
      <c r="M786" s="399">
        <v>43073</v>
      </c>
      <c r="N786" s="399">
        <v>43086</v>
      </c>
      <c r="O786" s="382" t="s">
        <v>611</v>
      </c>
      <c r="P786" s="61" t="s">
        <v>588</v>
      </c>
      <c r="Q786" s="61" t="s">
        <v>1661</v>
      </c>
      <c r="R786" s="397" t="s">
        <v>187</v>
      </c>
      <c r="S786" s="316" t="s">
        <v>2908</v>
      </c>
      <c r="T786" s="848" t="s">
        <v>4105</v>
      </c>
      <c r="U786" s="421"/>
    </row>
    <row r="787" spans="1:21" s="377" customFormat="1" ht="20.100000000000001" customHeight="1">
      <c r="A787" s="1184" t="s">
        <v>2951</v>
      </c>
      <c r="B787" s="1183" t="s">
        <v>343</v>
      </c>
      <c r="C787" s="1183" t="s">
        <v>923</v>
      </c>
      <c r="D787" s="539">
        <f>D440+59482/60</f>
        <v>1241.3666666666668</v>
      </c>
      <c r="E787" s="539">
        <f>E440+103501/60</f>
        <v>1975.0166666666667</v>
      </c>
      <c r="F787" s="539">
        <f>F440+103501/60</f>
        <v>1975.0166666666667</v>
      </c>
      <c r="G787" s="656" t="s">
        <v>2328</v>
      </c>
      <c r="H787" s="385" t="s">
        <v>725</v>
      </c>
      <c r="I787" s="398" t="s">
        <v>93</v>
      </c>
      <c r="J787" s="37"/>
      <c r="K787" s="398" t="s">
        <v>2336</v>
      </c>
      <c r="L787" s="379" t="s">
        <v>641</v>
      </c>
      <c r="M787" s="381">
        <v>43082</v>
      </c>
      <c r="N787" s="381">
        <v>43086</v>
      </c>
      <c r="O787" s="394" t="s">
        <v>1949</v>
      </c>
      <c r="P787" s="72" t="s">
        <v>2285</v>
      </c>
      <c r="Q787" s="61" t="s">
        <v>2337</v>
      </c>
      <c r="R787" s="397" t="s">
        <v>826</v>
      </c>
      <c r="S787" s="336" t="s">
        <v>1176</v>
      </c>
      <c r="T787" s="323" t="s">
        <v>2935</v>
      </c>
      <c r="U787" s="421"/>
    </row>
    <row r="788" spans="1:21" s="377" customFormat="1" ht="20.100000000000001" customHeight="1">
      <c r="A788" s="1184" t="s">
        <v>2951</v>
      </c>
      <c r="B788" s="1183" t="s">
        <v>343</v>
      </c>
      <c r="C788" s="1183" t="s">
        <v>923</v>
      </c>
      <c r="D788" s="528">
        <f>D448+85852/60</f>
        <v>1790.8666666666666</v>
      </c>
      <c r="E788" s="528">
        <f>E448+148266/60</f>
        <v>2821.1</v>
      </c>
      <c r="F788" s="528">
        <f>F448+148266/60</f>
        <v>2821.1</v>
      </c>
      <c r="G788" s="67" t="s">
        <v>432</v>
      </c>
      <c r="H788" s="385" t="s">
        <v>721</v>
      </c>
      <c r="I788" s="386" t="s">
        <v>93</v>
      </c>
      <c r="J788" s="681"/>
      <c r="K788" s="398" t="s">
        <v>1006</v>
      </c>
      <c r="L788" s="415" t="s">
        <v>637</v>
      </c>
      <c r="M788" s="391">
        <v>43050</v>
      </c>
      <c r="N788" s="547">
        <v>43089</v>
      </c>
      <c r="O788" s="422"/>
      <c r="P788" s="61" t="s">
        <v>1944</v>
      </c>
      <c r="Q788" s="61" t="s">
        <v>902</v>
      </c>
      <c r="R788" s="397" t="s">
        <v>202</v>
      </c>
      <c r="S788" s="319" t="s">
        <v>1177</v>
      </c>
      <c r="T788" s="689"/>
      <c r="U788" s="421"/>
    </row>
    <row r="789" spans="1:21" s="377" customFormat="1" ht="20.100000000000001" customHeight="1">
      <c r="A789" s="1184" t="s">
        <v>2951</v>
      </c>
      <c r="B789" s="1183" t="s">
        <v>343</v>
      </c>
      <c r="C789" s="1183" t="s">
        <v>923</v>
      </c>
      <c r="D789" s="32">
        <f>D473+56296/55</f>
        <v>1623.5636363636363</v>
      </c>
      <c r="E789" s="32">
        <f>E473+89605/55</f>
        <v>2429.181818181818</v>
      </c>
      <c r="F789" s="32">
        <f>F473+89605/55</f>
        <v>2429.181818181818</v>
      </c>
      <c r="G789" s="67" t="s">
        <v>207</v>
      </c>
      <c r="H789" s="378">
        <v>1</v>
      </c>
      <c r="I789" s="406" t="s">
        <v>130</v>
      </c>
      <c r="J789" s="34"/>
      <c r="K789" s="406">
        <v>26</v>
      </c>
      <c r="L789" s="379" t="s">
        <v>636</v>
      </c>
      <c r="M789" s="547">
        <v>43040</v>
      </c>
      <c r="N789" s="547">
        <v>43080</v>
      </c>
      <c r="O789" s="422"/>
      <c r="P789" s="59"/>
      <c r="Q789" s="61" t="s">
        <v>3034</v>
      </c>
      <c r="R789" s="427" t="s">
        <v>192</v>
      </c>
      <c r="S789" s="322" t="s">
        <v>2849</v>
      </c>
      <c r="T789" s="689"/>
      <c r="U789" s="421"/>
    </row>
    <row r="790" spans="1:21" s="377" customFormat="1" ht="20.100000000000001" customHeight="1">
      <c r="A790" s="1184" t="s">
        <v>2951</v>
      </c>
      <c r="B790" s="1183" t="s">
        <v>343</v>
      </c>
      <c r="C790" s="1183" t="s">
        <v>923</v>
      </c>
      <c r="D790" s="32"/>
      <c r="E790" s="32"/>
      <c r="F790" s="32"/>
      <c r="G790" s="705" t="s">
        <v>37</v>
      </c>
      <c r="H790" s="378">
        <v>1</v>
      </c>
      <c r="I790" s="426" t="s">
        <v>130</v>
      </c>
      <c r="J790" s="681"/>
      <c r="K790" s="426">
        <v>23</v>
      </c>
      <c r="L790" s="379" t="s">
        <v>636</v>
      </c>
      <c r="M790" s="392">
        <v>43080</v>
      </c>
      <c r="N790" s="392">
        <v>43080</v>
      </c>
      <c r="O790" s="419"/>
      <c r="P790" s="61" t="s">
        <v>907</v>
      </c>
      <c r="Q790" s="61" t="s">
        <v>927</v>
      </c>
      <c r="R790" s="397" t="s">
        <v>192</v>
      </c>
      <c r="S790" s="315" t="s">
        <v>2903</v>
      </c>
      <c r="T790" s="316"/>
      <c r="U790" s="421"/>
    </row>
    <row r="791" spans="1:21" s="377" customFormat="1" ht="20.100000000000001" customHeight="1">
      <c r="A791" s="1184" t="s">
        <v>2951</v>
      </c>
      <c r="B791" s="1183" t="s">
        <v>343</v>
      </c>
      <c r="C791" s="1183" t="s">
        <v>923</v>
      </c>
      <c r="D791" s="32">
        <f>D467+904+25</f>
        <v>1209</v>
      </c>
      <c r="E791" s="32">
        <f>E467+1796+50</f>
        <v>2271</v>
      </c>
      <c r="F791" s="32">
        <f>F467+1796+50</f>
        <v>2271</v>
      </c>
      <c r="G791" s="222" t="s">
        <v>2347</v>
      </c>
      <c r="H791" s="385" t="s">
        <v>2350</v>
      </c>
      <c r="I791" s="398" t="s">
        <v>130</v>
      </c>
      <c r="J791" s="37"/>
      <c r="K791" s="380" t="s">
        <v>2346</v>
      </c>
      <c r="L791" s="386" t="s">
        <v>639</v>
      </c>
      <c r="M791" s="547">
        <v>43086</v>
      </c>
      <c r="N791" s="547">
        <v>43092</v>
      </c>
      <c r="O791" s="419"/>
      <c r="P791" s="61"/>
      <c r="Q791" s="61" t="s">
        <v>934</v>
      </c>
      <c r="R791" s="397" t="s">
        <v>171</v>
      </c>
      <c r="S791" s="322"/>
      <c r="T791" s="316"/>
      <c r="U791" s="421"/>
    </row>
    <row r="792" spans="1:21" s="377" customFormat="1" ht="20.100000000000001" customHeight="1">
      <c r="A792" s="1184" t="s">
        <v>2951</v>
      </c>
      <c r="B792" s="1183" t="s">
        <v>343</v>
      </c>
      <c r="C792" s="1183" t="s">
        <v>923</v>
      </c>
      <c r="D792" s="32">
        <f>D771+150</f>
        <v>1575</v>
      </c>
      <c r="E792" s="32">
        <f>E771+300</f>
        <v>2300</v>
      </c>
      <c r="F792" s="32">
        <f>F771+300</f>
        <v>2300</v>
      </c>
      <c r="G792" s="222" t="s">
        <v>19</v>
      </c>
      <c r="H792" s="385" t="s">
        <v>742</v>
      </c>
      <c r="I792" s="398" t="s">
        <v>623</v>
      </c>
      <c r="J792" s="37"/>
      <c r="K792" s="398" t="s">
        <v>1257</v>
      </c>
      <c r="L792" s="398" t="s">
        <v>639</v>
      </c>
      <c r="M792" s="399">
        <v>43073</v>
      </c>
      <c r="N792" s="399">
        <v>43086</v>
      </c>
      <c r="O792" s="382" t="s">
        <v>611</v>
      </c>
      <c r="P792" s="105"/>
      <c r="Q792" s="61" t="s">
        <v>1661</v>
      </c>
      <c r="R792" s="397" t="s">
        <v>187</v>
      </c>
      <c r="S792" s="316" t="s">
        <v>2908</v>
      </c>
      <c r="T792" s="848" t="s">
        <v>4105</v>
      </c>
      <c r="U792" s="421"/>
    </row>
    <row r="793" spans="1:21" s="377" customFormat="1" ht="20.100000000000001" customHeight="1">
      <c r="A793" s="1184" t="s">
        <v>2951</v>
      </c>
      <c r="B793" s="1183" t="s">
        <v>343</v>
      </c>
      <c r="C793" s="1183" t="s">
        <v>923</v>
      </c>
      <c r="D793" s="32">
        <f>D475+(49463/60)*1.15</f>
        <v>948.04083333333324</v>
      </c>
      <c r="E793" s="32">
        <f>E475+(86803/60)*1.15</f>
        <v>1663.7241666666666</v>
      </c>
      <c r="F793" s="32">
        <f>F475+(86803/60)*1.15</f>
        <v>1663.7241666666666</v>
      </c>
      <c r="G793" s="710" t="s">
        <v>29</v>
      </c>
      <c r="H793" s="385" t="s">
        <v>1098</v>
      </c>
      <c r="I793" s="380" t="s">
        <v>130</v>
      </c>
      <c r="J793" s="50"/>
      <c r="K793" s="398" t="s">
        <v>1100</v>
      </c>
      <c r="L793" s="398" t="s">
        <v>652</v>
      </c>
      <c r="M793" s="404">
        <v>43038</v>
      </c>
      <c r="N793" s="404">
        <v>43086</v>
      </c>
      <c r="O793" s="422"/>
      <c r="P793" s="61"/>
      <c r="Q793" s="61" t="s">
        <v>3035</v>
      </c>
      <c r="R793" s="397" t="s">
        <v>173</v>
      </c>
      <c r="S793" s="316" t="s">
        <v>2898</v>
      </c>
      <c r="T793" s="689"/>
      <c r="U793" s="421"/>
    </row>
    <row r="794" spans="1:21" s="377" customFormat="1" ht="20.100000000000001" customHeight="1">
      <c r="A794" s="1184" t="s">
        <v>2951</v>
      </c>
      <c r="B794" s="1183" t="s">
        <v>343</v>
      </c>
      <c r="C794" s="1183" t="s">
        <v>923</v>
      </c>
      <c r="D794" s="528">
        <f>D555+(48535/60)*1.15</f>
        <v>1405.2541666666666</v>
      </c>
      <c r="E794" s="528">
        <f>E555+(86663/60)*1.15</f>
        <v>2161.0408333333335</v>
      </c>
      <c r="F794" s="528">
        <f>F555+(86663/60)*1.15</f>
        <v>2161.0408333333335</v>
      </c>
      <c r="G794" s="705" t="s">
        <v>29</v>
      </c>
      <c r="H794" s="385" t="s">
        <v>659</v>
      </c>
      <c r="I794" s="426" t="s">
        <v>472</v>
      </c>
      <c r="J794" s="681"/>
      <c r="K794" s="386">
        <v>33</v>
      </c>
      <c r="L794" s="398" t="s">
        <v>639</v>
      </c>
      <c r="M794" s="404">
        <v>43082</v>
      </c>
      <c r="N794" s="404">
        <v>43086</v>
      </c>
      <c r="O794" s="422"/>
      <c r="P794" s="61" t="s">
        <v>599</v>
      </c>
      <c r="Q794" s="61" t="s">
        <v>934</v>
      </c>
      <c r="R794" s="397" t="s">
        <v>450</v>
      </c>
      <c r="S794" s="316" t="s">
        <v>2898</v>
      </c>
      <c r="T794" s="689"/>
      <c r="U794" s="421"/>
    </row>
    <row r="795" spans="1:21" s="377" customFormat="1" ht="20.100000000000001" customHeight="1">
      <c r="A795" s="1184" t="s">
        <v>2951</v>
      </c>
      <c r="B795" s="1183" t="s">
        <v>343</v>
      </c>
      <c r="C795" s="1183" t="s">
        <v>923</v>
      </c>
      <c r="D795" s="528">
        <f>D554+52519/60</f>
        <v>1250.3166666666666</v>
      </c>
      <c r="E795" s="528">
        <f>E554+93275/60</f>
        <v>2004.5833333333333</v>
      </c>
      <c r="F795" s="528">
        <f>F554+93275/60</f>
        <v>2004.5833333333333</v>
      </c>
      <c r="G795" s="222" t="s">
        <v>2328</v>
      </c>
      <c r="H795" s="385" t="s">
        <v>725</v>
      </c>
      <c r="I795" s="398" t="s">
        <v>472</v>
      </c>
      <c r="J795" s="681"/>
      <c r="K795" s="386" t="s">
        <v>2341</v>
      </c>
      <c r="L795" s="379" t="s">
        <v>641</v>
      </c>
      <c r="M795" s="381">
        <v>43082</v>
      </c>
      <c r="N795" s="381">
        <v>43086</v>
      </c>
      <c r="O795" s="394" t="s">
        <v>1949</v>
      </c>
      <c r="P795" s="61"/>
      <c r="Q795" s="61" t="s">
        <v>2337</v>
      </c>
      <c r="R795" s="397" t="s">
        <v>826</v>
      </c>
      <c r="S795" s="336" t="s">
        <v>1176</v>
      </c>
      <c r="T795" s="323" t="s">
        <v>2935</v>
      </c>
      <c r="U795" s="421"/>
    </row>
    <row r="796" spans="1:21" s="377" customFormat="1" ht="20.100000000000001" customHeight="1">
      <c r="A796" s="1184" t="s">
        <v>2951</v>
      </c>
      <c r="B796" s="1183" t="s">
        <v>343</v>
      </c>
      <c r="C796" s="1183" t="s">
        <v>923</v>
      </c>
      <c r="D796" s="528">
        <f>D546+60000/55</f>
        <v>1525.909090909091</v>
      </c>
      <c r="E796" s="528">
        <f>E546+102000/55</f>
        <v>2364.5454545454545</v>
      </c>
      <c r="F796" s="528">
        <f>F546+102000/55</f>
        <v>2364.5454545454545</v>
      </c>
      <c r="G796" s="705" t="s">
        <v>37</v>
      </c>
      <c r="H796" s="385">
        <v>5</v>
      </c>
      <c r="I796" s="426" t="s">
        <v>472</v>
      </c>
      <c r="J796" s="681"/>
      <c r="K796" s="386" t="s">
        <v>872</v>
      </c>
      <c r="L796" s="380" t="s">
        <v>649</v>
      </c>
      <c r="M796" s="392">
        <v>43063</v>
      </c>
      <c r="N796" s="392">
        <v>43080</v>
      </c>
      <c r="O796" s="419"/>
      <c r="P796" s="750"/>
      <c r="Q796" s="61" t="s">
        <v>927</v>
      </c>
      <c r="R796" s="397" t="s">
        <v>179</v>
      </c>
      <c r="S796" s="315" t="s">
        <v>2903</v>
      </c>
      <c r="T796" s="316"/>
      <c r="U796" s="421"/>
    </row>
    <row r="797" spans="1:21" s="377" customFormat="1" ht="20.100000000000001" customHeight="1">
      <c r="A797" s="1184" t="s">
        <v>2951</v>
      </c>
      <c r="B797" s="1183" t="s">
        <v>343</v>
      </c>
      <c r="C797" s="1183" t="s">
        <v>923</v>
      </c>
      <c r="D797" s="526">
        <f>D548+58500/60</f>
        <v>1375</v>
      </c>
      <c r="E797" s="526">
        <f>E548+102200/60</f>
        <v>2203.333333333333</v>
      </c>
      <c r="F797" s="526">
        <f>F548+102200/60</f>
        <v>2203.333333333333</v>
      </c>
      <c r="G797" s="705" t="s">
        <v>236</v>
      </c>
      <c r="H797" s="417" t="s">
        <v>721</v>
      </c>
      <c r="I797" s="386" t="s">
        <v>472</v>
      </c>
      <c r="J797" s="37"/>
      <c r="K797" s="398">
        <v>19</v>
      </c>
      <c r="L797" s="386" t="s">
        <v>641</v>
      </c>
      <c r="M797" s="399">
        <v>43064</v>
      </c>
      <c r="N797" s="399">
        <v>43086</v>
      </c>
      <c r="O797" s="423" t="s">
        <v>601</v>
      </c>
      <c r="P797" s="751"/>
      <c r="Q797" s="61" t="s">
        <v>934</v>
      </c>
      <c r="R797" s="424" t="s">
        <v>202</v>
      </c>
      <c r="S797" s="316"/>
      <c r="T797" s="689"/>
      <c r="U797" s="421"/>
    </row>
    <row r="798" spans="1:21" s="377" customFormat="1" ht="20.100000000000001" customHeight="1">
      <c r="A798" s="1184" t="s">
        <v>2951</v>
      </c>
      <c r="B798" s="1183" t="s">
        <v>343</v>
      </c>
      <c r="C798" s="1183" t="s">
        <v>924</v>
      </c>
      <c r="D798" s="528">
        <f>D451+(42686/60)*1.15</f>
        <v>1143.1483333333331</v>
      </c>
      <c r="E798" s="528">
        <f>E451+(72491/60)*1.15</f>
        <v>1789.4108333333334</v>
      </c>
      <c r="F798" s="528">
        <f>F451+(72491/60)*1.15</f>
        <v>1789.4108333333334</v>
      </c>
      <c r="G798" s="705" t="s">
        <v>29</v>
      </c>
      <c r="H798" s="385" t="s">
        <v>1101</v>
      </c>
      <c r="I798" s="386" t="s">
        <v>93</v>
      </c>
      <c r="J798" s="681"/>
      <c r="K798" s="398">
        <v>24</v>
      </c>
      <c r="L798" s="398" t="s">
        <v>649</v>
      </c>
      <c r="M798" s="404">
        <v>43080</v>
      </c>
      <c r="N798" s="404">
        <v>43086</v>
      </c>
      <c r="O798" s="422"/>
      <c r="P798" s="751" t="s">
        <v>1072</v>
      </c>
      <c r="Q798" s="61" t="s">
        <v>934</v>
      </c>
      <c r="R798" s="397" t="s">
        <v>251</v>
      </c>
      <c r="S798" s="316" t="s">
        <v>2898</v>
      </c>
      <c r="T798" s="689"/>
      <c r="U798" s="421"/>
    </row>
    <row r="799" spans="1:21" s="377" customFormat="1" ht="20.100000000000001" customHeight="1">
      <c r="A799" s="1184" t="s">
        <v>2951</v>
      </c>
      <c r="B799" s="1183" t="s">
        <v>343</v>
      </c>
      <c r="C799" s="1183" t="s">
        <v>924</v>
      </c>
      <c r="D799" s="528">
        <f>D417+45000/55</f>
        <v>1178.181818181818</v>
      </c>
      <c r="E799" s="528"/>
      <c r="F799" s="528">
        <f>F417+72000/55</f>
        <v>1694.090909090909</v>
      </c>
      <c r="G799" s="705" t="s">
        <v>102</v>
      </c>
      <c r="H799" s="378">
        <v>1</v>
      </c>
      <c r="I799" s="398" t="s">
        <v>93</v>
      </c>
      <c r="J799" s="681"/>
      <c r="K799" s="426">
        <v>21</v>
      </c>
      <c r="L799" s="379" t="s">
        <v>636</v>
      </c>
      <c r="M799" s="392">
        <v>43080</v>
      </c>
      <c r="N799" s="392">
        <v>43080</v>
      </c>
      <c r="O799" s="419"/>
      <c r="P799" s="61" t="s">
        <v>1933</v>
      </c>
      <c r="Q799" s="61" t="s">
        <v>927</v>
      </c>
      <c r="R799" s="397" t="s">
        <v>192</v>
      </c>
      <c r="S799" s="315" t="s">
        <v>2903</v>
      </c>
      <c r="T799" s="316"/>
      <c r="U799" s="421"/>
    </row>
    <row r="800" spans="1:21" s="377" customFormat="1" ht="20.100000000000001" customHeight="1">
      <c r="A800" s="1184" t="s">
        <v>2951</v>
      </c>
      <c r="B800" s="1183" t="s">
        <v>343</v>
      </c>
      <c r="C800" s="1183" t="s">
        <v>924</v>
      </c>
      <c r="D800" s="536">
        <f>D425+692+25</f>
        <v>1142</v>
      </c>
      <c r="E800" s="536">
        <f>E425+1174+50</f>
        <v>1774</v>
      </c>
      <c r="F800" s="536">
        <f>F425+1174+50</f>
        <v>1774</v>
      </c>
      <c r="G800" s="705" t="s">
        <v>61</v>
      </c>
      <c r="H800" s="385" t="s">
        <v>729</v>
      </c>
      <c r="I800" s="426" t="s">
        <v>93</v>
      </c>
      <c r="J800" s="681"/>
      <c r="K800" s="426" t="s">
        <v>794</v>
      </c>
      <c r="L800" s="398" t="s">
        <v>649</v>
      </c>
      <c r="M800" s="404">
        <v>43070</v>
      </c>
      <c r="N800" s="404">
        <v>43100</v>
      </c>
      <c r="O800" s="423" t="s">
        <v>601</v>
      </c>
      <c r="P800" s="7" t="s">
        <v>1813</v>
      </c>
      <c r="Q800" s="61" t="s">
        <v>934</v>
      </c>
      <c r="R800" s="424" t="s">
        <v>251</v>
      </c>
      <c r="S800" s="316" t="s">
        <v>2906</v>
      </c>
      <c r="T800" s="689"/>
      <c r="U800" s="421"/>
    </row>
    <row r="801" spans="1:21" s="377" customFormat="1" ht="20.100000000000001" customHeight="1">
      <c r="A801" s="1184" t="s">
        <v>2951</v>
      </c>
      <c r="B801" s="1183" t="s">
        <v>343</v>
      </c>
      <c r="C801" s="1183" t="s">
        <v>924</v>
      </c>
      <c r="D801" s="62">
        <f>D422+54994/55</f>
        <v>1199.8909090909092</v>
      </c>
      <c r="E801" s="62">
        <f>E422+81787/55</f>
        <v>1737.0363636363636</v>
      </c>
      <c r="F801" s="62">
        <f>F422+81787/55</f>
        <v>1737.0363636363636</v>
      </c>
      <c r="G801" s="710" t="s">
        <v>87</v>
      </c>
      <c r="H801" s="390" t="s">
        <v>729</v>
      </c>
      <c r="I801" s="406" t="s">
        <v>93</v>
      </c>
      <c r="J801" s="37"/>
      <c r="K801" s="406">
        <v>23</v>
      </c>
      <c r="L801" s="398" t="s">
        <v>649</v>
      </c>
      <c r="M801" s="547">
        <v>43080</v>
      </c>
      <c r="N801" s="547">
        <v>43080</v>
      </c>
      <c r="O801" s="422"/>
      <c r="P801" s="59" t="s">
        <v>603</v>
      </c>
      <c r="Q801" s="61" t="s">
        <v>919</v>
      </c>
      <c r="R801" s="397" t="s">
        <v>251</v>
      </c>
      <c r="S801" s="322" t="s">
        <v>2861</v>
      </c>
      <c r="T801" s="689"/>
      <c r="U801" s="421"/>
    </row>
    <row r="802" spans="1:21" s="377" customFormat="1" ht="20.100000000000001" customHeight="1">
      <c r="A802" s="1184" t="s">
        <v>2951</v>
      </c>
      <c r="B802" s="1183" t="s">
        <v>343</v>
      </c>
      <c r="C802" s="1183" t="s">
        <v>924</v>
      </c>
      <c r="D802" s="62">
        <f>D428+(48740+5000)/60</f>
        <v>1245.6666666666665</v>
      </c>
      <c r="E802" s="62">
        <f>E428+(83750+10000)/60</f>
        <v>1902.5</v>
      </c>
      <c r="F802" s="62">
        <f>F428+(83750+10000)/60</f>
        <v>1902.5</v>
      </c>
      <c r="G802" s="656" t="s">
        <v>51</v>
      </c>
      <c r="H802" s="390" t="s">
        <v>2360</v>
      </c>
      <c r="I802" s="406" t="s">
        <v>93</v>
      </c>
      <c r="J802" s="37"/>
      <c r="K802" s="406" t="s">
        <v>2361</v>
      </c>
      <c r="L802" s="380" t="s">
        <v>637</v>
      </c>
      <c r="M802" s="381">
        <v>43080</v>
      </c>
      <c r="N802" s="381">
        <v>43089</v>
      </c>
      <c r="O802" s="422"/>
      <c r="P802" s="59" t="s">
        <v>2362</v>
      </c>
      <c r="Q802" s="61" t="s">
        <v>902</v>
      </c>
      <c r="R802" s="397" t="s">
        <v>2320</v>
      </c>
      <c r="S802" s="327" t="s">
        <v>3066</v>
      </c>
      <c r="T802" s="689"/>
      <c r="U802" s="421"/>
    </row>
    <row r="803" spans="1:21" s="377" customFormat="1" ht="20.100000000000001" customHeight="1">
      <c r="A803" s="1184" t="s">
        <v>2951</v>
      </c>
      <c r="B803" s="1183" t="s">
        <v>343</v>
      </c>
      <c r="C803" s="1183" t="s">
        <v>924</v>
      </c>
      <c r="D803" s="62">
        <f>D435+818+25</f>
        <v>1073</v>
      </c>
      <c r="E803" s="62">
        <f>E435+1545+50</f>
        <v>1920</v>
      </c>
      <c r="F803" s="62">
        <f>F435+1545+50</f>
        <v>1920</v>
      </c>
      <c r="G803" s="656" t="s">
        <v>2347</v>
      </c>
      <c r="H803" s="56" t="s">
        <v>742</v>
      </c>
      <c r="I803" s="380" t="s">
        <v>93</v>
      </c>
      <c r="J803" s="37"/>
      <c r="K803" s="426" t="s">
        <v>2348</v>
      </c>
      <c r="L803" s="398" t="s">
        <v>652</v>
      </c>
      <c r="M803" s="547">
        <v>43086</v>
      </c>
      <c r="N803" s="547">
        <v>43092</v>
      </c>
      <c r="O803" s="422"/>
      <c r="P803" s="61" t="s">
        <v>605</v>
      </c>
      <c r="Q803" s="61" t="s">
        <v>934</v>
      </c>
      <c r="R803" s="17" t="s">
        <v>449</v>
      </c>
      <c r="S803" s="322" t="s">
        <v>1176</v>
      </c>
      <c r="T803" s="689"/>
      <c r="U803" s="421"/>
    </row>
    <row r="804" spans="1:21" s="377" customFormat="1" ht="20.100000000000001" customHeight="1">
      <c r="A804" s="1184" t="s">
        <v>2951</v>
      </c>
      <c r="B804" s="1183" t="s">
        <v>343</v>
      </c>
      <c r="C804" s="1183" t="s">
        <v>924</v>
      </c>
      <c r="D804" s="525">
        <f>D421+54625/60</f>
        <v>1140.4166666666665</v>
      </c>
      <c r="E804" s="525">
        <f>E421+91375/60</f>
        <v>1672.9166666666667</v>
      </c>
      <c r="F804" s="525">
        <f>F421+91375/60</f>
        <v>1672.9166666666667</v>
      </c>
      <c r="G804" s="67" t="s">
        <v>146</v>
      </c>
      <c r="H804" s="417" t="s">
        <v>651</v>
      </c>
      <c r="I804" s="380" t="s">
        <v>93</v>
      </c>
      <c r="J804" s="50"/>
      <c r="K804" s="380">
        <v>20</v>
      </c>
      <c r="L804" s="415" t="s">
        <v>637</v>
      </c>
      <c r="M804" s="551">
        <v>43084</v>
      </c>
      <c r="N804" s="551">
        <v>43091</v>
      </c>
      <c r="O804" s="419"/>
      <c r="P804" s="72" t="s">
        <v>1941</v>
      </c>
      <c r="Q804" s="61" t="s">
        <v>932</v>
      </c>
      <c r="R804" s="384" t="s">
        <v>1740</v>
      </c>
      <c r="S804" s="322" t="s">
        <v>1176</v>
      </c>
      <c r="T804" s="688" t="s">
        <v>2840</v>
      </c>
      <c r="U804" s="421"/>
    </row>
    <row r="805" spans="1:21" s="377" customFormat="1" ht="20.100000000000001" customHeight="1">
      <c r="A805" s="1184" t="s">
        <v>2951</v>
      </c>
      <c r="B805" s="1183" t="s">
        <v>343</v>
      </c>
      <c r="C805" s="1183" t="s">
        <v>924</v>
      </c>
      <c r="D805" s="525">
        <f>D433+52194/60</f>
        <v>1094.9000000000001</v>
      </c>
      <c r="E805" s="525">
        <f>E433+97846/60</f>
        <v>1905.7666666666667</v>
      </c>
      <c r="F805" s="525">
        <f>F433+91646/60</f>
        <v>1802.4333333333334</v>
      </c>
      <c r="G805" s="222" t="s">
        <v>1659</v>
      </c>
      <c r="H805" s="385" t="s">
        <v>742</v>
      </c>
      <c r="I805" s="380" t="s">
        <v>93</v>
      </c>
      <c r="J805" s="50"/>
      <c r="K805" s="380" t="s">
        <v>2345</v>
      </c>
      <c r="L805" s="398" t="s">
        <v>639</v>
      </c>
      <c r="M805" s="547">
        <v>43081</v>
      </c>
      <c r="N805" s="547">
        <v>43090</v>
      </c>
      <c r="O805" s="419"/>
      <c r="P805" s="61" t="s">
        <v>1927</v>
      </c>
      <c r="Q805" s="61" t="s">
        <v>902</v>
      </c>
      <c r="R805" s="397" t="s">
        <v>171</v>
      </c>
      <c r="S805" s="315" t="s">
        <v>2862</v>
      </c>
      <c r="T805" s="626">
        <v>14</v>
      </c>
      <c r="U805" s="421"/>
    </row>
    <row r="806" spans="1:21" s="377" customFormat="1" ht="20.100000000000001" customHeight="1">
      <c r="A806" s="1184" t="s">
        <v>2951</v>
      </c>
      <c r="B806" s="1183" t="s">
        <v>343</v>
      </c>
      <c r="C806" s="1183" t="s">
        <v>924</v>
      </c>
      <c r="D806" s="525">
        <f>D759</f>
        <v>1425</v>
      </c>
      <c r="E806" s="525">
        <f>E759</f>
        <v>2000</v>
      </c>
      <c r="F806" s="525">
        <f>F759</f>
        <v>2000</v>
      </c>
      <c r="G806" s="222" t="s">
        <v>19</v>
      </c>
      <c r="H806" s="385" t="s">
        <v>742</v>
      </c>
      <c r="I806" s="398" t="s">
        <v>93</v>
      </c>
      <c r="J806" s="37"/>
      <c r="K806" s="398" t="s">
        <v>1259</v>
      </c>
      <c r="L806" s="398" t="s">
        <v>639</v>
      </c>
      <c r="M806" s="399">
        <v>43073</v>
      </c>
      <c r="N806" s="399">
        <v>43086</v>
      </c>
      <c r="O806" s="382" t="s">
        <v>611</v>
      </c>
      <c r="P806" s="61" t="s">
        <v>588</v>
      </c>
      <c r="Q806" s="61" t="s">
        <v>1661</v>
      </c>
      <c r="R806" s="397" t="s">
        <v>187</v>
      </c>
      <c r="S806" s="316" t="s">
        <v>2908</v>
      </c>
      <c r="T806" s="848" t="s">
        <v>4105</v>
      </c>
      <c r="U806" s="421"/>
    </row>
    <row r="807" spans="1:21" s="377" customFormat="1" ht="20.100000000000001" customHeight="1">
      <c r="A807" s="1184" t="s">
        <v>2951</v>
      </c>
      <c r="B807" s="1183" t="s">
        <v>343</v>
      </c>
      <c r="C807" s="1183" t="s">
        <v>924</v>
      </c>
      <c r="D807" s="11">
        <f>D453+950+25</f>
        <v>1225</v>
      </c>
      <c r="E807" s="11">
        <f>E453+1520+50</f>
        <v>1970</v>
      </c>
      <c r="F807" s="11">
        <f>F453+1520+50</f>
        <v>1870</v>
      </c>
      <c r="G807" s="705" t="s">
        <v>157</v>
      </c>
      <c r="H807" s="385" t="s">
        <v>1102</v>
      </c>
      <c r="I807" s="426" t="s">
        <v>93</v>
      </c>
      <c r="J807" s="681"/>
      <c r="K807" s="426">
        <v>21</v>
      </c>
      <c r="L807" s="398" t="s">
        <v>639</v>
      </c>
      <c r="M807" s="392">
        <v>43084</v>
      </c>
      <c r="N807" s="392">
        <v>43088</v>
      </c>
      <c r="O807" s="423" t="s">
        <v>601</v>
      </c>
      <c r="P807" s="61" t="s">
        <v>1942</v>
      </c>
      <c r="Q807" s="61" t="s">
        <v>3033</v>
      </c>
      <c r="R807" s="424" t="s">
        <v>171</v>
      </c>
      <c r="S807" s="316" t="s">
        <v>2909</v>
      </c>
      <c r="T807" s="689"/>
      <c r="U807" s="421"/>
    </row>
    <row r="808" spans="1:21" s="377" customFormat="1" ht="20.100000000000001" customHeight="1">
      <c r="A808" s="1184" t="s">
        <v>2951</v>
      </c>
      <c r="B808" s="1183" t="s">
        <v>343</v>
      </c>
      <c r="C808" s="1183" t="s">
        <v>924</v>
      </c>
      <c r="D808" s="11">
        <f>D440+44864/60</f>
        <v>997.73333333333335</v>
      </c>
      <c r="E808" s="11">
        <f>E440+79165/60</f>
        <v>1569.4166666666667</v>
      </c>
      <c r="F808" s="11">
        <f>F440+79165/60</f>
        <v>1569.4166666666667</v>
      </c>
      <c r="G808" s="656" t="s">
        <v>2328</v>
      </c>
      <c r="H808" s="385" t="s">
        <v>725</v>
      </c>
      <c r="I808" s="398" t="s">
        <v>93</v>
      </c>
      <c r="J808" s="37"/>
      <c r="K808" s="398" t="s">
        <v>2336</v>
      </c>
      <c r="L808" s="379" t="s">
        <v>641</v>
      </c>
      <c r="M808" s="381">
        <v>43082</v>
      </c>
      <c r="N808" s="381">
        <v>43086</v>
      </c>
      <c r="O808" s="394" t="s">
        <v>1949</v>
      </c>
      <c r="P808" s="72" t="s">
        <v>2285</v>
      </c>
      <c r="Q808" s="61" t="s">
        <v>2337</v>
      </c>
      <c r="R808" s="397" t="s">
        <v>826</v>
      </c>
      <c r="S808" s="336" t="s">
        <v>1176</v>
      </c>
      <c r="T808" s="323" t="s">
        <v>2935</v>
      </c>
      <c r="U808" s="421"/>
    </row>
    <row r="809" spans="1:21" s="377" customFormat="1" ht="20.100000000000001" customHeight="1">
      <c r="A809" s="1184" t="s">
        <v>2951</v>
      </c>
      <c r="B809" s="1183" t="s">
        <v>343</v>
      </c>
      <c r="C809" s="1183" t="s">
        <v>924</v>
      </c>
      <c r="D809" s="528">
        <f>D448+70040/60</f>
        <v>1527.3333333333333</v>
      </c>
      <c r="E809" s="528">
        <f>E448+116630/60</f>
        <v>2293.833333333333</v>
      </c>
      <c r="F809" s="528">
        <f>F448+116630/60</f>
        <v>2293.833333333333</v>
      </c>
      <c r="G809" s="67" t="s">
        <v>432</v>
      </c>
      <c r="H809" s="385" t="s">
        <v>721</v>
      </c>
      <c r="I809" s="386" t="s">
        <v>93</v>
      </c>
      <c r="J809" s="681"/>
      <c r="K809" s="398" t="s">
        <v>1006</v>
      </c>
      <c r="L809" s="415" t="s">
        <v>637</v>
      </c>
      <c r="M809" s="391">
        <v>43050</v>
      </c>
      <c r="N809" s="547">
        <v>43089</v>
      </c>
      <c r="O809" s="422"/>
      <c r="P809" s="61" t="s">
        <v>1944</v>
      </c>
      <c r="Q809" s="61" t="s">
        <v>902</v>
      </c>
      <c r="R809" s="397" t="s">
        <v>202</v>
      </c>
      <c r="S809" s="319" t="s">
        <v>1177</v>
      </c>
      <c r="T809" s="689"/>
      <c r="U809" s="421"/>
    </row>
    <row r="810" spans="1:21" s="377" customFormat="1" ht="20.100000000000001" customHeight="1">
      <c r="A810" s="1184" t="s">
        <v>2951</v>
      </c>
      <c r="B810" s="1183" t="s">
        <v>343</v>
      </c>
      <c r="C810" s="1183" t="s">
        <v>924</v>
      </c>
      <c r="D810" s="528">
        <f>D450+1268+25</f>
        <v>2243</v>
      </c>
      <c r="E810" s="528"/>
      <c r="F810" s="528">
        <f>F450+1595+50</f>
        <v>3195</v>
      </c>
      <c r="G810" s="222" t="s">
        <v>134</v>
      </c>
      <c r="H810" s="401" t="s">
        <v>706</v>
      </c>
      <c r="I810" s="426" t="s">
        <v>93</v>
      </c>
      <c r="J810" s="681"/>
      <c r="K810" s="386">
        <v>23</v>
      </c>
      <c r="L810" s="379" t="s">
        <v>643</v>
      </c>
      <c r="M810" s="392">
        <v>42962</v>
      </c>
      <c r="N810" s="392">
        <v>43100</v>
      </c>
      <c r="O810" s="422"/>
      <c r="P810" s="61" t="s">
        <v>588</v>
      </c>
      <c r="Q810" s="61" t="s">
        <v>919</v>
      </c>
      <c r="R810" s="397" t="s">
        <v>1783</v>
      </c>
      <c r="S810" s="316" t="s">
        <v>1176</v>
      </c>
      <c r="T810" s="689"/>
      <c r="U810" s="421"/>
    </row>
    <row r="811" spans="1:21" s="377" customFormat="1" ht="20.100000000000001" customHeight="1">
      <c r="A811" s="1184" t="s">
        <v>2951</v>
      </c>
      <c r="B811" s="1183" t="s">
        <v>343</v>
      </c>
      <c r="C811" s="1183" t="s">
        <v>924</v>
      </c>
      <c r="D811" s="32">
        <f>D473+49392/55</f>
        <v>1498.0363636363636</v>
      </c>
      <c r="E811" s="32">
        <f>E473+75759/55</f>
        <v>2177.4363636363637</v>
      </c>
      <c r="F811" s="32">
        <f>F473+75759/55</f>
        <v>2177.4363636363637</v>
      </c>
      <c r="G811" s="67" t="s">
        <v>207</v>
      </c>
      <c r="H811" s="378">
        <v>1</v>
      </c>
      <c r="I811" s="406" t="s">
        <v>130</v>
      </c>
      <c r="J811" s="50"/>
      <c r="K811" s="406">
        <v>25</v>
      </c>
      <c r="L811" s="379" t="s">
        <v>636</v>
      </c>
      <c r="M811" s="547">
        <v>43040</v>
      </c>
      <c r="N811" s="547">
        <v>43080</v>
      </c>
      <c r="O811" s="422"/>
      <c r="P811" s="59" t="s">
        <v>782</v>
      </c>
      <c r="Q811" s="61" t="s">
        <v>3034</v>
      </c>
      <c r="R811" s="427" t="s">
        <v>192</v>
      </c>
      <c r="S811" s="322" t="s">
        <v>2849</v>
      </c>
      <c r="T811" s="689"/>
      <c r="U811" s="421"/>
    </row>
    <row r="812" spans="1:21" s="377" customFormat="1" ht="20.100000000000001" customHeight="1">
      <c r="A812" s="1184" t="s">
        <v>2951</v>
      </c>
      <c r="B812" s="1183" t="s">
        <v>343</v>
      </c>
      <c r="C812" s="1183" t="s">
        <v>924</v>
      </c>
      <c r="D812" s="528">
        <f>D459+40500/55</f>
        <v>1096.3636363636365</v>
      </c>
      <c r="E812" s="528"/>
      <c r="F812" s="528">
        <f>F459+63000/55</f>
        <v>1530.4545454545455</v>
      </c>
      <c r="G812" s="705" t="s">
        <v>37</v>
      </c>
      <c r="H812" s="378">
        <v>1</v>
      </c>
      <c r="I812" s="426" t="s">
        <v>130</v>
      </c>
      <c r="J812" s="681"/>
      <c r="K812" s="426">
        <v>23</v>
      </c>
      <c r="L812" s="379" t="s">
        <v>636</v>
      </c>
      <c r="M812" s="392">
        <v>43080</v>
      </c>
      <c r="N812" s="392">
        <v>43080</v>
      </c>
      <c r="O812" s="419"/>
      <c r="P812" s="61" t="s">
        <v>907</v>
      </c>
      <c r="Q812" s="61" t="s">
        <v>927</v>
      </c>
      <c r="R812" s="397" t="s">
        <v>192</v>
      </c>
      <c r="S812" s="315" t="s">
        <v>2903</v>
      </c>
      <c r="T812" s="316"/>
      <c r="U812" s="421"/>
    </row>
    <row r="813" spans="1:21" s="377" customFormat="1" ht="20.100000000000001" customHeight="1">
      <c r="A813" s="1184" t="s">
        <v>2951</v>
      </c>
      <c r="B813" s="1183" t="s">
        <v>343</v>
      </c>
      <c r="C813" s="1183" t="s">
        <v>924</v>
      </c>
      <c r="D813" s="526">
        <f>D462+54000/60</f>
        <v>1275</v>
      </c>
      <c r="E813" s="526">
        <f>E462+91025/60</f>
        <v>1932.0833333333333</v>
      </c>
      <c r="F813" s="526">
        <f>F462+91025/60</f>
        <v>1932.0833333333333</v>
      </c>
      <c r="G813" s="705" t="s">
        <v>12</v>
      </c>
      <c r="H813" s="417" t="s">
        <v>729</v>
      </c>
      <c r="I813" s="398" t="s">
        <v>130</v>
      </c>
      <c r="J813" s="37"/>
      <c r="K813" s="426">
        <v>24</v>
      </c>
      <c r="L813" s="379" t="s">
        <v>636</v>
      </c>
      <c r="M813" s="551">
        <v>43084</v>
      </c>
      <c r="N813" s="551">
        <v>43091</v>
      </c>
      <c r="O813" s="419"/>
      <c r="P813" s="61" t="s">
        <v>597</v>
      </c>
      <c r="Q813" s="61" t="s">
        <v>932</v>
      </c>
      <c r="R813" s="397" t="s">
        <v>271</v>
      </c>
      <c r="S813" s="322" t="s">
        <v>1176</v>
      </c>
      <c r="T813" s="688" t="s">
        <v>2840</v>
      </c>
      <c r="U813" s="421"/>
    </row>
    <row r="814" spans="1:21" s="377" customFormat="1" ht="20.100000000000001" customHeight="1">
      <c r="A814" s="1184" t="s">
        <v>2951</v>
      </c>
      <c r="B814" s="1183" t="s">
        <v>343</v>
      </c>
      <c r="C814" s="1183" t="s">
        <v>924</v>
      </c>
      <c r="D814" s="526">
        <f>D464+(45040+5000)/60</f>
        <v>1434</v>
      </c>
      <c r="E814" s="526">
        <f>E464+(77750+10000)/60</f>
        <v>2112.5</v>
      </c>
      <c r="F814" s="526">
        <f>F464+(77750+10000)/60</f>
        <v>2112.5</v>
      </c>
      <c r="G814" s="222" t="s">
        <v>51</v>
      </c>
      <c r="H814" s="417" t="s">
        <v>2363</v>
      </c>
      <c r="I814" s="398" t="s">
        <v>130</v>
      </c>
      <c r="J814" s="37"/>
      <c r="K814" s="426" t="s">
        <v>2364</v>
      </c>
      <c r="L814" s="380" t="s">
        <v>639</v>
      </c>
      <c r="M814" s="381">
        <v>43080</v>
      </c>
      <c r="N814" s="381">
        <v>43089</v>
      </c>
      <c r="O814" s="419"/>
      <c r="P814" s="61" t="s">
        <v>597</v>
      </c>
      <c r="Q814" s="61" t="s">
        <v>902</v>
      </c>
      <c r="R814" s="424" t="s">
        <v>171</v>
      </c>
      <c r="S814" s="322"/>
      <c r="T814" s="688"/>
      <c r="U814" s="421"/>
    </row>
    <row r="815" spans="1:21" s="377" customFormat="1" ht="20.100000000000001" customHeight="1">
      <c r="A815" s="1184" t="s">
        <v>2951</v>
      </c>
      <c r="B815" s="1183" t="s">
        <v>343</v>
      </c>
      <c r="C815" s="1183" t="s">
        <v>924</v>
      </c>
      <c r="D815" s="526">
        <f>D465+46870/60</f>
        <v>1106.1666666666665</v>
      </c>
      <c r="E815" s="526">
        <f>E465+87120/60</f>
        <v>1927</v>
      </c>
      <c r="F815" s="526">
        <f>F465+81920/60</f>
        <v>1840.3333333333333</v>
      </c>
      <c r="G815" s="222" t="s">
        <v>1659</v>
      </c>
      <c r="H815" s="385" t="s">
        <v>742</v>
      </c>
      <c r="I815" s="398" t="s">
        <v>130</v>
      </c>
      <c r="J815" s="37"/>
      <c r="K815" s="380" t="s">
        <v>2346</v>
      </c>
      <c r="L815" s="398" t="s">
        <v>639</v>
      </c>
      <c r="M815" s="547">
        <v>43081</v>
      </c>
      <c r="N815" s="547">
        <v>43090</v>
      </c>
      <c r="O815" s="419"/>
      <c r="P815" s="61"/>
      <c r="Q815" s="61" t="s">
        <v>902</v>
      </c>
      <c r="R815" s="397" t="s">
        <v>171</v>
      </c>
      <c r="S815" s="315" t="s">
        <v>2862</v>
      </c>
      <c r="T815" s="626">
        <v>14</v>
      </c>
      <c r="U815" s="421"/>
    </row>
    <row r="816" spans="1:21" s="377" customFormat="1" ht="20.100000000000001" customHeight="1">
      <c r="A816" s="1184" t="s">
        <v>2951</v>
      </c>
      <c r="B816" s="1183" t="s">
        <v>343</v>
      </c>
      <c r="C816" s="1183" t="s">
        <v>924</v>
      </c>
      <c r="D816" s="526">
        <f>D467+771+25</f>
        <v>1076</v>
      </c>
      <c r="E816" s="526">
        <f>E467+1442+50</f>
        <v>1917</v>
      </c>
      <c r="F816" s="526">
        <f>F467+1442+50</f>
        <v>1917</v>
      </c>
      <c r="G816" s="222" t="s">
        <v>2347</v>
      </c>
      <c r="H816" s="385" t="s">
        <v>2350</v>
      </c>
      <c r="I816" s="398" t="s">
        <v>130</v>
      </c>
      <c r="J816" s="37"/>
      <c r="K816" s="380" t="s">
        <v>2346</v>
      </c>
      <c r="L816" s="386" t="s">
        <v>639</v>
      </c>
      <c r="M816" s="547">
        <v>43086</v>
      </c>
      <c r="N816" s="547">
        <v>43092</v>
      </c>
      <c r="O816" s="419"/>
      <c r="P816" s="61"/>
      <c r="Q816" s="61" t="s">
        <v>934</v>
      </c>
      <c r="R816" s="397" t="s">
        <v>171</v>
      </c>
      <c r="S816" s="322"/>
      <c r="T816" s="626"/>
      <c r="U816" s="421"/>
    </row>
    <row r="817" spans="1:21" s="377" customFormat="1" ht="20.100000000000001" customHeight="1">
      <c r="A817" s="1184" t="s">
        <v>2951</v>
      </c>
      <c r="B817" s="1183" t="s">
        <v>343</v>
      </c>
      <c r="C817" s="1183" t="s">
        <v>924</v>
      </c>
      <c r="D817" s="526">
        <f>D771</f>
        <v>1425</v>
      </c>
      <c r="E817" s="526">
        <f>E771</f>
        <v>2000</v>
      </c>
      <c r="F817" s="526">
        <f>F771</f>
        <v>2000</v>
      </c>
      <c r="G817" s="222" t="s">
        <v>19</v>
      </c>
      <c r="H817" s="385" t="s">
        <v>742</v>
      </c>
      <c r="I817" s="398" t="s">
        <v>623</v>
      </c>
      <c r="J817" s="37"/>
      <c r="K817" s="398" t="s">
        <v>1269</v>
      </c>
      <c r="L817" s="398" t="s">
        <v>639</v>
      </c>
      <c r="M817" s="399">
        <v>43073</v>
      </c>
      <c r="N817" s="399">
        <v>43086</v>
      </c>
      <c r="O817" s="382" t="s">
        <v>611</v>
      </c>
      <c r="P817" s="105"/>
      <c r="Q817" s="61" t="s">
        <v>1661</v>
      </c>
      <c r="R817" s="397" t="s">
        <v>187</v>
      </c>
      <c r="S817" s="316" t="s">
        <v>2908</v>
      </c>
      <c r="T817" s="848" t="s">
        <v>4105</v>
      </c>
      <c r="U817" s="421"/>
    </row>
    <row r="818" spans="1:21" s="377" customFormat="1" ht="20.100000000000001" customHeight="1">
      <c r="A818" s="1184" t="s">
        <v>2951</v>
      </c>
      <c r="B818" s="1183" t="s">
        <v>343</v>
      </c>
      <c r="C818" s="1183" t="s">
        <v>924</v>
      </c>
      <c r="D818" s="525">
        <f>D476+900+25</f>
        <v>1175</v>
      </c>
      <c r="E818" s="11">
        <f>E476+1540+50</f>
        <v>1990</v>
      </c>
      <c r="F818" s="11">
        <f>F476+1540+50</f>
        <v>1890</v>
      </c>
      <c r="G818" s="67" t="s">
        <v>157</v>
      </c>
      <c r="H818" s="385" t="s">
        <v>1102</v>
      </c>
      <c r="I818" s="380" t="s">
        <v>130</v>
      </c>
      <c r="J818" s="50"/>
      <c r="K818" s="406">
        <v>23</v>
      </c>
      <c r="L818" s="398" t="s">
        <v>639</v>
      </c>
      <c r="M818" s="392">
        <v>43084</v>
      </c>
      <c r="N818" s="392">
        <v>43088</v>
      </c>
      <c r="O818" s="423" t="s">
        <v>601</v>
      </c>
      <c r="P818" s="61" t="s">
        <v>1942</v>
      </c>
      <c r="Q818" s="61" t="s">
        <v>902</v>
      </c>
      <c r="R818" s="424" t="s">
        <v>171</v>
      </c>
      <c r="S818" s="316" t="s">
        <v>2909</v>
      </c>
      <c r="T818" s="689"/>
      <c r="U818" s="421"/>
    </row>
    <row r="819" spans="1:21" s="377" customFormat="1" ht="20.100000000000001" customHeight="1">
      <c r="A819" s="1184" t="s">
        <v>2951</v>
      </c>
      <c r="B819" s="1183" t="s">
        <v>343</v>
      </c>
      <c r="C819" s="1183" t="s">
        <v>924</v>
      </c>
      <c r="D819" s="526">
        <f>D472+661+25</f>
        <v>686</v>
      </c>
      <c r="E819" s="526">
        <f>E472+1100+50</f>
        <v>1150</v>
      </c>
      <c r="F819" s="526">
        <f>F472+1100+50</f>
        <v>1150</v>
      </c>
      <c r="G819" s="705" t="s">
        <v>13</v>
      </c>
      <c r="H819" s="385" t="s">
        <v>721</v>
      </c>
      <c r="I819" s="398" t="s">
        <v>130</v>
      </c>
      <c r="J819" s="37"/>
      <c r="K819" s="398" t="s">
        <v>663</v>
      </c>
      <c r="L819" s="398" t="s">
        <v>639</v>
      </c>
      <c r="M819" s="404">
        <v>43040</v>
      </c>
      <c r="N819" s="404">
        <v>43100</v>
      </c>
      <c r="O819" s="423" t="s">
        <v>601</v>
      </c>
      <c r="P819" s="750"/>
      <c r="Q819" s="61" t="s">
        <v>3035</v>
      </c>
      <c r="R819" s="397" t="s">
        <v>173</v>
      </c>
      <c r="S819" s="316" t="s">
        <v>2906</v>
      </c>
      <c r="T819" s="689"/>
      <c r="U819" s="421"/>
    </row>
    <row r="820" spans="1:21" s="377" customFormat="1" ht="20.100000000000001" customHeight="1">
      <c r="A820" s="1184" t="s">
        <v>2951</v>
      </c>
      <c r="B820" s="1183" t="s">
        <v>343</v>
      </c>
      <c r="C820" s="1183" t="s">
        <v>924</v>
      </c>
      <c r="D820" s="32">
        <f>D475+(40898/60)*1.15</f>
        <v>783.87833333333322</v>
      </c>
      <c r="E820" s="32">
        <f>E475+(69325/60)*1.15</f>
        <v>1328.7291666666667</v>
      </c>
      <c r="F820" s="32">
        <f>F475+(69325/60)*1.15</f>
        <v>1328.7291666666667</v>
      </c>
      <c r="G820" s="67" t="s">
        <v>29</v>
      </c>
      <c r="H820" s="385" t="s">
        <v>1098</v>
      </c>
      <c r="I820" s="398" t="s">
        <v>130</v>
      </c>
      <c r="J820" s="37"/>
      <c r="K820" s="398" t="s">
        <v>1100</v>
      </c>
      <c r="L820" s="398" t="s">
        <v>652</v>
      </c>
      <c r="M820" s="404">
        <v>43038</v>
      </c>
      <c r="N820" s="404">
        <v>43086</v>
      </c>
      <c r="O820" s="422"/>
      <c r="P820" s="61"/>
      <c r="Q820" s="61" t="s">
        <v>3035</v>
      </c>
      <c r="R820" s="397" t="s">
        <v>173</v>
      </c>
      <c r="S820" s="316" t="s">
        <v>2898</v>
      </c>
      <c r="T820" s="689"/>
      <c r="U820" s="421"/>
    </row>
    <row r="821" spans="1:21" s="377" customFormat="1" ht="20.100000000000001" customHeight="1">
      <c r="A821" s="1184" t="s">
        <v>2951</v>
      </c>
      <c r="B821" s="1183" t="s">
        <v>343</v>
      </c>
      <c r="C821" s="1183" t="s">
        <v>924</v>
      </c>
      <c r="D821" s="528">
        <f>D555+(39710/60)*1.15</f>
        <v>1236.1083333333333</v>
      </c>
      <c r="E821" s="528">
        <f>E555+(71277/60)*1.15</f>
        <v>1866.1424999999999</v>
      </c>
      <c r="F821" s="528">
        <f>F555+(71277/60)*1.15</f>
        <v>1866.1424999999999</v>
      </c>
      <c r="G821" s="705" t="s">
        <v>29</v>
      </c>
      <c r="H821" s="385" t="s">
        <v>659</v>
      </c>
      <c r="I821" s="426" t="s">
        <v>472</v>
      </c>
      <c r="J821" s="681"/>
      <c r="K821" s="386">
        <v>31</v>
      </c>
      <c r="L821" s="398" t="s">
        <v>639</v>
      </c>
      <c r="M821" s="404">
        <v>43082</v>
      </c>
      <c r="N821" s="404">
        <v>43086</v>
      </c>
      <c r="O821" s="422"/>
      <c r="P821" s="61" t="s">
        <v>599</v>
      </c>
      <c r="Q821" s="61" t="s">
        <v>934</v>
      </c>
      <c r="R821" s="397" t="s">
        <v>450</v>
      </c>
      <c r="S821" s="316" t="s">
        <v>2898</v>
      </c>
      <c r="T821" s="689"/>
      <c r="U821" s="421"/>
    </row>
    <row r="822" spans="1:21" s="377" customFormat="1" ht="20.100000000000001" customHeight="1">
      <c r="A822" s="1184" t="s">
        <v>2951</v>
      </c>
      <c r="B822" s="1183" t="s">
        <v>343</v>
      </c>
      <c r="C822" s="1183" t="s">
        <v>924</v>
      </c>
      <c r="D822" s="528">
        <f>D535+(43990+5000)/60</f>
        <v>1216.5</v>
      </c>
      <c r="E822" s="528">
        <f>E535+(79700+10000)/60</f>
        <v>1945</v>
      </c>
      <c r="F822" s="528">
        <f>F535+(79700+10000)/60</f>
        <v>1945</v>
      </c>
      <c r="G822" s="222" t="s">
        <v>51</v>
      </c>
      <c r="H822" s="403">
        <v>3</v>
      </c>
      <c r="I822" s="426" t="s">
        <v>472</v>
      </c>
      <c r="J822" s="681"/>
      <c r="K822" s="386" t="s">
        <v>2364</v>
      </c>
      <c r="L822" s="380" t="s">
        <v>639</v>
      </c>
      <c r="M822" s="381">
        <v>43084</v>
      </c>
      <c r="N822" s="381">
        <v>43089</v>
      </c>
      <c r="O822" s="422"/>
      <c r="P822" s="61" t="s">
        <v>597</v>
      </c>
      <c r="Q822" s="61" t="s">
        <v>902</v>
      </c>
      <c r="R822" s="397" t="s">
        <v>450</v>
      </c>
      <c r="S822" s="327" t="s">
        <v>3066</v>
      </c>
      <c r="T822" s="689"/>
      <c r="U822" s="421"/>
    </row>
    <row r="823" spans="1:21" s="377" customFormat="1" ht="20.100000000000001" customHeight="1">
      <c r="A823" s="1184" t="s">
        <v>2951</v>
      </c>
      <c r="B823" s="1183" t="s">
        <v>343</v>
      </c>
      <c r="C823" s="1183" t="s">
        <v>924</v>
      </c>
      <c r="D823" s="528">
        <f>D554+38995/60</f>
        <v>1024.9166666666665</v>
      </c>
      <c r="E823" s="528">
        <f>E554+73211/60</f>
        <v>1670.1833333333334</v>
      </c>
      <c r="F823" s="528">
        <f>F554+73211/60</f>
        <v>1670.1833333333334</v>
      </c>
      <c r="G823" s="222" t="s">
        <v>2328</v>
      </c>
      <c r="H823" s="385" t="s">
        <v>725</v>
      </c>
      <c r="I823" s="398" t="s">
        <v>472</v>
      </c>
      <c r="J823" s="681"/>
      <c r="K823" s="386" t="s">
        <v>2341</v>
      </c>
      <c r="L823" s="379" t="s">
        <v>641</v>
      </c>
      <c r="M823" s="381">
        <v>43082</v>
      </c>
      <c r="N823" s="381">
        <v>43086</v>
      </c>
      <c r="O823" s="394" t="s">
        <v>1949</v>
      </c>
      <c r="P823" s="61"/>
      <c r="Q823" s="61" t="s">
        <v>2337</v>
      </c>
      <c r="R823" s="397" t="s">
        <v>826</v>
      </c>
      <c r="S823" s="336" t="s">
        <v>1176</v>
      </c>
      <c r="T823" s="323" t="s">
        <v>2935</v>
      </c>
      <c r="U823" s="421"/>
    </row>
    <row r="824" spans="1:21" s="377" customFormat="1" ht="20.100000000000001" customHeight="1">
      <c r="A824" s="1184" t="s">
        <v>2951</v>
      </c>
      <c r="B824" s="1183" t="s">
        <v>343</v>
      </c>
      <c r="C824" s="1183" t="s">
        <v>924</v>
      </c>
      <c r="D824" s="528">
        <f>D546+39000/55</f>
        <v>1144.090909090909</v>
      </c>
      <c r="E824" s="528"/>
      <c r="F824" s="528">
        <f>F546+66000/55</f>
        <v>1710</v>
      </c>
      <c r="G824" s="705" t="s">
        <v>37</v>
      </c>
      <c r="H824" s="385" t="s">
        <v>903</v>
      </c>
      <c r="I824" s="426" t="s">
        <v>472</v>
      </c>
      <c r="J824" s="681"/>
      <c r="K824" s="386" t="s">
        <v>872</v>
      </c>
      <c r="L824" s="380" t="s">
        <v>649</v>
      </c>
      <c r="M824" s="392">
        <v>43063</v>
      </c>
      <c r="N824" s="392">
        <v>43080</v>
      </c>
      <c r="O824" s="419"/>
      <c r="P824" s="750"/>
      <c r="Q824" s="61" t="s">
        <v>927</v>
      </c>
      <c r="R824" s="397" t="s">
        <v>179</v>
      </c>
      <c r="S824" s="315" t="s">
        <v>2903</v>
      </c>
      <c r="T824" s="316"/>
      <c r="U824" s="421"/>
    </row>
    <row r="825" spans="1:21" s="377" customFormat="1" ht="20.100000000000001" customHeight="1">
      <c r="A825" s="1184" t="s">
        <v>2951</v>
      </c>
      <c r="B825" s="1183" t="s">
        <v>343</v>
      </c>
      <c r="C825" s="1183" t="s">
        <v>924</v>
      </c>
      <c r="D825" s="32">
        <f>D547+840+25</f>
        <v>1115</v>
      </c>
      <c r="E825" s="528">
        <f>E547+1540+50</f>
        <v>2040</v>
      </c>
      <c r="F825" s="528">
        <f>F547+1540+50</f>
        <v>1990</v>
      </c>
      <c r="G825" s="705" t="s">
        <v>28</v>
      </c>
      <c r="H825" s="417">
        <v>5</v>
      </c>
      <c r="I825" s="426" t="s">
        <v>472</v>
      </c>
      <c r="J825" s="681"/>
      <c r="K825" s="386">
        <v>20</v>
      </c>
      <c r="L825" s="380" t="s">
        <v>649</v>
      </c>
      <c r="M825" s="392">
        <v>43084</v>
      </c>
      <c r="N825" s="392">
        <v>43088</v>
      </c>
      <c r="O825" s="422"/>
      <c r="P825" s="61" t="s">
        <v>1676</v>
      </c>
      <c r="Q825" s="61" t="s">
        <v>902</v>
      </c>
      <c r="R825" s="397" t="s">
        <v>504</v>
      </c>
      <c r="S825" s="316" t="s">
        <v>2909</v>
      </c>
      <c r="T825" s="689"/>
      <c r="U825" s="421"/>
    </row>
    <row r="826" spans="1:21" s="377" customFormat="1" ht="20.100000000000001" customHeight="1">
      <c r="A826" s="1184" t="s">
        <v>2951</v>
      </c>
      <c r="B826" s="1183" t="s">
        <v>343</v>
      </c>
      <c r="C826" s="1183" t="s">
        <v>924</v>
      </c>
      <c r="D826" s="526">
        <f>D548+49700/60</f>
        <v>1228.3333333333335</v>
      </c>
      <c r="E826" s="526">
        <f>E548+83900/60</f>
        <v>1898.3333333333333</v>
      </c>
      <c r="F826" s="526">
        <f>F548+83900/60</f>
        <v>1898.3333333333333</v>
      </c>
      <c r="G826" s="705" t="s">
        <v>236</v>
      </c>
      <c r="H826" s="417" t="s">
        <v>721</v>
      </c>
      <c r="I826" s="386" t="s">
        <v>472</v>
      </c>
      <c r="J826" s="37"/>
      <c r="K826" s="398">
        <v>19</v>
      </c>
      <c r="L826" s="386" t="s">
        <v>641</v>
      </c>
      <c r="M826" s="399">
        <v>43064</v>
      </c>
      <c r="N826" s="399">
        <v>43086</v>
      </c>
      <c r="O826" s="423" t="s">
        <v>601</v>
      </c>
      <c r="P826" s="751"/>
      <c r="Q826" s="61" t="s">
        <v>934</v>
      </c>
      <c r="R826" s="424" t="s">
        <v>202</v>
      </c>
      <c r="S826" s="316"/>
      <c r="T826" s="689"/>
      <c r="U826" s="421"/>
    </row>
    <row r="827" spans="1:21" s="377" customFormat="1" ht="20.100000000000001" customHeight="1">
      <c r="A827" s="1184" t="s">
        <v>2951</v>
      </c>
      <c r="B827" s="1183" t="s">
        <v>343</v>
      </c>
      <c r="C827" s="1183" t="s">
        <v>924</v>
      </c>
      <c r="D827" s="528">
        <f>D549+49875/60</f>
        <v>1181.25</v>
      </c>
      <c r="E827" s="528">
        <f>E549+91250/60</f>
        <v>1910.8333333333333</v>
      </c>
      <c r="F827" s="528">
        <f>F549+91250/60</f>
        <v>1910.8333333333333</v>
      </c>
      <c r="G827" s="705" t="s">
        <v>12</v>
      </c>
      <c r="H827" s="417" t="s">
        <v>721</v>
      </c>
      <c r="I827" s="426" t="s">
        <v>472</v>
      </c>
      <c r="J827" s="681"/>
      <c r="K827" s="386">
        <v>20</v>
      </c>
      <c r="L827" s="386" t="s">
        <v>650</v>
      </c>
      <c r="M827" s="551">
        <v>43084</v>
      </c>
      <c r="N827" s="551">
        <v>43091</v>
      </c>
      <c r="O827" s="419"/>
      <c r="P827" s="61" t="s">
        <v>597</v>
      </c>
      <c r="Q827" s="61" t="s">
        <v>932</v>
      </c>
      <c r="R827" s="397" t="s">
        <v>202</v>
      </c>
      <c r="S827" s="322" t="s">
        <v>1176</v>
      </c>
      <c r="T827" s="688" t="s">
        <v>2840</v>
      </c>
      <c r="U827" s="421"/>
    </row>
    <row r="828" spans="1:21" s="377" customFormat="1" ht="20.100000000000001" customHeight="1">
      <c r="A828" s="1183" t="s">
        <v>2951</v>
      </c>
      <c r="B828" s="1183" t="s">
        <v>1122</v>
      </c>
      <c r="C828" s="1183" t="s">
        <v>925</v>
      </c>
      <c r="D828" s="528">
        <f>D417+53500/55</f>
        <v>1332.7272727272727</v>
      </c>
      <c r="E828" s="528"/>
      <c r="F828" s="528">
        <f>F417+84500/55</f>
        <v>1921.3636363636363</v>
      </c>
      <c r="G828" s="707" t="s">
        <v>102</v>
      </c>
      <c r="H828" s="378">
        <v>1</v>
      </c>
      <c r="I828" s="398" t="s">
        <v>93</v>
      </c>
      <c r="J828" s="681"/>
      <c r="K828" s="426">
        <v>23</v>
      </c>
      <c r="L828" s="379" t="s">
        <v>636</v>
      </c>
      <c r="M828" s="392">
        <v>43080</v>
      </c>
      <c r="N828" s="392">
        <v>43080</v>
      </c>
      <c r="O828" s="419"/>
      <c r="P828" s="61" t="s">
        <v>1933</v>
      </c>
      <c r="Q828" s="61" t="s">
        <v>927</v>
      </c>
      <c r="R828" s="397" t="s">
        <v>192</v>
      </c>
      <c r="S828" s="315" t="s">
        <v>2903</v>
      </c>
      <c r="T828" s="316"/>
      <c r="U828" s="421"/>
    </row>
    <row r="829" spans="1:21" s="377" customFormat="1" ht="20.100000000000001" customHeight="1">
      <c r="A829" s="1183" t="s">
        <v>2951</v>
      </c>
      <c r="B829" s="1183" t="s">
        <v>1122</v>
      </c>
      <c r="C829" s="1183" t="s">
        <v>925</v>
      </c>
      <c r="D829" s="536">
        <f>D425+750+25</f>
        <v>1200</v>
      </c>
      <c r="E829" s="536">
        <f>E425+1298+50</f>
        <v>1898</v>
      </c>
      <c r="F829" s="536">
        <f>F425+1298+50</f>
        <v>1898</v>
      </c>
      <c r="G829" s="707" t="s">
        <v>61</v>
      </c>
      <c r="H829" s="385" t="s">
        <v>729</v>
      </c>
      <c r="I829" s="426" t="s">
        <v>93</v>
      </c>
      <c r="J829" s="681"/>
      <c r="K829" s="426" t="s">
        <v>794</v>
      </c>
      <c r="L829" s="398" t="s">
        <v>649</v>
      </c>
      <c r="M829" s="404">
        <v>43070</v>
      </c>
      <c r="N829" s="404">
        <v>43100</v>
      </c>
      <c r="O829" s="423" t="s">
        <v>601</v>
      </c>
      <c r="P829" s="7" t="s">
        <v>1813</v>
      </c>
      <c r="Q829" s="61" t="s">
        <v>934</v>
      </c>
      <c r="R829" s="424" t="s">
        <v>251</v>
      </c>
      <c r="S829" s="316" t="s">
        <v>2906</v>
      </c>
      <c r="T829" s="689"/>
      <c r="U829" s="421"/>
    </row>
    <row r="830" spans="1:21" s="377" customFormat="1" ht="20.100000000000001" customHeight="1">
      <c r="A830" s="1183" t="s">
        <v>2951</v>
      </c>
      <c r="B830" s="1183" t="s">
        <v>1122</v>
      </c>
      <c r="C830" s="1183" t="s">
        <v>925</v>
      </c>
      <c r="D830" s="536">
        <f>D422+61275/55</f>
        <v>1314.090909090909</v>
      </c>
      <c r="E830" s="536">
        <f>E422+91225/55</f>
        <v>1908.6363636363637</v>
      </c>
      <c r="F830" s="536">
        <f>F422+91225/55</f>
        <v>1908.6363636363637</v>
      </c>
      <c r="G830" s="710" t="s">
        <v>87</v>
      </c>
      <c r="H830" s="390" t="s">
        <v>729</v>
      </c>
      <c r="I830" s="406" t="s">
        <v>93</v>
      </c>
      <c r="J830" s="37"/>
      <c r="K830" s="406">
        <v>24</v>
      </c>
      <c r="L830" s="398" t="s">
        <v>649</v>
      </c>
      <c r="M830" s="547">
        <v>43080</v>
      </c>
      <c r="N830" s="547">
        <v>43080</v>
      </c>
      <c r="O830" s="422"/>
      <c r="P830" s="59" t="s">
        <v>603</v>
      </c>
      <c r="Q830" s="61" t="s">
        <v>919</v>
      </c>
      <c r="R830" s="397" t="s">
        <v>251</v>
      </c>
      <c r="S830" s="322" t="s">
        <v>2861</v>
      </c>
      <c r="T830" s="689"/>
      <c r="U830" s="421"/>
    </row>
    <row r="831" spans="1:21" s="377" customFormat="1" ht="20.100000000000001" customHeight="1">
      <c r="A831" s="1183" t="s">
        <v>2951</v>
      </c>
      <c r="B831" s="1183" t="s">
        <v>1122</v>
      </c>
      <c r="C831" s="1183" t="s">
        <v>925</v>
      </c>
      <c r="D831" s="536">
        <f>D435+831+25</f>
        <v>1086</v>
      </c>
      <c r="E831" s="536">
        <f>E435+1624+50</f>
        <v>1999</v>
      </c>
      <c r="F831" s="536">
        <f>F435+1624+50</f>
        <v>1999</v>
      </c>
      <c r="G831" s="656" t="s">
        <v>2347</v>
      </c>
      <c r="H831" s="56" t="s">
        <v>742</v>
      </c>
      <c r="I831" s="380" t="s">
        <v>93</v>
      </c>
      <c r="J831" s="37" t="s">
        <v>3436</v>
      </c>
      <c r="K831" s="426" t="s">
        <v>2348</v>
      </c>
      <c r="L831" s="398" t="s">
        <v>652</v>
      </c>
      <c r="M831" s="547">
        <v>43086</v>
      </c>
      <c r="N831" s="547">
        <v>43092</v>
      </c>
      <c r="O831" s="422"/>
      <c r="P831" s="61" t="s">
        <v>605</v>
      </c>
      <c r="Q831" s="61" t="s">
        <v>934</v>
      </c>
      <c r="R831" s="17" t="s">
        <v>449</v>
      </c>
      <c r="S831" s="322" t="s">
        <v>1176</v>
      </c>
      <c r="T831" s="689"/>
      <c r="U831" s="421"/>
    </row>
    <row r="832" spans="1:21" s="377" customFormat="1" ht="20.100000000000001" customHeight="1">
      <c r="A832" s="1183" t="s">
        <v>2951</v>
      </c>
      <c r="B832" s="1183" t="s">
        <v>1122</v>
      </c>
      <c r="C832" s="1183" t="s">
        <v>925</v>
      </c>
      <c r="D832" s="536">
        <f>D435+804+25</f>
        <v>1059</v>
      </c>
      <c r="E832" s="536">
        <f>E435+1587+50</f>
        <v>1962</v>
      </c>
      <c r="F832" s="536">
        <f>F435+1587+50</f>
        <v>1962</v>
      </c>
      <c r="G832" s="656" t="s">
        <v>14</v>
      </c>
      <c r="H832" s="56" t="s">
        <v>742</v>
      </c>
      <c r="I832" s="380" t="s">
        <v>93</v>
      </c>
      <c r="J832" s="37" t="s">
        <v>3435</v>
      </c>
      <c r="K832" s="426" t="s">
        <v>2348</v>
      </c>
      <c r="L832" s="398" t="s">
        <v>652</v>
      </c>
      <c r="M832" s="547">
        <v>43086</v>
      </c>
      <c r="N832" s="547">
        <v>43092</v>
      </c>
      <c r="O832" s="422"/>
      <c r="P832" s="61" t="s">
        <v>605</v>
      </c>
      <c r="Q832" s="61" t="s">
        <v>934</v>
      </c>
      <c r="R832" s="17" t="s">
        <v>449</v>
      </c>
      <c r="S832" s="322" t="s">
        <v>1176</v>
      </c>
      <c r="T832" s="785"/>
      <c r="U832" s="421"/>
    </row>
    <row r="833" spans="1:21" s="377" customFormat="1" ht="20.100000000000001" customHeight="1">
      <c r="A833" s="1183" t="s">
        <v>2951</v>
      </c>
      <c r="B833" s="1183" t="s">
        <v>1122</v>
      </c>
      <c r="C833" s="1183" t="s">
        <v>925</v>
      </c>
      <c r="D833" s="11">
        <f>D421+58075/60</f>
        <v>1197.9166666666665</v>
      </c>
      <c r="E833" s="11">
        <f>E421+98450/60</f>
        <v>1790.8333333333333</v>
      </c>
      <c r="F833" s="11">
        <f>F421+98450/60</f>
        <v>1790.8333333333333</v>
      </c>
      <c r="G833" s="12" t="s">
        <v>146</v>
      </c>
      <c r="H833" s="417" t="s">
        <v>651</v>
      </c>
      <c r="I833" s="380" t="s">
        <v>93</v>
      </c>
      <c r="J833" s="37" t="s">
        <v>1379</v>
      </c>
      <c r="K833" s="380">
        <v>20</v>
      </c>
      <c r="L833" s="415" t="s">
        <v>637</v>
      </c>
      <c r="M833" s="551">
        <v>43084</v>
      </c>
      <c r="N833" s="551">
        <v>43091</v>
      </c>
      <c r="O833" s="419"/>
      <c r="P833" s="72" t="s">
        <v>1941</v>
      </c>
      <c r="Q833" s="61" t="s">
        <v>932</v>
      </c>
      <c r="R833" s="384" t="s">
        <v>1740</v>
      </c>
      <c r="S833" s="322" t="s">
        <v>1176</v>
      </c>
      <c r="T833" s="688" t="s">
        <v>2840</v>
      </c>
      <c r="U833" s="421"/>
    </row>
    <row r="834" spans="1:21" s="377" customFormat="1" ht="20.100000000000001" customHeight="1">
      <c r="A834" s="1183" t="s">
        <v>2951</v>
      </c>
      <c r="B834" s="1183" t="s">
        <v>1122</v>
      </c>
      <c r="C834" s="1183" t="s">
        <v>925</v>
      </c>
      <c r="D834" s="11">
        <f>D421+57675/60</f>
        <v>1191.25</v>
      </c>
      <c r="E834" s="11">
        <f>E421+97450/60</f>
        <v>1774.1666666666667</v>
      </c>
      <c r="F834" s="11">
        <f>F421+97450/60</f>
        <v>1774.1666666666667</v>
      </c>
      <c r="G834" s="12" t="s">
        <v>12</v>
      </c>
      <c r="H834" s="417" t="s">
        <v>651</v>
      </c>
      <c r="I834" s="380" t="s">
        <v>93</v>
      </c>
      <c r="J834" s="37" t="s">
        <v>1699</v>
      </c>
      <c r="K834" s="380">
        <v>20</v>
      </c>
      <c r="L834" s="415" t="s">
        <v>637</v>
      </c>
      <c r="M834" s="551">
        <v>43084</v>
      </c>
      <c r="N834" s="551">
        <v>43091</v>
      </c>
      <c r="O834" s="419"/>
      <c r="P834" s="72" t="s">
        <v>1941</v>
      </c>
      <c r="Q834" s="61" t="s">
        <v>902</v>
      </c>
      <c r="R834" s="384" t="s">
        <v>1740</v>
      </c>
      <c r="S834" s="322" t="s">
        <v>1176</v>
      </c>
      <c r="T834" s="688" t="s">
        <v>2840</v>
      </c>
      <c r="U834" s="421"/>
    </row>
    <row r="835" spans="1:21" s="377" customFormat="1" ht="20.100000000000001" customHeight="1">
      <c r="A835" s="1183" t="s">
        <v>2951</v>
      </c>
      <c r="B835" s="1183" t="s">
        <v>1122</v>
      </c>
      <c r="C835" s="1183" t="s">
        <v>925</v>
      </c>
      <c r="D835" s="528">
        <f>D759</f>
        <v>1425</v>
      </c>
      <c r="E835" s="528">
        <f>E759</f>
        <v>2000</v>
      </c>
      <c r="F835" s="528">
        <f>F759</f>
        <v>2000</v>
      </c>
      <c r="G835" s="217" t="s">
        <v>19</v>
      </c>
      <c r="H835" s="385" t="s">
        <v>742</v>
      </c>
      <c r="I835" s="398" t="s">
        <v>93</v>
      </c>
      <c r="J835" s="37"/>
      <c r="K835" s="398" t="s">
        <v>1259</v>
      </c>
      <c r="L835" s="398" t="s">
        <v>639</v>
      </c>
      <c r="M835" s="399">
        <v>43073</v>
      </c>
      <c r="N835" s="399">
        <v>43086</v>
      </c>
      <c r="O835" s="382" t="s">
        <v>611</v>
      </c>
      <c r="P835" s="61" t="s">
        <v>588</v>
      </c>
      <c r="Q835" s="61" t="s">
        <v>1661</v>
      </c>
      <c r="R835" s="397" t="s">
        <v>187</v>
      </c>
      <c r="S835" s="316" t="s">
        <v>2908</v>
      </c>
      <c r="T835" s="848" t="s">
        <v>4105</v>
      </c>
      <c r="U835" s="421"/>
    </row>
    <row r="836" spans="1:21" s="377" customFormat="1" ht="20.100000000000001" customHeight="1">
      <c r="A836" s="1183" t="s">
        <v>2951</v>
      </c>
      <c r="B836" s="1183" t="s">
        <v>1122</v>
      </c>
      <c r="C836" s="1183" t="s">
        <v>925</v>
      </c>
      <c r="D836" s="536">
        <f>D455+53800/60</f>
        <v>1271.6666666666665</v>
      </c>
      <c r="E836" s="536">
        <f>E455+92200/60</f>
        <v>1936.6666666666667</v>
      </c>
      <c r="F836" s="536">
        <f>F455+92200/60</f>
        <v>1936.6666666666667</v>
      </c>
      <c r="G836" s="707" t="s">
        <v>236</v>
      </c>
      <c r="H836" s="425" t="s">
        <v>656</v>
      </c>
      <c r="I836" s="426" t="s">
        <v>93</v>
      </c>
      <c r="J836" s="37"/>
      <c r="K836" s="398">
        <v>21</v>
      </c>
      <c r="L836" s="386" t="s">
        <v>1871</v>
      </c>
      <c r="M836" s="399">
        <v>43064</v>
      </c>
      <c r="N836" s="399">
        <v>43086</v>
      </c>
      <c r="O836" s="423" t="s">
        <v>601</v>
      </c>
      <c r="P836" s="751" t="s">
        <v>1937</v>
      </c>
      <c r="Q836" s="61" t="s">
        <v>934</v>
      </c>
      <c r="R836" s="424" t="s">
        <v>1870</v>
      </c>
      <c r="S836" s="315" t="s">
        <v>2907</v>
      </c>
      <c r="T836" s="689"/>
      <c r="U836" s="421"/>
    </row>
    <row r="837" spans="1:21" s="377" customFormat="1" ht="20.100000000000001" customHeight="1">
      <c r="A837" s="1183" t="s">
        <v>2951</v>
      </c>
      <c r="B837" s="1183" t="s">
        <v>1122</v>
      </c>
      <c r="C837" s="1183" t="s">
        <v>925</v>
      </c>
      <c r="D837" s="11">
        <f>D440+50950/60</f>
        <v>1099.1666666666665</v>
      </c>
      <c r="E837" s="11">
        <f>E440+91813/60</f>
        <v>1780.2166666666667</v>
      </c>
      <c r="F837" s="11">
        <f>F440+91813/60</f>
        <v>1780.2166666666667</v>
      </c>
      <c r="G837" s="656" t="s">
        <v>2328</v>
      </c>
      <c r="H837" s="385" t="s">
        <v>725</v>
      </c>
      <c r="I837" s="398" t="s">
        <v>93</v>
      </c>
      <c r="J837" s="37"/>
      <c r="K837" s="398" t="s">
        <v>2336</v>
      </c>
      <c r="L837" s="379" t="s">
        <v>641</v>
      </c>
      <c r="M837" s="381">
        <v>43082</v>
      </c>
      <c r="N837" s="381">
        <v>43086</v>
      </c>
      <c r="O837" s="394" t="s">
        <v>1949</v>
      </c>
      <c r="P837" s="72" t="s">
        <v>2285</v>
      </c>
      <c r="Q837" s="61" t="s">
        <v>2337</v>
      </c>
      <c r="R837" s="397" t="s">
        <v>826</v>
      </c>
      <c r="S837" s="336" t="s">
        <v>1176</v>
      </c>
      <c r="T837" s="323" t="s">
        <v>2935</v>
      </c>
      <c r="U837" s="421"/>
    </row>
    <row r="838" spans="1:21" s="377" customFormat="1" ht="20.100000000000001" customHeight="1">
      <c r="A838" s="1183" t="s">
        <v>2951</v>
      </c>
      <c r="B838" s="1183" t="s">
        <v>1122</v>
      </c>
      <c r="C838" s="1183" t="s">
        <v>925</v>
      </c>
      <c r="D838" s="528">
        <f>D448+74711/60</f>
        <v>1605.1833333333334</v>
      </c>
      <c r="E838" s="528">
        <f>E448+126065/60</f>
        <v>2451.0833333333335</v>
      </c>
      <c r="F838" s="528">
        <f>F448+126065/60</f>
        <v>2451.0833333333335</v>
      </c>
      <c r="G838" s="67" t="s">
        <v>432</v>
      </c>
      <c r="H838" s="385" t="s">
        <v>721</v>
      </c>
      <c r="I838" s="426" t="s">
        <v>93</v>
      </c>
      <c r="J838" s="681"/>
      <c r="K838" s="398" t="s">
        <v>1006</v>
      </c>
      <c r="L838" s="415" t="s">
        <v>637</v>
      </c>
      <c r="M838" s="391">
        <v>43050</v>
      </c>
      <c r="N838" s="547">
        <v>43089</v>
      </c>
      <c r="O838" s="422"/>
      <c r="P838" s="61" t="s">
        <v>1944</v>
      </c>
      <c r="Q838" s="61" t="s">
        <v>902</v>
      </c>
      <c r="R838" s="397" t="s">
        <v>202</v>
      </c>
      <c r="S838" s="319" t="s">
        <v>1177</v>
      </c>
      <c r="T838" s="689"/>
      <c r="U838" s="421"/>
    </row>
    <row r="839" spans="1:21" s="377" customFormat="1" ht="20.100000000000001" customHeight="1">
      <c r="A839" s="1183" t="s">
        <v>2951</v>
      </c>
      <c r="B839" s="1183" t="s">
        <v>1122</v>
      </c>
      <c r="C839" s="1183" t="s">
        <v>925</v>
      </c>
      <c r="D839" s="11">
        <f>D473+52720/55</f>
        <v>1558.5454545454545</v>
      </c>
      <c r="E839" s="11">
        <f>E473+80287/55</f>
        <v>2259.7636363636366</v>
      </c>
      <c r="F839" s="11">
        <f>F473+80287/55</f>
        <v>2259.7636363636366</v>
      </c>
      <c r="G839" s="12" t="s">
        <v>87</v>
      </c>
      <c r="H839" s="378">
        <v>1</v>
      </c>
      <c r="I839" s="406" t="s">
        <v>130</v>
      </c>
      <c r="J839" s="34"/>
      <c r="K839" s="406">
        <v>26</v>
      </c>
      <c r="L839" s="379" t="s">
        <v>636</v>
      </c>
      <c r="M839" s="547">
        <v>43040</v>
      </c>
      <c r="N839" s="547">
        <v>43080</v>
      </c>
      <c r="O839" s="422"/>
      <c r="P839" s="59" t="s">
        <v>782</v>
      </c>
      <c r="Q839" s="61" t="s">
        <v>3034</v>
      </c>
      <c r="R839" s="427" t="s">
        <v>192</v>
      </c>
      <c r="S839" s="322" t="s">
        <v>2849</v>
      </c>
      <c r="T839" s="689"/>
      <c r="U839" s="421"/>
    </row>
    <row r="840" spans="1:21" s="377" customFormat="1" ht="20.100000000000001" customHeight="1">
      <c r="A840" s="1183" t="s">
        <v>2951</v>
      </c>
      <c r="B840" s="1183" t="s">
        <v>1122</v>
      </c>
      <c r="C840" s="1183" t="s">
        <v>925</v>
      </c>
      <c r="D840" s="528">
        <f>D459+45500/55</f>
        <v>1187.2727272727273</v>
      </c>
      <c r="E840" s="528"/>
      <c r="F840" s="528">
        <f>F459+72500/55</f>
        <v>1703.1818181818182</v>
      </c>
      <c r="G840" s="705" t="s">
        <v>37</v>
      </c>
      <c r="H840" s="378">
        <v>1</v>
      </c>
      <c r="I840" s="426" t="s">
        <v>130</v>
      </c>
      <c r="J840" s="681"/>
      <c r="K840" s="426">
        <v>25</v>
      </c>
      <c r="L840" s="379" t="s">
        <v>636</v>
      </c>
      <c r="M840" s="392">
        <v>43080</v>
      </c>
      <c r="N840" s="392">
        <v>43080</v>
      </c>
      <c r="O840" s="419"/>
      <c r="P840" s="61" t="s">
        <v>907</v>
      </c>
      <c r="Q840" s="61" t="s">
        <v>927</v>
      </c>
      <c r="R840" s="397" t="s">
        <v>192</v>
      </c>
      <c r="S840" s="315" t="s">
        <v>2903</v>
      </c>
      <c r="T840" s="316"/>
      <c r="U840" s="421"/>
    </row>
    <row r="841" spans="1:21" s="377" customFormat="1" ht="20.100000000000001" customHeight="1">
      <c r="A841" s="1183" t="s">
        <v>2951</v>
      </c>
      <c r="B841" s="1183" t="s">
        <v>1122</v>
      </c>
      <c r="C841" s="1183" t="s">
        <v>925</v>
      </c>
      <c r="D841" s="536">
        <f>D462+55350/60</f>
        <v>1297.5</v>
      </c>
      <c r="E841" s="536">
        <f>E462+92250/60</f>
        <v>1952.5</v>
      </c>
      <c r="F841" s="536">
        <f>F462+92250/60</f>
        <v>1952.5</v>
      </c>
      <c r="G841" s="707" t="s">
        <v>12</v>
      </c>
      <c r="H841" s="417" t="s">
        <v>729</v>
      </c>
      <c r="I841" s="398" t="s">
        <v>130</v>
      </c>
      <c r="J841" s="37" t="s">
        <v>1376</v>
      </c>
      <c r="K841" s="426">
        <v>24</v>
      </c>
      <c r="L841" s="379" t="s">
        <v>636</v>
      </c>
      <c r="M841" s="551">
        <v>43084</v>
      </c>
      <c r="N841" s="551">
        <v>43091</v>
      </c>
      <c r="O841" s="419"/>
      <c r="P841" s="61" t="s">
        <v>597</v>
      </c>
      <c r="Q841" s="61" t="s">
        <v>932</v>
      </c>
      <c r="R841" s="397" t="s">
        <v>271</v>
      </c>
      <c r="S841" s="322" t="s">
        <v>1176</v>
      </c>
      <c r="T841" s="688" t="s">
        <v>2840</v>
      </c>
      <c r="U841" s="421"/>
    </row>
    <row r="842" spans="1:21" s="377" customFormat="1" ht="20.100000000000001" customHeight="1">
      <c r="A842" s="1183" t="s">
        <v>2951</v>
      </c>
      <c r="B842" s="1183" t="s">
        <v>1122</v>
      </c>
      <c r="C842" s="1183" t="s">
        <v>925</v>
      </c>
      <c r="D842" s="536">
        <f>D467+690+25</f>
        <v>995</v>
      </c>
      <c r="E842" s="536">
        <f>E467+1412+50</f>
        <v>1887</v>
      </c>
      <c r="F842" s="536">
        <f>F467+1412+50</f>
        <v>1887</v>
      </c>
      <c r="G842" s="222" t="s">
        <v>2347</v>
      </c>
      <c r="H842" s="385" t="s">
        <v>2350</v>
      </c>
      <c r="I842" s="398" t="s">
        <v>130</v>
      </c>
      <c r="J842" s="37" t="s">
        <v>3436</v>
      </c>
      <c r="K842" s="380" t="s">
        <v>2346</v>
      </c>
      <c r="L842" s="386" t="s">
        <v>639</v>
      </c>
      <c r="M842" s="547">
        <v>43086</v>
      </c>
      <c r="N842" s="547">
        <v>43092</v>
      </c>
      <c r="O842" s="419"/>
      <c r="P842" s="61"/>
      <c r="Q842" s="61" t="s">
        <v>934</v>
      </c>
      <c r="R842" s="397" t="s">
        <v>171</v>
      </c>
      <c r="S842" s="322"/>
      <c r="T842" s="688"/>
      <c r="U842" s="421"/>
    </row>
    <row r="843" spans="1:21" s="377" customFormat="1" ht="20.100000000000001" customHeight="1">
      <c r="A843" s="1183" t="s">
        <v>2951</v>
      </c>
      <c r="B843" s="1183" t="s">
        <v>1122</v>
      </c>
      <c r="C843" s="1183" t="s">
        <v>925</v>
      </c>
      <c r="D843" s="536">
        <f>D467+661+25</f>
        <v>966</v>
      </c>
      <c r="E843" s="536">
        <f>E467+1365+50</f>
        <v>1840</v>
      </c>
      <c r="F843" s="536">
        <f>F467+1365+50</f>
        <v>1840</v>
      </c>
      <c r="G843" s="222" t="s">
        <v>14</v>
      </c>
      <c r="H843" s="385" t="s">
        <v>742</v>
      </c>
      <c r="I843" s="398" t="s">
        <v>130</v>
      </c>
      <c r="J843" s="37" t="s">
        <v>3435</v>
      </c>
      <c r="K843" s="380" t="s">
        <v>727</v>
      </c>
      <c r="L843" s="386" t="s">
        <v>639</v>
      </c>
      <c r="M843" s="547">
        <v>43086</v>
      </c>
      <c r="N843" s="547">
        <v>43092</v>
      </c>
      <c r="O843" s="419"/>
      <c r="P843" s="61"/>
      <c r="Q843" s="61" t="s">
        <v>934</v>
      </c>
      <c r="R843" s="397" t="s">
        <v>171</v>
      </c>
      <c r="S843" s="322"/>
      <c r="T843" s="688"/>
      <c r="U843" s="421"/>
    </row>
    <row r="844" spans="1:21" s="377" customFormat="1" ht="20.100000000000001" customHeight="1">
      <c r="A844" s="1183" t="s">
        <v>2951</v>
      </c>
      <c r="B844" s="1183" t="s">
        <v>1122</v>
      </c>
      <c r="C844" s="1183" t="s">
        <v>925</v>
      </c>
      <c r="D844" s="32">
        <f>D771</f>
        <v>1425</v>
      </c>
      <c r="E844" s="32">
        <f>E771</f>
        <v>2000</v>
      </c>
      <c r="F844" s="32">
        <f>F771</f>
        <v>2000</v>
      </c>
      <c r="G844" s="222" t="s">
        <v>19</v>
      </c>
      <c r="H844" s="385" t="s">
        <v>742</v>
      </c>
      <c r="I844" s="398" t="s">
        <v>623</v>
      </c>
      <c r="J844" s="37"/>
      <c r="K844" s="398" t="s">
        <v>1257</v>
      </c>
      <c r="L844" s="398" t="s">
        <v>639</v>
      </c>
      <c r="M844" s="399">
        <v>43073</v>
      </c>
      <c r="N844" s="399">
        <v>43086</v>
      </c>
      <c r="O844" s="382" t="s">
        <v>611</v>
      </c>
      <c r="P844" s="105"/>
      <c r="Q844" s="61" t="s">
        <v>1661</v>
      </c>
      <c r="R844" s="397" t="s">
        <v>187</v>
      </c>
      <c r="S844" s="316" t="s">
        <v>2908</v>
      </c>
      <c r="T844" s="848" t="s">
        <v>4105</v>
      </c>
      <c r="U844" s="421"/>
    </row>
    <row r="845" spans="1:21" s="377" customFormat="1" ht="20.100000000000001" customHeight="1">
      <c r="A845" s="1183" t="s">
        <v>2951</v>
      </c>
      <c r="B845" s="1183" t="s">
        <v>1122</v>
      </c>
      <c r="C845" s="1183" t="s">
        <v>925</v>
      </c>
      <c r="D845" s="536">
        <f>D478+53800/60</f>
        <v>1296.6666666666665</v>
      </c>
      <c r="E845" s="536">
        <f>E478+92200/60</f>
        <v>2036.6666666666667</v>
      </c>
      <c r="F845" s="536">
        <f>F478+92200/60</f>
        <v>2036.6666666666667</v>
      </c>
      <c r="G845" s="707" t="s">
        <v>232</v>
      </c>
      <c r="H845" s="417" t="s">
        <v>1358</v>
      </c>
      <c r="I845" s="380" t="s">
        <v>130</v>
      </c>
      <c r="J845" s="37"/>
      <c r="K845" s="398">
        <v>21</v>
      </c>
      <c r="L845" s="398" t="s">
        <v>639</v>
      </c>
      <c r="M845" s="399">
        <v>43064</v>
      </c>
      <c r="N845" s="399">
        <v>43086</v>
      </c>
      <c r="O845" s="423" t="s">
        <v>601</v>
      </c>
      <c r="P845" s="750"/>
      <c r="Q845" s="61" t="s">
        <v>934</v>
      </c>
      <c r="R845" s="397" t="s">
        <v>171</v>
      </c>
      <c r="S845" s="316" t="s">
        <v>2910</v>
      </c>
      <c r="T845" s="689"/>
      <c r="U845" s="421"/>
    </row>
    <row r="846" spans="1:21" s="377" customFormat="1" ht="20.100000000000001" customHeight="1">
      <c r="A846" s="1183" t="s">
        <v>2951</v>
      </c>
      <c r="B846" s="1183" t="s">
        <v>1122</v>
      </c>
      <c r="C846" s="1183" t="s">
        <v>925</v>
      </c>
      <c r="D846" s="536">
        <f>D472+651+25</f>
        <v>676</v>
      </c>
      <c r="E846" s="536">
        <f>E472+1139+50</f>
        <v>1189</v>
      </c>
      <c r="F846" s="536">
        <f>F472+1139+50</f>
        <v>1189</v>
      </c>
      <c r="G846" s="705" t="s">
        <v>13</v>
      </c>
      <c r="H846" s="385" t="s">
        <v>721</v>
      </c>
      <c r="I846" s="398" t="s">
        <v>130</v>
      </c>
      <c r="J846" s="37"/>
      <c r="K846" s="398" t="s">
        <v>663</v>
      </c>
      <c r="L846" s="398" t="s">
        <v>639</v>
      </c>
      <c r="M846" s="404">
        <v>43040</v>
      </c>
      <c r="N846" s="404">
        <v>43100</v>
      </c>
      <c r="O846" s="423" t="s">
        <v>601</v>
      </c>
      <c r="P846" s="750"/>
      <c r="Q846" s="61" t="s">
        <v>3035</v>
      </c>
      <c r="R846" s="397" t="s">
        <v>173</v>
      </c>
      <c r="S846" s="316" t="s">
        <v>2906</v>
      </c>
      <c r="T846" s="689"/>
      <c r="U846" s="421"/>
    </row>
    <row r="847" spans="1:21" s="377" customFormat="1" ht="20.100000000000001" customHeight="1">
      <c r="A847" s="1184" t="s">
        <v>2951</v>
      </c>
      <c r="B847" s="1183" t="s">
        <v>343</v>
      </c>
      <c r="C847" s="1183" t="s">
        <v>925</v>
      </c>
      <c r="D847" s="536">
        <f>D554+51385/60</f>
        <v>1231.4166666666665</v>
      </c>
      <c r="E847" s="536">
        <f>E554+92892/60</f>
        <v>1998.2</v>
      </c>
      <c r="F847" s="536">
        <f>F554+92892/60</f>
        <v>1998.2</v>
      </c>
      <c r="G847" s="222" t="s">
        <v>2328</v>
      </c>
      <c r="H847" s="385" t="s">
        <v>725</v>
      </c>
      <c r="I847" s="398" t="s">
        <v>472</v>
      </c>
      <c r="J847" s="681"/>
      <c r="K847" s="386" t="s">
        <v>2341</v>
      </c>
      <c r="L847" s="379" t="s">
        <v>641</v>
      </c>
      <c r="M847" s="381">
        <v>43082</v>
      </c>
      <c r="N847" s="381">
        <v>43086</v>
      </c>
      <c r="O847" s="394" t="s">
        <v>1949</v>
      </c>
      <c r="P847" s="61"/>
      <c r="Q847" s="61" t="s">
        <v>2337</v>
      </c>
      <c r="R847" s="397" t="s">
        <v>826</v>
      </c>
      <c r="S847" s="336" t="s">
        <v>1176</v>
      </c>
      <c r="T847" s="323" t="s">
        <v>2935</v>
      </c>
      <c r="U847" s="421"/>
    </row>
    <row r="848" spans="1:21" s="377" customFormat="1" ht="20.100000000000001" customHeight="1">
      <c r="A848" s="1184" t="s">
        <v>2951</v>
      </c>
      <c r="B848" s="1183" t="s">
        <v>343</v>
      </c>
      <c r="C848" s="1183" t="s">
        <v>925</v>
      </c>
      <c r="D848" s="32">
        <f>D546+55500/55</f>
        <v>1444.090909090909</v>
      </c>
      <c r="E848" s="528"/>
      <c r="F848" s="32">
        <f>F546+85500/55</f>
        <v>2064.5454545454545</v>
      </c>
      <c r="G848" s="67" t="s">
        <v>37</v>
      </c>
      <c r="H848" s="385">
        <v>5</v>
      </c>
      <c r="I848" s="426" t="s">
        <v>472</v>
      </c>
      <c r="J848" s="681"/>
      <c r="K848" s="386" t="s">
        <v>872</v>
      </c>
      <c r="L848" s="380" t="s">
        <v>649</v>
      </c>
      <c r="M848" s="392">
        <v>43063</v>
      </c>
      <c r="N848" s="392">
        <v>43080</v>
      </c>
      <c r="O848" s="419"/>
      <c r="P848" s="750"/>
      <c r="Q848" s="61" t="s">
        <v>927</v>
      </c>
      <c r="R848" s="397" t="s">
        <v>179</v>
      </c>
      <c r="S848" s="315" t="s">
        <v>2903</v>
      </c>
      <c r="T848" s="316"/>
      <c r="U848" s="421"/>
    </row>
    <row r="849" spans="1:21" s="377" customFormat="1" ht="20.100000000000001" customHeight="1">
      <c r="A849" s="1184" t="s">
        <v>2951</v>
      </c>
      <c r="B849" s="1183" t="s">
        <v>343</v>
      </c>
      <c r="C849" s="1183" t="s">
        <v>925</v>
      </c>
      <c r="D849" s="536">
        <f>D549+61675/60</f>
        <v>1377.9166666666667</v>
      </c>
      <c r="E849" s="536">
        <f>E549+104325/60</f>
        <v>2128.75</v>
      </c>
      <c r="F849" s="536">
        <f>F549+104325/60</f>
        <v>2128.75</v>
      </c>
      <c r="G849" s="707" t="s">
        <v>12</v>
      </c>
      <c r="H849" s="417" t="s">
        <v>721</v>
      </c>
      <c r="I849" s="426" t="s">
        <v>472</v>
      </c>
      <c r="J849" s="37" t="s">
        <v>1376</v>
      </c>
      <c r="K849" s="386">
        <v>20</v>
      </c>
      <c r="L849" s="386" t="s">
        <v>650</v>
      </c>
      <c r="M849" s="551">
        <v>43084</v>
      </c>
      <c r="N849" s="551">
        <v>43091</v>
      </c>
      <c r="O849" s="419"/>
      <c r="P849" s="61" t="s">
        <v>597</v>
      </c>
      <c r="Q849" s="61" t="s">
        <v>932</v>
      </c>
      <c r="R849" s="397" t="s">
        <v>202</v>
      </c>
      <c r="S849" s="322" t="s">
        <v>1176</v>
      </c>
      <c r="T849" s="688" t="s">
        <v>2840</v>
      </c>
      <c r="U849" s="421"/>
    </row>
    <row r="850" spans="1:21" s="377" customFormat="1" ht="20.100000000000001" customHeight="1">
      <c r="A850" s="1184" t="s">
        <v>2951</v>
      </c>
      <c r="B850" s="1183" t="s">
        <v>343</v>
      </c>
      <c r="C850" s="1183" t="s">
        <v>544</v>
      </c>
      <c r="D850" s="13">
        <f>D417+60500/55</f>
        <v>1460</v>
      </c>
      <c r="E850" s="528"/>
      <c r="F850" s="13">
        <f>F417+90500/55</f>
        <v>2030.4545454545455</v>
      </c>
      <c r="G850" s="707" t="s">
        <v>102</v>
      </c>
      <c r="H850" s="378">
        <v>1</v>
      </c>
      <c r="I850" s="398" t="s">
        <v>93</v>
      </c>
      <c r="J850" s="682"/>
      <c r="K850" s="426">
        <v>23</v>
      </c>
      <c r="L850" s="379" t="s">
        <v>636</v>
      </c>
      <c r="M850" s="392">
        <v>43080</v>
      </c>
      <c r="N850" s="392">
        <v>43080</v>
      </c>
      <c r="O850" s="419"/>
      <c r="P850" s="61" t="s">
        <v>1933</v>
      </c>
      <c r="Q850" s="61" t="s">
        <v>927</v>
      </c>
      <c r="R850" s="397" t="s">
        <v>192</v>
      </c>
      <c r="S850" s="315" t="s">
        <v>2903</v>
      </c>
      <c r="T850" s="316"/>
      <c r="U850" s="421"/>
    </row>
    <row r="851" spans="1:21" s="377" customFormat="1" ht="20.100000000000001" customHeight="1">
      <c r="A851" s="1184" t="s">
        <v>2951</v>
      </c>
      <c r="B851" s="1183" t="s">
        <v>343</v>
      </c>
      <c r="C851" s="1183" t="s">
        <v>544</v>
      </c>
      <c r="D851" s="32">
        <f>D451+(43227/60)*1.15</f>
        <v>1153.5174999999999</v>
      </c>
      <c r="E851" s="32">
        <f>E451+(74534/60)*1.15</f>
        <v>1828.5683333333332</v>
      </c>
      <c r="F851" s="32">
        <f>F451+(74534/60)*1.15</f>
        <v>1828.5683333333332</v>
      </c>
      <c r="G851" s="707" t="s">
        <v>29</v>
      </c>
      <c r="H851" s="385" t="s">
        <v>1101</v>
      </c>
      <c r="I851" s="386" t="s">
        <v>93</v>
      </c>
      <c r="J851" s="681"/>
      <c r="K851" s="398">
        <v>24</v>
      </c>
      <c r="L851" s="398" t="s">
        <v>649</v>
      </c>
      <c r="M851" s="404">
        <v>43080</v>
      </c>
      <c r="N851" s="404">
        <v>43086</v>
      </c>
      <c r="O851" s="422"/>
      <c r="P851" s="751" t="s">
        <v>1072</v>
      </c>
      <c r="Q851" s="61" t="s">
        <v>934</v>
      </c>
      <c r="R851" s="397" t="s">
        <v>251</v>
      </c>
      <c r="S851" s="316" t="s">
        <v>2898</v>
      </c>
      <c r="T851" s="689"/>
      <c r="U851" s="421"/>
    </row>
    <row r="852" spans="1:21" s="377" customFormat="1" ht="20.100000000000001" customHeight="1">
      <c r="A852" s="1184" t="s">
        <v>2951</v>
      </c>
      <c r="B852" s="1183" t="s">
        <v>343</v>
      </c>
      <c r="C852" s="1183" t="s">
        <v>544</v>
      </c>
      <c r="D852" s="536">
        <f>D422+60124/55</f>
        <v>1293.1636363636364</v>
      </c>
      <c r="E852" s="536">
        <f>E422+92175/55</f>
        <v>1925.909090909091</v>
      </c>
      <c r="F852" s="536">
        <f>F422+92175/55</f>
        <v>1925.909090909091</v>
      </c>
      <c r="G852" s="710" t="s">
        <v>87</v>
      </c>
      <c r="H852" s="390" t="s">
        <v>729</v>
      </c>
      <c r="I852" s="406" t="s">
        <v>93</v>
      </c>
      <c r="J852" s="37"/>
      <c r="K852" s="406">
        <v>24</v>
      </c>
      <c r="L852" s="398" t="s">
        <v>649</v>
      </c>
      <c r="M852" s="547">
        <v>43080</v>
      </c>
      <c r="N852" s="547">
        <v>43080</v>
      </c>
      <c r="O852" s="422"/>
      <c r="P852" s="59" t="s">
        <v>603</v>
      </c>
      <c r="Q852" s="61" t="s">
        <v>919</v>
      </c>
      <c r="R852" s="397" t="s">
        <v>251</v>
      </c>
      <c r="S852" s="322" t="s">
        <v>2861</v>
      </c>
      <c r="T852" s="689"/>
      <c r="U852" s="421"/>
    </row>
    <row r="853" spans="1:21" s="377" customFormat="1" ht="20.100000000000001" customHeight="1">
      <c r="A853" s="1184" t="s">
        <v>2951</v>
      </c>
      <c r="B853" s="1183" t="s">
        <v>343</v>
      </c>
      <c r="C853" s="1183" t="s">
        <v>544</v>
      </c>
      <c r="D853" s="536">
        <f>D428+(52740+5000)/60</f>
        <v>1312.3333333333335</v>
      </c>
      <c r="E853" s="536">
        <f>E428+(91750+10000)/60</f>
        <v>2035.8333333333333</v>
      </c>
      <c r="F853" s="536">
        <f>F428+(91750+10000)/60</f>
        <v>2035.8333333333333</v>
      </c>
      <c r="G853" s="656" t="s">
        <v>51</v>
      </c>
      <c r="H853" s="390" t="s">
        <v>2360</v>
      </c>
      <c r="I853" s="406" t="s">
        <v>93</v>
      </c>
      <c r="J853" s="37"/>
      <c r="K853" s="406" t="s">
        <v>2361</v>
      </c>
      <c r="L853" s="380" t="s">
        <v>637</v>
      </c>
      <c r="M853" s="381">
        <v>43080</v>
      </c>
      <c r="N853" s="381">
        <v>43089</v>
      </c>
      <c r="O853" s="422"/>
      <c r="P853" s="59" t="s">
        <v>2362</v>
      </c>
      <c r="Q853" s="61" t="s">
        <v>902</v>
      </c>
      <c r="R853" s="397" t="s">
        <v>2320</v>
      </c>
      <c r="S853" s="327" t="s">
        <v>3066</v>
      </c>
      <c r="T853" s="689"/>
      <c r="U853" s="421"/>
    </row>
    <row r="854" spans="1:21" s="377" customFormat="1" ht="20.100000000000001" customHeight="1">
      <c r="A854" s="1184" t="s">
        <v>2951</v>
      </c>
      <c r="B854" s="1183" t="s">
        <v>343</v>
      </c>
      <c r="C854" s="1183" t="s">
        <v>544</v>
      </c>
      <c r="D854" s="536">
        <f>D435+843+25</f>
        <v>1098</v>
      </c>
      <c r="E854" s="536">
        <f>E435+1658+50</f>
        <v>2033</v>
      </c>
      <c r="F854" s="536">
        <f>F435+1658+50</f>
        <v>2033</v>
      </c>
      <c r="G854" s="656" t="s">
        <v>2347</v>
      </c>
      <c r="H854" s="56" t="s">
        <v>742</v>
      </c>
      <c r="I854" s="380" t="s">
        <v>93</v>
      </c>
      <c r="J854" s="37"/>
      <c r="K854" s="426" t="s">
        <v>2348</v>
      </c>
      <c r="L854" s="398" t="s">
        <v>652</v>
      </c>
      <c r="M854" s="547">
        <v>43086</v>
      </c>
      <c r="N854" s="547">
        <v>43092</v>
      </c>
      <c r="O854" s="422"/>
      <c r="P854" s="61" t="s">
        <v>605</v>
      </c>
      <c r="Q854" s="61" t="s">
        <v>934</v>
      </c>
      <c r="R854" s="17" t="s">
        <v>449</v>
      </c>
      <c r="S854" s="322" t="s">
        <v>1176</v>
      </c>
      <c r="T854" s="689"/>
      <c r="U854" s="421"/>
    </row>
    <row r="855" spans="1:21" s="377" customFormat="1" ht="20.100000000000001" customHeight="1">
      <c r="A855" s="1184" t="s">
        <v>2951</v>
      </c>
      <c r="B855" s="1183" t="s">
        <v>343</v>
      </c>
      <c r="C855" s="1183" t="s">
        <v>544</v>
      </c>
      <c r="D855" s="13">
        <f>D759</f>
        <v>1425</v>
      </c>
      <c r="E855" s="13">
        <f>E759</f>
        <v>2000</v>
      </c>
      <c r="F855" s="13">
        <f>F759</f>
        <v>2000</v>
      </c>
      <c r="G855" s="217" t="s">
        <v>19</v>
      </c>
      <c r="H855" s="385" t="s">
        <v>742</v>
      </c>
      <c r="I855" s="398" t="s">
        <v>93</v>
      </c>
      <c r="J855" s="37"/>
      <c r="K855" s="398" t="s">
        <v>1270</v>
      </c>
      <c r="L855" s="398" t="s">
        <v>639</v>
      </c>
      <c r="M855" s="399">
        <v>43073</v>
      </c>
      <c r="N855" s="399">
        <v>43086</v>
      </c>
      <c r="O855" s="382" t="s">
        <v>611</v>
      </c>
      <c r="P855" s="61" t="s">
        <v>588</v>
      </c>
      <c r="Q855" s="61" t="s">
        <v>1661</v>
      </c>
      <c r="R855" s="397" t="s">
        <v>187</v>
      </c>
      <c r="S855" s="316" t="s">
        <v>2908</v>
      </c>
      <c r="T855" s="848" t="s">
        <v>4105</v>
      </c>
      <c r="U855" s="421"/>
    </row>
    <row r="856" spans="1:21" s="377" customFormat="1" ht="20.100000000000001" customHeight="1">
      <c r="A856" s="1184" t="s">
        <v>2951</v>
      </c>
      <c r="B856" s="1183" t="s">
        <v>343</v>
      </c>
      <c r="C856" s="1183" t="s">
        <v>544</v>
      </c>
      <c r="D856" s="536">
        <f>D425+766+25</f>
        <v>1216</v>
      </c>
      <c r="E856" s="536">
        <f>E425+1307+50</f>
        <v>1907</v>
      </c>
      <c r="F856" s="536">
        <f>F425+1307+50</f>
        <v>1907</v>
      </c>
      <c r="G856" s="707" t="s">
        <v>61</v>
      </c>
      <c r="H856" s="385" t="s">
        <v>729</v>
      </c>
      <c r="I856" s="426" t="s">
        <v>93</v>
      </c>
      <c r="J856" s="681"/>
      <c r="K856" s="426" t="s">
        <v>794</v>
      </c>
      <c r="L856" s="398" t="s">
        <v>649</v>
      </c>
      <c r="M856" s="404">
        <v>43070</v>
      </c>
      <c r="N856" s="404">
        <v>43100</v>
      </c>
      <c r="O856" s="423" t="s">
        <v>601</v>
      </c>
      <c r="P856" s="7" t="s">
        <v>1813</v>
      </c>
      <c r="Q856" s="61" t="s">
        <v>934</v>
      </c>
      <c r="R856" s="424" t="s">
        <v>251</v>
      </c>
      <c r="S856" s="316" t="s">
        <v>2906</v>
      </c>
      <c r="T856" s="689"/>
      <c r="U856" s="421"/>
    </row>
    <row r="857" spans="1:21" s="377" customFormat="1" ht="20.100000000000001" customHeight="1">
      <c r="A857" s="1184" t="s">
        <v>2951</v>
      </c>
      <c r="B857" s="1183" t="s">
        <v>343</v>
      </c>
      <c r="C857" s="1183" t="s">
        <v>544</v>
      </c>
      <c r="D857" s="32">
        <f>D448+71379/60</f>
        <v>1549.65</v>
      </c>
      <c r="E857" s="32">
        <f>E448+120122/60</f>
        <v>2352.0333333333333</v>
      </c>
      <c r="F857" s="32">
        <f>F448+120122/60</f>
        <v>2352.0333333333333</v>
      </c>
      <c r="G857" s="67" t="s">
        <v>432</v>
      </c>
      <c r="H857" s="385" t="s">
        <v>721</v>
      </c>
      <c r="I857" s="386" t="s">
        <v>93</v>
      </c>
      <c r="J857" s="681"/>
      <c r="K857" s="398" t="s">
        <v>1006</v>
      </c>
      <c r="L857" s="415" t="s">
        <v>637</v>
      </c>
      <c r="M857" s="391">
        <v>43050</v>
      </c>
      <c r="N857" s="547">
        <v>43089</v>
      </c>
      <c r="O857" s="422"/>
      <c r="P857" s="61" t="s">
        <v>1944</v>
      </c>
      <c r="Q857" s="61" t="s">
        <v>902</v>
      </c>
      <c r="R857" s="397" t="s">
        <v>202</v>
      </c>
      <c r="S857" s="319" t="s">
        <v>1177</v>
      </c>
      <c r="T857" s="689"/>
      <c r="U857" s="421"/>
    </row>
    <row r="858" spans="1:21" s="377" customFormat="1" ht="20.100000000000001" customHeight="1">
      <c r="A858" s="1183" t="s">
        <v>2951</v>
      </c>
      <c r="B858" s="1183" t="s">
        <v>1122</v>
      </c>
      <c r="C858" s="1183" t="s">
        <v>544</v>
      </c>
      <c r="D858" s="11">
        <f>D473+51102/55</f>
        <v>1529.1272727272726</v>
      </c>
      <c r="E858" s="11">
        <f>E473+78495/55</f>
        <v>2227.181818181818</v>
      </c>
      <c r="F858" s="11">
        <f>F473+78495/55</f>
        <v>2227.181818181818</v>
      </c>
      <c r="G858" s="67" t="s">
        <v>87</v>
      </c>
      <c r="H858" s="378">
        <v>1</v>
      </c>
      <c r="I858" s="406" t="s">
        <v>130</v>
      </c>
      <c r="J858" s="34"/>
      <c r="K858" s="406">
        <v>26</v>
      </c>
      <c r="L858" s="379" t="s">
        <v>636</v>
      </c>
      <c r="M858" s="547">
        <v>43040</v>
      </c>
      <c r="N858" s="547">
        <v>43080</v>
      </c>
      <c r="O858" s="422"/>
      <c r="P858" s="59" t="s">
        <v>782</v>
      </c>
      <c r="Q858" s="61" t="s">
        <v>3034</v>
      </c>
      <c r="R858" s="427" t="s">
        <v>192</v>
      </c>
      <c r="S858" s="322" t="s">
        <v>2849</v>
      </c>
      <c r="T858" s="689"/>
      <c r="U858" s="421"/>
    </row>
    <row r="859" spans="1:21" s="377" customFormat="1" ht="20.100000000000001" customHeight="1">
      <c r="A859" s="1183" t="s">
        <v>2951</v>
      </c>
      <c r="B859" s="1183" t="s">
        <v>1122</v>
      </c>
      <c r="C859" s="1183" t="s">
        <v>544</v>
      </c>
      <c r="D859" s="536">
        <f>D459+46000/55</f>
        <v>1196.3636363636365</v>
      </c>
      <c r="E859" s="528"/>
      <c r="F859" s="536">
        <f>F459+79500/55</f>
        <v>1830.4545454545455</v>
      </c>
      <c r="G859" s="705" t="s">
        <v>37</v>
      </c>
      <c r="H859" s="378">
        <v>1</v>
      </c>
      <c r="I859" s="426" t="s">
        <v>130</v>
      </c>
      <c r="J859" s="681"/>
      <c r="K859" s="426">
        <v>25</v>
      </c>
      <c r="L859" s="379" t="s">
        <v>636</v>
      </c>
      <c r="M859" s="392">
        <v>43080</v>
      </c>
      <c r="N859" s="392">
        <v>43080</v>
      </c>
      <c r="O859" s="419"/>
      <c r="P859" s="61" t="s">
        <v>907</v>
      </c>
      <c r="Q859" s="61" t="s">
        <v>927</v>
      </c>
      <c r="R859" s="397" t="s">
        <v>192</v>
      </c>
      <c r="S859" s="315" t="s">
        <v>2903</v>
      </c>
      <c r="T859" s="316"/>
      <c r="U859" s="421"/>
    </row>
    <row r="860" spans="1:21" s="377" customFormat="1" ht="20.100000000000001" customHeight="1">
      <c r="A860" s="1183" t="s">
        <v>2951</v>
      </c>
      <c r="B860" s="1183" t="s">
        <v>1122</v>
      </c>
      <c r="C860" s="1183" t="s">
        <v>544</v>
      </c>
      <c r="D860" s="536">
        <f>D462+50500/60</f>
        <v>1216.6666666666665</v>
      </c>
      <c r="E860" s="536">
        <f>E462+85100/60</f>
        <v>1833.3333333333333</v>
      </c>
      <c r="F860" s="536">
        <f>F462+85100/60</f>
        <v>1833.3333333333333</v>
      </c>
      <c r="G860" s="707" t="s">
        <v>12</v>
      </c>
      <c r="H860" s="417" t="s">
        <v>729</v>
      </c>
      <c r="I860" s="398" t="s">
        <v>130</v>
      </c>
      <c r="J860" s="37"/>
      <c r="K860" s="426">
        <v>24</v>
      </c>
      <c r="L860" s="379" t="s">
        <v>636</v>
      </c>
      <c r="M860" s="551">
        <v>43084</v>
      </c>
      <c r="N860" s="551">
        <v>43091</v>
      </c>
      <c r="O860" s="419"/>
      <c r="P860" s="61" t="s">
        <v>597</v>
      </c>
      <c r="Q860" s="61" t="s">
        <v>932</v>
      </c>
      <c r="R860" s="397" t="s">
        <v>271</v>
      </c>
      <c r="S860" s="322" t="s">
        <v>1176</v>
      </c>
      <c r="T860" s="688" t="s">
        <v>2840</v>
      </c>
      <c r="U860" s="421"/>
    </row>
    <row r="861" spans="1:21" s="377" customFormat="1" ht="20.100000000000001" customHeight="1">
      <c r="A861" s="1183" t="s">
        <v>2951</v>
      </c>
      <c r="B861" s="1183" t="s">
        <v>1122</v>
      </c>
      <c r="C861" s="1183" t="s">
        <v>544</v>
      </c>
      <c r="D861" s="536">
        <f>D464+(46040+5000)/60</f>
        <v>1450.6666666666665</v>
      </c>
      <c r="E861" s="536">
        <f>E464+(80150+10000)/60</f>
        <v>2152.5</v>
      </c>
      <c r="F861" s="536">
        <f>F464+(80150+10000)/60</f>
        <v>2152.5</v>
      </c>
      <c r="G861" s="217" t="s">
        <v>51</v>
      </c>
      <c r="H861" s="417" t="s">
        <v>2363</v>
      </c>
      <c r="I861" s="398" t="s">
        <v>130</v>
      </c>
      <c r="J861" s="37"/>
      <c r="K861" s="426" t="s">
        <v>2364</v>
      </c>
      <c r="L861" s="380" t="s">
        <v>639</v>
      </c>
      <c r="M861" s="381">
        <v>43080</v>
      </c>
      <c r="N861" s="381">
        <v>43089</v>
      </c>
      <c r="O861" s="419"/>
      <c r="P861" s="61" t="s">
        <v>597</v>
      </c>
      <c r="Q861" s="61" t="s">
        <v>902</v>
      </c>
      <c r="R861" s="424" t="s">
        <v>171</v>
      </c>
      <c r="S861" s="322"/>
      <c r="T861" s="688"/>
      <c r="U861" s="421"/>
    </row>
    <row r="862" spans="1:21" s="377" customFormat="1" ht="20.100000000000001" customHeight="1">
      <c r="A862" s="1183" t="s">
        <v>2951</v>
      </c>
      <c r="B862" s="1183" t="s">
        <v>1122</v>
      </c>
      <c r="C862" s="1183" t="s">
        <v>544</v>
      </c>
      <c r="D862" s="536">
        <f>D467+757+25</f>
        <v>1062</v>
      </c>
      <c r="E862" s="536">
        <f>E467+1494+50</f>
        <v>1969</v>
      </c>
      <c r="F862" s="536">
        <f>F467+1494+50</f>
        <v>1969</v>
      </c>
      <c r="G862" s="222" t="s">
        <v>2347</v>
      </c>
      <c r="H862" s="385" t="s">
        <v>2350</v>
      </c>
      <c r="I862" s="398" t="s">
        <v>130</v>
      </c>
      <c r="J862" s="37" t="s">
        <v>3436</v>
      </c>
      <c r="K862" s="380" t="s">
        <v>2346</v>
      </c>
      <c r="L862" s="386" t="s">
        <v>639</v>
      </c>
      <c r="M862" s="547">
        <v>43086</v>
      </c>
      <c r="N862" s="547">
        <v>43092</v>
      </c>
      <c r="O862" s="419"/>
      <c r="P862" s="61"/>
      <c r="Q862" s="61" t="s">
        <v>934</v>
      </c>
      <c r="R862" s="397" t="s">
        <v>171</v>
      </c>
      <c r="S862" s="322"/>
      <c r="T862" s="688"/>
      <c r="U862" s="421"/>
    </row>
    <row r="863" spans="1:21" s="377" customFormat="1" ht="20.100000000000001" customHeight="1">
      <c r="A863" s="1183" t="s">
        <v>2951</v>
      </c>
      <c r="B863" s="1183" t="s">
        <v>1122</v>
      </c>
      <c r="C863" s="1183" t="s">
        <v>544</v>
      </c>
      <c r="D863" s="536">
        <f>D467+732+25</f>
        <v>1037</v>
      </c>
      <c r="E863" s="536">
        <f>E467+1460+50</f>
        <v>1935</v>
      </c>
      <c r="F863" s="536">
        <f>F467+1460+50</f>
        <v>1935</v>
      </c>
      <c r="G863" s="222" t="s">
        <v>14</v>
      </c>
      <c r="H863" s="385" t="s">
        <v>742</v>
      </c>
      <c r="I863" s="398" t="s">
        <v>130</v>
      </c>
      <c r="J863" s="37" t="s">
        <v>3435</v>
      </c>
      <c r="K863" s="380" t="s">
        <v>727</v>
      </c>
      <c r="L863" s="386" t="s">
        <v>639</v>
      </c>
      <c r="M863" s="547">
        <v>43086</v>
      </c>
      <c r="N863" s="547">
        <v>43092</v>
      </c>
      <c r="O863" s="419"/>
      <c r="P863" s="61"/>
      <c r="Q863" s="61" t="s">
        <v>934</v>
      </c>
      <c r="R863" s="397" t="s">
        <v>171</v>
      </c>
      <c r="S863" s="322"/>
      <c r="T863" s="688"/>
      <c r="U863" s="421"/>
    </row>
    <row r="864" spans="1:21" s="377" customFormat="1" ht="20.100000000000001" customHeight="1">
      <c r="A864" s="1183" t="s">
        <v>2951</v>
      </c>
      <c r="B864" s="1183" t="s">
        <v>1122</v>
      </c>
      <c r="C864" s="1183" t="s">
        <v>544</v>
      </c>
      <c r="D864" s="536">
        <f>D771</f>
        <v>1425</v>
      </c>
      <c r="E864" s="536">
        <f>E771</f>
        <v>2000</v>
      </c>
      <c r="F864" s="536">
        <f>F771</f>
        <v>2000</v>
      </c>
      <c r="G864" s="217" t="s">
        <v>19</v>
      </c>
      <c r="H864" s="385" t="s">
        <v>742</v>
      </c>
      <c r="I864" s="398" t="s">
        <v>623</v>
      </c>
      <c r="J864" s="37"/>
      <c r="K864" s="398" t="s">
        <v>1269</v>
      </c>
      <c r="L864" s="398" t="s">
        <v>639</v>
      </c>
      <c r="M864" s="399">
        <v>43073</v>
      </c>
      <c r="N864" s="399">
        <v>43086</v>
      </c>
      <c r="O864" s="382" t="s">
        <v>611</v>
      </c>
      <c r="P864" s="105"/>
      <c r="Q864" s="61" t="s">
        <v>1661</v>
      </c>
      <c r="R864" s="397" t="s">
        <v>187</v>
      </c>
      <c r="S864" s="316" t="s">
        <v>2908</v>
      </c>
      <c r="T864" s="848" t="s">
        <v>4105</v>
      </c>
      <c r="U864" s="421"/>
    </row>
    <row r="865" spans="1:21" s="377" customFormat="1" ht="20.100000000000001" customHeight="1">
      <c r="A865" s="1183" t="s">
        <v>2951</v>
      </c>
      <c r="B865" s="1183" t="s">
        <v>1122</v>
      </c>
      <c r="C865" s="1183" t="s">
        <v>544</v>
      </c>
      <c r="D865" s="11">
        <f>D476+880+25</f>
        <v>1155</v>
      </c>
      <c r="E865" s="11">
        <f>E476+1500+50</f>
        <v>1950</v>
      </c>
      <c r="F865" s="11">
        <f>F476+1500+50</f>
        <v>1850</v>
      </c>
      <c r="G865" s="707" t="s">
        <v>157</v>
      </c>
      <c r="H865" s="385" t="s">
        <v>1102</v>
      </c>
      <c r="I865" s="398" t="s">
        <v>130</v>
      </c>
      <c r="J865" s="37"/>
      <c r="K865" s="426">
        <v>23</v>
      </c>
      <c r="L865" s="398" t="s">
        <v>639</v>
      </c>
      <c r="M865" s="392">
        <v>43084</v>
      </c>
      <c r="N865" s="392">
        <v>43088</v>
      </c>
      <c r="O865" s="423" t="s">
        <v>601</v>
      </c>
      <c r="P865" s="61" t="s">
        <v>1942</v>
      </c>
      <c r="Q865" s="61" t="s">
        <v>902</v>
      </c>
      <c r="R865" s="424" t="s">
        <v>171</v>
      </c>
      <c r="S865" s="316" t="s">
        <v>2909</v>
      </c>
      <c r="T865" s="689"/>
      <c r="U865" s="421"/>
    </row>
    <row r="866" spans="1:21" s="377" customFormat="1" ht="20.100000000000001" customHeight="1">
      <c r="A866" s="1183" t="s">
        <v>2951</v>
      </c>
      <c r="B866" s="1183" t="s">
        <v>1122</v>
      </c>
      <c r="C866" s="1183" t="s">
        <v>544</v>
      </c>
      <c r="D866" s="536">
        <f>D472+674+25</f>
        <v>699</v>
      </c>
      <c r="E866" s="536">
        <f>E472+1156+50</f>
        <v>1206</v>
      </c>
      <c r="F866" s="536">
        <f>F472+1156+50</f>
        <v>1206</v>
      </c>
      <c r="G866" s="705" t="s">
        <v>13</v>
      </c>
      <c r="H866" s="385" t="s">
        <v>721</v>
      </c>
      <c r="I866" s="398" t="s">
        <v>130</v>
      </c>
      <c r="J866" s="37"/>
      <c r="K866" s="398" t="s">
        <v>663</v>
      </c>
      <c r="L866" s="398" t="s">
        <v>639</v>
      </c>
      <c r="M866" s="404">
        <v>43040</v>
      </c>
      <c r="N866" s="404">
        <v>43100</v>
      </c>
      <c r="O866" s="423" t="s">
        <v>601</v>
      </c>
      <c r="P866" s="750"/>
      <c r="Q866" s="61" t="s">
        <v>3035</v>
      </c>
      <c r="R866" s="397" t="s">
        <v>173</v>
      </c>
      <c r="S866" s="316" t="s">
        <v>2906</v>
      </c>
      <c r="T866" s="689"/>
      <c r="U866" s="421"/>
    </row>
    <row r="867" spans="1:21" s="377" customFormat="1" ht="20.100000000000001" customHeight="1">
      <c r="A867" s="1183" t="s">
        <v>2951</v>
      </c>
      <c r="B867" s="1183" t="s">
        <v>1122</v>
      </c>
      <c r="C867" s="1183" t="s">
        <v>544</v>
      </c>
      <c r="D867" s="32">
        <f>D475+(38327/60)*1.15</f>
        <v>734.6008333333333</v>
      </c>
      <c r="E867" s="32">
        <f>E475+(65561/60)*1.15</f>
        <v>1256.5858333333333</v>
      </c>
      <c r="F867" s="32">
        <f>F475+(65561/60)*1.15</f>
        <v>1256.5858333333333</v>
      </c>
      <c r="G867" s="67" t="s">
        <v>29</v>
      </c>
      <c r="H867" s="385" t="s">
        <v>1098</v>
      </c>
      <c r="I867" s="398" t="s">
        <v>130</v>
      </c>
      <c r="J867" s="37"/>
      <c r="K867" s="398" t="s">
        <v>1100</v>
      </c>
      <c r="L867" s="398" t="s">
        <v>652</v>
      </c>
      <c r="M867" s="404">
        <v>43038</v>
      </c>
      <c r="N867" s="404">
        <v>43086</v>
      </c>
      <c r="O867" s="422"/>
      <c r="P867" s="61"/>
      <c r="Q867" s="61" t="s">
        <v>3035</v>
      </c>
      <c r="R867" s="397" t="s">
        <v>173</v>
      </c>
      <c r="S867" s="316" t="s">
        <v>2898</v>
      </c>
      <c r="T867" s="689"/>
      <c r="U867" s="421"/>
    </row>
    <row r="868" spans="1:21" s="377" customFormat="1" ht="20.100000000000001" customHeight="1">
      <c r="A868" s="1184" t="s">
        <v>2951</v>
      </c>
      <c r="B868" s="1183" t="s">
        <v>343</v>
      </c>
      <c r="C868" s="1183" t="s">
        <v>544</v>
      </c>
      <c r="D868" s="32">
        <f>D555+(37286/60)*1.15</f>
        <v>1189.6483333333331</v>
      </c>
      <c r="E868" s="32">
        <f>E555+(65421/60)*1.15</f>
        <v>1753.9024999999997</v>
      </c>
      <c r="F868" s="32">
        <f>F555+(65421/60)*1.15</f>
        <v>1753.9024999999997</v>
      </c>
      <c r="G868" s="67" t="s">
        <v>29</v>
      </c>
      <c r="H868" s="385" t="s">
        <v>659</v>
      </c>
      <c r="I868" s="426" t="s">
        <v>472</v>
      </c>
      <c r="J868" s="681"/>
      <c r="K868" s="386">
        <v>33</v>
      </c>
      <c r="L868" s="398" t="s">
        <v>639</v>
      </c>
      <c r="M868" s="404">
        <v>43082</v>
      </c>
      <c r="N868" s="404">
        <v>43086</v>
      </c>
      <c r="O868" s="422"/>
      <c r="P868" s="61" t="s">
        <v>599</v>
      </c>
      <c r="Q868" s="61" t="s">
        <v>934</v>
      </c>
      <c r="R868" s="397" t="s">
        <v>450</v>
      </c>
      <c r="S868" s="316" t="s">
        <v>2898</v>
      </c>
      <c r="T868" s="689"/>
      <c r="U868" s="421"/>
    </row>
    <row r="869" spans="1:21" s="377" customFormat="1" ht="20.100000000000001" customHeight="1">
      <c r="A869" s="1184" t="s">
        <v>2951</v>
      </c>
      <c r="B869" s="1183" t="s">
        <v>343</v>
      </c>
      <c r="C869" s="1183" t="s">
        <v>544</v>
      </c>
      <c r="D869" s="32">
        <f>D535+(44440+5000)/60</f>
        <v>1224</v>
      </c>
      <c r="E869" s="32">
        <f>E535+(79600+10000)/60</f>
        <v>1943.3333333333333</v>
      </c>
      <c r="F869" s="32">
        <f>F535+(79600+10000)/60</f>
        <v>1943.3333333333333</v>
      </c>
      <c r="G869" s="222" t="s">
        <v>51</v>
      </c>
      <c r="H869" s="403">
        <v>3</v>
      </c>
      <c r="I869" s="426" t="s">
        <v>472</v>
      </c>
      <c r="J869" s="681"/>
      <c r="K869" s="386" t="s">
        <v>2364</v>
      </c>
      <c r="L869" s="380" t="s">
        <v>639</v>
      </c>
      <c r="M869" s="381">
        <v>43084</v>
      </c>
      <c r="N869" s="381">
        <v>43089</v>
      </c>
      <c r="O869" s="422"/>
      <c r="P869" s="61" t="s">
        <v>597</v>
      </c>
      <c r="Q869" s="61" t="s">
        <v>902</v>
      </c>
      <c r="R869" s="397" t="s">
        <v>450</v>
      </c>
      <c r="S869" s="327" t="s">
        <v>3066</v>
      </c>
      <c r="T869" s="689"/>
      <c r="U869" s="421"/>
    </row>
    <row r="870" spans="1:21" s="377" customFormat="1" ht="20.100000000000001" customHeight="1">
      <c r="A870" s="1184" t="s">
        <v>2951</v>
      </c>
      <c r="B870" s="1183" t="s">
        <v>343</v>
      </c>
      <c r="C870" s="1183" t="s">
        <v>544</v>
      </c>
      <c r="D870" s="32">
        <f>D554+40398/60</f>
        <v>1048.3</v>
      </c>
      <c r="E870" s="32">
        <f>E554+74136/60</f>
        <v>1685.6</v>
      </c>
      <c r="F870" s="32">
        <f>F554+74136/60</f>
        <v>1685.6</v>
      </c>
      <c r="G870" s="222" t="s">
        <v>2328</v>
      </c>
      <c r="H870" s="385" t="s">
        <v>725</v>
      </c>
      <c r="I870" s="398" t="s">
        <v>472</v>
      </c>
      <c r="J870" s="681"/>
      <c r="K870" s="386" t="s">
        <v>2341</v>
      </c>
      <c r="L870" s="379" t="s">
        <v>641</v>
      </c>
      <c r="M870" s="381">
        <v>43082</v>
      </c>
      <c r="N870" s="381">
        <v>43086</v>
      </c>
      <c r="O870" s="394" t="s">
        <v>1949</v>
      </c>
      <c r="P870" s="61"/>
      <c r="Q870" s="61" t="s">
        <v>2337</v>
      </c>
      <c r="R870" s="397" t="s">
        <v>826</v>
      </c>
      <c r="S870" s="336" t="s">
        <v>1176</v>
      </c>
      <c r="T870" s="323" t="s">
        <v>2935</v>
      </c>
      <c r="U870" s="421"/>
    </row>
    <row r="871" spans="1:21" s="377" customFormat="1" ht="20.100000000000001" customHeight="1">
      <c r="A871" s="1184" t="s">
        <v>2951</v>
      </c>
      <c r="B871" s="1183" t="s">
        <v>343</v>
      </c>
      <c r="C871" s="1183" t="s">
        <v>544</v>
      </c>
      <c r="D871" s="32">
        <f>D546+45500/55</f>
        <v>1262.2727272727273</v>
      </c>
      <c r="E871" s="528"/>
      <c r="F871" s="32">
        <f>F546+78500/55</f>
        <v>1937.2727272727273</v>
      </c>
      <c r="G871" s="67" t="s">
        <v>37</v>
      </c>
      <c r="H871" s="385">
        <v>5</v>
      </c>
      <c r="I871" s="426" t="s">
        <v>472</v>
      </c>
      <c r="J871" s="681"/>
      <c r="K871" s="386" t="s">
        <v>872</v>
      </c>
      <c r="L871" s="380" t="s">
        <v>649</v>
      </c>
      <c r="M871" s="392">
        <v>43063</v>
      </c>
      <c r="N871" s="392">
        <v>43080</v>
      </c>
      <c r="O871" s="419"/>
      <c r="P871" s="750"/>
      <c r="Q871" s="61" t="s">
        <v>927</v>
      </c>
      <c r="R871" s="397" t="s">
        <v>179</v>
      </c>
      <c r="S871" s="315" t="s">
        <v>2903</v>
      </c>
      <c r="T871" s="316"/>
      <c r="U871" s="421"/>
    </row>
    <row r="872" spans="1:21" s="377" customFormat="1" ht="20.100000000000001" customHeight="1">
      <c r="A872" s="1184" t="s">
        <v>2951</v>
      </c>
      <c r="B872" s="1183" t="s">
        <v>343</v>
      </c>
      <c r="C872" s="1183" t="s">
        <v>544</v>
      </c>
      <c r="D872" s="32">
        <f>D547+880+25</f>
        <v>1155</v>
      </c>
      <c r="E872" s="32">
        <f>E547+1540+50</f>
        <v>2040</v>
      </c>
      <c r="F872" s="32">
        <f>F547+1540+50</f>
        <v>1990</v>
      </c>
      <c r="G872" s="67" t="s">
        <v>28</v>
      </c>
      <c r="H872" s="417">
        <v>5</v>
      </c>
      <c r="I872" s="426" t="s">
        <v>472</v>
      </c>
      <c r="J872" s="681"/>
      <c r="K872" s="386">
        <v>20</v>
      </c>
      <c r="L872" s="380" t="s">
        <v>649</v>
      </c>
      <c r="M872" s="392">
        <v>43084</v>
      </c>
      <c r="N872" s="392">
        <v>43088</v>
      </c>
      <c r="O872" s="422"/>
      <c r="P872" s="61" t="s">
        <v>1676</v>
      </c>
      <c r="Q872" s="61" t="s">
        <v>902</v>
      </c>
      <c r="R872" s="397" t="s">
        <v>504</v>
      </c>
      <c r="S872" s="316" t="s">
        <v>2909</v>
      </c>
      <c r="T872" s="689"/>
      <c r="U872" s="421"/>
    </row>
    <row r="873" spans="1:21" s="377" customFormat="1" ht="20.100000000000001" customHeight="1">
      <c r="A873" s="1184" t="s">
        <v>2951</v>
      </c>
      <c r="B873" s="1183" t="s">
        <v>343</v>
      </c>
      <c r="C873" s="1183" t="s">
        <v>544</v>
      </c>
      <c r="D873" s="536">
        <f>D548+53700/60</f>
        <v>1295</v>
      </c>
      <c r="E873" s="536">
        <f>E548+91900/60</f>
        <v>2031.6666666666667</v>
      </c>
      <c r="F873" s="536">
        <f>F548+91900/60</f>
        <v>2031.6666666666667</v>
      </c>
      <c r="G873" s="705" t="s">
        <v>236</v>
      </c>
      <c r="H873" s="417" t="s">
        <v>721</v>
      </c>
      <c r="I873" s="386" t="s">
        <v>472</v>
      </c>
      <c r="J873" s="37"/>
      <c r="K873" s="398">
        <v>21</v>
      </c>
      <c r="L873" s="386" t="s">
        <v>641</v>
      </c>
      <c r="M873" s="399">
        <v>43064</v>
      </c>
      <c r="N873" s="399">
        <v>43086</v>
      </c>
      <c r="O873" s="423" t="s">
        <v>601</v>
      </c>
      <c r="P873" s="751"/>
      <c r="Q873" s="61" t="s">
        <v>934</v>
      </c>
      <c r="R873" s="424" t="s">
        <v>202</v>
      </c>
      <c r="S873" s="316"/>
      <c r="T873" s="689"/>
      <c r="U873" s="421"/>
    </row>
    <row r="874" spans="1:21" s="377" customFormat="1" ht="20.100000000000001" customHeight="1">
      <c r="A874" s="1184" t="s">
        <v>2951</v>
      </c>
      <c r="B874" s="1183" t="s">
        <v>343</v>
      </c>
      <c r="C874" s="1183" t="s">
        <v>544</v>
      </c>
      <c r="D874" s="32">
        <f>D549+50025/60</f>
        <v>1183.75</v>
      </c>
      <c r="E874" s="32">
        <f>E549+88975/60</f>
        <v>1872.9166666666667</v>
      </c>
      <c r="F874" s="32">
        <f>F549+88975/60</f>
        <v>1872.9166666666667</v>
      </c>
      <c r="G874" s="67" t="s">
        <v>12</v>
      </c>
      <c r="H874" s="417" t="s">
        <v>721</v>
      </c>
      <c r="I874" s="426" t="s">
        <v>472</v>
      </c>
      <c r="J874" s="681"/>
      <c r="K874" s="386">
        <v>20</v>
      </c>
      <c r="L874" s="386" t="s">
        <v>650</v>
      </c>
      <c r="M874" s="551">
        <v>43084</v>
      </c>
      <c r="N874" s="551">
        <v>43091</v>
      </c>
      <c r="O874" s="419"/>
      <c r="P874" s="61" t="s">
        <v>597</v>
      </c>
      <c r="Q874" s="61" t="s">
        <v>932</v>
      </c>
      <c r="R874" s="397" t="s">
        <v>202</v>
      </c>
      <c r="S874" s="322" t="s">
        <v>1176</v>
      </c>
      <c r="T874" s="688" t="s">
        <v>2840</v>
      </c>
      <c r="U874" s="421"/>
    </row>
    <row r="875" spans="1:21" s="377" customFormat="1" ht="20.100000000000001" customHeight="1">
      <c r="A875" s="1184" t="s">
        <v>2951</v>
      </c>
      <c r="B875" s="1183" t="s">
        <v>343</v>
      </c>
      <c r="C875" s="1183" t="s">
        <v>627</v>
      </c>
      <c r="D875" s="13">
        <f>D417+67500/55</f>
        <v>1587.2727272727273</v>
      </c>
      <c r="E875" s="13">
        <f>E417+120000/55</f>
        <v>2566.818181818182</v>
      </c>
      <c r="F875" s="13">
        <f>F417+120000/55</f>
        <v>2566.818181818182</v>
      </c>
      <c r="G875" s="707" t="s">
        <v>156</v>
      </c>
      <c r="H875" s="378">
        <v>1</v>
      </c>
      <c r="I875" s="398" t="s">
        <v>93</v>
      </c>
      <c r="J875" s="681"/>
      <c r="K875" s="426">
        <v>24</v>
      </c>
      <c r="L875" s="379" t="s">
        <v>636</v>
      </c>
      <c r="M875" s="392">
        <v>43080</v>
      </c>
      <c r="N875" s="392">
        <v>43080</v>
      </c>
      <c r="O875" s="419"/>
      <c r="P875" s="61" t="s">
        <v>1933</v>
      </c>
      <c r="Q875" s="61" t="s">
        <v>927</v>
      </c>
      <c r="R875" s="397" t="s">
        <v>192</v>
      </c>
      <c r="S875" s="315" t="s">
        <v>2903</v>
      </c>
      <c r="T875" s="316"/>
      <c r="U875" s="421"/>
    </row>
    <row r="876" spans="1:21" s="377" customFormat="1" ht="20.100000000000001" customHeight="1">
      <c r="A876" s="1184" t="s">
        <v>2951</v>
      </c>
      <c r="B876" s="1183" t="s">
        <v>343</v>
      </c>
      <c r="C876" s="1183" t="s">
        <v>627</v>
      </c>
      <c r="D876" s="13">
        <f>D422+60075/55</f>
        <v>1292.2727272727273</v>
      </c>
      <c r="E876" s="13">
        <f>E422+89672/55</f>
        <v>1880.4</v>
      </c>
      <c r="F876" s="13">
        <f>F422+89672/55</f>
        <v>1880.4</v>
      </c>
      <c r="G876" s="707" t="s">
        <v>87</v>
      </c>
      <c r="H876" s="390" t="s">
        <v>729</v>
      </c>
      <c r="I876" s="406" t="s">
        <v>93</v>
      </c>
      <c r="J876" s="34"/>
      <c r="K876" s="406">
        <v>22</v>
      </c>
      <c r="L876" s="398" t="s">
        <v>649</v>
      </c>
      <c r="M876" s="547">
        <v>43080</v>
      </c>
      <c r="N876" s="547">
        <v>43080</v>
      </c>
      <c r="O876" s="422"/>
      <c r="P876" s="59" t="s">
        <v>603</v>
      </c>
      <c r="Q876" s="61" t="s">
        <v>919</v>
      </c>
      <c r="R876" s="397" t="s">
        <v>251</v>
      </c>
      <c r="S876" s="322" t="s">
        <v>2861</v>
      </c>
      <c r="T876" s="689"/>
      <c r="U876" s="421"/>
    </row>
    <row r="877" spans="1:21" s="377" customFormat="1" ht="20.100000000000001" customHeight="1">
      <c r="A877" s="1184" t="s">
        <v>2951</v>
      </c>
      <c r="B877" s="1183" t="s">
        <v>343</v>
      </c>
      <c r="C877" s="1183" t="s">
        <v>627</v>
      </c>
      <c r="D877" s="13">
        <f>D451+(47431/60)*1.15</f>
        <v>1234.0941666666665</v>
      </c>
      <c r="E877" s="13">
        <f>E451+(81069/60)*1.15</f>
        <v>1953.8225</v>
      </c>
      <c r="F877" s="13">
        <f>F451+(81069/60)*1.15</f>
        <v>1953.8225</v>
      </c>
      <c r="G877" s="707" t="s">
        <v>29</v>
      </c>
      <c r="H877" s="385" t="s">
        <v>1101</v>
      </c>
      <c r="I877" s="386" t="s">
        <v>93</v>
      </c>
      <c r="J877" s="681"/>
      <c r="K877" s="398">
        <v>24</v>
      </c>
      <c r="L877" s="398" t="s">
        <v>649</v>
      </c>
      <c r="M877" s="404">
        <v>43080</v>
      </c>
      <c r="N877" s="404">
        <v>43086</v>
      </c>
      <c r="O877" s="422"/>
      <c r="P877" s="751" t="s">
        <v>1072</v>
      </c>
      <c r="Q877" s="61" t="s">
        <v>934</v>
      </c>
      <c r="R877" s="397" t="s">
        <v>251</v>
      </c>
      <c r="S877" s="316" t="s">
        <v>2898</v>
      </c>
      <c r="T877" s="689"/>
      <c r="U877" s="421"/>
    </row>
    <row r="878" spans="1:21" s="377" customFormat="1" ht="20.100000000000001" customHeight="1">
      <c r="A878" s="1184" t="s">
        <v>2951</v>
      </c>
      <c r="B878" s="1183" t="s">
        <v>343</v>
      </c>
      <c r="C878" s="1183" t="s">
        <v>627</v>
      </c>
      <c r="D878" s="13">
        <f>D435+990+25</f>
        <v>1245</v>
      </c>
      <c r="E878" s="13">
        <f>E435+1839+50</f>
        <v>2214</v>
      </c>
      <c r="F878" s="13">
        <f>F435+1839+50</f>
        <v>2214</v>
      </c>
      <c r="G878" s="217" t="s">
        <v>2347</v>
      </c>
      <c r="H878" s="56" t="s">
        <v>742</v>
      </c>
      <c r="I878" s="380" t="s">
        <v>93</v>
      </c>
      <c r="J878" s="37"/>
      <c r="K878" s="426" t="s">
        <v>2348</v>
      </c>
      <c r="L878" s="398" t="s">
        <v>652</v>
      </c>
      <c r="M878" s="547">
        <v>43086</v>
      </c>
      <c r="N878" s="547">
        <v>43092</v>
      </c>
      <c r="O878" s="422"/>
      <c r="P878" s="61" t="s">
        <v>605</v>
      </c>
      <c r="Q878" s="61" t="s">
        <v>934</v>
      </c>
      <c r="R878" s="17" t="s">
        <v>449</v>
      </c>
      <c r="S878" s="322" t="s">
        <v>1176</v>
      </c>
      <c r="T878" s="689"/>
      <c r="U878" s="421"/>
    </row>
    <row r="879" spans="1:21" s="377" customFormat="1" ht="20.100000000000001" customHeight="1">
      <c r="A879" s="1184" t="s">
        <v>2951</v>
      </c>
      <c r="B879" s="1183" t="s">
        <v>343</v>
      </c>
      <c r="C879" s="1183" t="s">
        <v>627</v>
      </c>
      <c r="D879" s="13">
        <f>D448+81261/60</f>
        <v>1714.35</v>
      </c>
      <c r="E879" s="13">
        <f>E448+135660/60</f>
        <v>2611</v>
      </c>
      <c r="F879" s="13">
        <f>F448+135660/60</f>
        <v>2611</v>
      </c>
      <c r="G879" s="67" t="s">
        <v>432</v>
      </c>
      <c r="H879" s="385" t="s">
        <v>721</v>
      </c>
      <c r="I879" s="386" t="s">
        <v>93</v>
      </c>
      <c r="J879" s="681"/>
      <c r="K879" s="398" t="s">
        <v>1006</v>
      </c>
      <c r="L879" s="415" t="s">
        <v>637</v>
      </c>
      <c r="M879" s="391">
        <v>43050</v>
      </c>
      <c r="N879" s="547">
        <v>43089</v>
      </c>
      <c r="O879" s="422"/>
      <c r="P879" s="61" t="s">
        <v>1944</v>
      </c>
      <c r="Q879" s="61" t="s">
        <v>902</v>
      </c>
      <c r="R879" s="397" t="s">
        <v>202</v>
      </c>
      <c r="S879" s="319" t="s">
        <v>1177</v>
      </c>
      <c r="T879" s="689"/>
      <c r="U879" s="421"/>
    </row>
    <row r="880" spans="1:21" s="377" customFormat="1" ht="20.100000000000001" customHeight="1">
      <c r="A880" s="1184" t="s">
        <v>2951</v>
      </c>
      <c r="B880" s="1183" t="s">
        <v>343</v>
      </c>
      <c r="C880" s="1183" t="s">
        <v>627</v>
      </c>
      <c r="D880" s="536">
        <f>D417+55500/55</f>
        <v>1369.090909090909</v>
      </c>
      <c r="E880" s="536">
        <f>E417+97500/55</f>
        <v>2157.727272727273</v>
      </c>
      <c r="F880" s="536">
        <f>F417+97500/55</f>
        <v>2157.727272727273</v>
      </c>
      <c r="G880" s="707" t="s">
        <v>156</v>
      </c>
      <c r="H880" s="378">
        <v>1</v>
      </c>
      <c r="I880" s="398" t="s">
        <v>130</v>
      </c>
      <c r="J880" s="681"/>
      <c r="K880" s="426">
        <v>26</v>
      </c>
      <c r="L880" s="379" t="s">
        <v>636</v>
      </c>
      <c r="M880" s="392">
        <v>43080</v>
      </c>
      <c r="N880" s="392">
        <v>43080</v>
      </c>
      <c r="O880" s="419"/>
      <c r="P880" s="61" t="s">
        <v>907</v>
      </c>
      <c r="Q880" s="61" t="s">
        <v>927</v>
      </c>
      <c r="R880" s="397" t="s">
        <v>192</v>
      </c>
      <c r="S880" s="315" t="s">
        <v>2903</v>
      </c>
      <c r="T880" s="316"/>
      <c r="U880" s="421"/>
    </row>
    <row r="881" spans="1:21" s="377" customFormat="1" ht="20.100000000000001" customHeight="1">
      <c r="A881" s="1184" t="s">
        <v>2951</v>
      </c>
      <c r="B881" s="1183" t="s">
        <v>343</v>
      </c>
      <c r="C881" s="1183" t="s">
        <v>627</v>
      </c>
      <c r="D881" s="536">
        <f>D473+50241/55</f>
        <v>1513.4727272727273</v>
      </c>
      <c r="E881" s="536">
        <f>E473+76672/55</f>
        <v>2194.0363636363636</v>
      </c>
      <c r="F881" s="536">
        <f>F473+76672/55</f>
        <v>2194.0363636363636</v>
      </c>
      <c r="G881" s="707" t="s">
        <v>87</v>
      </c>
      <c r="H881" s="378">
        <v>1</v>
      </c>
      <c r="I881" s="406" t="s">
        <v>130</v>
      </c>
      <c r="J881" s="34"/>
      <c r="K881" s="406">
        <v>24</v>
      </c>
      <c r="L881" s="379" t="s">
        <v>636</v>
      </c>
      <c r="M881" s="547">
        <v>43040</v>
      </c>
      <c r="N881" s="547">
        <v>43080</v>
      </c>
      <c r="O881" s="422"/>
      <c r="P881" s="59" t="s">
        <v>782</v>
      </c>
      <c r="Q881" s="61" t="s">
        <v>3034</v>
      </c>
      <c r="R881" s="427" t="s">
        <v>192</v>
      </c>
      <c r="S881" s="322" t="s">
        <v>2849</v>
      </c>
      <c r="T881" s="689"/>
      <c r="U881" s="421"/>
    </row>
    <row r="882" spans="1:21" s="377" customFormat="1" ht="20.100000000000001" customHeight="1">
      <c r="A882" s="1184" t="s">
        <v>2951</v>
      </c>
      <c r="B882" s="1183" t="s">
        <v>343</v>
      </c>
      <c r="C882" s="1183" t="s">
        <v>627</v>
      </c>
      <c r="D882" s="11">
        <f>D462+52400/60</f>
        <v>1248.3333333333335</v>
      </c>
      <c r="E882" s="11">
        <f>E462+90400/60</f>
        <v>1921.6666666666667</v>
      </c>
      <c r="F882" s="11">
        <f>F462+90400/60</f>
        <v>1921.6666666666667</v>
      </c>
      <c r="G882" s="707" t="s">
        <v>12</v>
      </c>
      <c r="H882" s="417" t="s">
        <v>729</v>
      </c>
      <c r="I882" s="398" t="s">
        <v>130</v>
      </c>
      <c r="J882" s="37"/>
      <c r="K882" s="426">
        <v>24</v>
      </c>
      <c r="L882" s="379" t="s">
        <v>636</v>
      </c>
      <c r="M882" s="551">
        <v>43084</v>
      </c>
      <c r="N882" s="551">
        <v>43091</v>
      </c>
      <c r="O882" s="419"/>
      <c r="P882" s="61" t="s">
        <v>597</v>
      </c>
      <c r="Q882" s="61" t="s">
        <v>932</v>
      </c>
      <c r="R882" s="397" t="s">
        <v>271</v>
      </c>
      <c r="S882" s="322" t="s">
        <v>1176</v>
      </c>
      <c r="T882" s="688" t="s">
        <v>2840</v>
      </c>
      <c r="U882" s="421"/>
    </row>
    <row r="883" spans="1:21" s="377" customFormat="1" ht="20.100000000000001" customHeight="1">
      <c r="A883" s="1184" t="s">
        <v>2951</v>
      </c>
      <c r="B883" s="1183" t="s">
        <v>343</v>
      </c>
      <c r="C883" s="1183" t="s">
        <v>627</v>
      </c>
      <c r="D883" s="11">
        <f>D467+758+25</f>
        <v>1063</v>
      </c>
      <c r="E883" s="11">
        <f>E467+1438+50</f>
        <v>1913</v>
      </c>
      <c r="F883" s="11">
        <f>F467+1438+50</f>
        <v>1913</v>
      </c>
      <c r="G883" s="222" t="s">
        <v>2347</v>
      </c>
      <c r="H883" s="385" t="s">
        <v>2350</v>
      </c>
      <c r="I883" s="398" t="s">
        <v>130</v>
      </c>
      <c r="J883" s="37"/>
      <c r="K883" s="380" t="s">
        <v>2346</v>
      </c>
      <c r="L883" s="386" t="s">
        <v>639</v>
      </c>
      <c r="M883" s="547">
        <v>43086</v>
      </c>
      <c r="N883" s="547">
        <v>43092</v>
      </c>
      <c r="O883" s="419"/>
      <c r="P883" s="61"/>
      <c r="Q883" s="61" t="s">
        <v>934</v>
      </c>
      <c r="R883" s="397" t="s">
        <v>171</v>
      </c>
      <c r="S883" s="322"/>
      <c r="T883" s="688"/>
      <c r="U883" s="421"/>
    </row>
    <row r="884" spans="1:21" s="377" customFormat="1" ht="20.100000000000001" customHeight="1">
      <c r="A884" s="1184" t="s">
        <v>2951</v>
      </c>
      <c r="B884" s="1183" t="s">
        <v>343</v>
      </c>
      <c r="C884" s="1183" t="s">
        <v>627</v>
      </c>
      <c r="D884" s="11">
        <f>D476+900+25</f>
        <v>1175</v>
      </c>
      <c r="E884" s="11">
        <f>E476+1600+50</f>
        <v>2050</v>
      </c>
      <c r="F884" s="11">
        <f>F476+1600+50</f>
        <v>1950</v>
      </c>
      <c r="G884" s="707" t="s">
        <v>157</v>
      </c>
      <c r="H884" s="385" t="s">
        <v>1102</v>
      </c>
      <c r="I884" s="398" t="s">
        <v>130</v>
      </c>
      <c r="J884" s="681"/>
      <c r="K884" s="426">
        <v>23</v>
      </c>
      <c r="L884" s="398" t="s">
        <v>639</v>
      </c>
      <c r="M884" s="392">
        <v>43084</v>
      </c>
      <c r="N884" s="392">
        <v>43088</v>
      </c>
      <c r="O884" s="423" t="s">
        <v>601</v>
      </c>
      <c r="P884" s="61" t="s">
        <v>1942</v>
      </c>
      <c r="Q884" s="61" t="s">
        <v>902</v>
      </c>
      <c r="R884" s="424" t="s">
        <v>171</v>
      </c>
      <c r="S884" s="316" t="s">
        <v>2909</v>
      </c>
      <c r="T884" s="689"/>
      <c r="U884" s="421"/>
    </row>
    <row r="885" spans="1:21" s="377" customFormat="1" ht="20.100000000000001" customHeight="1">
      <c r="A885" s="1184" t="s">
        <v>2951</v>
      </c>
      <c r="B885" s="1183" t="s">
        <v>343</v>
      </c>
      <c r="C885" s="1183" t="s">
        <v>627</v>
      </c>
      <c r="D885" s="11">
        <f>D475+(40201/60)*1.15</f>
        <v>770.51916666666659</v>
      </c>
      <c r="E885" s="11">
        <f>E475+(70598/60)*1.15</f>
        <v>1353.1283333333333</v>
      </c>
      <c r="F885" s="11">
        <f>F475+(70598/60)*1.15</f>
        <v>1353.1283333333333</v>
      </c>
      <c r="G885" s="707" t="s">
        <v>29</v>
      </c>
      <c r="H885" s="385" t="s">
        <v>1098</v>
      </c>
      <c r="I885" s="398" t="s">
        <v>130</v>
      </c>
      <c r="J885" s="37"/>
      <c r="K885" s="398" t="s">
        <v>1100</v>
      </c>
      <c r="L885" s="398" t="s">
        <v>652</v>
      </c>
      <c r="M885" s="404">
        <v>43038</v>
      </c>
      <c r="N885" s="404">
        <v>43086</v>
      </c>
      <c r="O885" s="422"/>
      <c r="P885" s="61"/>
      <c r="Q885" s="61" t="s">
        <v>3035</v>
      </c>
      <c r="R885" s="397" t="s">
        <v>173</v>
      </c>
      <c r="S885" s="316" t="s">
        <v>2898</v>
      </c>
      <c r="T885" s="689"/>
      <c r="U885" s="421"/>
    </row>
    <row r="886" spans="1:21" s="377" customFormat="1" ht="20.100000000000001" customHeight="1">
      <c r="A886" s="1184" t="s">
        <v>2951</v>
      </c>
      <c r="B886" s="1183" t="s">
        <v>343</v>
      </c>
      <c r="C886" s="1183" t="s">
        <v>627</v>
      </c>
      <c r="D886" s="13">
        <f>D555+(38491/60)*1.15</f>
        <v>1212.7441666666666</v>
      </c>
      <c r="E886" s="13">
        <f>E555+(73063/60)*1.15</f>
        <v>1900.3741666666665</v>
      </c>
      <c r="F886" s="13">
        <f>F555+(73063/60)*1.15</f>
        <v>1900.3741666666665</v>
      </c>
      <c r="G886" s="707" t="s">
        <v>29</v>
      </c>
      <c r="H886" s="385" t="s">
        <v>659</v>
      </c>
      <c r="I886" s="426" t="s">
        <v>472</v>
      </c>
      <c r="J886" s="681"/>
      <c r="K886" s="386">
        <v>33</v>
      </c>
      <c r="L886" s="398" t="s">
        <v>639</v>
      </c>
      <c r="M886" s="404">
        <v>43082</v>
      </c>
      <c r="N886" s="404">
        <v>43086</v>
      </c>
      <c r="O886" s="422"/>
      <c r="P886" s="61" t="s">
        <v>599</v>
      </c>
      <c r="Q886" s="61" t="s">
        <v>934</v>
      </c>
      <c r="R886" s="397" t="s">
        <v>450</v>
      </c>
      <c r="S886" s="316" t="s">
        <v>2898</v>
      </c>
      <c r="T886" s="689"/>
      <c r="U886" s="421"/>
    </row>
    <row r="887" spans="1:21" s="377" customFormat="1" ht="20.100000000000001" customHeight="1">
      <c r="A887" s="1184" t="s">
        <v>2951</v>
      </c>
      <c r="B887" s="1183" t="s">
        <v>343</v>
      </c>
      <c r="C887" s="1183" t="s">
        <v>627</v>
      </c>
      <c r="D887" s="13">
        <f>D554+45996/60</f>
        <v>1141.5999999999999</v>
      </c>
      <c r="E887" s="13">
        <f>E554+80792/60</f>
        <v>1796.5333333333333</v>
      </c>
      <c r="F887" s="13">
        <f>F554+80792/60</f>
        <v>1796.5333333333333</v>
      </c>
      <c r="G887" s="217" t="s">
        <v>2328</v>
      </c>
      <c r="H887" s="385" t="s">
        <v>725</v>
      </c>
      <c r="I887" s="398" t="s">
        <v>472</v>
      </c>
      <c r="J887" s="681"/>
      <c r="K887" s="386" t="s">
        <v>2341</v>
      </c>
      <c r="L887" s="379" t="s">
        <v>641</v>
      </c>
      <c r="M887" s="381">
        <v>43082</v>
      </c>
      <c r="N887" s="381">
        <v>43086</v>
      </c>
      <c r="O887" s="394" t="s">
        <v>1949</v>
      </c>
      <c r="P887" s="61"/>
      <c r="Q887" s="61" t="s">
        <v>2337</v>
      </c>
      <c r="R887" s="397" t="s">
        <v>826</v>
      </c>
      <c r="S887" s="336" t="s">
        <v>1176</v>
      </c>
      <c r="T887" s="323" t="s">
        <v>2935</v>
      </c>
      <c r="U887" s="421"/>
    </row>
    <row r="888" spans="1:21" s="377" customFormat="1" ht="20.100000000000001" customHeight="1">
      <c r="A888" s="1184" t="s">
        <v>2951</v>
      </c>
      <c r="B888" s="1183" t="s">
        <v>343</v>
      </c>
      <c r="C888" s="1183" t="s">
        <v>627</v>
      </c>
      <c r="D888" s="13">
        <f>D546+52500/55</f>
        <v>1389.5454545454545</v>
      </c>
      <c r="E888" s="13">
        <f>E546+96500/55</f>
        <v>2264.5454545454545</v>
      </c>
      <c r="F888" s="13">
        <f>F546+96500/55</f>
        <v>2264.5454545454545</v>
      </c>
      <c r="G888" s="707" t="s">
        <v>37</v>
      </c>
      <c r="H888" s="385">
        <v>5</v>
      </c>
      <c r="I888" s="426" t="s">
        <v>472</v>
      </c>
      <c r="J888" s="681"/>
      <c r="K888" s="386" t="s">
        <v>872</v>
      </c>
      <c r="L888" s="380" t="s">
        <v>649</v>
      </c>
      <c r="M888" s="392">
        <v>43063</v>
      </c>
      <c r="N888" s="392">
        <v>43080</v>
      </c>
      <c r="O888" s="419"/>
      <c r="P888" s="750"/>
      <c r="Q888" s="61" t="s">
        <v>927</v>
      </c>
      <c r="R888" s="397" t="s">
        <v>179</v>
      </c>
      <c r="S888" s="315" t="s">
        <v>2903</v>
      </c>
      <c r="T888" s="316"/>
      <c r="U888" s="421"/>
    </row>
    <row r="889" spans="1:21" s="377" customFormat="1" ht="20.100000000000001" customHeight="1">
      <c r="A889" s="1184" t="s">
        <v>2951</v>
      </c>
      <c r="B889" s="1183" t="s">
        <v>343</v>
      </c>
      <c r="C889" s="1183" t="s">
        <v>627</v>
      </c>
      <c r="D889" s="11">
        <f>D547+910+25</f>
        <v>1185</v>
      </c>
      <c r="E889" s="13">
        <f>E547+1620+50</f>
        <v>2120</v>
      </c>
      <c r="F889" s="13">
        <f>F547+1620+50</f>
        <v>2070</v>
      </c>
      <c r="G889" s="707" t="s">
        <v>28</v>
      </c>
      <c r="H889" s="417">
        <v>5</v>
      </c>
      <c r="I889" s="426" t="s">
        <v>472</v>
      </c>
      <c r="J889" s="681"/>
      <c r="K889" s="386">
        <v>20</v>
      </c>
      <c r="L889" s="380" t="s">
        <v>649</v>
      </c>
      <c r="M889" s="392">
        <v>43084</v>
      </c>
      <c r="N889" s="392">
        <v>43088</v>
      </c>
      <c r="O889" s="422"/>
      <c r="P889" s="61" t="s">
        <v>1676</v>
      </c>
      <c r="Q889" s="61" t="s">
        <v>902</v>
      </c>
      <c r="R889" s="397" t="s">
        <v>504</v>
      </c>
      <c r="S889" s="316" t="s">
        <v>2909</v>
      </c>
      <c r="T889" s="689"/>
      <c r="U889" s="421"/>
    </row>
    <row r="890" spans="1:21" s="377" customFormat="1" ht="20.100000000000001" customHeight="1">
      <c r="A890" s="1184" t="s">
        <v>2951</v>
      </c>
      <c r="B890" s="1183" t="s">
        <v>343</v>
      </c>
      <c r="C890" s="1183" t="s">
        <v>627</v>
      </c>
      <c r="D890" s="13">
        <f>D549+57425/60</f>
        <v>1307.0833333333335</v>
      </c>
      <c r="E890" s="13">
        <f>E549+103225/60</f>
        <v>2110.416666666667</v>
      </c>
      <c r="F890" s="13">
        <f>F549+103225/60</f>
        <v>2110.416666666667</v>
      </c>
      <c r="G890" s="707" t="s">
        <v>12</v>
      </c>
      <c r="H890" s="417" t="s">
        <v>721</v>
      </c>
      <c r="I890" s="426" t="s">
        <v>472</v>
      </c>
      <c r="J890" s="681"/>
      <c r="K890" s="386">
        <v>20</v>
      </c>
      <c r="L890" s="386" t="s">
        <v>650</v>
      </c>
      <c r="M890" s="551">
        <v>43084</v>
      </c>
      <c r="N890" s="551">
        <v>43091</v>
      </c>
      <c r="O890" s="419"/>
      <c r="P890" s="61" t="s">
        <v>597</v>
      </c>
      <c r="Q890" s="61" t="s">
        <v>932</v>
      </c>
      <c r="R890" s="397" t="s">
        <v>202</v>
      </c>
      <c r="S890" s="322" t="s">
        <v>1176</v>
      </c>
      <c r="T890" s="688" t="s">
        <v>2840</v>
      </c>
      <c r="U890" s="421"/>
    </row>
    <row r="891" spans="1:21" s="377" customFormat="1" ht="20.100000000000001" customHeight="1">
      <c r="A891" s="1184" t="s">
        <v>2951</v>
      </c>
      <c r="B891" s="1183" t="s">
        <v>343</v>
      </c>
      <c r="C891" s="1183" t="s">
        <v>545</v>
      </c>
      <c r="D891" s="13">
        <f>D417+19422/55</f>
        <v>713.12727272727273</v>
      </c>
      <c r="E891" s="13">
        <f>E417+32796/55</f>
        <v>981.29090909090905</v>
      </c>
      <c r="F891" s="13">
        <f>F417+32796/55</f>
        <v>981.29090909090905</v>
      </c>
      <c r="G891" s="707" t="s">
        <v>102</v>
      </c>
      <c r="H891" s="378">
        <v>1</v>
      </c>
      <c r="I891" s="398" t="s">
        <v>93</v>
      </c>
      <c r="J891" s="37"/>
      <c r="K891" s="426">
        <v>22</v>
      </c>
      <c r="L891" s="379" t="s">
        <v>636</v>
      </c>
      <c r="M891" s="392">
        <v>43080</v>
      </c>
      <c r="N891" s="392">
        <v>43080</v>
      </c>
      <c r="O891" s="419"/>
      <c r="P891" s="61" t="s">
        <v>1933</v>
      </c>
      <c r="Q891" s="61" t="s">
        <v>927</v>
      </c>
      <c r="R891" s="397" t="s">
        <v>192</v>
      </c>
      <c r="S891" s="315" t="s">
        <v>2903</v>
      </c>
      <c r="T891" s="316"/>
      <c r="U891" s="421"/>
    </row>
    <row r="892" spans="1:21" s="377" customFormat="1" ht="20.100000000000001" customHeight="1">
      <c r="A892" s="1184" t="s">
        <v>2951</v>
      </c>
      <c r="B892" s="1183" t="s">
        <v>343</v>
      </c>
      <c r="C892" s="1183" t="s">
        <v>545</v>
      </c>
      <c r="D892" s="539">
        <f>D425+243+25</f>
        <v>693</v>
      </c>
      <c r="E892" s="539">
        <f>E425+451+50</f>
        <v>1051</v>
      </c>
      <c r="F892" s="539">
        <f>F425+451+50</f>
        <v>1051</v>
      </c>
      <c r="G892" s="707" t="s">
        <v>61</v>
      </c>
      <c r="H892" s="385" t="s">
        <v>729</v>
      </c>
      <c r="I892" s="426" t="s">
        <v>93</v>
      </c>
      <c r="J892" s="681"/>
      <c r="K892" s="426" t="s">
        <v>794</v>
      </c>
      <c r="L892" s="398" t="s">
        <v>649</v>
      </c>
      <c r="M892" s="404">
        <v>43070</v>
      </c>
      <c r="N892" s="404">
        <v>43100</v>
      </c>
      <c r="O892" s="423" t="s">
        <v>601</v>
      </c>
      <c r="P892" s="7" t="s">
        <v>1813</v>
      </c>
      <c r="Q892" s="61" t="s">
        <v>934</v>
      </c>
      <c r="R892" s="424" t="s">
        <v>251</v>
      </c>
      <c r="S892" s="316" t="s">
        <v>2906</v>
      </c>
      <c r="T892" s="689"/>
      <c r="U892" s="421"/>
    </row>
    <row r="893" spans="1:21" s="377" customFormat="1" ht="20.100000000000001" customHeight="1">
      <c r="A893" s="1184" t="s">
        <v>2951</v>
      </c>
      <c r="B893" s="1183" t="s">
        <v>343</v>
      </c>
      <c r="C893" s="1183" t="s">
        <v>545</v>
      </c>
      <c r="D893" s="2">
        <f>D451+(17114/60)*1.15</f>
        <v>653.01833333333332</v>
      </c>
      <c r="E893" s="2">
        <f>E451+(28888/60)*1.15</f>
        <v>953.68666666666661</v>
      </c>
      <c r="F893" s="2">
        <f>F451+(28888/60)*1.15</f>
        <v>953.68666666666661</v>
      </c>
      <c r="G893" s="707" t="s">
        <v>29</v>
      </c>
      <c r="H893" s="385" t="s">
        <v>1101</v>
      </c>
      <c r="I893" s="386" t="s">
        <v>93</v>
      </c>
      <c r="J893" s="681"/>
      <c r="K893" s="398">
        <v>24</v>
      </c>
      <c r="L893" s="398" t="s">
        <v>649</v>
      </c>
      <c r="M893" s="404">
        <v>43080</v>
      </c>
      <c r="N893" s="404">
        <v>43086</v>
      </c>
      <c r="O893" s="422"/>
      <c r="P893" s="751" t="s">
        <v>1072</v>
      </c>
      <c r="Q893" s="61" t="s">
        <v>934</v>
      </c>
      <c r="R893" s="397" t="s">
        <v>251</v>
      </c>
      <c r="S893" s="316" t="s">
        <v>2898</v>
      </c>
      <c r="T893" s="689"/>
      <c r="U893" s="421"/>
    </row>
    <row r="894" spans="1:21" s="377" customFormat="1" ht="20.100000000000001" customHeight="1">
      <c r="A894" s="1184" t="s">
        <v>2951</v>
      </c>
      <c r="B894" s="1183" t="s">
        <v>343</v>
      </c>
      <c r="C894" s="1183" t="s">
        <v>545</v>
      </c>
      <c r="D894" s="62">
        <f>D422+24292/55</f>
        <v>641.67272727272734</v>
      </c>
      <c r="E894" s="62">
        <f>E422+37302/55</f>
        <v>928.21818181818185</v>
      </c>
      <c r="F894" s="62">
        <f>F422+37302/55</f>
        <v>928.21818181818185</v>
      </c>
      <c r="G894" s="710" t="s">
        <v>87</v>
      </c>
      <c r="H894" s="390" t="s">
        <v>729</v>
      </c>
      <c r="I894" s="406" t="s">
        <v>93</v>
      </c>
      <c r="J894" s="34"/>
      <c r="K894" s="406">
        <v>22</v>
      </c>
      <c r="L894" s="398" t="s">
        <v>649</v>
      </c>
      <c r="M894" s="547">
        <v>43080</v>
      </c>
      <c r="N894" s="547">
        <v>43080</v>
      </c>
      <c r="O894" s="422"/>
      <c r="P894" s="59" t="s">
        <v>604</v>
      </c>
      <c r="Q894" s="61" t="s">
        <v>919</v>
      </c>
      <c r="R894" s="397" t="s">
        <v>251</v>
      </c>
      <c r="S894" s="322" t="s">
        <v>2861</v>
      </c>
      <c r="T894" s="689"/>
      <c r="U894" s="421"/>
    </row>
    <row r="895" spans="1:21" s="377" customFormat="1" ht="20.100000000000001" customHeight="1">
      <c r="A895" s="1184" t="s">
        <v>2951</v>
      </c>
      <c r="B895" s="1183" t="s">
        <v>343</v>
      </c>
      <c r="C895" s="1183" t="s">
        <v>545</v>
      </c>
      <c r="D895" s="62">
        <f>D428+25600/60</f>
        <v>776.66666666666674</v>
      </c>
      <c r="E895" s="62">
        <f>E428+43350/60</f>
        <v>1062.5</v>
      </c>
      <c r="F895" s="62">
        <f>F428+43350/60</f>
        <v>1062.5</v>
      </c>
      <c r="G895" s="656" t="s">
        <v>51</v>
      </c>
      <c r="H895" s="390" t="s">
        <v>2360</v>
      </c>
      <c r="I895" s="406" t="s">
        <v>93</v>
      </c>
      <c r="J895" s="34"/>
      <c r="K895" s="406" t="s">
        <v>2361</v>
      </c>
      <c r="L895" s="380" t="s">
        <v>637</v>
      </c>
      <c r="M895" s="381">
        <v>43080</v>
      </c>
      <c r="N895" s="381">
        <v>43089</v>
      </c>
      <c r="O895" s="422"/>
      <c r="P895" s="59" t="s">
        <v>2362</v>
      </c>
      <c r="Q895" s="61" t="s">
        <v>902</v>
      </c>
      <c r="R895" s="397" t="s">
        <v>2320</v>
      </c>
      <c r="S895" s="327" t="s">
        <v>3066</v>
      </c>
      <c r="T895" s="689"/>
      <c r="U895" s="421"/>
    </row>
    <row r="896" spans="1:21" s="377" customFormat="1" ht="20.100000000000001" customHeight="1">
      <c r="A896" s="1184" t="s">
        <v>2951</v>
      </c>
      <c r="B896" s="1183" t="s">
        <v>343</v>
      </c>
      <c r="C896" s="1183" t="s">
        <v>545</v>
      </c>
      <c r="D896" s="13">
        <f>(D419+19191/60)+200</f>
        <v>794.85</v>
      </c>
      <c r="E896" s="13">
        <f>(E419+34912/60)+600</f>
        <v>1531.8666666666668</v>
      </c>
      <c r="F896" s="13">
        <f>(F419+34912/60)+600</f>
        <v>1531.8666666666668</v>
      </c>
      <c r="G896" s="217" t="s">
        <v>10</v>
      </c>
      <c r="H896" s="390" t="s">
        <v>633</v>
      </c>
      <c r="I896" s="380" t="s">
        <v>93</v>
      </c>
      <c r="J896" s="37"/>
      <c r="K896" s="426" t="s">
        <v>949</v>
      </c>
      <c r="L896" s="379" t="s">
        <v>637</v>
      </c>
      <c r="M896" s="381">
        <v>43087</v>
      </c>
      <c r="N896" s="381">
        <v>43087</v>
      </c>
      <c r="O896" s="422"/>
      <c r="P896" s="61" t="s">
        <v>913</v>
      </c>
      <c r="Q896" s="61" t="s">
        <v>902</v>
      </c>
      <c r="R896" s="397" t="s">
        <v>1015</v>
      </c>
      <c r="S896" s="315" t="s">
        <v>2904</v>
      </c>
      <c r="T896" s="689"/>
      <c r="U896" s="421"/>
    </row>
    <row r="897" spans="1:21" s="377" customFormat="1" ht="20.100000000000001" customHeight="1">
      <c r="A897" s="1184" t="s">
        <v>2951</v>
      </c>
      <c r="B897" s="1183" t="s">
        <v>343</v>
      </c>
      <c r="C897" s="1183" t="s">
        <v>545</v>
      </c>
      <c r="D897" s="13">
        <f>D435+394+25</f>
        <v>649</v>
      </c>
      <c r="E897" s="13">
        <f>E435+810+50</f>
        <v>1185</v>
      </c>
      <c r="F897" s="13">
        <f>F435+810+50</f>
        <v>1185</v>
      </c>
      <c r="G897" s="217" t="s">
        <v>2347</v>
      </c>
      <c r="H897" s="56" t="s">
        <v>742</v>
      </c>
      <c r="I897" s="380" t="s">
        <v>93</v>
      </c>
      <c r="J897" s="37"/>
      <c r="K897" s="426" t="s">
        <v>2348</v>
      </c>
      <c r="L897" s="398" t="s">
        <v>652</v>
      </c>
      <c r="M897" s="547">
        <v>43086</v>
      </c>
      <c r="N897" s="547">
        <v>43092</v>
      </c>
      <c r="O897" s="422"/>
      <c r="P897" s="61" t="s">
        <v>605</v>
      </c>
      <c r="Q897" s="61" t="s">
        <v>934</v>
      </c>
      <c r="R897" s="17" t="s">
        <v>449</v>
      </c>
      <c r="S897" s="322" t="s">
        <v>1176</v>
      </c>
      <c r="T897" s="689"/>
      <c r="U897" s="421"/>
    </row>
    <row r="898" spans="1:21" s="377" customFormat="1" ht="20.100000000000001" customHeight="1">
      <c r="A898" s="1184" t="s">
        <v>2951</v>
      </c>
      <c r="B898" s="1183" t="s">
        <v>343</v>
      </c>
      <c r="C898" s="1183" t="s">
        <v>545</v>
      </c>
      <c r="D898" s="11">
        <f>D421+24475/60</f>
        <v>637.91666666666674</v>
      </c>
      <c r="E898" s="11">
        <f>E421+43300/60</f>
        <v>871.66666666666663</v>
      </c>
      <c r="F898" s="11">
        <f>F421+43300/60</f>
        <v>871.66666666666663</v>
      </c>
      <c r="G898" s="12" t="s">
        <v>146</v>
      </c>
      <c r="H898" s="417" t="s">
        <v>651</v>
      </c>
      <c r="I898" s="380" t="s">
        <v>93</v>
      </c>
      <c r="J898" s="50"/>
      <c r="K898" s="380">
        <v>20</v>
      </c>
      <c r="L898" s="415" t="s">
        <v>637</v>
      </c>
      <c r="M898" s="551">
        <v>43084</v>
      </c>
      <c r="N898" s="551">
        <v>43091</v>
      </c>
      <c r="O898" s="419"/>
      <c r="P898" s="72" t="s">
        <v>1941</v>
      </c>
      <c r="Q898" s="61" t="s">
        <v>932</v>
      </c>
      <c r="R898" s="384" t="s">
        <v>1740</v>
      </c>
      <c r="S898" s="322" t="s">
        <v>1176</v>
      </c>
      <c r="T898" s="688" t="s">
        <v>2840</v>
      </c>
      <c r="U898" s="421"/>
    </row>
    <row r="899" spans="1:21" s="377" customFormat="1" ht="20.100000000000001" customHeight="1">
      <c r="A899" s="1184" t="s">
        <v>2951</v>
      </c>
      <c r="B899" s="1183" t="s">
        <v>343</v>
      </c>
      <c r="C899" s="1183" t="s">
        <v>545</v>
      </c>
      <c r="D899" s="11">
        <f>D759</f>
        <v>1425</v>
      </c>
      <c r="E899" s="11">
        <f>E759</f>
        <v>2000</v>
      </c>
      <c r="F899" s="11">
        <f>F759</f>
        <v>2000</v>
      </c>
      <c r="G899" s="217" t="s">
        <v>19</v>
      </c>
      <c r="H899" s="385" t="s">
        <v>742</v>
      </c>
      <c r="I899" s="398" t="s">
        <v>93</v>
      </c>
      <c r="J899" s="37"/>
      <c r="K899" s="398" t="s">
        <v>1260</v>
      </c>
      <c r="L899" s="398" t="s">
        <v>639</v>
      </c>
      <c r="M899" s="399">
        <v>43073</v>
      </c>
      <c r="N899" s="399">
        <v>43086</v>
      </c>
      <c r="O899" s="382" t="s">
        <v>611</v>
      </c>
      <c r="P899" s="61" t="s">
        <v>588</v>
      </c>
      <c r="Q899" s="61" t="s">
        <v>1661</v>
      </c>
      <c r="R899" s="397" t="s">
        <v>187</v>
      </c>
      <c r="S899" s="316" t="s">
        <v>2908</v>
      </c>
      <c r="T899" s="848" t="s">
        <v>4105</v>
      </c>
      <c r="U899" s="421"/>
    </row>
    <row r="900" spans="1:21" s="377" customFormat="1" ht="20.100000000000001" customHeight="1">
      <c r="A900" s="1184" t="s">
        <v>2951</v>
      </c>
      <c r="B900" s="1183" t="s">
        <v>343</v>
      </c>
      <c r="C900" s="1183" t="s">
        <v>545</v>
      </c>
      <c r="D900" s="11">
        <f>D433+25994/60</f>
        <v>658.23333333333335</v>
      </c>
      <c r="E900" s="11">
        <f>E433+50046/60</f>
        <v>1109.0999999999999</v>
      </c>
      <c r="F900" s="11">
        <f>F433+46446/60</f>
        <v>1049.0999999999999</v>
      </c>
      <c r="G900" s="222" t="s">
        <v>1659</v>
      </c>
      <c r="H900" s="385" t="s">
        <v>742</v>
      </c>
      <c r="I900" s="380" t="s">
        <v>93</v>
      </c>
      <c r="J900" s="50"/>
      <c r="K900" s="380" t="s">
        <v>682</v>
      </c>
      <c r="L900" s="398" t="s">
        <v>639</v>
      </c>
      <c r="M900" s="547">
        <v>43081</v>
      </c>
      <c r="N900" s="547">
        <v>43090</v>
      </c>
      <c r="O900" s="419"/>
      <c r="P900" s="61" t="s">
        <v>1927</v>
      </c>
      <c r="Q900" s="61" t="s">
        <v>902</v>
      </c>
      <c r="R900" s="397" t="s">
        <v>171</v>
      </c>
      <c r="S900" s="315" t="s">
        <v>2862</v>
      </c>
      <c r="T900" s="626">
        <v>14</v>
      </c>
      <c r="U900" s="421"/>
    </row>
    <row r="901" spans="1:21" s="377" customFormat="1" ht="20.100000000000001" customHeight="1">
      <c r="A901" s="1184" t="s">
        <v>2951</v>
      </c>
      <c r="B901" s="1183" t="s">
        <v>343</v>
      </c>
      <c r="C901" s="1183" t="s">
        <v>545</v>
      </c>
      <c r="D901" s="527">
        <f>D440+16471/60</f>
        <v>524.51666666666665</v>
      </c>
      <c r="E901" s="527">
        <f>E440+27998/60</f>
        <v>716.63333333333333</v>
      </c>
      <c r="F901" s="527">
        <f>F440+27998/60</f>
        <v>716.63333333333333</v>
      </c>
      <c r="G901" s="656" t="s">
        <v>2328</v>
      </c>
      <c r="H901" s="385" t="s">
        <v>725</v>
      </c>
      <c r="I901" s="398" t="s">
        <v>93</v>
      </c>
      <c r="J901" s="37"/>
      <c r="K901" s="398" t="s">
        <v>2336</v>
      </c>
      <c r="L901" s="379" t="s">
        <v>641</v>
      </c>
      <c r="M901" s="381">
        <v>43082</v>
      </c>
      <c r="N901" s="381">
        <v>43086</v>
      </c>
      <c r="O901" s="394" t="s">
        <v>1949</v>
      </c>
      <c r="P901" s="72" t="s">
        <v>2285</v>
      </c>
      <c r="Q901" s="61" t="s">
        <v>2337</v>
      </c>
      <c r="R901" s="397" t="s">
        <v>826</v>
      </c>
      <c r="S901" s="336" t="s">
        <v>1176</v>
      </c>
      <c r="T901" s="323" t="s">
        <v>2935</v>
      </c>
      <c r="U901" s="421"/>
    </row>
    <row r="902" spans="1:21" s="377" customFormat="1" ht="20.100000000000001" customHeight="1">
      <c r="A902" s="1184" t="s">
        <v>2951</v>
      </c>
      <c r="B902" s="1183" t="s">
        <v>343</v>
      </c>
      <c r="C902" s="1183" t="s">
        <v>545</v>
      </c>
      <c r="D902" s="2">
        <f>D448+22877/60</f>
        <v>741.2833333333333</v>
      </c>
      <c r="E902" s="2"/>
      <c r="F902" s="2"/>
      <c r="G902" s="67" t="s">
        <v>432</v>
      </c>
      <c r="H902" s="385" t="s">
        <v>721</v>
      </c>
      <c r="I902" s="386" t="s">
        <v>93</v>
      </c>
      <c r="J902" s="681"/>
      <c r="K902" s="398" t="s">
        <v>1006</v>
      </c>
      <c r="L902" s="415" t="s">
        <v>637</v>
      </c>
      <c r="M902" s="391">
        <v>43050</v>
      </c>
      <c r="N902" s="547">
        <v>43089</v>
      </c>
      <c r="O902" s="422"/>
      <c r="P902" s="61" t="s">
        <v>1944</v>
      </c>
      <c r="Q902" s="61" t="s">
        <v>902</v>
      </c>
      <c r="R902" s="397" t="s">
        <v>202</v>
      </c>
      <c r="S902" s="319" t="s">
        <v>1177</v>
      </c>
      <c r="T902" s="689"/>
      <c r="U902" s="421"/>
    </row>
    <row r="903" spans="1:21" s="377" customFormat="1" ht="20.100000000000001" customHeight="1">
      <c r="A903" s="1184" t="s">
        <v>2951</v>
      </c>
      <c r="B903" s="1183" t="s">
        <v>343</v>
      </c>
      <c r="C903" s="1183" t="s">
        <v>545</v>
      </c>
      <c r="D903" s="2">
        <f>D450+403+25</f>
        <v>1378</v>
      </c>
      <c r="E903" s="2">
        <f>E450+651+50</f>
        <v>2251</v>
      </c>
      <c r="F903" s="2">
        <f>F450+651+50</f>
        <v>2251</v>
      </c>
      <c r="G903" s="217" t="s">
        <v>55</v>
      </c>
      <c r="H903" s="401" t="s">
        <v>706</v>
      </c>
      <c r="I903" s="426" t="s">
        <v>93</v>
      </c>
      <c r="J903" s="681"/>
      <c r="K903" s="386">
        <v>23</v>
      </c>
      <c r="L903" s="379" t="s">
        <v>643</v>
      </c>
      <c r="M903" s="392">
        <v>42962</v>
      </c>
      <c r="N903" s="392">
        <v>43100</v>
      </c>
      <c r="O903" s="422"/>
      <c r="P903" s="61" t="s">
        <v>588</v>
      </c>
      <c r="Q903" s="61" t="s">
        <v>919</v>
      </c>
      <c r="R903" s="397" t="s">
        <v>1783</v>
      </c>
      <c r="S903" s="316" t="s">
        <v>1176</v>
      </c>
      <c r="T903" s="689"/>
      <c r="U903" s="421"/>
    </row>
    <row r="904" spans="1:21" s="377" customFormat="1" ht="20.100000000000001" customHeight="1">
      <c r="A904" s="1184" t="s">
        <v>2951</v>
      </c>
      <c r="B904" s="1183" t="s">
        <v>343</v>
      </c>
      <c r="C904" s="1183" t="s">
        <v>545</v>
      </c>
      <c r="D904" s="11">
        <f>D473+20557/55</f>
        <v>973.76363636363635</v>
      </c>
      <c r="E904" s="11">
        <f>E473+31294/55</f>
        <v>1368.9818181818182</v>
      </c>
      <c r="F904" s="11">
        <f>F473+31294/55</f>
        <v>1368.9818181818182</v>
      </c>
      <c r="G904" s="12" t="s">
        <v>207</v>
      </c>
      <c r="H904" s="378">
        <v>1</v>
      </c>
      <c r="I904" s="406" t="s">
        <v>130</v>
      </c>
      <c r="J904" s="34"/>
      <c r="K904" s="406">
        <v>24</v>
      </c>
      <c r="L904" s="379" t="s">
        <v>636</v>
      </c>
      <c r="M904" s="547">
        <v>43040</v>
      </c>
      <c r="N904" s="547">
        <v>43080</v>
      </c>
      <c r="O904" s="422"/>
      <c r="P904" s="59"/>
      <c r="Q904" s="61" t="s">
        <v>3034</v>
      </c>
      <c r="R904" s="427" t="s">
        <v>192</v>
      </c>
      <c r="S904" s="322" t="s">
        <v>2849</v>
      </c>
      <c r="T904" s="689"/>
      <c r="U904" s="421"/>
    </row>
    <row r="905" spans="1:21" s="377" customFormat="1" ht="20.100000000000001" customHeight="1">
      <c r="A905" s="1184" t="s">
        <v>2951</v>
      </c>
      <c r="B905" s="1183" t="s">
        <v>343</v>
      </c>
      <c r="C905" s="1183" t="s">
        <v>545</v>
      </c>
      <c r="D905" s="2">
        <f>D459+14575/55</f>
        <v>625</v>
      </c>
      <c r="E905" s="2">
        <f>E459+24675/55</f>
        <v>833.63636363636363</v>
      </c>
      <c r="F905" s="2">
        <f>F459+24675/55</f>
        <v>833.63636363636363</v>
      </c>
      <c r="G905" s="707" t="s">
        <v>37</v>
      </c>
      <c r="H905" s="378">
        <v>1</v>
      </c>
      <c r="I905" s="398" t="s">
        <v>130</v>
      </c>
      <c r="J905" s="37"/>
      <c r="K905" s="426">
        <v>24</v>
      </c>
      <c r="L905" s="379" t="s">
        <v>636</v>
      </c>
      <c r="M905" s="392">
        <v>43080</v>
      </c>
      <c r="N905" s="392">
        <v>43080</v>
      </c>
      <c r="O905" s="419"/>
      <c r="P905" s="61" t="s">
        <v>907</v>
      </c>
      <c r="Q905" s="61" t="s">
        <v>927</v>
      </c>
      <c r="R905" s="397" t="s">
        <v>192</v>
      </c>
      <c r="S905" s="315" t="s">
        <v>2903</v>
      </c>
      <c r="T905" s="316"/>
      <c r="U905" s="421"/>
    </row>
    <row r="906" spans="1:21" s="377" customFormat="1" ht="20.100000000000001" customHeight="1">
      <c r="A906" s="1184" t="s">
        <v>2951</v>
      </c>
      <c r="B906" s="1183" t="s">
        <v>343</v>
      </c>
      <c r="C906" s="1183" t="s">
        <v>545</v>
      </c>
      <c r="D906" s="2">
        <f>D474+15181/60</f>
        <v>628.01666666666665</v>
      </c>
      <c r="E906" s="2">
        <f>E474+28102/60</f>
        <v>918.36666666666667</v>
      </c>
      <c r="F906" s="2">
        <f>F474+28102/60</f>
        <v>918.36666666666667</v>
      </c>
      <c r="G906" s="217" t="s">
        <v>10</v>
      </c>
      <c r="H906" s="378" t="s">
        <v>948</v>
      </c>
      <c r="I906" s="398" t="s">
        <v>130</v>
      </c>
      <c r="J906" s="37"/>
      <c r="K906" s="426" t="s">
        <v>951</v>
      </c>
      <c r="L906" s="379" t="s">
        <v>636</v>
      </c>
      <c r="M906" s="381">
        <v>43087</v>
      </c>
      <c r="N906" s="381">
        <v>43087</v>
      </c>
      <c r="O906" s="422"/>
      <c r="P906" s="61"/>
      <c r="Q906" s="61" t="s">
        <v>902</v>
      </c>
      <c r="R906" s="397" t="s">
        <v>203</v>
      </c>
      <c r="S906" s="315" t="s">
        <v>2904</v>
      </c>
      <c r="T906" s="689"/>
      <c r="U906" s="421"/>
    </row>
    <row r="907" spans="1:21" s="377" customFormat="1" ht="20.100000000000001" customHeight="1">
      <c r="A907" s="1184" t="s">
        <v>2951</v>
      </c>
      <c r="B907" s="1183" t="s">
        <v>343</v>
      </c>
      <c r="C907" s="1183" t="s">
        <v>545</v>
      </c>
      <c r="D907" s="536">
        <f>D462+23250/60</f>
        <v>762.5</v>
      </c>
      <c r="E907" s="536">
        <f>E462+40100/60</f>
        <v>1083.3333333333335</v>
      </c>
      <c r="F907" s="536">
        <f>F462+40100/60</f>
        <v>1083.3333333333335</v>
      </c>
      <c r="G907" s="707" t="s">
        <v>12</v>
      </c>
      <c r="H907" s="417" t="s">
        <v>729</v>
      </c>
      <c r="I907" s="398" t="s">
        <v>130</v>
      </c>
      <c r="J907" s="37"/>
      <c r="K907" s="426">
        <v>24</v>
      </c>
      <c r="L907" s="379" t="s">
        <v>636</v>
      </c>
      <c r="M907" s="551">
        <v>43084</v>
      </c>
      <c r="N907" s="551">
        <v>43091</v>
      </c>
      <c r="O907" s="419"/>
      <c r="P907" s="61" t="s">
        <v>597</v>
      </c>
      <c r="Q907" s="61" t="s">
        <v>932</v>
      </c>
      <c r="R907" s="397" t="s">
        <v>271</v>
      </c>
      <c r="S907" s="322" t="s">
        <v>1176</v>
      </c>
      <c r="T907" s="688" t="s">
        <v>2840</v>
      </c>
      <c r="U907" s="421"/>
    </row>
    <row r="908" spans="1:21" s="377" customFormat="1" ht="20.100000000000001" customHeight="1">
      <c r="A908" s="1184" t="s">
        <v>2951</v>
      </c>
      <c r="B908" s="1183" t="s">
        <v>343</v>
      </c>
      <c r="C908" s="1183" t="s">
        <v>545</v>
      </c>
      <c r="D908" s="536">
        <f>D464+20900/60</f>
        <v>948.33333333333326</v>
      </c>
      <c r="E908" s="536">
        <f>E464+40900/60</f>
        <v>1331.6666666666665</v>
      </c>
      <c r="F908" s="536">
        <f>F464+40900/60</f>
        <v>1331.6666666666665</v>
      </c>
      <c r="G908" s="217" t="s">
        <v>51</v>
      </c>
      <c r="H908" s="417" t="s">
        <v>2363</v>
      </c>
      <c r="I908" s="398" t="s">
        <v>130</v>
      </c>
      <c r="J908" s="37"/>
      <c r="K908" s="426" t="s">
        <v>2364</v>
      </c>
      <c r="L908" s="380" t="s">
        <v>639</v>
      </c>
      <c r="M908" s="381">
        <v>43080</v>
      </c>
      <c r="N908" s="381">
        <v>43089</v>
      </c>
      <c r="O908" s="419"/>
      <c r="P908" s="61" t="s">
        <v>597</v>
      </c>
      <c r="Q908" s="61" t="s">
        <v>902</v>
      </c>
      <c r="R908" s="424" t="s">
        <v>171</v>
      </c>
      <c r="S908" s="322"/>
      <c r="T908" s="688"/>
      <c r="U908" s="421"/>
    </row>
    <row r="909" spans="1:21" s="377" customFormat="1" ht="20.100000000000001" customHeight="1">
      <c r="A909" s="1184" t="s">
        <v>2951</v>
      </c>
      <c r="B909" s="1183" t="s">
        <v>343</v>
      </c>
      <c r="C909" s="1183" t="s">
        <v>545</v>
      </c>
      <c r="D909" s="536">
        <f>D465+19270/60</f>
        <v>646.16666666666674</v>
      </c>
      <c r="E909" s="536">
        <f>E465+38320/60</f>
        <v>1113.6666666666665</v>
      </c>
      <c r="F909" s="536">
        <f>F465+35620/60</f>
        <v>1068.6666666666665</v>
      </c>
      <c r="G909" s="222" t="s">
        <v>1659</v>
      </c>
      <c r="H909" s="385" t="s">
        <v>742</v>
      </c>
      <c r="I909" s="398" t="s">
        <v>130</v>
      </c>
      <c r="J909" s="37"/>
      <c r="K909" s="380" t="s">
        <v>727</v>
      </c>
      <c r="L909" s="398" t="s">
        <v>639</v>
      </c>
      <c r="M909" s="547">
        <v>43081</v>
      </c>
      <c r="N909" s="547">
        <v>43090</v>
      </c>
      <c r="O909" s="419"/>
      <c r="P909" s="61"/>
      <c r="Q909" s="61" t="s">
        <v>902</v>
      </c>
      <c r="R909" s="397" t="s">
        <v>171</v>
      </c>
      <c r="S909" s="315" t="s">
        <v>2862</v>
      </c>
      <c r="T909" s="626">
        <v>14</v>
      </c>
      <c r="U909" s="421"/>
    </row>
    <row r="910" spans="1:21" s="377" customFormat="1" ht="20.100000000000001" customHeight="1">
      <c r="A910" s="1184" t="s">
        <v>2951</v>
      </c>
      <c r="B910" s="1183" t="s">
        <v>343</v>
      </c>
      <c r="C910" s="1183" t="s">
        <v>545</v>
      </c>
      <c r="D910" s="536">
        <f>D467+302+25</f>
        <v>607</v>
      </c>
      <c r="E910" s="536">
        <f>E467+623+50</f>
        <v>1098</v>
      </c>
      <c r="F910" s="536">
        <f>F467+623+50</f>
        <v>1098</v>
      </c>
      <c r="G910" s="222" t="s">
        <v>2347</v>
      </c>
      <c r="H910" s="385" t="s">
        <v>2350</v>
      </c>
      <c r="I910" s="398" t="s">
        <v>130</v>
      </c>
      <c r="J910" s="37"/>
      <c r="K910" s="380" t="s">
        <v>2346</v>
      </c>
      <c r="L910" s="386" t="s">
        <v>639</v>
      </c>
      <c r="M910" s="547">
        <v>43086</v>
      </c>
      <c r="N910" s="547">
        <v>43092</v>
      </c>
      <c r="O910" s="419"/>
      <c r="P910" s="61"/>
      <c r="Q910" s="61" t="s">
        <v>934</v>
      </c>
      <c r="R910" s="397" t="s">
        <v>171</v>
      </c>
      <c r="S910" s="322"/>
      <c r="T910" s="688"/>
      <c r="U910" s="421"/>
    </row>
    <row r="911" spans="1:21" s="377" customFormat="1" ht="20.100000000000001" customHeight="1">
      <c r="A911" s="1184" t="s">
        <v>2951</v>
      </c>
      <c r="B911" s="1183" t="s">
        <v>343</v>
      </c>
      <c r="C911" s="1183" t="s">
        <v>545</v>
      </c>
      <c r="D911" s="536">
        <f>D771</f>
        <v>1425</v>
      </c>
      <c r="E911" s="536">
        <f>E771</f>
        <v>2000</v>
      </c>
      <c r="F911" s="536">
        <f>F771</f>
        <v>2000</v>
      </c>
      <c r="G911" s="217" t="s">
        <v>19</v>
      </c>
      <c r="H911" s="385" t="s">
        <v>742</v>
      </c>
      <c r="I911" s="398" t="s">
        <v>623</v>
      </c>
      <c r="J911" s="37"/>
      <c r="K911" s="398" t="s">
        <v>1268</v>
      </c>
      <c r="L911" s="398" t="s">
        <v>639</v>
      </c>
      <c r="M911" s="399">
        <v>43073</v>
      </c>
      <c r="N911" s="399">
        <v>43086</v>
      </c>
      <c r="O911" s="382" t="s">
        <v>611</v>
      </c>
      <c r="P911" s="105"/>
      <c r="Q911" s="61" t="s">
        <v>1661</v>
      </c>
      <c r="R911" s="397" t="s">
        <v>187</v>
      </c>
      <c r="S911" s="316" t="s">
        <v>2908</v>
      </c>
      <c r="T911" s="848" t="s">
        <v>4105</v>
      </c>
      <c r="U911" s="421"/>
    </row>
    <row r="912" spans="1:21" s="377" customFormat="1" ht="20.100000000000001" customHeight="1">
      <c r="A912" s="1184" t="s">
        <v>2951</v>
      </c>
      <c r="B912" s="1183" t="s">
        <v>343</v>
      </c>
      <c r="C912" s="1183" t="s">
        <v>545</v>
      </c>
      <c r="D912" s="11">
        <f>D476+410+25</f>
        <v>685</v>
      </c>
      <c r="E912" s="11">
        <f>E476+690+50</f>
        <v>1140</v>
      </c>
      <c r="F912" s="11">
        <f>F476+690+50</f>
        <v>1040</v>
      </c>
      <c r="G912" s="707" t="s">
        <v>157</v>
      </c>
      <c r="H912" s="385" t="s">
        <v>1102</v>
      </c>
      <c r="I912" s="398" t="s">
        <v>130</v>
      </c>
      <c r="J912" s="37"/>
      <c r="K912" s="426">
        <v>23</v>
      </c>
      <c r="L912" s="398" t="s">
        <v>639</v>
      </c>
      <c r="M912" s="392">
        <v>43084</v>
      </c>
      <c r="N912" s="392">
        <v>43088</v>
      </c>
      <c r="O912" s="423" t="s">
        <v>601</v>
      </c>
      <c r="P912" s="61" t="s">
        <v>1942</v>
      </c>
      <c r="Q912" s="61" t="s">
        <v>902</v>
      </c>
      <c r="R912" s="424" t="s">
        <v>171</v>
      </c>
      <c r="S912" s="316" t="s">
        <v>2909</v>
      </c>
      <c r="T912" s="689"/>
      <c r="U912" s="421"/>
    </row>
    <row r="913" spans="1:21" s="377" customFormat="1" ht="20.100000000000001" customHeight="1">
      <c r="A913" s="1184" t="s">
        <v>2951</v>
      </c>
      <c r="B913" s="1183" t="s">
        <v>343</v>
      </c>
      <c r="C913" s="1183" t="s">
        <v>545</v>
      </c>
      <c r="D913" s="536">
        <f>D472+191+25</f>
        <v>216</v>
      </c>
      <c r="E913" s="536">
        <f>E472+363+50</f>
        <v>413</v>
      </c>
      <c r="F913" s="536">
        <f>F472+363+50</f>
        <v>413</v>
      </c>
      <c r="G913" s="707" t="s">
        <v>13</v>
      </c>
      <c r="H913" s="385" t="s">
        <v>721</v>
      </c>
      <c r="I913" s="398" t="s">
        <v>130</v>
      </c>
      <c r="J913" s="37"/>
      <c r="K913" s="398" t="s">
        <v>663</v>
      </c>
      <c r="L913" s="398" t="s">
        <v>639</v>
      </c>
      <c r="M913" s="404">
        <v>43040</v>
      </c>
      <c r="N913" s="404">
        <v>43100</v>
      </c>
      <c r="O913" s="423" t="s">
        <v>601</v>
      </c>
      <c r="P913" s="750"/>
      <c r="Q913" s="61" t="s">
        <v>3035</v>
      </c>
      <c r="R913" s="397" t="s">
        <v>173</v>
      </c>
      <c r="S913" s="316" t="s">
        <v>2906</v>
      </c>
      <c r="T913" s="689"/>
      <c r="U913" s="421"/>
    </row>
    <row r="914" spans="1:21" s="377" customFormat="1" ht="20.100000000000001" customHeight="1">
      <c r="A914" s="1184" t="s">
        <v>2951</v>
      </c>
      <c r="B914" s="1183" t="s">
        <v>343</v>
      </c>
      <c r="C914" s="1183" t="s">
        <v>545</v>
      </c>
      <c r="D914" s="32">
        <f>D475+(14277/60)*1.15</f>
        <v>273.64249999999998</v>
      </c>
      <c r="E914" s="32">
        <f>E475+(24298/60)*1.15</f>
        <v>465.71166666666659</v>
      </c>
      <c r="F914" s="32">
        <f>F475+(24298/60)*1.15</f>
        <v>465.71166666666659</v>
      </c>
      <c r="G914" s="67" t="s">
        <v>29</v>
      </c>
      <c r="H914" s="385" t="s">
        <v>1098</v>
      </c>
      <c r="I914" s="398" t="s">
        <v>130</v>
      </c>
      <c r="J914" s="37"/>
      <c r="K914" s="398" t="s">
        <v>1100</v>
      </c>
      <c r="L914" s="398" t="s">
        <v>652</v>
      </c>
      <c r="M914" s="404">
        <v>43038</v>
      </c>
      <c r="N914" s="404">
        <v>43086</v>
      </c>
      <c r="O914" s="422"/>
      <c r="P914" s="61"/>
      <c r="Q914" s="61" t="s">
        <v>3035</v>
      </c>
      <c r="R914" s="397" t="s">
        <v>173</v>
      </c>
      <c r="S914" s="316" t="s">
        <v>2898</v>
      </c>
      <c r="T914" s="689"/>
      <c r="U914" s="421"/>
    </row>
    <row r="915" spans="1:21" s="377" customFormat="1" ht="20.100000000000001" customHeight="1">
      <c r="A915" s="1184" t="s">
        <v>2951</v>
      </c>
      <c r="B915" s="1183" t="s">
        <v>343</v>
      </c>
      <c r="C915" s="1183" t="s">
        <v>545</v>
      </c>
      <c r="D915" s="2">
        <f>D555+(16304/60)*1.15</f>
        <v>787.49333333333334</v>
      </c>
      <c r="E915" s="2">
        <f>E555+(27455/60)*1.15</f>
        <v>1026.2208333333333</v>
      </c>
      <c r="F915" s="2">
        <f>F555+(27455/60)*1.15</f>
        <v>1026.2208333333333</v>
      </c>
      <c r="G915" s="707" t="s">
        <v>29</v>
      </c>
      <c r="H915" s="385" t="s">
        <v>659</v>
      </c>
      <c r="I915" s="426" t="s">
        <v>472</v>
      </c>
      <c r="J915" s="681"/>
      <c r="K915" s="386">
        <v>30</v>
      </c>
      <c r="L915" s="398" t="s">
        <v>639</v>
      </c>
      <c r="M915" s="404">
        <v>43082</v>
      </c>
      <c r="N915" s="404">
        <v>43086</v>
      </c>
      <c r="O915" s="422"/>
      <c r="P915" s="61" t="s">
        <v>599</v>
      </c>
      <c r="Q915" s="61" t="s">
        <v>934</v>
      </c>
      <c r="R915" s="397" t="s">
        <v>450</v>
      </c>
      <c r="S915" s="316" t="s">
        <v>2898</v>
      </c>
      <c r="T915" s="689"/>
      <c r="U915" s="421"/>
    </row>
    <row r="916" spans="1:21" s="377" customFormat="1" ht="20.100000000000001" customHeight="1">
      <c r="A916" s="1184" t="s">
        <v>2951</v>
      </c>
      <c r="B916" s="1183" t="s">
        <v>343</v>
      </c>
      <c r="C916" s="1183" t="s">
        <v>545</v>
      </c>
      <c r="D916" s="2">
        <f>D535+23050/60</f>
        <v>784.16666666666674</v>
      </c>
      <c r="E916" s="2">
        <f>E535+39900/60</f>
        <v>1115</v>
      </c>
      <c r="F916" s="2">
        <f>F535+39900/60</f>
        <v>1115</v>
      </c>
      <c r="G916" s="217" t="s">
        <v>51</v>
      </c>
      <c r="H916" s="403">
        <v>3</v>
      </c>
      <c r="I916" s="426" t="s">
        <v>472</v>
      </c>
      <c r="J916" s="681"/>
      <c r="K916" s="386" t="s">
        <v>2364</v>
      </c>
      <c r="L916" s="380" t="s">
        <v>639</v>
      </c>
      <c r="M916" s="381">
        <v>43084</v>
      </c>
      <c r="N916" s="381">
        <v>43089</v>
      </c>
      <c r="O916" s="422"/>
      <c r="P916" s="61" t="s">
        <v>597</v>
      </c>
      <c r="Q916" s="61" t="s">
        <v>902</v>
      </c>
      <c r="R916" s="397" t="s">
        <v>450</v>
      </c>
      <c r="S916" s="327" t="s">
        <v>3066</v>
      </c>
      <c r="T916" s="689"/>
      <c r="U916" s="421"/>
    </row>
    <row r="917" spans="1:21" s="377" customFormat="1" ht="20.100000000000001" customHeight="1">
      <c r="A917" s="1184" t="s">
        <v>2951</v>
      </c>
      <c r="B917" s="1183" t="s">
        <v>343</v>
      </c>
      <c r="C917" s="1183" t="s">
        <v>545</v>
      </c>
      <c r="D917" s="2">
        <f>D554+12790/60</f>
        <v>588.16666666666663</v>
      </c>
      <c r="E917" s="2">
        <f>E554+24056/60</f>
        <v>850.93333333333339</v>
      </c>
      <c r="F917" s="2">
        <f>F554+24056/60</f>
        <v>850.93333333333339</v>
      </c>
      <c r="G917" s="217" t="s">
        <v>2328</v>
      </c>
      <c r="H917" s="385" t="s">
        <v>725</v>
      </c>
      <c r="I917" s="398" t="s">
        <v>472</v>
      </c>
      <c r="J917" s="681"/>
      <c r="K917" s="386" t="s">
        <v>2341</v>
      </c>
      <c r="L917" s="379" t="s">
        <v>641</v>
      </c>
      <c r="M917" s="381">
        <v>43082</v>
      </c>
      <c r="N917" s="381">
        <v>43086</v>
      </c>
      <c r="O917" s="394" t="s">
        <v>1949</v>
      </c>
      <c r="P917" s="61"/>
      <c r="Q917" s="61" t="s">
        <v>2337</v>
      </c>
      <c r="R917" s="397" t="s">
        <v>826</v>
      </c>
      <c r="S917" s="336" t="s">
        <v>1176</v>
      </c>
      <c r="T917" s="323" t="s">
        <v>2935</v>
      </c>
      <c r="U917" s="421"/>
    </row>
    <row r="918" spans="1:21" s="377" customFormat="1" ht="20.100000000000001" customHeight="1">
      <c r="A918" s="1184" t="s">
        <v>2951</v>
      </c>
      <c r="B918" s="1183" t="s">
        <v>343</v>
      </c>
      <c r="C918" s="1183" t="s">
        <v>545</v>
      </c>
      <c r="D918" s="11">
        <f>D545+19851/60</f>
        <v>840.85</v>
      </c>
      <c r="E918" s="11">
        <f>E545+37972/60</f>
        <v>1352.8666666666668</v>
      </c>
      <c r="F918" s="11">
        <f>F545+37972/60</f>
        <v>1352.8666666666668</v>
      </c>
      <c r="G918" s="217" t="s">
        <v>10</v>
      </c>
      <c r="H918" s="385" t="s">
        <v>725</v>
      </c>
      <c r="I918" s="426" t="s">
        <v>472</v>
      </c>
      <c r="J918" s="681"/>
      <c r="K918" s="379" t="s">
        <v>680</v>
      </c>
      <c r="L918" s="379" t="s">
        <v>641</v>
      </c>
      <c r="M918" s="381">
        <v>43045</v>
      </c>
      <c r="N918" s="547">
        <v>43087</v>
      </c>
      <c r="O918" s="422"/>
      <c r="P918" s="677"/>
      <c r="Q918" s="61" t="s">
        <v>902</v>
      </c>
      <c r="R918" s="397" t="s">
        <v>836</v>
      </c>
      <c r="S918" s="316" t="s">
        <v>1176</v>
      </c>
      <c r="T918" s="689"/>
      <c r="U918" s="421"/>
    </row>
    <row r="919" spans="1:21" s="377" customFormat="1" ht="20.100000000000001" customHeight="1">
      <c r="A919" s="1184" t="s">
        <v>2951</v>
      </c>
      <c r="B919" s="1183" t="s">
        <v>343</v>
      </c>
      <c r="C919" s="1183" t="s">
        <v>545</v>
      </c>
      <c r="D919" s="2">
        <f>D546+15245/55</f>
        <v>712.18181818181824</v>
      </c>
      <c r="E919" s="2">
        <f>E546+26365/55</f>
        <v>989.36363636363637</v>
      </c>
      <c r="F919" s="2">
        <f>F546+26365/55</f>
        <v>989.36363636363637</v>
      </c>
      <c r="G919" s="707" t="s">
        <v>37</v>
      </c>
      <c r="H919" s="385">
        <v>5</v>
      </c>
      <c r="I919" s="426" t="s">
        <v>472</v>
      </c>
      <c r="J919" s="681"/>
      <c r="K919" s="386" t="s">
        <v>872</v>
      </c>
      <c r="L919" s="380" t="s">
        <v>649</v>
      </c>
      <c r="M919" s="392">
        <v>43063</v>
      </c>
      <c r="N919" s="392">
        <v>43080</v>
      </c>
      <c r="O919" s="419"/>
      <c r="P919" s="750"/>
      <c r="Q919" s="61" t="s">
        <v>927</v>
      </c>
      <c r="R919" s="397" t="s">
        <v>179</v>
      </c>
      <c r="S919" s="315" t="s">
        <v>2903</v>
      </c>
      <c r="T919" s="316"/>
      <c r="U919" s="421"/>
    </row>
    <row r="920" spans="1:21" s="377" customFormat="1" ht="20.100000000000001" customHeight="1">
      <c r="A920" s="1184" t="s">
        <v>2951</v>
      </c>
      <c r="B920" s="1183" t="s">
        <v>343</v>
      </c>
      <c r="C920" s="1183" t="s">
        <v>545</v>
      </c>
      <c r="D920" s="11">
        <f>D547+500+25</f>
        <v>775</v>
      </c>
      <c r="E920" s="2">
        <f>E547+830+50</f>
        <v>1330</v>
      </c>
      <c r="F920" s="2">
        <f>F547+830+50</f>
        <v>1280</v>
      </c>
      <c r="G920" s="707" t="s">
        <v>28</v>
      </c>
      <c r="H920" s="417">
        <v>5</v>
      </c>
      <c r="I920" s="426" t="s">
        <v>472</v>
      </c>
      <c r="J920" s="681"/>
      <c r="K920" s="386">
        <v>20</v>
      </c>
      <c r="L920" s="380" t="s">
        <v>649</v>
      </c>
      <c r="M920" s="392">
        <v>43084</v>
      </c>
      <c r="N920" s="392">
        <v>43088</v>
      </c>
      <c r="O920" s="422"/>
      <c r="P920" s="61" t="s">
        <v>1676</v>
      </c>
      <c r="Q920" s="61" t="s">
        <v>902</v>
      </c>
      <c r="R920" s="397" t="s">
        <v>504</v>
      </c>
      <c r="S920" s="316" t="s">
        <v>2909</v>
      </c>
      <c r="T920" s="689"/>
      <c r="U920" s="421"/>
    </row>
    <row r="921" spans="1:21" s="377" customFormat="1" ht="20.100000000000001" customHeight="1">
      <c r="A921" s="1184" t="s">
        <v>2951</v>
      </c>
      <c r="B921" s="1183" t="s">
        <v>343</v>
      </c>
      <c r="C921" s="1183" t="s">
        <v>545</v>
      </c>
      <c r="D921" s="536">
        <f>D548+27500/55</f>
        <v>900</v>
      </c>
      <c r="E921" s="536">
        <f>E548+47000/55</f>
        <v>1354.5454545454545</v>
      </c>
      <c r="F921" s="536">
        <f>F548+47000/55</f>
        <v>1354.5454545454545</v>
      </c>
      <c r="G921" s="707" t="s">
        <v>236</v>
      </c>
      <c r="H921" s="417" t="s">
        <v>721</v>
      </c>
      <c r="I921" s="386" t="s">
        <v>472</v>
      </c>
      <c r="J921" s="37"/>
      <c r="K921" s="398">
        <v>19</v>
      </c>
      <c r="L921" s="386" t="s">
        <v>641</v>
      </c>
      <c r="M921" s="399">
        <v>43064</v>
      </c>
      <c r="N921" s="399">
        <v>43086</v>
      </c>
      <c r="O921" s="423" t="s">
        <v>601</v>
      </c>
      <c r="P921" s="751"/>
      <c r="Q921" s="61" t="s">
        <v>934</v>
      </c>
      <c r="R921" s="424" t="s">
        <v>202</v>
      </c>
      <c r="S921" s="316"/>
      <c r="T921" s="689"/>
      <c r="U921" s="421"/>
    </row>
    <row r="922" spans="1:21" s="377" customFormat="1" ht="20.100000000000001" customHeight="1">
      <c r="A922" s="1184" t="s">
        <v>2951</v>
      </c>
      <c r="B922" s="1183" t="s">
        <v>343</v>
      </c>
      <c r="C922" s="1183" t="s">
        <v>545</v>
      </c>
      <c r="D922" s="2">
        <f>D549+26625/60</f>
        <v>793.75</v>
      </c>
      <c r="E922" s="2">
        <f>E549+47000/60</f>
        <v>1173.3333333333335</v>
      </c>
      <c r="F922" s="2">
        <f>F549+47000/60</f>
        <v>1173.3333333333335</v>
      </c>
      <c r="G922" s="707" t="s">
        <v>12</v>
      </c>
      <c r="H922" s="417" t="s">
        <v>721</v>
      </c>
      <c r="I922" s="426" t="s">
        <v>472</v>
      </c>
      <c r="J922" s="681"/>
      <c r="K922" s="386">
        <v>20</v>
      </c>
      <c r="L922" s="386" t="s">
        <v>650</v>
      </c>
      <c r="M922" s="551">
        <v>43084</v>
      </c>
      <c r="N922" s="551">
        <v>43091</v>
      </c>
      <c r="O922" s="419"/>
      <c r="P922" s="61" t="s">
        <v>597</v>
      </c>
      <c r="Q922" s="61" t="s">
        <v>932</v>
      </c>
      <c r="R922" s="397" t="s">
        <v>202</v>
      </c>
      <c r="S922" s="322" t="s">
        <v>1176</v>
      </c>
      <c r="T922" s="688" t="s">
        <v>2840</v>
      </c>
      <c r="U922" s="421"/>
    </row>
    <row r="923" spans="1:21" s="377" customFormat="1" ht="20.100000000000001" customHeight="1">
      <c r="A923" s="1184" t="s">
        <v>2951</v>
      </c>
      <c r="B923" s="1183" t="s">
        <v>343</v>
      </c>
      <c r="C923" s="1183" t="s">
        <v>546</v>
      </c>
      <c r="D923" s="32"/>
      <c r="E923" s="32"/>
      <c r="F923" s="32"/>
      <c r="G923" s="707" t="s">
        <v>37</v>
      </c>
      <c r="H923" s="378">
        <v>1</v>
      </c>
      <c r="I923" s="398" t="s">
        <v>93</v>
      </c>
      <c r="J923" s="37"/>
      <c r="K923" s="426">
        <v>22</v>
      </c>
      <c r="L923" s="379" t="s">
        <v>636</v>
      </c>
      <c r="M923" s="392">
        <v>43080</v>
      </c>
      <c r="N923" s="392">
        <v>43080</v>
      </c>
      <c r="O923" s="419"/>
      <c r="P923" s="61" t="s">
        <v>1933</v>
      </c>
      <c r="Q923" s="61" t="s">
        <v>927</v>
      </c>
      <c r="R923" s="397" t="s">
        <v>192</v>
      </c>
      <c r="S923" s="315" t="s">
        <v>2903</v>
      </c>
      <c r="T923" s="316"/>
      <c r="U923" s="421"/>
    </row>
    <row r="924" spans="1:21" s="377" customFormat="1" ht="20.100000000000001" customHeight="1">
      <c r="A924" s="1184" t="s">
        <v>2951</v>
      </c>
      <c r="B924" s="1183" t="s">
        <v>343</v>
      </c>
      <c r="C924" s="1183" t="s">
        <v>546</v>
      </c>
      <c r="D924" s="11">
        <f>D451+(14003/60)*1.15</f>
        <v>593.39083333333338</v>
      </c>
      <c r="E924" s="11">
        <f>E451+(22609/60)*1.15</f>
        <v>833.33916666666664</v>
      </c>
      <c r="F924" s="11">
        <f>F451+(22609/60)*1.15</f>
        <v>833.33916666666664</v>
      </c>
      <c r="G924" s="710" t="s">
        <v>29</v>
      </c>
      <c r="H924" s="385" t="s">
        <v>1101</v>
      </c>
      <c r="I924" s="386" t="s">
        <v>93</v>
      </c>
      <c r="J924" s="50"/>
      <c r="K924" s="398">
        <v>24</v>
      </c>
      <c r="L924" s="398" t="s">
        <v>649</v>
      </c>
      <c r="M924" s="404">
        <v>43080</v>
      </c>
      <c r="N924" s="404">
        <v>43086</v>
      </c>
      <c r="O924" s="422"/>
      <c r="P924" s="751" t="s">
        <v>1072</v>
      </c>
      <c r="Q924" s="61" t="s">
        <v>934</v>
      </c>
      <c r="R924" s="397" t="s">
        <v>251</v>
      </c>
      <c r="S924" s="316" t="s">
        <v>2898</v>
      </c>
      <c r="T924" s="689"/>
      <c r="U924" s="421"/>
    </row>
    <row r="925" spans="1:21" s="377" customFormat="1" ht="20.100000000000001" customHeight="1">
      <c r="A925" s="1184" t="s">
        <v>2951</v>
      </c>
      <c r="B925" s="1183" t="s">
        <v>343</v>
      </c>
      <c r="C925" s="1183" t="s">
        <v>546</v>
      </c>
      <c r="D925" s="536">
        <f>D459+14575/55</f>
        <v>625</v>
      </c>
      <c r="E925" s="536">
        <f>E459+24675/55</f>
        <v>833.63636363636363</v>
      </c>
      <c r="F925" s="536">
        <f>F459+24675/55</f>
        <v>833.63636363636363</v>
      </c>
      <c r="G925" s="707" t="s">
        <v>37</v>
      </c>
      <c r="H925" s="378">
        <v>1</v>
      </c>
      <c r="I925" s="398" t="s">
        <v>130</v>
      </c>
      <c r="J925" s="37"/>
      <c r="K925" s="426">
        <v>24</v>
      </c>
      <c r="L925" s="379" t="s">
        <v>636</v>
      </c>
      <c r="M925" s="392">
        <v>43080</v>
      </c>
      <c r="N925" s="392">
        <v>43080</v>
      </c>
      <c r="O925" s="419"/>
      <c r="P925" s="61" t="s">
        <v>907</v>
      </c>
      <c r="Q925" s="61" t="s">
        <v>927</v>
      </c>
      <c r="R925" s="397" t="s">
        <v>192</v>
      </c>
      <c r="S925" s="315" t="s">
        <v>2903</v>
      </c>
      <c r="T925" s="316"/>
      <c r="U925" s="421"/>
    </row>
    <row r="926" spans="1:21" s="377" customFormat="1" ht="20.100000000000001" customHeight="1">
      <c r="A926" s="1184" t="s">
        <v>2951</v>
      </c>
      <c r="B926" s="1183" t="s">
        <v>343</v>
      </c>
      <c r="C926" s="1183" t="s">
        <v>546</v>
      </c>
      <c r="D926" s="536">
        <f>D462+23250/60</f>
        <v>762.5</v>
      </c>
      <c r="E926" s="536">
        <f>E462+40100/60</f>
        <v>1083.3333333333335</v>
      </c>
      <c r="F926" s="536">
        <f>F462+40100/60</f>
        <v>1083.3333333333335</v>
      </c>
      <c r="G926" s="12" t="s">
        <v>12</v>
      </c>
      <c r="H926" s="417" t="s">
        <v>729</v>
      </c>
      <c r="I926" s="398" t="s">
        <v>130</v>
      </c>
      <c r="J926" s="37"/>
      <c r="K926" s="426">
        <v>24</v>
      </c>
      <c r="L926" s="379" t="s">
        <v>636</v>
      </c>
      <c r="M926" s="551">
        <v>43084</v>
      </c>
      <c r="N926" s="551">
        <v>43091</v>
      </c>
      <c r="O926" s="419"/>
      <c r="P926" s="61" t="s">
        <v>597</v>
      </c>
      <c r="Q926" s="61" t="s">
        <v>932</v>
      </c>
      <c r="R926" s="397" t="s">
        <v>271</v>
      </c>
      <c r="S926" s="322" t="s">
        <v>1176</v>
      </c>
      <c r="T926" s="688" t="s">
        <v>2840</v>
      </c>
      <c r="U926" s="421"/>
    </row>
    <row r="927" spans="1:21" s="377" customFormat="1" ht="20.100000000000001" customHeight="1">
      <c r="A927" s="1184" t="s">
        <v>2951</v>
      </c>
      <c r="B927" s="1183" t="s">
        <v>343</v>
      </c>
      <c r="C927" s="1183" t="s">
        <v>546</v>
      </c>
      <c r="D927" s="2">
        <f>D455+23700/55</f>
        <v>805.90909090909099</v>
      </c>
      <c r="E927" s="2">
        <f>E455+40500/55</f>
        <v>1136.3636363636365</v>
      </c>
      <c r="F927" s="2">
        <f>F455+40500/55</f>
        <v>1136.3636363636365</v>
      </c>
      <c r="G927" s="707" t="s">
        <v>232</v>
      </c>
      <c r="H927" s="417" t="s">
        <v>1358</v>
      </c>
      <c r="I927" s="380" t="s">
        <v>130</v>
      </c>
      <c r="J927" s="37"/>
      <c r="K927" s="398">
        <v>20</v>
      </c>
      <c r="L927" s="398" t="s">
        <v>639</v>
      </c>
      <c r="M927" s="399">
        <v>43064</v>
      </c>
      <c r="N927" s="399">
        <v>43086</v>
      </c>
      <c r="O927" s="423" t="s">
        <v>601</v>
      </c>
      <c r="P927" s="751" t="s">
        <v>1937</v>
      </c>
      <c r="Q927" s="61" t="s">
        <v>934</v>
      </c>
      <c r="R927" s="397" t="s">
        <v>171</v>
      </c>
      <c r="S927" s="316" t="s">
        <v>2910</v>
      </c>
      <c r="T927" s="689"/>
      <c r="U927" s="421"/>
    </row>
    <row r="928" spans="1:21" s="377" customFormat="1" ht="20.100000000000001" customHeight="1">
      <c r="A928" s="1184" t="s">
        <v>2951</v>
      </c>
      <c r="B928" s="1183" t="s">
        <v>343</v>
      </c>
      <c r="C928" s="1183" t="s">
        <v>546</v>
      </c>
      <c r="D928" s="2">
        <f>D467+414+25</f>
        <v>719</v>
      </c>
      <c r="E928" s="2">
        <f>E467+672+50</f>
        <v>1147</v>
      </c>
      <c r="F928" s="2">
        <f>F467+672+50</f>
        <v>1147</v>
      </c>
      <c r="G928" s="222" t="s">
        <v>14</v>
      </c>
      <c r="H928" s="385" t="s">
        <v>742</v>
      </c>
      <c r="I928" s="380" t="s">
        <v>130</v>
      </c>
      <c r="J928" s="37"/>
      <c r="K928" s="380" t="s">
        <v>727</v>
      </c>
      <c r="L928" s="386" t="s">
        <v>639</v>
      </c>
      <c r="M928" s="547">
        <v>43086</v>
      </c>
      <c r="N928" s="547">
        <v>43092</v>
      </c>
      <c r="O928" s="423"/>
      <c r="P928" s="751"/>
      <c r="Q928" s="61" t="s">
        <v>934</v>
      </c>
      <c r="R928" s="397" t="s">
        <v>171</v>
      </c>
      <c r="S928" s="316"/>
      <c r="T928" s="689"/>
      <c r="U928" s="421"/>
    </row>
    <row r="929" spans="1:21" s="377" customFormat="1" ht="20.100000000000001" customHeight="1">
      <c r="A929" s="1184" t="s">
        <v>2951</v>
      </c>
      <c r="B929" s="1183" t="s">
        <v>343</v>
      </c>
      <c r="C929" s="1183" t="s">
        <v>546</v>
      </c>
      <c r="D929" s="11">
        <f>D475+(10086/60)*1.15</f>
        <v>193.31499999999997</v>
      </c>
      <c r="E929" s="11">
        <f>E475+(19001/60)*1.15</f>
        <v>364.18583333333333</v>
      </c>
      <c r="F929" s="11">
        <f>F475+(19001/60)*1.15</f>
        <v>364.18583333333333</v>
      </c>
      <c r="G929" s="710" t="s">
        <v>29</v>
      </c>
      <c r="H929" s="385" t="s">
        <v>1098</v>
      </c>
      <c r="I929" s="398" t="s">
        <v>130</v>
      </c>
      <c r="J929" s="37"/>
      <c r="K929" s="398" t="s">
        <v>1100</v>
      </c>
      <c r="L929" s="398" t="s">
        <v>639</v>
      </c>
      <c r="M929" s="404">
        <v>43038</v>
      </c>
      <c r="N929" s="404">
        <v>43086</v>
      </c>
      <c r="O929" s="422"/>
      <c r="P929" s="61"/>
      <c r="Q929" s="61" t="s">
        <v>3035</v>
      </c>
      <c r="R929" s="397" t="s">
        <v>173</v>
      </c>
      <c r="S929" s="316" t="s">
        <v>2898</v>
      </c>
      <c r="T929" s="689"/>
      <c r="U929" s="421"/>
    </row>
    <row r="930" spans="1:21" s="377" customFormat="1" ht="20.100000000000001" customHeight="1">
      <c r="A930" s="1184" t="s">
        <v>2951</v>
      </c>
      <c r="B930" s="1183" t="s">
        <v>343</v>
      </c>
      <c r="C930" s="1183" t="s">
        <v>546</v>
      </c>
      <c r="D930" s="536">
        <f>D555+(16360/60)*1.15</f>
        <v>788.56666666666661</v>
      </c>
      <c r="E930" s="536">
        <f>E555+(28045/60)*1.15</f>
        <v>1037.5291666666667</v>
      </c>
      <c r="F930" s="536">
        <f>F555+(28045/60)*1.15</f>
        <v>1037.5291666666667</v>
      </c>
      <c r="G930" s="12" t="s">
        <v>29</v>
      </c>
      <c r="H930" s="385" t="s">
        <v>659</v>
      </c>
      <c r="I930" s="426" t="s">
        <v>472</v>
      </c>
      <c r="J930" s="681"/>
      <c r="K930" s="386">
        <v>33</v>
      </c>
      <c r="L930" s="398" t="s">
        <v>639</v>
      </c>
      <c r="M930" s="404">
        <v>43082</v>
      </c>
      <c r="N930" s="404">
        <v>43086</v>
      </c>
      <c r="O930" s="422"/>
      <c r="P930" s="61" t="s">
        <v>599</v>
      </c>
      <c r="Q930" s="61" t="s">
        <v>934</v>
      </c>
      <c r="R930" s="397" t="s">
        <v>450</v>
      </c>
      <c r="S930" s="316" t="s">
        <v>2898</v>
      </c>
      <c r="T930" s="689"/>
      <c r="U930" s="421"/>
    </row>
    <row r="931" spans="1:21" s="377" customFormat="1" ht="20.100000000000001" customHeight="1">
      <c r="A931" s="1184" t="s">
        <v>2951</v>
      </c>
      <c r="B931" s="1183" t="s">
        <v>343</v>
      </c>
      <c r="C931" s="1183" t="s">
        <v>546</v>
      </c>
      <c r="D931" s="536">
        <f>D546+15245/55</f>
        <v>712.18181818181824</v>
      </c>
      <c r="E931" s="536">
        <f>E546+26365/55</f>
        <v>989.36363636363637</v>
      </c>
      <c r="F931" s="536">
        <f>F546+26365/55</f>
        <v>989.36363636363637</v>
      </c>
      <c r="G931" s="707" t="s">
        <v>37</v>
      </c>
      <c r="H931" s="385">
        <v>5</v>
      </c>
      <c r="I931" s="426" t="s">
        <v>472</v>
      </c>
      <c r="J931" s="681"/>
      <c r="K931" s="386" t="s">
        <v>872</v>
      </c>
      <c r="L931" s="380" t="s">
        <v>649</v>
      </c>
      <c r="M931" s="392">
        <v>43063</v>
      </c>
      <c r="N931" s="392">
        <v>43080</v>
      </c>
      <c r="O931" s="419"/>
      <c r="P931" s="750"/>
      <c r="Q931" s="61" t="s">
        <v>927</v>
      </c>
      <c r="R931" s="397" t="s">
        <v>179</v>
      </c>
      <c r="S931" s="315" t="s">
        <v>2903</v>
      </c>
      <c r="T931" s="316"/>
      <c r="U931" s="421"/>
    </row>
    <row r="932" spans="1:21" s="377" customFormat="1" ht="20.100000000000001" customHeight="1">
      <c r="A932" s="1184" t="s">
        <v>2951</v>
      </c>
      <c r="B932" s="1183" t="s">
        <v>343</v>
      </c>
      <c r="C932" s="1183" t="s">
        <v>546</v>
      </c>
      <c r="D932" s="536">
        <f>D549+26625/60</f>
        <v>793.75</v>
      </c>
      <c r="E932" s="536">
        <f>E549+47000/60</f>
        <v>1173.3333333333335</v>
      </c>
      <c r="F932" s="536">
        <f>F549+47000/60</f>
        <v>1173.3333333333335</v>
      </c>
      <c r="G932" s="12" t="s">
        <v>12</v>
      </c>
      <c r="H932" s="417" t="s">
        <v>721</v>
      </c>
      <c r="I932" s="426" t="s">
        <v>472</v>
      </c>
      <c r="J932" s="681"/>
      <c r="K932" s="386">
        <v>20</v>
      </c>
      <c r="L932" s="386" t="s">
        <v>650</v>
      </c>
      <c r="M932" s="551">
        <v>43084</v>
      </c>
      <c r="N932" s="551">
        <v>43091</v>
      </c>
      <c r="O932" s="419"/>
      <c r="P932" s="61" t="s">
        <v>597</v>
      </c>
      <c r="Q932" s="61" t="s">
        <v>932</v>
      </c>
      <c r="R932" s="397" t="s">
        <v>202</v>
      </c>
      <c r="S932" s="322" t="s">
        <v>1176</v>
      </c>
      <c r="T932" s="688" t="s">
        <v>2840</v>
      </c>
      <c r="U932" s="421"/>
    </row>
    <row r="933" spans="1:21" s="377" customFormat="1" ht="20.100000000000001" customHeight="1">
      <c r="A933" s="741" t="s">
        <v>2951</v>
      </c>
      <c r="B933" s="445" t="s">
        <v>343</v>
      </c>
      <c r="C933" s="445" t="s">
        <v>478</v>
      </c>
      <c r="D933" s="11">
        <f>D435+649+25</f>
        <v>904</v>
      </c>
      <c r="E933" s="11">
        <f>E435+1326+50</f>
        <v>1701</v>
      </c>
      <c r="F933" s="11">
        <f>F435+1326+50</f>
        <v>1701</v>
      </c>
      <c r="G933" s="609" t="s">
        <v>14</v>
      </c>
      <c r="H933" s="56" t="s">
        <v>742</v>
      </c>
      <c r="I933" s="380" t="s">
        <v>93</v>
      </c>
      <c r="J933" s="37"/>
      <c r="K933" s="426" t="s">
        <v>2348</v>
      </c>
      <c r="L933" s="398" t="s">
        <v>652</v>
      </c>
      <c r="M933" s="547">
        <v>43086</v>
      </c>
      <c r="N933" s="547">
        <v>43092</v>
      </c>
      <c r="O933" s="422"/>
      <c r="P933" s="61" t="s">
        <v>605</v>
      </c>
      <c r="Q933" s="61" t="s">
        <v>934</v>
      </c>
      <c r="R933" s="17" t="s">
        <v>449</v>
      </c>
      <c r="S933" s="322" t="s">
        <v>1176</v>
      </c>
      <c r="T933" s="689"/>
      <c r="U933" s="421"/>
    </row>
    <row r="934" spans="1:21" s="377" customFormat="1" ht="20.100000000000001" customHeight="1">
      <c r="A934" s="1184" t="s">
        <v>1111</v>
      </c>
      <c r="B934" s="1183" t="s">
        <v>343</v>
      </c>
      <c r="C934" s="1183" t="s">
        <v>479</v>
      </c>
      <c r="D934" s="536">
        <f>D417+17372/55</f>
        <v>675.85454545454547</v>
      </c>
      <c r="E934" s="536">
        <f>E417+38446/55</f>
        <v>1084.0181818181818</v>
      </c>
      <c r="F934" s="536">
        <f>F417+38446/55</f>
        <v>1084.0181818181818</v>
      </c>
      <c r="G934" s="707" t="s">
        <v>37</v>
      </c>
      <c r="H934" s="378">
        <v>1</v>
      </c>
      <c r="I934" s="398" t="s">
        <v>93</v>
      </c>
      <c r="J934" s="37"/>
      <c r="K934" s="426">
        <v>22</v>
      </c>
      <c r="L934" s="379" t="s">
        <v>636</v>
      </c>
      <c r="M934" s="392">
        <v>43080</v>
      </c>
      <c r="N934" s="392">
        <v>43080</v>
      </c>
      <c r="O934" s="419"/>
      <c r="P934" s="61" t="s">
        <v>1933</v>
      </c>
      <c r="Q934" s="61" t="s">
        <v>927</v>
      </c>
      <c r="R934" s="397" t="s">
        <v>192</v>
      </c>
      <c r="S934" s="315" t="s">
        <v>2903</v>
      </c>
      <c r="T934" s="316"/>
      <c r="U934" s="421"/>
    </row>
    <row r="935" spans="1:21" s="377" customFormat="1" ht="20.100000000000001" customHeight="1">
      <c r="A935" s="1184" t="s">
        <v>2951</v>
      </c>
      <c r="B935" s="1183" t="s">
        <v>343</v>
      </c>
      <c r="C935" s="1183" t="s">
        <v>479</v>
      </c>
      <c r="D935" s="536">
        <f>D425+153+25</f>
        <v>603</v>
      </c>
      <c r="E935" s="536">
        <f>E425+274+50</f>
        <v>874</v>
      </c>
      <c r="F935" s="536">
        <f>F425+274+50</f>
        <v>874</v>
      </c>
      <c r="G935" s="707" t="s">
        <v>13</v>
      </c>
      <c r="H935" s="385" t="s">
        <v>729</v>
      </c>
      <c r="I935" s="426" t="s">
        <v>93</v>
      </c>
      <c r="J935" s="681"/>
      <c r="K935" s="426" t="s">
        <v>794</v>
      </c>
      <c r="L935" s="398" t="s">
        <v>649</v>
      </c>
      <c r="M935" s="404">
        <v>43070</v>
      </c>
      <c r="N935" s="404">
        <v>43100</v>
      </c>
      <c r="O935" s="423" t="s">
        <v>601</v>
      </c>
      <c r="P935" s="7" t="s">
        <v>1813</v>
      </c>
      <c r="Q935" s="61" t="s">
        <v>934</v>
      </c>
      <c r="R935" s="424" t="s">
        <v>251</v>
      </c>
      <c r="S935" s="316" t="s">
        <v>2906</v>
      </c>
      <c r="T935" s="689"/>
      <c r="U935" s="421"/>
    </row>
    <row r="936" spans="1:21" s="377" customFormat="1" ht="20.100000000000001" customHeight="1">
      <c r="A936" s="1184" t="s">
        <v>2951</v>
      </c>
      <c r="B936" s="1183" t="s">
        <v>343</v>
      </c>
      <c r="C936" s="1183" t="s">
        <v>479</v>
      </c>
      <c r="D936" s="536">
        <f>D451+(12767/60)*1.15</f>
        <v>569.70083333333332</v>
      </c>
      <c r="E936" s="536">
        <f>E451+(21246/60)*1.15</f>
        <v>807.21499999999992</v>
      </c>
      <c r="F936" s="536">
        <f>F451+(21246/60)*1.15</f>
        <v>807.21499999999992</v>
      </c>
      <c r="G936" s="710" t="s">
        <v>29</v>
      </c>
      <c r="H936" s="385" t="s">
        <v>1101</v>
      </c>
      <c r="I936" s="386" t="s">
        <v>93</v>
      </c>
      <c r="J936" s="681"/>
      <c r="K936" s="398">
        <v>24</v>
      </c>
      <c r="L936" s="398" t="s">
        <v>649</v>
      </c>
      <c r="M936" s="404">
        <v>43080</v>
      </c>
      <c r="N936" s="404">
        <v>43086</v>
      </c>
      <c r="O936" s="422"/>
      <c r="P936" s="751" t="s">
        <v>1072</v>
      </c>
      <c r="Q936" s="61" t="s">
        <v>934</v>
      </c>
      <c r="R936" s="397" t="s">
        <v>251</v>
      </c>
      <c r="S936" s="316" t="s">
        <v>2898</v>
      </c>
      <c r="T936" s="689"/>
      <c r="U936" s="421"/>
    </row>
    <row r="937" spans="1:21" s="377" customFormat="1" ht="20.100000000000001" customHeight="1">
      <c r="A937" s="1184" t="s">
        <v>2951</v>
      </c>
      <c r="B937" s="1183" t="s">
        <v>343</v>
      </c>
      <c r="C937" s="1183" t="s">
        <v>479</v>
      </c>
      <c r="D937" s="536">
        <f>D422+24241/55</f>
        <v>640.74545454545455</v>
      </c>
      <c r="E937" s="536">
        <f>E422+41999/55</f>
        <v>1013.6181818181818</v>
      </c>
      <c r="F937" s="536">
        <f>F422+41999/55</f>
        <v>1013.6181818181818</v>
      </c>
      <c r="G937" s="710" t="s">
        <v>87</v>
      </c>
      <c r="H937" s="390" t="s">
        <v>729</v>
      </c>
      <c r="I937" s="406" t="s">
        <v>93</v>
      </c>
      <c r="J937" s="50"/>
      <c r="K937" s="406">
        <v>22</v>
      </c>
      <c r="L937" s="398" t="s">
        <v>649</v>
      </c>
      <c r="M937" s="547">
        <v>43080</v>
      </c>
      <c r="N937" s="547">
        <v>43080</v>
      </c>
      <c r="O937" s="422"/>
      <c r="P937" s="59" t="s">
        <v>604</v>
      </c>
      <c r="Q937" s="61" t="s">
        <v>919</v>
      </c>
      <c r="R937" s="397" t="s">
        <v>251</v>
      </c>
      <c r="S937" s="322" t="s">
        <v>2861</v>
      </c>
      <c r="T937" s="689"/>
      <c r="U937" s="421"/>
    </row>
    <row r="938" spans="1:21" s="377" customFormat="1" ht="20.100000000000001" customHeight="1">
      <c r="A938" s="1184" t="s">
        <v>2951</v>
      </c>
      <c r="B938" s="1183" t="s">
        <v>343</v>
      </c>
      <c r="C938" s="1183" t="s">
        <v>479</v>
      </c>
      <c r="D938" s="536">
        <f>(D419+14166/60)+200</f>
        <v>711.1</v>
      </c>
      <c r="E938" s="536">
        <f>(E419+24836/60)+600</f>
        <v>1363.9333333333334</v>
      </c>
      <c r="F938" s="536">
        <f>(F419+24836/60)+600</f>
        <v>1363.9333333333334</v>
      </c>
      <c r="G938" s="217" t="s">
        <v>10</v>
      </c>
      <c r="H938" s="390" t="s">
        <v>633</v>
      </c>
      <c r="I938" s="380" t="s">
        <v>93</v>
      </c>
      <c r="J938" s="37"/>
      <c r="K938" s="426" t="s">
        <v>949</v>
      </c>
      <c r="L938" s="379" t="s">
        <v>637</v>
      </c>
      <c r="M938" s="381">
        <v>43087</v>
      </c>
      <c r="N938" s="381">
        <v>43087</v>
      </c>
      <c r="O938" s="422"/>
      <c r="P938" s="61" t="s">
        <v>913</v>
      </c>
      <c r="Q938" s="61" t="s">
        <v>902</v>
      </c>
      <c r="R938" s="397" t="s">
        <v>1015</v>
      </c>
      <c r="S938" s="315" t="s">
        <v>2904</v>
      </c>
      <c r="T938" s="689"/>
      <c r="U938" s="421"/>
    </row>
    <row r="939" spans="1:21" s="377" customFormat="1" ht="20.100000000000001" customHeight="1">
      <c r="A939" s="1184" t="s">
        <v>2951</v>
      </c>
      <c r="B939" s="1183" t="s">
        <v>343</v>
      </c>
      <c r="C939" s="1183" t="s">
        <v>479</v>
      </c>
      <c r="D939" s="536">
        <f>D435+309+25</f>
        <v>564</v>
      </c>
      <c r="E939" s="536">
        <f>E435+645+50</f>
        <v>1020</v>
      </c>
      <c r="F939" s="536">
        <f>F435+645+50</f>
        <v>1020</v>
      </c>
      <c r="G939" s="217" t="s">
        <v>2347</v>
      </c>
      <c r="H939" s="56" t="s">
        <v>742</v>
      </c>
      <c r="I939" s="380" t="s">
        <v>93</v>
      </c>
      <c r="J939" s="37"/>
      <c r="K939" s="426" t="s">
        <v>2348</v>
      </c>
      <c r="L939" s="398" t="s">
        <v>652</v>
      </c>
      <c r="M939" s="547">
        <v>43086</v>
      </c>
      <c r="N939" s="547">
        <v>43092</v>
      </c>
      <c r="O939" s="422"/>
      <c r="P939" s="61" t="s">
        <v>605</v>
      </c>
      <c r="Q939" s="61" t="s">
        <v>934</v>
      </c>
      <c r="R939" s="17" t="s">
        <v>449</v>
      </c>
      <c r="S939" s="322" t="s">
        <v>1176</v>
      </c>
      <c r="T939" s="689"/>
      <c r="U939" s="421"/>
    </row>
    <row r="940" spans="1:21" s="377" customFormat="1" ht="20.100000000000001" customHeight="1">
      <c r="A940" s="1184" t="s">
        <v>2951</v>
      </c>
      <c r="B940" s="1183" t="s">
        <v>343</v>
      </c>
      <c r="C940" s="1183" t="s">
        <v>479</v>
      </c>
      <c r="D940" s="536">
        <f>D421+23025/60</f>
        <v>613.75</v>
      </c>
      <c r="E940" s="536">
        <f>E421+41200/60</f>
        <v>836.66666666666663</v>
      </c>
      <c r="F940" s="536">
        <f>F421+41200/60</f>
        <v>836.66666666666663</v>
      </c>
      <c r="G940" s="707" t="s">
        <v>12</v>
      </c>
      <c r="H940" s="417" t="s">
        <v>651</v>
      </c>
      <c r="I940" s="380" t="s">
        <v>93</v>
      </c>
      <c r="J940" s="50"/>
      <c r="K940" s="380">
        <v>20</v>
      </c>
      <c r="L940" s="415" t="s">
        <v>637</v>
      </c>
      <c r="M940" s="551">
        <v>43084</v>
      </c>
      <c r="N940" s="551">
        <v>43091</v>
      </c>
      <c r="O940" s="419"/>
      <c r="P940" s="72" t="s">
        <v>1941</v>
      </c>
      <c r="Q940" s="61" t="s">
        <v>932</v>
      </c>
      <c r="R940" s="384" t="s">
        <v>1740</v>
      </c>
      <c r="S940" s="322" t="s">
        <v>1176</v>
      </c>
      <c r="T940" s="688" t="s">
        <v>2840</v>
      </c>
      <c r="U940" s="421"/>
    </row>
    <row r="941" spans="1:21" s="377" customFormat="1" ht="20.100000000000001" customHeight="1">
      <c r="A941" s="1184" t="s">
        <v>2951</v>
      </c>
      <c r="B941" s="1183" t="s">
        <v>343</v>
      </c>
      <c r="C941" s="1183" t="s">
        <v>479</v>
      </c>
      <c r="D941" s="536">
        <f>D759</f>
        <v>1425</v>
      </c>
      <c r="E941" s="536">
        <f>E759</f>
        <v>2000</v>
      </c>
      <c r="F941" s="536">
        <f>F759</f>
        <v>2000</v>
      </c>
      <c r="G941" s="217" t="s">
        <v>19</v>
      </c>
      <c r="H941" s="385" t="s">
        <v>742</v>
      </c>
      <c r="I941" s="398" t="s">
        <v>93</v>
      </c>
      <c r="J941" s="37"/>
      <c r="K941" s="398" t="s">
        <v>1260</v>
      </c>
      <c r="L941" s="398" t="s">
        <v>639</v>
      </c>
      <c r="M941" s="399">
        <v>43073</v>
      </c>
      <c r="N941" s="399">
        <v>43086</v>
      </c>
      <c r="O941" s="382" t="s">
        <v>611</v>
      </c>
      <c r="P941" s="61" t="s">
        <v>588</v>
      </c>
      <c r="Q941" s="61" t="s">
        <v>1661</v>
      </c>
      <c r="R941" s="397" t="s">
        <v>187</v>
      </c>
      <c r="S941" s="316" t="s">
        <v>2908</v>
      </c>
      <c r="T941" s="848" t="s">
        <v>4105</v>
      </c>
      <c r="U941" s="421"/>
    </row>
    <row r="942" spans="1:21" s="377" customFormat="1" ht="20.100000000000001" customHeight="1">
      <c r="A942" s="1184" t="s">
        <v>2951</v>
      </c>
      <c r="B942" s="1183" t="s">
        <v>343</v>
      </c>
      <c r="C942" s="1183" t="s">
        <v>479</v>
      </c>
      <c r="D942" s="536">
        <f>D440+14050/60</f>
        <v>484.16666666666663</v>
      </c>
      <c r="E942" s="536">
        <f>E440+30844/60</f>
        <v>764.06666666666672</v>
      </c>
      <c r="F942" s="536">
        <f>F440+30844/60</f>
        <v>764.06666666666672</v>
      </c>
      <c r="G942" s="656" t="s">
        <v>2328</v>
      </c>
      <c r="H942" s="385" t="s">
        <v>725</v>
      </c>
      <c r="I942" s="398" t="s">
        <v>93</v>
      </c>
      <c r="J942" s="37"/>
      <c r="K942" s="398" t="s">
        <v>2336</v>
      </c>
      <c r="L942" s="379" t="s">
        <v>641</v>
      </c>
      <c r="M942" s="381">
        <v>43082</v>
      </c>
      <c r="N942" s="381">
        <v>43086</v>
      </c>
      <c r="O942" s="394" t="s">
        <v>1949</v>
      </c>
      <c r="P942" s="72" t="s">
        <v>2285</v>
      </c>
      <c r="Q942" s="61" t="s">
        <v>2337</v>
      </c>
      <c r="R942" s="397" t="s">
        <v>826</v>
      </c>
      <c r="S942" s="336" t="s">
        <v>1176</v>
      </c>
      <c r="T942" s="323" t="s">
        <v>2935</v>
      </c>
      <c r="U942" s="421"/>
    </row>
    <row r="943" spans="1:21" s="377" customFormat="1" ht="20.100000000000001" customHeight="1">
      <c r="A943" s="1184" t="s">
        <v>2951</v>
      </c>
      <c r="B943" s="1183" t="s">
        <v>343</v>
      </c>
      <c r="C943" s="1183" t="s">
        <v>479</v>
      </c>
      <c r="D943" s="536">
        <f>D450+262+25</f>
        <v>1237</v>
      </c>
      <c r="E943" s="536">
        <f>E450+401+50</f>
        <v>2001</v>
      </c>
      <c r="F943" s="536">
        <f>F450+401+50</f>
        <v>2001</v>
      </c>
      <c r="G943" s="217" t="s">
        <v>22</v>
      </c>
      <c r="H943" s="401" t="s">
        <v>706</v>
      </c>
      <c r="I943" s="426" t="s">
        <v>93</v>
      </c>
      <c r="J943" s="681"/>
      <c r="K943" s="386">
        <v>23</v>
      </c>
      <c r="L943" s="379" t="s">
        <v>643</v>
      </c>
      <c r="M943" s="392">
        <v>42962</v>
      </c>
      <c r="N943" s="392">
        <v>43100</v>
      </c>
      <c r="O943" s="422"/>
      <c r="P943" s="61" t="s">
        <v>588</v>
      </c>
      <c r="Q943" s="61" t="s">
        <v>919</v>
      </c>
      <c r="R943" s="397" t="s">
        <v>1783</v>
      </c>
      <c r="S943" s="316" t="s">
        <v>1176</v>
      </c>
      <c r="T943" s="689"/>
      <c r="U943" s="421"/>
    </row>
    <row r="944" spans="1:21" s="377" customFormat="1" ht="20.100000000000001" customHeight="1">
      <c r="A944" s="741" t="s">
        <v>2949</v>
      </c>
      <c r="B944" s="445" t="s">
        <v>2331</v>
      </c>
      <c r="C944" s="445" t="s">
        <v>2339</v>
      </c>
      <c r="D944" s="536">
        <f>D554+20373/60</f>
        <v>714.55</v>
      </c>
      <c r="E944" s="536">
        <f>E554+42812/60</f>
        <v>1163.5333333333333</v>
      </c>
      <c r="F944" s="536">
        <f>F554+42812/60</f>
        <v>1163.5333333333333</v>
      </c>
      <c r="G944" s="217" t="s">
        <v>2328</v>
      </c>
      <c r="H944" s="385" t="s">
        <v>725</v>
      </c>
      <c r="I944" s="398" t="s">
        <v>472</v>
      </c>
      <c r="J944" s="681"/>
      <c r="K944" s="386" t="s">
        <v>2341</v>
      </c>
      <c r="L944" s="379" t="s">
        <v>641</v>
      </c>
      <c r="M944" s="381">
        <v>43082</v>
      </c>
      <c r="N944" s="381">
        <v>43086</v>
      </c>
      <c r="O944" s="394" t="s">
        <v>1949</v>
      </c>
      <c r="P944" s="61"/>
      <c r="Q944" s="61" t="s">
        <v>2337</v>
      </c>
      <c r="R944" s="397" t="s">
        <v>826</v>
      </c>
      <c r="S944" s="336" t="s">
        <v>1176</v>
      </c>
      <c r="T944" s="323" t="s">
        <v>2935</v>
      </c>
      <c r="U944" s="421"/>
    </row>
    <row r="945" spans="1:21" s="377" customFormat="1" ht="20.100000000000001" customHeight="1">
      <c r="A945" s="1184" t="s">
        <v>2951</v>
      </c>
      <c r="B945" s="1183" t="s">
        <v>343</v>
      </c>
      <c r="C945" s="1183" t="s">
        <v>547</v>
      </c>
      <c r="D945" s="536">
        <f>D422+32193/55</f>
        <v>785.32727272727277</v>
      </c>
      <c r="E945" s="536">
        <f>E422+51489/55</f>
        <v>1186.1636363636362</v>
      </c>
      <c r="F945" s="536">
        <f>F422+51489/55</f>
        <v>1186.1636363636362</v>
      </c>
      <c r="G945" s="710" t="s">
        <v>87</v>
      </c>
      <c r="H945" s="390" t="s">
        <v>729</v>
      </c>
      <c r="I945" s="406" t="s">
        <v>93</v>
      </c>
      <c r="J945" s="50"/>
      <c r="K945" s="406">
        <v>22</v>
      </c>
      <c r="L945" s="398" t="s">
        <v>649</v>
      </c>
      <c r="M945" s="547">
        <v>43080</v>
      </c>
      <c r="N945" s="547">
        <v>43080</v>
      </c>
      <c r="O945" s="422"/>
      <c r="P945" s="59" t="s">
        <v>604</v>
      </c>
      <c r="Q945" s="61" t="s">
        <v>1355</v>
      </c>
      <c r="R945" s="397" t="s">
        <v>251</v>
      </c>
      <c r="S945" s="322" t="s">
        <v>2861</v>
      </c>
      <c r="T945" s="689"/>
      <c r="U945" s="421"/>
    </row>
    <row r="946" spans="1:21" s="377" customFormat="1" ht="20.100000000000001" customHeight="1">
      <c r="A946" s="1184" t="s">
        <v>2951</v>
      </c>
      <c r="B946" s="1183" t="s">
        <v>343</v>
      </c>
      <c r="C946" s="1183" t="s">
        <v>547</v>
      </c>
      <c r="D946" s="13">
        <f>D417+24122/55</f>
        <v>798.58181818181811</v>
      </c>
      <c r="E946" s="528"/>
      <c r="F946" s="13">
        <f>F417+34846/55</f>
        <v>1018.5636363636364</v>
      </c>
      <c r="G946" s="705" t="s">
        <v>37</v>
      </c>
      <c r="H946" s="378">
        <v>1</v>
      </c>
      <c r="I946" s="398" t="s">
        <v>93</v>
      </c>
      <c r="J946" s="37"/>
      <c r="K946" s="426">
        <v>22</v>
      </c>
      <c r="L946" s="379" t="s">
        <v>636</v>
      </c>
      <c r="M946" s="392">
        <v>43080</v>
      </c>
      <c r="N946" s="392">
        <v>43080</v>
      </c>
      <c r="O946" s="419"/>
      <c r="P946" s="61" t="s">
        <v>1933</v>
      </c>
      <c r="Q946" s="61" t="s">
        <v>927</v>
      </c>
      <c r="R946" s="397" t="s">
        <v>192</v>
      </c>
      <c r="S946" s="315" t="s">
        <v>2903</v>
      </c>
      <c r="T946" s="316"/>
      <c r="U946" s="421"/>
    </row>
    <row r="947" spans="1:21" s="377" customFormat="1" ht="20.100000000000001" customHeight="1">
      <c r="A947" s="1184" t="s">
        <v>2951</v>
      </c>
      <c r="B947" s="1183" t="s">
        <v>343</v>
      </c>
      <c r="C947" s="1183" t="s">
        <v>547</v>
      </c>
      <c r="D947" s="13">
        <f>D455+23700/60</f>
        <v>770</v>
      </c>
      <c r="E947" s="13">
        <f>E455+39000/60</f>
        <v>1050</v>
      </c>
      <c r="F947" s="13">
        <f>F455+39000/60</f>
        <v>1050</v>
      </c>
      <c r="G947" s="705" t="s">
        <v>232</v>
      </c>
      <c r="H947" s="425" t="s">
        <v>656</v>
      </c>
      <c r="I947" s="398" t="s">
        <v>93</v>
      </c>
      <c r="J947" s="37"/>
      <c r="K947" s="398">
        <v>21</v>
      </c>
      <c r="L947" s="386" t="s">
        <v>1871</v>
      </c>
      <c r="M947" s="399">
        <v>43064</v>
      </c>
      <c r="N947" s="399">
        <v>43086</v>
      </c>
      <c r="O947" s="423" t="s">
        <v>601</v>
      </c>
      <c r="P947" s="751" t="s">
        <v>1937</v>
      </c>
      <c r="Q947" s="61" t="s">
        <v>934</v>
      </c>
      <c r="R947" s="424" t="s">
        <v>1870</v>
      </c>
      <c r="S947" s="315" t="s">
        <v>2907</v>
      </c>
      <c r="T947" s="689"/>
      <c r="U947" s="421"/>
    </row>
    <row r="948" spans="1:21" s="377" customFormat="1" ht="20.100000000000001" customHeight="1">
      <c r="A948" s="1184" t="s">
        <v>1111</v>
      </c>
      <c r="B948" s="1183" t="s">
        <v>1122</v>
      </c>
      <c r="C948" s="1183" t="s">
        <v>929</v>
      </c>
      <c r="D948" s="62">
        <f>D417+34933/55</f>
        <v>995.14545454545453</v>
      </c>
      <c r="E948" s="62">
        <f>E417+37165/55</f>
        <v>1060.7272727272727</v>
      </c>
      <c r="F948" s="62">
        <f>F417+37165/55</f>
        <v>1060.7272727272727</v>
      </c>
      <c r="G948" s="707" t="s">
        <v>37</v>
      </c>
      <c r="H948" s="378">
        <v>1</v>
      </c>
      <c r="I948" s="398" t="s">
        <v>93</v>
      </c>
      <c r="J948" s="681"/>
      <c r="K948" s="426">
        <v>22</v>
      </c>
      <c r="L948" s="379" t="s">
        <v>636</v>
      </c>
      <c r="M948" s="392">
        <v>43080</v>
      </c>
      <c r="N948" s="392">
        <v>43080</v>
      </c>
      <c r="O948" s="419"/>
      <c r="P948" s="61" t="s">
        <v>1933</v>
      </c>
      <c r="Q948" s="61" t="s">
        <v>733</v>
      </c>
      <c r="R948" s="397" t="s">
        <v>192</v>
      </c>
      <c r="S948" s="315" t="s">
        <v>2903</v>
      </c>
      <c r="T948" s="316"/>
      <c r="U948" s="421"/>
    </row>
    <row r="949" spans="1:21" s="377" customFormat="1" ht="20.100000000000001" customHeight="1">
      <c r="A949" s="1184" t="s">
        <v>2951</v>
      </c>
      <c r="B949" s="1183" t="s">
        <v>343</v>
      </c>
      <c r="C949" s="1183" t="s">
        <v>929</v>
      </c>
      <c r="D949" s="32"/>
      <c r="E949" s="32"/>
      <c r="F949" s="32"/>
      <c r="G949" s="710" t="s">
        <v>87</v>
      </c>
      <c r="H949" s="390" t="s">
        <v>729</v>
      </c>
      <c r="I949" s="406" t="s">
        <v>93</v>
      </c>
      <c r="J949" s="50"/>
      <c r="K949" s="406">
        <v>22</v>
      </c>
      <c r="L949" s="398" t="s">
        <v>649</v>
      </c>
      <c r="M949" s="547">
        <v>43080</v>
      </c>
      <c r="N949" s="547">
        <v>43080</v>
      </c>
      <c r="O949" s="422"/>
      <c r="P949" s="59" t="s">
        <v>604</v>
      </c>
      <c r="Q949" s="61" t="s">
        <v>919</v>
      </c>
      <c r="R949" s="397" t="s">
        <v>251</v>
      </c>
      <c r="S949" s="322" t="s">
        <v>2861</v>
      </c>
      <c r="T949" s="689"/>
      <c r="U949" s="421"/>
    </row>
    <row r="950" spans="1:21" s="377" customFormat="1" ht="20.100000000000001" customHeight="1">
      <c r="A950" s="1184" t="s">
        <v>2951</v>
      </c>
      <c r="B950" s="1183" t="s">
        <v>343</v>
      </c>
      <c r="C950" s="1183" t="s">
        <v>929</v>
      </c>
      <c r="D950" s="62">
        <f>D450+17+25</f>
        <v>992</v>
      </c>
      <c r="E950" s="62">
        <f>E450+34+50</f>
        <v>1634</v>
      </c>
      <c r="F950" s="62">
        <f>F450+34+50</f>
        <v>1634</v>
      </c>
      <c r="G950" s="217" t="s">
        <v>85</v>
      </c>
      <c r="H950" s="401" t="s">
        <v>706</v>
      </c>
      <c r="I950" s="426" t="s">
        <v>93</v>
      </c>
      <c r="J950" s="681"/>
      <c r="K950" s="386">
        <v>23</v>
      </c>
      <c r="L950" s="379" t="s">
        <v>643</v>
      </c>
      <c r="M950" s="392">
        <v>42962</v>
      </c>
      <c r="N950" s="392">
        <v>43100</v>
      </c>
      <c r="O950" s="422"/>
      <c r="P950" s="61" t="s">
        <v>588</v>
      </c>
      <c r="Q950" s="761" t="s">
        <v>495</v>
      </c>
      <c r="R950" s="397" t="s">
        <v>1783</v>
      </c>
      <c r="S950" s="316" t="s">
        <v>1176</v>
      </c>
      <c r="T950" s="689"/>
      <c r="U950" s="421"/>
    </row>
    <row r="951" spans="1:21" s="377" customFormat="1" ht="20.100000000000001" customHeight="1">
      <c r="A951" s="741" t="s">
        <v>2949</v>
      </c>
      <c r="B951" s="445" t="s">
        <v>1123</v>
      </c>
      <c r="C951" s="445" t="s">
        <v>1125</v>
      </c>
      <c r="D951" s="62">
        <f>D450+17+25</f>
        <v>992</v>
      </c>
      <c r="E951" s="62">
        <f>E450+34+50</f>
        <v>1634</v>
      </c>
      <c r="F951" s="62">
        <f>F450+34+50</f>
        <v>1634</v>
      </c>
      <c r="G951" s="217" t="s">
        <v>22</v>
      </c>
      <c r="H951" s="401" t="s">
        <v>706</v>
      </c>
      <c r="I951" s="426" t="s">
        <v>93</v>
      </c>
      <c r="J951" s="681"/>
      <c r="K951" s="386">
        <v>23</v>
      </c>
      <c r="L951" s="379" t="s">
        <v>643</v>
      </c>
      <c r="M951" s="392">
        <v>42962</v>
      </c>
      <c r="N951" s="392">
        <v>43100</v>
      </c>
      <c r="O951" s="422"/>
      <c r="P951" s="61" t="s">
        <v>588</v>
      </c>
      <c r="Q951" s="761" t="s">
        <v>1132</v>
      </c>
      <c r="R951" s="397" t="s">
        <v>1783</v>
      </c>
      <c r="S951" s="316" t="s">
        <v>1176</v>
      </c>
      <c r="T951" s="689"/>
      <c r="U951" s="421"/>
    </row>
    <row r="952" spans="1:21" s="377" customFormat="1" ht="20.100000000000001" customHeight="1">
      <c r="A952" s="1184" t="s">
        <v>1111</v>
      </c>
      <c r="B952" s="1183" t="s">
        <v>343</v>
      </c>
      <c r="C952" s="1184" t="s">
        <v>407</v>
      </c>
      <c r="D952" s="13">
        <f>D486+23979/55</f>
        <v>1045.9818181818182</v>
      </c>
      <c r="E952" s="13">
        <f>E486+43812/55</f>
        <v>1611.5818181818181</v>
      </c>
      <c r="F952" s="13">
        <f>F486+43812/55</f>
        <v>1611.5818181818181</v>
      </c>
      <c r="G952" s="705" t="s">
        <v>102</v>
      </c>
      <c r="H952" s="385" t="s">
        <v>742</v>
      </c>
      <c r="I952" s="398" t="s">
        <v>129</v>
      </c>
      <c r="J952" s="37"/>
      <c r="K952" s="682" t="s">
        <v>3492</v>
      </c>
      <c r="L952" s="386" t="s">
        <v>636</v>
      </c>
      <c r="M952" s="392">
        <v>43067</v>
      </c>
      <c r="N952" s="392">
        <v>43080</v>
      </c>
      <c r="O952" s="419"/>
      <c r="P952" s="61" t="s">
        <v>1934</v>
      </c>
      <c r="Q952" s="61" t="s">
        <v>930</v>
      </c>
      <c r="R952" s="49" t="s">
        <v>1454</v>
      </c>
      <c r="S952" s="316" t="s">
        <v>2913</v>
      </c>
      <c r="T952" s="316"/>
      <c r="U952" s="421"/>
    </row>
    <row r="953" spans="1:21" s="377" customFormat="1" ht="20.100000000000001" customHeight="1">
      <c r="A953" s="1184" t="s">
        <v>1111</v>
      </c>
      <c r="B953" s="1183" t="s">
        <v>343</v>
      </c>
      <c r="C953" s="1183" t="s">
        <v>407</v>
      </c>
      <c r="D953" s="13">
        <f>D490+448+25</f>
        <v>773</v>
      </c>
      <c r="E953" s="13">
        <f>E490+773+50</f>
        <v>1323</v>
      </c>
      <c r="F953" s="13">
        <f>F490+773+50</f>
        <v>1323</v>
      </c>
      <c r="G953" s="222" t="s">
        <v>2347</v>
      </c>
      <c r="H953" s="56" t="s">
        <v>742</v>
      </c>
      <c r="I953" s="398" t="s">
        <v>129</v>
      </c>
      <c r="J953" s="37"/>
      <c r="K953" s="428" t="s">
        <v>2351</v>
      </c>
      <c r="L953" s="398" t="s">
        <v>652</v>
      </c>
      <c r="M953" s="547">
        <v>43071</v>
      </c>
      <c r="N953" s="547">
        <v>43092</v>
      </c>
      <c r="O953" s="419"/>
      <c r="P953" s="61" t="s">
        <v>964</v>
      </c>
      <c r="Q953" s="61" t="s">
        <v>934</v>
      </c>
      <c r="R953" s="17" t="s">
        <v>449</v>
      </c>
      <c r="S953" s="316"/>
      <c r="T953" s="316"/>
      <c r="U953" s="421"/>
    </row>
    <row r="954" spans="1:21" s="377" customFormat="1" ht="20.100000000000001" customHeight="1">
      <c r="A954" s="1184" t="s">
        <v>2951</v>
      </c>
      <c r="B954" s="1183" t="s">
        <v>343</v>
      </c>
      <c r="C954" s="1183" t="s">
        <v>407</v>
      </c>
      <c r="D954" s="11">
        <f>D485+17450/55</f>
        <v>617.27272727272725</v>
      </c>
      <c r="E954" s="11">
        <f>E485+31800/55</f>
        <v>928.18181818181813</v>
      </c>
      <c r="F954" s="11">
        <f>F485+31800/55</f>
        <v>928.18181818181813</v>
      </c>
      <c r="G954" s="67" t="s">
        <v>87</v>
      </c>
      <c r="H954" s="385" t="s">
        <v>742</v>
      </c>
      <c r="I954" s="379" t="s">
        <v>129</v>
      </c>
      <c r="J954" s="50"/>
      <c r="K954" s="429">
        <v>18</v>
      </c>
      <c r="L954" s="386" t="s">
        <v>636</v>
      </c>
      <c r="M954" s="547">
        <v>43081</v>
      </c>
      <c r="N954" s="547">
        <v>43081</v>
      </c>
      <c r="O954" s="422"/>
      <c r="P954" s="59" t="s">
        <v>604</v>
      </c>
      <c r="Q954" s="61" t="s">
        <v>934</v>
      </c>
      <c r="R954" s="384" t="s">
        <v>1523</v>
      </c>
      <c r="S954" s="322" t="s">
        <v>2861</v>
      </c>
      <c r="T954" s="689"/>
      <c r="U954" s="421"/>
    </row>
    <row r="955" spans="1:21" s="377" customFormat="1" ht="20.100000000000001" customHeight="1">
      <c r="A955" s="1184" t="s">
        <v>2951</v>
      </c>
      <c r="B955" s="1183" t="s">
        <v>343</v>
      </c>
      <c r="C955" s="1183" t="s">
        <v>407</v>
      </c>
      <c r="D955" s="11">
        <f>D505+430+25</f>
        <v>1305</v>
      </c>
      <c r="E955" s="11">
        <f>E505+850+50</f>
        <v>1900</v>
      </c>
      <c r="F955" s="11">
        <f>F505+850+50</f>
        <v>1800</v>
      </c>
      <c r="G955" s="12" t="s">
        <v>157</v>
      </c>
      <c r="H955" s="417" t="s">
        <v>742</v>
      </c>
      <c r="I955" s="380" t="s">
        <v>129</v>
      </c>
      <c r="J955" s="50"/>
      <c r="K955" s="426" t="s">
        <v>688</v>
      </c>
      <c r="L955" s="398" t="s">
        <v>639</v>
      </c>
      <c r="M955" s="392">
        <v>43084</v>
      </c>
      <c r="N955" s="392">
        <v>43088</v>
      </c>
      <c r="O955" s="423" t="s">
        <v>601</v>
      </c>
      <c r="P955" s="61" t="s">
        <v>1942</v>
      </c>
      <c r="Q955" s="61" t="s">
        <v>902</v>
      </c>
      <c r="R955" s="424" t="s">
        <v>171</v>
      </c>
      <c r="S955" s="316" t="s">
        <v>2909</v>
      </c>
      <c r="T955" s="689"/>
      <c r="U955" s="421"/>
    </row>
    <row r="956" spans="1:21" s="377" customFormat="1" ht="20.100000000000001" customHeight="1">
      <c r="A956" s="1184" t="s">
        <v>2951</v>
      </c>
      <c r="B956" s="1183" t="s">
        <v>343</v>
      </c>
      <c r="C956" s="1183" t="s">
        <v>407</v>
      </c>
      <c r="D956" s="13">
        <f>(D488+18318/60)+100</f>
        <v>655.29999999999995</v>
      </c>
      <c r="E956" s="13">
        <f>(E488+28190/60)+200</f>
        <v>969.83333333333326</v>
      </c>
      <c r="F956" s="13">
        <f>(F488+28190/60)+200</f>
        <v>969.83333333333326</v>
      </c>
      <c r="G956" s="217" t="s">
        <v>10</v>
      </c>
      <c r="H956" s="385" t="s">
        <v>742</v>
      </c>
      <c r="I956" s="398" t="s">
        <v>129</v>
      </c>
      <c r="J956" s="37"/>
      <c r="K956" s="428" t="s">
        <v>1691</v>
      </c>
      <c r="L956" s="386" t="s">
        <v>636</v>
      </c>
      <c r="M956" s="381">
        <v>43074</v>
      </c>
      <c r="N956" s="547">
        <v>43087</v>
      </c>
      <c r="O956" s="422"/>
      <c r="P956" s="59" t="s">
        <v>1690</v>
      </c>
      <c r="Q956" s="61" t="s">
        <v>950</v>
      </c>
      <c r="R956" s="384" t="s">
        <v>2286</v>
      </c>
      <c r="S956" s="315" t="s">
        <v>2904</v>
      </c>
      <c r="T956" s="689"/>
      <c r="U956" s="421"/>
    </row>
    <row r="957" spans="1:21" s="377" customFormat="1" ht="20.100000000000001" customHeight="1">
      <c r="A957" s="1184" t="s">
        <v>2951</v>
      </c>
      <c r="B957" s="1183" t="s">
        <v>343</v>
      </c>
      <c r="C957" s="1183" t="s">
        <v>407</v>
      </c>
      <c r="D957" s="13">
        <f>D502+21100/60</f>
        <v>601.66666666666674</v>
      </c>
      <c r="E957" s="13">
        <f>E502+52200/60</f>
        <v>1160</v>
      </c>
      <c r="F957" s="13">
        <f>F502+52200/60</f>
        <v>1160</v>
      </c>
      <c r="G957" s="67" t="s">
        <v>432</v>
      </c>
      <c r="H957" s="385" t="s">
        <v>742</v>
      </c>
      <c r="I957" s="398" t="s">
        <v>129</v>
      </c>
      <c r="J957" s="37"/>
      <c r="K957" s="398" t="s">
        <v>1013</v>
      </c>
      <c r="L957" s="386" t="s">
        <v>636</v>
      </c>
      <c r="M957" s="547">
        <v>43074</v>
      </c>
      <c r="N957" s="547">
        <v>43089</v>
      </c>
      <c r="O957" s="422"/>
      <c r="P957" s="61" t="s">
        <v>605</v>
      </c>
      <c r="Q957" s="61" t="s">
        <v>902</v>
      </c>
      <c r="R957" s="397" t="s">
        <v>173</v>
      </c>
      <c r="S957" s="319" t="s">
        <v>1177</v>
      </c>
      <c r="T957" s="689"/>
      <c r="U957" s="421"/>
    </row>
    <row r="958" spans="1:21" s="377" customFormat="1" ht="20.100000000000001" customHeight="1">
      <c r="A958" s="1184" t="s">
        <v>2951</v>
      </c>
      <c r="B958" s="1183" t="s">
        <v>343</v>
      </c>
      <c r="C958" s="1183" t="s">
        <v>407</v>
      </c>
      <c r="D958" s="13">
        <f>D492+23600/60</f>
        <v>693.33333333333326</v>
      </c>
      <c r="E958" s="13">
        <f>E492+40900/60</f>
        <v>1031.6666666666665</v>
      </c>
      <c r="F958" s="13">
        <f>F492+40900/60</f>
        <v>1031.6666666666665</v>
      </c>
      <c r="G958" s="705" t="s">
        <v>233</v>
      </c>
      <c r="H958" s="385" t="s">
        <v>1135</v>
      </c>
      <c r="I958" s="398" t="s">
        <v>129</v>
      </c>
      <c r="J958" s="37"/>
      <c r="K958" s="398">
        <v>16</v>
      </c>
      <c r="L958" s="386" t="s">
        <v>650</v>
      </c>
      <c r="M958" s="399">
        <v>43075</v>
      </c>
      <c r="N958" s="399">
        <v>43086</v>
      </c>
      <c r="O958" s="423" t="s">
        <v>601</v>
      </c>
      <c r="P958" s="751" t="s">
        <v>592</v>
      </c>
      <c r="Q958" s="61" t="s">
        <v>934</v>
      </c>
      <c r="R958" s="397" t="s">
        <v>247</v>
      </c>
      <c r="S958" s="316"/>
      <c r="T958" s="689"/>
      <c r="U958" s="421"/>
    </row>
    <row r="959" spans="1:21" s="377" customFormat="1" ht="20.100000000000001" customHeight="1">
      <c r="A959" s="1184" t="s">
        <v>2951</v>
      </c>
      <c r="B959" s="1183" t="s">
        <v>343</v>
      </c>
      <c r="C959" s="1183" t="s">
        <v>407</v>
      </c>
      <c r="D959" s="527">
        <f>D495+29150/60</f>
        <v>810.83333333333326</v>
      </c>
      <c r="E959" s="527">
        <f>E495+51475/60</f>
        <v>1297.9166666666665</v>
      </c>
      <c r="F959" s="527">
        <f>F495+51475/60</f>
        <v>1297.9166666666665</v>
      </c>
      <c r="G959" s="67" t="s">
        <v>50</v>
      </c>
      <c r="H959" s="385" t="s">
        <v>1135</v>
      </c>
      <c r="I959" s="380" t="s">
        <v>129</v>
      </c>
      <c r="J959" s="50" t="s">
        <v>2463</v>
      </c>
      <c r="K959" s="380" t="s">
        <v>774</v>
      </c>
      <c r="L959" s="386" t="s">
        <v>650</v>
      </c>
      <c r="M959" s="551">
        <v>43084</v>
      </c>
      <c r="N959" s="551">
        <v>43091</v>
      </c>
      <c r="O959" s="419"/>
      <c r="P959" s="72" t="s">
        <v>1940</v>
      </c>
      <c r="Q959" s="61" t="s">
        <v>1351</v>
      </c>
      <c r="R959" s="397" t="s">
        <v>247</v>
      </c>
      <c r="S959" s="315" t="s">
        <v>2912</v>
      </c>
      <c r="T959" s="688" t="s">
        <v>2840</v>
      </c>
      <c r="U959" s="421"/>
    </row>
    <row r="960" spans="1:21" s="377" customFormat="1" ht="20.100000000000001" customHeight="1">
      <c r="A960" s="1184" t="s">
        <v>2951</v>
      </c>
      <c r="B960" s="1183" t="s">
        <v>343</v>
      </c>
      <c r="C960" s="1183" t="s">
        <v>407</v>
      </c>
      <c r="D960" s="527">
        <f>D504+(17310/60)*1.15</f>
        <v>556.77499999999998</v>
      </c>
      <c r="E960" s="527">
        <f>E504+(30762/60)*1.15</f>
        <v>839.60500000000002</v>
      </c>
      <c r="F960" s="527">
        <f>F504+(30762/60)*1.15</f>
        <v>839.60500000000002</v>
      </c>
      <c r="G960" s="67" t="s">
        <v>29</v>
      </c>
      <c r="H960" s="430" t="s">
        <v>659</v>
      </c>
      <c r="I960" s="380" t="s">
        <v>129</v>
      </c>
      <c r="J960" s="50"/>
      <c r="K960" s="380" t="s">
        <v>473</v>
      </c>
      <c r="L960" s="415" t="s">
        <v>637</v>
      </c>
      <c r="M960" s="404">
        <v>43068</v>
      </c>
      <c r="N960" s="404">
        <v>43086</v>
      </c>
      <c r="O960" s="422"/>
      <c r="P960" s="61" t="s">
        <v>605</v>
      </c>
      <c r="Q960" s="61" t="s">
        <v>934</v>
      </c>
      <c r="R960" s="397" t="s">
        <v>191</v>
      </c>
      <c r="S960" s="316" t="s">
        <v>2898</v>
      </c>
      <c r="T960" s="689"/>
      <c r="U960" s="421"/>
    </row>
    <row r="961" spans="1:21" s="377" customFormat="1" ht="20.100000000000001" customHeight="1">
      <c r="A961" s="1184" t="s">
        <v>2951</v>
      </c>
      <c r="B961" s="1183" t="s">
        <v>343</v>
      </c>
      <c r="C961" s="1183" t="s">
        <v>407</v>
      </c>
      <c r="D961" s="527">
        <f>D500+267+25</f>
        <v>792</v>
      </c>
      <c r="E961" s="527">
        <f>E500+530+50</f>
        <v>1280</v>
      </c>
      <c r="F961" s="527">
        <f>F500+530+50</f>
        <v>1280</v>
      </c>
      <c r="G961" s="67" t="s">
        <v>61</v>
      </c>
      <c r="H961" s="425" t="s">
        <v>2114</v>
      </c>
      <c r="I961" s="380" t="s">
        <v>129</v>
      </c>
      <c r="J961" s="50"/>
      <c r="K961" s="398" t="s">
        <v>1962</v>
      </c>
      <c r="L961" s="415" t="s">
        <v>637</v>
      </c>
      <c r="M961" s="404">
        <v>43040</v>
      </c>
      <c r="N961" s="404">
        <v>43100</v>
      </c>
      <c r="O961" s="423" t="s">
        <v>601</v>
      </c>
      <c r="P961" s="61" t="s">
        <v>594</v>
      </c>
      <c r="Q961" s="61" t="s">
        <v>937</v>
      </c>
      <c r="R961" s="431" t="s">
        <v>2268</v>
      </c>
      <c r="S961" s="316" t="s">
        <v>2914</v>
      </c>
      <c r="T961" s="689"/>
      <c r="U961" s="421"/>
    </row>
    <row r="962" spans="1:21" s="377" customFormat="1" ht="20.100000000000001" customHeight="1">
      <c r="A962" s="1184" t="s">
        <v>2951</v>
      </c>
      <c r="B962" s="1183" t="s">
        <v>343</v>
      </c>
      <c r="C962" s="1183" t="s">
        <v>407</v>
      </c>
      <c r="D962" s="527">
        <f>D501+302+25</f>
        <v>877</v>
      </c>
      <c r="E962" s="527">
        <f>E501+593+50+25</f>
        <v>1468</v>
      </c>
      <c r="F962" s="527">
        <f>F501+593+50+25</f>
        <v>1468</v>
      </c>
      <c r="G962" s="222" t="s">
        <v>475</v>
      </c>
      <c r="H962" s="401" t="s">
        <v>706</v>
      </c>
      <c r="I962" s="380" t="s">
        <v>129</v>
      </c>
      <c r="J962" s="50"/>
      <c r="K962" s="380">
        <v>16</v>
      </c>
      <c r="L962" s="379" t="s">
        <v>643</v>
      </c>
      <c r="M962" s="392">
        <v>42962</v>
      </c>
      <c r="N962" s="392">
        <v>43100</v>
      </c>
      <c r="O962" s="422"/>
      <c r="P962" s="61" t="s">
        <v>606</v>
      </c>
      <c r="Q962" s="61" t="s">
        <v>936</v>
      </c>
      <c r="R962" s="397" t="s">
        <v>1783</v>
      </c>
      <c r="S962" s="316" t="s">
        <v>1176</v>
      </c>
      <c r="T962" s="689"/>
      <c r="U962" s="421"/>
    </row>
    <row r="963" spans="1:21" s="377" customFormat="1" ht="20.100000000000001" customHeight="1">
      <c r="A963" s="1184" t="s">
        <v>1111</v>
      </c>
      <c r="B963" s="1183" t="s">
        <v>343</v>
      </c>
      <c r="C963" s="1183" t="s">
        <v>407</v>
      </c>
      <c r="D963" s="527">
        <f>D603+23750/60</f>
        <v>945.83333333333326</v>
      </c>
      <c r="E963" s="527">
        <f>E603+41500/60</f>
        <v>1481.6666666666665</v>
      </c>
      <c r="F963" s="527">
        <f>F603+41500/60</f>
        <v>1481.6666666666665</v>
      </c>
      <c r="G963" s="67" t="s">
        <v>12</v>
      </c>
      <c r="H963" s="401" t="s">
        <v>2000</v>
      </c>
      <c r="I963" s="380" t="s">
        <v>274</v>
      </c>
      <c r="J963" s="50" t="s">
        <v>2463</v>
      </c>
      <c r="K963" s="380" t="s">
        <v>2001</v>
      </c>
      <c r="L963" s="379" t="s">
        <v>636</v>
      </c>
      <c r="M963" s="551">
        <v>43076</v>
      </c>
      <c r="N963" s="551">
        <v>43091</v>
      </c>
      <c r="O963" s="419"/>
      <c r="P963" s="752"/>
      <c r="Q963" s="61" t="s">
        <v>902</v>
      </c>
      <c r="R963" s="397" t="s">
        <v>271</v>
      </c>
      <c r="S963" s="315" t="s">
        <v>2912</v>
      </c>
      <c r="T963" s="688" t="s">
        <v>2840</v>
      </c>
      <c r="U963" s="421"/>
    </row>
    <row r="964" spans="1:21" s="377" customFormat="1" ht="20.100000000000001" customHeight="1">
      <c r="A964" s="1184" t="s">
        <v>1111</v>
      </c>
      <c r="B964" s="1183" t="s">
        <v>343</v>
      </c>
      <c r="C964" s="1183" t="s">
        <v>407</v>
      </c>
      <c r="D964" s="527">
        <f>D611+31775/60</f>
        <v>1204.5833333333335</v>
      </c>
      <c r="E964" s="527">
        <f>E611+55377/60</f>
        <v>1872.95</v>
      </c>
      <c r="F964" s="527">
        <f>F611+55377/60</f>
        <v>1872.95</v>
      </c>
      <c r="G964" s="656" t="s">
        <v>2328</v>
      </c>
      <c r="H964" s="385" t="s">
        <v>725</v>
      </c>
      <c r="I964" s="398" t="s">
        <v>2338</v>
      </c>
      <c r="J964" s="37"/>
      <c r="K964" s="398" t="s">
        <v>2336</v>
      </c>
      <c r="L964" s="379" t="s">
        <v>641</v>
      </c>
      <c r="M964" s="381">
        <v>43082</v>
      </c>
      <c r="N964" s="381">
        <v>43086</v>
      </c>
      <c r="O964" s="394" t="s">
        <v>1949</v>
      </c>
      <c r="P964" s="72" t="s">
        <v>2285</v>
      </c>
      <c r="Q964" s="61" t="s">
        <v>2337</v>
      </c>
      <c r="R964" s="397" t="s">
        <v>826</v>
      </c>
      <c r="S964" s="336" t="s">
        <v>1176</v>
      </c>
      <c r="T964" s="323" t="s">
        <v>2935</v>
      </c>
      <c r="U964" s="421"/>
    </row>
    <row r="965" spans="1:21" s="377" customFormat="1" ht="20.100000000000001" customHeight="1">
      <c r="A965" s="1184" t="s">
        <v>1111</v>
      </c>
      <c r="B965" s="1183" t="s">
        <v>1921</v>
      </c>
      <c r="C965" s="1183" t="s">
        <v>1920</v>
      </c>
      <c r="D965" s="527">
        <f>D528+23875/60</f>
        <v>932.91666666666674</v>
      </c>
      <c r="E965" s="527">
        <f>E528+41450/60</f>
        <v>1400.8333333333335</v>
      </c>
      <c r="F965" s="527">
        <f>F528+41450/60</f>
        <v>1400.8333333333335</v>
      </c>
      <c r="G965" s="67" t="s">
        <v>12</v>
      </c>
      <c r="H965" s="385" t="s">
        <v>659</v>
      </c>
      <c r="I965" s="380" t="s">
        <v>1923</v>
      </c>
      <c r="J965" s="50" t="s">
        <v>2463</v>
      </c>
      <c r="K965" s="380" t="s">
        <v>1924</v>
      </c>
      <c r="L965" s="386" t="s">
        <v>641</v>
      </c>
      <c r="M965" s="392">
        <v>43057</v>
      </c>
      <c r="N965" s="551">
        <v>43091</v>
      </c>
      <c r="O965" s="422"/>
      <c r="P965" s="752"/>
      <c r="Q965" s="61" t="s">
        <v>902</v>
      </c>
      <c r="R965" s="384" t="s">
        <v>1740</v>
      </c>
      <c r="S965" s="322" t="s">
        <v>1176</v>
      </c>
      <c r="T965" s="688" t="s">
        <v>2840</v>
      </c>
      <c r="U965" s="421"/>
    </row>
    <row r="966" spans="1:21" s="377" customFormat="1" ht="20.100000000000001" customHeight="1">
      <c r="A966" s="1184" t="s">
        <v>2951</v>
      </c>
      <c r="B966" s="1183" t="s">
        <v>343</v>
      </c>
      <c r="C966" s="1183" t="s">
        <v>926</v>
      </c>
      <c r="D966" s="536">
        <f>D422+21841/55</f>
        <v>597.10909090909092</v>
      </c>
      <c r="E966" s="536">
        <f>E422+33294/55</f>
        <v>855.34545454545457</v>
      </c>
      <c r="F966" s="536">
        <f>F422+33294/55</f>
        <v>855.34545454545457</v>
      </c>
      <c r="G966" s="710" t="s">
        <v>87</v>
      </c>
      <c r="H966" s="390" t="s">
        <v>729</v>
      </c>
      <c r="I966" s="406" t="s">
        <v>93</v>
      </c>
      <c r="J966" s="50"/>
      <c r="K966" s="406">
        <v>22</v>
      </c>
      <c r="L966" s="398" t="s">
        <v>649</v>
      </c>
      <c r="M966" s="547">
        <v>43080</v>
      </c>
      <c r="N966" s="547">
        <v>43080</v>
      </c>
      <c r="O966" s="422"/>
      <c r="P966" s="59" t="s">
        <v>604</v>
      </c>
      <c r="Q966" s="61" t="s">
        <v>919</v>
      </c>
      <c r="R966" s="397" t="s">
        <v>251</v>
      </c>
      <c r="S966" s="322" t="s">
        <v>2861</v>
      </c>
      <c r="T966" s="689"/>
      <c r="U966" s="421"/>
    </row>
    <row r="967" spans="1:21" s="377" customFormat="1" ht="20.100000000000001" customHeight="1">
      <c r="A967" s="1184" t="s">
        <v>2951</v>
      </c>
      <c r="B967" s="1183" t="s">
        <v>343</v>
      </c>
      <c r="C967" s="1183" t="s">
        <v>926</v>
      </c>
      <c r="D967" s="13">
        <f>D417+17272/55</f>
        <v>674.0363636363636</v>
      </c>
      <c r="E967" s="528"/>
      <c r="F967" s="13">
        <f>F417+29046/55</f>
        <v>913.10909090909092</v>
      </c>
      <c r="G967" s="707" t="s">
        <v>156</v>
      </c>
      <c r="H967" s="378">
        <v>1</v>
      </c>
      <c r="I967" s="426" t="s">
        <v>93</v>
      </c>
      <c r="J967" s="681"/>
      <c r="K967" s="426">
        <v>22</v>
      </c>
      <c r="L967" s="379" t="s">
        <v>636</v>
      </c>
      <c r="M967" s="392">
        <v>43080</v>
      </c>
      <c r="N967" s="392">
        <v>43080</v>
      </c>
      <c r="O967" s="419"/>
      <c r="P967" s="61" t="s">
        <v>1933</v>
      </c>
      <c r="Q967" s="61" t="s">
        <v>927</v>
      </c>
      <c r="R967" s="397" t="s">
        <v>192</v>
      </c>
      <c r="S967" s="315" t="s">
        <v>2903</v>
      </c>
      <c r="T967" s="316"/>
      <c r="U967" s="421"/>
    </row>
    <row r="968" spans="1:21" s="377" customFormat="1" ht="20.100000000000001" customHeight="1">
      <c r="A968" s="1184" t="s">
        <v>2951</v>
      </c>
      <c r="B968" s="1183" t="s">
        <v>343</v>
      </c>
      <c r="C968" s="1183" t="s">
        <v>926</v>
      </c>
      <c r="D968" s="539">
        <f>D425+187+25</f>
        <v>637</v>
      </c>
      <c r="E968" s="539">
        <f>E425+331+50</f>
        <v>931</v>
      </c>
      <c r="F968" s="539">
        <f>F425+331+50</f>
        <v>931</v>
      </c>
      <c r="G968" s="707" t="s">
        <v>61</v>
      </c>
      <c r="H968" s="385" t="s">
        <v>729</v>
      </c>
      <c r="I968" s="426" t="s">
        <v>93</v>
      </c>
      <c r="J968" s="681"/>
      <c r="K968" s="426" t="s">
        <v>794</v>
      </c>
      <c r="L968" s="398" t="s">
        <v>649</v>
      </c>
      <c r="M968" s="404">
        <v>43070</v>
      </c>
      <c r="N968" s="404">
        <v>43100</v>
      </c>
      <c r="O968" s="423" t="s">
        <v>601</v>
      </c>
      <c r="P968" s="7" t="s">
        <v>1813</v>
      </c>
      <c r="Q968" s="61" t="s">
        <v>934</v>
      </c>
      <c r="R968" s="424" t="s">
        <v>251</v>
      </c>
      <c r="S968" s="316" t="s">
        <v>2906</v>
      </c>
      <c r="T968" s="689"/>
      <c r="U968" s="421"/>
    </row>
    <row r="969" spans="1:21" s="377" customFormat="1" ht="20.100000000000001" customHeight="1">
      <c r="A969" s="1184" t="s">
        <v>2951</v>
      </c>
      <c r="B969" s="1183" t="s">
        <v>343</v>
      </c>
      <c r="C969" s="1183" t="s">
        <v>926</v>
      </c>
      <c r="D969" s="536">
        <f>D451+(14980/60)*1.15</f>
        <v>612.11666666666656</v>
      </c>
      <c r="E969" s="536">
        <f>E451+(25066/60)*1.15</f>
        <v>880.43166666666662</v>
      </c>
      <c r="F969" s="536">
        <f>F451+(25066/60)*1.15</f>
        <v>880.43166666666662</v>
      </c>
      <c r="G969" s="707" t="s">
        <v>29</v>
      </c>
      <c r="H969" s="385" t="s">
        <v>1101</v>
      </c>
      <c r="I969" s="386" t="s">
        <v>93</v>
      </c>
      <c r="J969" s="681"/>
      <c r="K969" s="398">
        <v>24</v>
      </c>
      <c r="L969" s="398" t="s">
        <v>649</v>
      </c>
      <c r="M969" s="404">
        <v>43080</v>
      </c>
      <c r="N969" s="404">
        <v>43086</v>
      </c>
      <c r="O969" s="422"/>
      <c r="P969" s="751" t="s">
        <v>1072</v>
      </c>
      <c r="Q969" s="61" t="s">
        <v>934</v>
      </c>
      <c r="R969" s="397" t="s">
        <v>251</v>
      </c>
      <c r="S969" s="316" t="s">
        <v>2898</v>
      </c>
      <c r="T969" s="689"/>
      <c r="U969" s="421"/>
    </row>
    <row r="970" spans="1:21" s="377" customFormat="1" ht="20.100000000000001" customHeight="1">
      <c r="A970" s="1184" t="s">
        <v>2951</v>
      </c>
      <c r="B970" s="1183" t="s">
        <v>343</v>
      </c>
      <c r="C970" s="1183" t="s">
        <v>926</v>
      </c>
      <c r="D970" s="536">
        <f>D428+27950/60</f>
        <v>815.83333333333326</v>
      </c>
      <c r="E970" s="536">
        <f>E428+44600/60</f>
        <v>1083.3333333333335</v>
      </c>
      <c r="F970" s="536">
        <f>F428+44600/60</f>
        <v>1083.3333333333335</v>
      </c>
      <c r="G970" s="217" t="s">
        <v>51</v>
      </c>
      <c r="H970" s="390" t="s">
        <v>2360</v>
      </c>
      <c r="I970" s="386" t="s">
        <v>93</v>
      </c>
      <c r="J970" s="681"/>
      <c r="K970" s="406" t="s">
        <v>2361</v>
      </c>
      <c r="L970" s="380" t="s">
        <v>637</v>
      </c>
      <c r="M970" s="381">
        <v>43080</v>
      </c>
      <c r="N970" s="381">
        <v>43089</v>
      </c>
      <c r="O970" s="422"/>
      <c r="P970" s="59" t="s">
        <v>2362</v>
      </c>
      <c r="Q970" s="61" t="s">
        <v>902</v>
      </c>
      <c r="R970" s="397" t="s">
        <v>2320</v>
      </c>
      <c r="S970" s="327" t="s">
        <v>3066</v>
      </c>
      <c r="T970" s="689"/>
      <c r="U970" s="421"/>
    </row>
    <row r="971" spans="1:21" s="377" customFormat="1" ht="20.100000000000001" customHeight="1">
      <c r="A971" s="1184" t="s">
        <v>2951</v>
      </c>
      <c r="B971" s="1183" t="s">
        <v>343</v>
      </c>
      <c r="C971" s="1183" t="s">
        <v>926</v>
      </c>
      <c r="D971" s="13">
        <f>(D419+16871/60)+200</f>
        <v>756.18333333333339</v>
      </c>
      <c r="E971" s="13">
        <f>(E419+30852/60)+600</f>
        <v>1464.2</v>
      </c>
      <c r="F971" s="13">
        <f>(F419+30852/60)+600</f>
        <v>1464.2</v>
      </c>
      <c r="G971" s="217" t="s">
        <v>10</v>
      </c>
      <c r="H971" s="390" t="s">
        <v>633</v>
      </c>
      <c r="I971" s="426" t="s">
        <v>93</v>
      </c>
      <c r="J971" s="681"/>
      <c r="K971" s="426" t="s">
        <v>949</v>
      </c>
      <c r="L971" s="379" t="s">
        <v>637</v>
      </c>
      <c r="M971" s="381">
        <v>43087</v>
      </c>
      <c r="N971" s="381">
        <v>43087</v>
      </c>
      <c r="O971" s="422"/>
      <c r="P971" s="61" t="s">
        <v>913</v>
      </c>
      <c r="Q971" s="61" t="s">
        <v>902</v>
      </c>
      <c r="R971" s="397" t="s">
        <v>1015</v>
      </c>
      <c r="S971" s="315" t="s">
        <v>2904</v>
      </c>
      <c r="T971" s="689"/>
      <c r="U971" s="421"/>
    </row>
    <row r="972" spans="1:21" s="377" customFormat="1" ht="20.100000000000001" customHeight="1">
      <c r="A972" s="1184" t="s">
        <v>2951</v>
      </c>
      <c r="B972" s="1183" t="s">
        <v>343</v>
      </c>
      <c r="C972" s="1183" t="s">
        <v>926</v>
      </c>
      <c r="D972" s="13">
        <f>D435+353+25</f>
        <v>608</v>
      </c>
      <c r="E972" s="13">
        <f>E435+718+50</f>
        <v>1093</v>
      </c>
      <c r="F972" s="13">
        <f>F435+718+50</f>
        <v>1093</v>
      </c>
      <c r="G972" s="217" t="s">
        <v>14</v>
      </c>
      <c r="H972" s="56" t="s">
        <v>742</v>
      </c>
      <c r="I972" s="380" t="s">
        <v>93</v>
      </c>
      <c r="J972" s="37"/>
      <c r="K972" s="426" t="s">
        <v>2348</v>
      </c>
      <c r="L972" s="398" t="s">
        <v>652</v>
      </c>
      <c r="M972" s="547">
        <v>43086</v>
      </c>
      <c r="N972" s="547">
        <v>43092</v>
      </c>
      <c r="O972" s="422"/>
      <c r="P972" s="61" t="s">
        <v>605</v>
      </c>
      <c r="Q972" s="61" t="s">
        <v>934</v>
      </c>
      <c r="R972" s="17" t="s">
        <v>449</v>
      </c>
      <c r="S972" s="322" t="s">
        <v>1176</v>
      </c>
      <c r="T972" s="689"/>
      <c r="U972" s="421"/>
    </row>
    <row r="973" spans="1:21" s="377" customFormat="1" ht="20.100000000000001" customHeight="1">
      <c r="A973" s="1184" t="s">
        <v>2951</v>
      </c>
      <c r="B973" s="1183" t="s">
        <v>343</v>
      </c>
      <c r="C973" s="1183" t="s">
        <v>926</v>
      </c>
      <c r="D973" s="11">
        <f>D453+450+25</f>
        <v>725</v>
      </c>
      <c r="E973" s="11">
        <f>E453+720+50</f>
        <v>1170</v>
      </c>
      <c r="F973" s="11">
        <f>F453+720+50</f>
        <v>1070</v>
      </c>
      <c r="G973" s="707" t="s">
        <v>157</v>
      </c>
      <c r="H973" s="385" t="s">
        <v>1102</v>
      </c>
      <c r="I973" s="426" t="s">
        <v>93</v>
      </c>
      <c r="J973" s="681"/>
      <c r="K973" s="426">
        <v>21</v>
      </c>
      <c r="L973" s="398" t="s">
        <v>639</v>
      </c>
      <c r="M973" s="392">
        <v>43084</v>
      </c>
      <c r="N973" s="392">
        <v>43088</v>
      </c>
      <c r="O973" s="423" t="s">
        <v>601</v>
      </c>
      <c r="P973" s="61" t="s">
        <v>1942</v>
      </c>
      <c r="Q973" s="61" t="s">
        <v>3033</v>
      </c>
      <c r="R973" s="424" t="s">
        <v>171</v>
      </c>
      <c r="S973" s="316" t="s">
        <v>2909</v>
      </c>
      <c r="T973" s="689"/>
      <c r="U973" s="421"/>
    </row>
    <row r="974" spans="1:21" s="377" customFormat="1" ht="20.100000000000001" customHeight="1">
      <c r="A974" s="1184" t="s">
        <v>2951</v>
      </c>
      <c r="B974" s="1183" t="s">
        <v>343</v>
      </c>
      <c r="C974" s="1183" t="s">
        <v>926</v>
      </c>
      <c r="D974" s="536">
        <f>D455+25400/60</f>
        <v>798.33333333333326</v>
      </c>
      <c r="E974" s="536">
        <f>E455+43200/60</f>
        <v>1120</v>
      </c>
      <c r="F974" s="536">
        <f>F455+43200/60</f>
        <v>1120</v>
      </c>
      <c r="G974" s="707" t="s">
        <v>232</v>
      </c>
      <c r="H974" s="425" t="s">
        <v>656</v>
      </c>
      <c r="I974" s="398" t="s">
        <v>93</v>
      </c>
      <c r="J974" s="37"/>
      <c r="K974" s="398">
        <v>19</v>
      </c>
      <c r="L974" s="386" t="s">
        <v>1871</v>
      </c>
      <c r="M974" s="399">
        <v>43064</v>
      </c>
      <c r="N974" s="399">
        <v>43086</v>
      </c>
      <c r="O974" s="423" t="s">
        <v>601</v>
      </c>
      <c r="P974" s="751" t="s">
        <v>1937</v>
      </c>
      <c r="Q974" s="61" t="s">
        <v>934</v>
      </c>
      <c r="R974" s="424" t="s">
        <v>1870</v>
      </c>
      <c r="S974" s="315" t="s">
        <v>2907</v>
      </c>
      <c r="T974" s="689"/>
      <c r="U974" s="421"/>
    </row>
    <row r="975" spans="1:21" s="377" customFormat="1" ht="20.100000000000001" customHeight="1">
      <c r="A975" s="1184" t="s">
        <v>2951</v>
      </c>
      <c r="B975" s="1183" t="s">
        <v>343</v>
      </c>
      <c r="C975" s="1183" t="s">
        <v>926</v>
      </c>
      <c r="D975" s="536">
        <f>D440+13251/60</f>
        <v>470.85</v>
      </c>
      <c r="E975" s="536">
        <f>E440+26000/60</f>
        <v>683.33333333333326</v>
      </c>
      <c r="F975" s="536">
        <f>F440+26000/60</f>
        <v>683.33333333333326</v>
      </c>
      <c r="G975" s="656" t="s">
        <v>2328</v>
      </c>
      <c r="H975" s="385" t="s">
        <v>725</v>
      </c>
      <c r="I975" s="398" t="s">
        <v>93</v>
      </c>
      <c r="J975" s="37"/>
      <c r="K975" s="398" t="s">
        <v>2336</v>
      </c>
      <c r="L975" s="379" t="s">
        <v>641</v>
      </c>
      <c r="M975" s="381">
        <v>43082</v>
      </c>
      <c r="N975" s="381">
        <v>43086</v>
      </c>
      <c r="O975" s="394" t="s">
        <v>1949</v>
      </c>
      <c r="P975" s="72" t="s">
        <v>2285</v>
      </c>
      <c r="Q975" s="61" t="s">
        <v>2337</v>
      </c>
      <c r="R975" s="397" t="s">
        <v>826</v>
      </c>
      <c r="S975" s="336" t="s">
        <v>1176</v>
      </c>
      <c r="T975" s="323" t="s">
        <v>2935</v>
      </c>
      <c r="U975" s="421"/>
    </row>
    <row r="976" spans="1:21" s="377" customFormat="1" ht="20.100000000000001" customHeight="1">
      <c r="A976" s="1184" t="s">
        <v>2951</v>
      </c>
      <c r="B976" s="1183" t="s">
        <v>343</v>
      </c>
      <c r="C976" s="1183" t="s">
        <v>926</v>
      </c>
      <c r="D976" s="536">
        <f>D448+20312/60</f>
        <v>698.5333333333333</v>
      </c>
      <c r="E976" s="536"/>
      <c r="F976" s="536"/>
      <c r="G976" s="67" t="s">
        <v>432</v>
      </c>
      <c r="H976" s="385" t="s">
        <v>721</v>
      </c>
      <c r="I976" s="386" t="s">
        <v>93</v>
      </c>
      <c r="J976" s="681"/>
      <c r="K976" s="398" t="s">
        <v>1006</v>
      </c>
      <c r="L976" s="415" t="s">
        <v>637</v>
      </c>
      <c r="M976" s="391">
        <v>43050</v>
      </c>
      <c r="N976" s="547">
        <v>43089</v>
      </c>
      <c r="O976" s="422"/>
      <c r="P976" s="61" t="s">
        <v>1944</v>
      </c>
      <c r="Q976" s="61" t="s">
        <v>902</v>
      </c>
      <c r="R976" s="397" t="s">
        <v>202</v>
      </c>
      <c r="S976" s="319" t="s">
        <v>1177</v>
      </c>
      <c r="T976" s="689"/>
      <c r="U976" s="421"/>
    </row>
    <row r="977" spans="1:21" s="377" customFormat="1" ht="20.100000000000001" customHeight="1">
      <c r="A977" s="1184" t="s">
        <v>2951</v>
      </c>
      <c r="B977" s="1183" t="s">
        <v>343</v>
      </c>
      <c r="C977" s="1183" t="s">
        <v>926</v>
      </c>
      <c r="D977" s="536">
        <f>D450+537+25</f>
        <v>1512</v>
      </c>
      <c r="E977" s="536">
        <f>E450+886+50</f>
        <v>2486</v>
      </c>
      <c r="F977" s="536">
        <f>F450+886+50</f>
        <v>2486</v>
      </c>
      <c r="G977" s="217" t="s">
        <v>55</v>
      </c>
      <c r="H977" s="401" t="s">
        <v>706</v>
      </c>
      <c r="I977" s="426" t="s">
        <v>93</v>
      </c>
      <c r="J977" s="681"/>
      <c r="K977" s="386">
        <v>23</v>
      </c>
      <c r="L977" s="379" t="s">
        <v>643</v>
      </c>
      <c r="M977" s="392">
        <v>42962</v>
      </c>
      <c r="N977" s="392">
        <v>43100</v>
      </c>
      <c r="O977" s="422"/>
      <c r="P977" s="61" t="s">
        <v>588</v>
      </c>
      <c r="Q977" s="61" t="s">
        <v>919</v>
      </c>
      <c r="R977" s="397" t="s">
        <v>1783</v>
      </c>
      <c r="S977" s="316" t="s">
        <v>1176</v>
      </c>
      <c r="T977" s="689"/>
      <c r="U977" s="421"/>
    </row>
    <row r="978" spans="1:21" s="377" customFormat="1" ht="20.100000000000001" customHeight="1">
      <c r="A978" s="1184" t="s">
        <v>2951</v>
      </c>
      <c r="B978" s="1183" t="s">
        <v>343</v>
      </c>
      <c r="C978" s="1183" t="s">
        <v>926</v>
      </c>
      <c r="D978" s="536">
        <f>D459+17325/55</f>
        <v>675</v>
      </c>
      <c r="E978" s="528"/>
      <c r="F978" s="536">
        <f>F459+29125/55</f>
        <v>914.5454545454545</v>
      </c>
      <c r="G978" s="707" t="s">
        <v>37</v>
      </c>
      <c r="H978" s="378">
        <v>1</v>
      </c>
      <c r="I978" s="398" t="s">
        <v>130</v>
      </c>
      <c r="J978" s="681"/>
      <c r="K978" s="426">
        <v>26</v>
      </c>
      <c r="L978" s="379" t="s">
        <v>636</v>
      </c>
      <c r="M978" s="392">
        <v>43080</v>
      </c>
      <c r="N978" s="392">
        <v>43080</v>
      </c>
      <c r="O978" s="419"/>
      <c r="P978" s="61" t="s">
        <v>907</v>
      </c>
      <c r="Q978" s="61" t="s">
        <v>927</v>
      </c>
      <c r="R978" s="397" t="s">
        <v>192</v>
      </c>
      <c r="S978" s="315" t="s">
        <v>2903</v>
      </c>
      <c r="T978" s="316"/>
      <c r="U978" s="421"/>
    </row>
    <row r="979" spans="1:21" s="377" customFormat="1" ht="20.100000000000001" customHeight="1">
      <c r="A979" s="1184" t="s">
        <v>2951</v>
      </c>
      <c r="B979" s="1183" t="s">
        <v>343</v>
      </c>
      <c r="C979" s="1183" t="s">
        <v>926</v>
      </c>
      <c r="D979" s="536">
        <f>D474+17981/60</f>
        <v>674.68333333333339</v>
      </c>
      <c r="E979" s="536">
        <f>E474+32592/60</f>
        <v>993.2</v>
      </c>
      <c r="F979" s="536">
        <f>F474+32592/60</f>
        <v>993.2</v>
      </c>
      <c r="G979" s="217" t="s">
        <v>10</v>
      </c>
      <c r="H979" s="378">
        <v>1</v>
      </c>
      <c r="I979" s="398" t="s">
        <v>130</v>
      </c>
      <c r="J979" s="681"/>
      <c r="K979" s="426" t="s">
        <v>951</v>
      </c>
      <c r="L979" s="379" t="s">
        <v>636</v>
      </c>
      <c r="M979" s="381">
        <v>43087</v>
      </c>
      <c r="N979" s="381">
        <v>43087</v>
      </c>
      <c r="O979" s="422"/>
      <c r="P979" s="61"/>
      <c r="Q979" s="61" t="s">
        <v>902</v>
      </c>
      <c r="R979" s="397" t="s">
        <v>203</v>
      </c>
      <c r="S979" s="315" t="s">
        <v>2904</v>
      </c>
      <c r="T979" s="689"/>
      <c r="U979" s="421"/>
    </row>
    <row r="980" spans="1:21" s="377" customFormat="1" ht="20.100000000000001" customHeight="1">
      <c r="A980" s="1184" t="s">
        <v>2949</v>
      </c>
      <c r="B980" s="1183" t="s">
        <v>2330</v>
      </c>
      <c r="C980" s="1183" t="s">
        <v>933</v>
      </c>
      <c r="D980" s="11">
        <f>D417+17272/55</f>
        <v>674.0363636363636</v>
      </c>
      <c r="E980" s="528"/>
      <c r="F980" s="13">
        <f>F417+29046/55</f>
        <v>913.10909090909092</v>
      </c>
      <c r="G980" s="707" t="s">
        <v>37</v>
      </c>
      <c r="H980" s="378">
        <v>1</v>
      </c>
      <c r="I980" s="426" t="s">
        <v>93</v>
      </c>
      <c r="J980" s="681"/>
      <c r="K980" s="426">
        <v>22</v>
      </c>
      <c r="L980" s="379" t="s">
        <v>636</v>
      </c>
      <c r="M980" s="392">
        <v>43080</v>
      </c>
      <c r="N980" s="392">
        <v>43080</v>
      </c>
      <c r="O980" s="419"/>
      <c r="P980" s="61" t="s">
        <v>1933</v>
      </c>
      <c r="Q980" s="61" t="s">
        <v>927</v>
      </c>
      <c r="R980" s="397" t="s">
        <v>192</v>
      </c>
      <c r="S980" s="315" t="s">
        <v>2903</v>
      </c>
      <c r="T980" s="316"/>
      <c r="U980" s="421"/>
    </row>
    <row r="981" spans="1:21" s="377" customFormat="1" ht="20.100000000000001" customHeight="1">
      <c r="A981" s="1184" t="s">
        <v>2951</v>
      </c>
      <c r="B981" s="1183" t="s">
        <v>343</v>
      </c>
      <c r="C981" s="1183" t="s">
        <v>1377</v>
      </c>
      <c r="D981" s="11">
        <f>D421+23725/60</f>
        <v>625.41666666666674</v>
      </c>
      <c r="E981" s="11">
        <f>E421+42550/60</f>
        <v>859.16666666666663</v>
      </c>
      <c r="F981" s="11">
        <f>F421+42550/60</f>
        <v>859.16666666666663</v>
      </c>
      <c r="G981" s="12" t="s">
        <v>146</v>
      </c>
      <c r="H981" s="417" t="s">
        <v>651</v>
      </c>
      <c r="I981" s="380" t="s">
        <v>93</v>
      </c>
      <c r="J981" s="50"/>
      <c r="K981" s="380">
        <v>20</v>
      </c>
      <c r="L981" s="415" t="s">
        <v>637</v>
      </c>
      <c r="M981" s="551">
        <v>43084</v>
      </c>
      <c r="N981" s="551">
        <v>43091</v>
      </c>
      <c r="O981" s="419"/>
      <c r="P981" s="72" t="s">
        <v>1941</v>
      </c>
      <c r="Q981" s="61" t="s">
        <v>932</v>
      </c>
      <c r="R981" s="384" t="s">
        <v>1740</v>
      </c>
      <c r="S981" s="322" t="s">
        <v>1176</v>
      </c>
      <c r="T981" s="688" t="s">
        <v>2840</v>
      </c>
      <c r="U981" s="421"/>
    </row>
    <row r="982" spans="1:21" s="377" customFormat="1" ht="20.100000000000001" customHeight="1">
      <c r="A982" s="1184" t="s">
        <v>2951</v>
      </c>
      <c r="B982" s="1183" t="s">
        <v>343</v>
      </c>
      <c r="C982" s="1183" t="s">
        <v>933</v>
      </c>
      <c r="D982" s="11">
        <f>D759</f>
        <v>1425</v>
      </c>
      <c r="E982" s="11">
        <f>E759</f>
        <v>2000</v>
      </c>
      <c r="F982" s="11">
        <f>F759</f>
        <v>2000</v>
      </c>
      <c r="G982" s="217" t="s">
        <v>19</v>
      </c>
      <c r="H982" s="385" t="s">
        <v>742</v>
      </c>
      <c r="I982" s="398" t="s">
        <v>93</v>
      </c>
      <c r="J982" s="37"/>
      <c r="K982" s="398" t="s">
        <v>680</v>
      </c>
      <c r="L982" s="398" t="s">
        <v>639</v>
      </c>
      <c r="M982" s="399">
        <v>43073</v>
      </c>
      <c r="N982" s="399">
        <v>43086</v>
      </c>
      <c r="O982" s="382" t="s">
        <v>611</v>
      </c>
      <c r="P982" s="61" t="s">
        <v>588</v>
      </c>
      <c r="Q982" s="61" t="s">
        <v>1661</v>
      </c>
      <c r="R982" s="397" t="s">
        <v>187</v>
      </c>
      <c r="S982" s="316" t="s">
        <v>2908</v>
      </c>
      <c r="T982" s="848" t="s">
        <v>4105</v>
      </c>
      <c r="U982" s="421"/>
    </row>
    <row r="983" spans="1:21" s="377" customFormat="1" ht="20.100000000000001" customHeight="1">
      <c r="A983" s="1184" t="s">
        <v>1111</v>
      </c>
      <c r="B983" s="1183" t="s">
        <v>2331</v>
      </c>
      <c r="C983" s="1183" t="s">
        <v>2332</v>
      </c>
      <c r="D983" s="11">
        <f>D440+42180/60</f>
        <v>953</v>
      </c>
      <c r="E983" s="11">
        <f>E440+69860/60</f>
        <v>1414.3333333333333</v>
      </c>
      <c r="F983" s="11">
        <f>F440+69860/60</f>
        <v>1414.3333333333333</v>
      </c>
      <c r="G983" s="656" t="s">
        <v>2328</v>
      </c>
      <c r="H983" s="385" t="s">
        <v>725</v>
      </c>
      <c r="I983" s="398" t="s">
        <v>93</v>
      </c>
      <c r="J983" s="37"/>
      <c r="K983" s="398" t="s">
        <v>2336</v>
      </c>
      <c r="L983" s="379" t="s">
        <v>641</v>
      </c>
      <c r="M983" s="381">
        <v>43082</v>
      </c>
      <c r="N983" s="381">
        <v>43086</v>
      </c>
      <c r="O983" s="394" t="s">
        <v>1949</v>
      </c>
      <c r="P983" s="72" t="s">
        <v>2285</v>
      </c>
      <c r="Q983" s="61" t="s">
        <v>2337</v>
      </c>
      <c r="R983" s="397" t="s">
        <v>826</v>
      </c>
      <c r="S983" s="336" t="s">
        <v>1176</v>
      </c>
      <c r="T983" s="323" t="s">
        <v>2935</v>
      </c>
      <c r="U983" s="421"/>
    </row>
    <row r="984" spans="1:21" s="377" customFormat="1" ht="20.100000000000001" customHeight="1">
      <c r="A984" s="1184" t="s">
        <v>1111</v>
      </c>
      <c r="B984" s="1183" t="s">
        <v>2331</v>
      </c>
      <c r="C984" s="1183" t="s">
        <v>2332</v>
      </c>
      <c r="D984" s="11">
        <f>D554+37150/60</f>
        <v>994.16666666666663</v>
      </c>
      <c r="E984" s="11">
        <f>E554+61390/60</f>
        <v>1473.1666666666665</v>
      </c>
      <c r="F984" s="11">
        <f>F554+61390/60</f>
        <v>1473.1666666666665</v>
      </c>
      <c r="G984" s="656" t="s">
        <v>2328</v>
      </c>
      <c r="H984" s="385" t="s">
        <v>725</v>
      </c>
      <c r="I984" s="398" t="s">
        <v>472</v>
      </c>
      <c r="J984" s="681"/>
      <c r="K984" s="386" t="s">
        <v>2341</v>
      </c>
      <c r="L984" s="379" t="s">
        <v>641</v>
      </c>
      <c r="M984" s="381">
        <v>43082</v>
      </c>
      <c r="N984" s="381">
        <v>43086</v>
      </c>
      <c r="O984" s="394" t="s">
        <v>1949</v>
      </c>
      <c r="P984" s="61"/>
      <c r="Q984" s="61" t="s">
        <v>2337</v>
      </c>
      <c r="R984" s="397" t="s">
        <v>826</v>
      </c>
      <c r="S984" s="336" t="s">
        <v>1176</v>
      </c>
      <c r="T984" s="323" t="s">
        <v>2935</v>
      </c>
      <c r="U984" s="421"/>
    </row>
    <row r="985" spans="1:21" s="377" customFormat="1" ht="20.100000000000001" customHeight="1">
      <c r="A985" s="1184" t="s">
        <v>2951</v>
      </c>
      <c r="B985" s="1183" t="s">
        <v>343</v>
      </c>
      <c r="C985" s="1183" t="s">
        <v>548</v>
      </c>
      <c r="D985" s="13">
        <f>D417+31722/55</f>
        <v>936.76363636363635</v>
      </c>
      <c r="E985" s="528"/>
      <c r="F985" s="13">
        <f>F417+43396/55</f>
        <v>1174.0181818181818</v>
      </c>
      <c r="G985" s="705" t="s">
        <v>37</v>
      </c>
      <c r="H985" s="378">
        <v>1</v>
      </c>
      <c r="I985" s="426" t="s">
        <v>93</v>
      </c>
      <c r="J985" s="681"/>
      <c r="K985" s="426">
        <v>23</v>
      </c>
      <c r="L985" s="379" t="s">
        <v>636</v>
      </c>
      <c r="M985" s="392">
        <v>43080</v>
      </c>
      <c r="N985" s="392">
        <v>43080</v>
      </c>
      <c r="O985" s="419"/>
      <c r="P985" s="61" t="s">
        <v>1933</v>
      </c>
      <c r="Q985" s="61" t="s">
        <v>927</v>
      </c>
      <c r="R985" s="397" t="s">
        <v>192</v>
      </c>
      <c r="S985" s="315" t="s">
        <v>2903</v>
      </c>
      <c r="T985" s="316"/>
      <c r="U985" s="421"/>
    </row>
    <row r="986" spans="1:21" s="377" customFormat="1" ht="20.100000000000001" customHeight="1">
      <c r="A986" s="1184" t="s">
        <v>2951</v>
      </c>
      <c r="B986" s="1183" t="s">
        <v>343</v>
      </c>
      <c r="C986" s="1183" t="s">
        <v>548</v>
      </c>
      <c r="D986" s="13">
        <f>D422+38600/55</f>
        <v>901.81818181818187</v>
      </c>
      <c r="E986" s="13">
        <f>E422+53600/55</f>
        <v>1224.5454545454545</v>
      </c>
      <c r="F986" s="13">
        <f>F422+53600/55</f>
        <v>1224.5454545454545</v>
      </c>
      <c r="G986" s="710" t="s">
        <v>87</v>
      </c>
      <c r="H986" s="390" t="s">
        <v>729</v>
      </c>
      <c r="I986" s="406" t="s">
        <v>93</v>
      </c>
      <c r="J986" s="681"/>
      <c r="K986" s="406">
        <v>22</v>
      </c>
      <c r="L986" s="398" t="s">
        <v>649</v>
      </c>
      <c r="M986" s="547">
        <v>43080</v>
      </c>
      <c r="N986" s="547">
        <v>43080</v>
      </c>
      <c r="O986" s="422"/>
      <c r="P986" s="59" t="s">
        <v>604</v>
      </c>
      <c r="Q986" s="61" t="s">
        <v>919</v>
      </c>
      <c r="R986" s="397" t="s">
        <v>251</v>
      </c>
      <c r="S986" s="322" t="s">
        <v>2861</v>
      </c>
      <c r="T986" s="689"/>
      <c r="U986" s="421"/>
    </row>
    <row r="987" spans="1:21" s="377" customFormat="1" ht="20.100000000000001" customHeight="1">
      <c r="A987" s="1184" t="s">
        <v>2951</v>
      </c>
      <c r="B987" s="1183" t="s">
        <v>343</v>
      </c>
      <c r="C987" s="1183" t="s">
        <v>548</v>
      </c>
      <c r="D987" s="13">
        <f>D435+693+25</f>
        <v>948</v>
      </c>
      <c r="E987" s="13">
        <f>E435+1259+50</f>
        <v>1634</v>
      </c>
      <c r="F987" s="13">
        <f>F435+1259+50</f>
        <v>1634</v>
      </c>
      <c r="G987" s="656" t="s">
        <v>14</v>
      </c>
      <c r="H987" s="56" t="s">
        <v>742</v>
      </c>
      <c r="I987" s="380" t="s">
        <v>93</v>
      </c>
      <c r="J987" s="37"/>
      <c r="K987" s="426" t="s">
        <v>2348</v>
      </c>
      <c r="L987" s="398" t="s">
        <v>652</v>
      </c>
      <c r="M987" s="547">
        <v>43086</v>
      </c>
      <c r="N987" s="547">
        <v>43092</v>
      </c>
      <c r="O987" s="422"/>
      <c r="P987" s="61" t="s">
        <v>605</v>
      </c>
      <c r="Q987" s="61" t="s">
        <v>934</v>
      </c>
      <c r="R987" s="17" t="s">
        <v>449</v>
      </c>
      <c r="S987" s="322" t="s">
        <v>1176</v>
      </c>
      <c r="T987" s="689"/>
      <c r="U987" s="421"/>
    </row>
    <row r="988" spans="1:21" s="377" customFormat="1" ht="20.100000000000001" customHeight="1">
      <c r="A988" s="1184" t="s">
        <v>2951</v>
      </c>
      <c r="B988" s="1183" t="s">
        <v>343</v>
      </c>
      <c r="C988" s="1183" t="s">
        <v>548</v>
      </c>
      <c r="D988" s="13">
        <f>D421+29175/60</f>
        <v>716.25</v>
      </c>
      <c r="E988" s="13">
        <f>E421+49500/60</f>
        <v>975</v>
      </c>
      <c r="F988" s="13">
        <f>F421+49500/60</f>
        <v>975</v>
      </c>
      <c r="G988" s="705" t="s">
        <v>12</v>
      </c>
      <c r="H988" s="417" t="s">
        <v>651</v>
      </c>
      <c r="I988" s="380" t="s">
        <v>93</v>
      </c>
      <c r="J988" s="50"/>
      <c r="K988" s="380">
        <v>20</v>
      </c>
      <c r="L988" s="415" t="s">
        <v>637</v>
      </c>
      <c r="M988" s="551">
        <v>43084</v>
      </c>
      <c r="N988" s="551">
        <v>43091</v>
      </c>
      <c r="O988" s="419"/>
      <c r="P988" s="72" t="s">
        <v>1941</v>
      </c>
      <c r="Q988" s="61" t="s">
        <v>902</v>
      </c>
      <c r="R988" s="384" t="s">
        <v>1740</v>
      </c>
      <c r="S988" s="322" t="s">
        <v>1176</v>
      </c>
      <c r="T988" s="688" t="s">
        <v>2840</v>
      </c>
      <c r="U988" s="421"/>
    </row>
    <row r="989" spans="1:21" s="377" customFormat="1" ht="20.100000000000001" customHeight="1">
      <c r="A989" s="1184" t="s">
        <v>2951</v>
      </c>
      <c r="B989" s="1183" t="s">
        <v>343</v>
      </c>
      <c r="C989" s="1183" t="s">
        <v>548</v>
      </c>
      <c r="D989" s="13">
        <f>D455+33800/60</f>
        <v>938.33333333333337</v>
      </c>
      <c r="E989" s="13">
        <f>E455+57100/60</f>
        <v>1351.6666666666665</v>
      </c>
      <c r="F989" s="13">
        <f>F455+57100/60</f>
        <v>1351.6666666666665</v>
      </c>
      <c r="G989" s="705" t="s">
        <v>232</v>
      </c>
      <c r="H989" s="425" t="s">
        <v>656</v>
      </c>
      <c r="I989" s="398" t="s">
        <v>93</v>
      </c>
      <c r="J989" s="37"/>
      <c r="K989" s="398">
        <v>19</v>
      </c>
      <c r="L989" s="386" t="s">
        <v>1871</v>
      </c>
      <c r="M989" s="399">
        <v>43064</v>
      </c>
      <c r="N989" s="399">
        <v>43086</v>
      </c>
      <c r="O989" s="423" t="s">
        <v>601</v>
      </c>
      <c r="P989" s="751" t="s">
        <v>1937</v>
      </c>
      <c r="Q989" s="61" t="s">
        <v>934</v>
      </c>
      <c r="R989" s="424" t="s">
        <v>1870</v>
      </c>
      <c r="S989" s="315" t="s">
        <v>2907</v>
      </c>
      <c r="T989" s="689"/>
      <c r="U989" s="421"/>
    </row>
    <row r="990" spans="1:21" s="377" customFormat="1" ht="20.100000000000001" customHeight="1">
      <c r="A990" s="1184" t="s">
        <v>2951</v>
      </c>
      <c r="B990" s="1183" t="s">
        <v>343</v>
      </c>
      <c r="C990" s="1183" t="s">
        <v>323</v>
      </c>
      <c r="D990" s="13">
        <f>D417+26472/55</f>
        <v>841.30909090909086</v>
      </c>
      <c r="E990" s="13">
        <f>E417+44546/55</f>
        <v>1194.9272727272728</v>
      </c>
      <c r="F990" s="13">
        <f>F417+44546/55</f>
        <v>1194.9272727272728</v>
      </c>
      <c r="G990" s="705" t="s">
        <v>37</v>
      </c>
      <c r="H990" s="378">
        <v>1</v>
      </c>
      <c r="I990" s="426" t="s">
        <v>93</v>
      </c>
      <c r="J990" s="681"/>
      <c r="K990" s="426">
        <v>23</v>
      </c>
      <c r="L990" s="379" t="s">
        <v>636</v>
      </c>
      <c r="M990" s="392">
        <v>43080</v>
      </c>
      <c r="N990" s="392">
        <v>43080</v>
      </c>
      <c r="O990" s="419"/>
      <c r="P990" s="61" t="s">
        <v>1933</v>
      </c>
      <c r="Q990" s="61" t="s">
        <v>927</v>
      </c>
      <c r="R990" s="397" t="s">
        <v>192</v>
      </c>
      <c r="S990" s="315" t="s">
        <v>2903</v>
      </c>
      <c r="T990" s="316"/>
      <c r="U990" s="421"/>
    </row>
    <row r="991" spans="1:21" s="377" customFormat="1" ht="20.100000000000001" customHeight="1">
      <c r="A991" s="1184" t="s">
        <v>2951</v>
      </c>
      <c r="B991" s="1183" t="s">
        <v>343</v>
      </c>
      <c r="C991" s="1183" t="s">
        <v>323</v>
      </c>
      <c r="D991" s="11"/>
      <c r="E991" s="11"/>
      <c r="F991" s="11"/>
      <c r="G991" s="710" t="s">
        <v>87</v>
      </c>
      <c r="H991" s="390" t="s">
        <v>729</v>
      </c>
      <c r="I991" s="406" t="s">
        <v>93</v>
      </c>
      <c r="J991" s="681"/>
      <c r="K991" s="406">
        <v>22</v>
      </c>
      <c r="L991" s="398" t="s">
        <v>649</v>
      </c>
      <c r="M991" s="547">
        <v>43080</v>
      </c>
      <c r="N991" s="547">
        <v>43080</v>
      </c>
      <c r="O991" s="422"/>
      <c r="P991" s="59" t="s">
        <v>604</v>
      </c>
      <c r="Q991" s="61" t="s">
        <v>919</v>
      </c>
      <c r="R991" s="397" t="s">
        <v>251</v>
      </c>
      <c r="S991" s="322" t="s">
        <v>2861</v>
      </c>
      <c r="T991" s="689"/>
      <c r="U991" s="421"/>
    </row>
    <row r="992" spans="1:21" s="377" customFormat="1" ht="20.100000000000001" customHeight="1">
      <c r="A992" s="1184" t="s">
        <v>2951</v>
      </c>
      <c r="B992" s="1183" t="s">
        <v>343</v>
      </c>
      <c r="C992" s="1183" t="s">
        <v>323</v>
      </c>
      <c r="D992" s="13">
        <f>D435+357+25</f>
        <v>612</v>
      </c>
      <c r="E992" s="13">
        <f>E435+722+50</f>
        <v>1097</v>
      </c>
      <c r="F992" s="13">
        <f>F435+722+50</f>
        <v>1097</v>
      </c>
      <c r="G992" s="222" t="s">
        <v>2347</v>
      </c>
      <c r="H992" s="56" t="s">
        <v>742</v>
      </c>
      <c r="I992" s="380" t="s">
        <v>93</v>
      </c>
      <c r="J992" s="37"/>
      <c r="K992" s="426" t="s">
        <v>2348</v>
      </c>
      <c r="L992" s="398" t="s">
        <v>652</v>
      </c>
      <c r="M992" s="547">
        <v>43086</v>
      </c>
      <c r="N992" s="547">
        <v>43092</v>
      </c>
      <c r="O992" s="422"/>
      <c r="P992" s="61" t="s">
        <v>605</v>
      </c>
      <c r="Q992" s="61" t="s">
        <v>934</v>
      </c>
      <c r="R992" s="17" t="s">
        <v>449</v>
      </c>
      <c r="S992" s="322" t="s">
        <v>1176</v>
      </c>
      <c r="T992" s="316"/>
      <c r="U992" s="421"/>
    </row>
    <row r="993" spans="1:21" s="377" customFormat="1" ht="20.100000000000001" customHeight="1">
      <c r="A993" s="1184" t="s">
        <v>2951</v>
      </c>
      <c r="B993" s="1183" t="s">
        <v>343</v>
      </c>
      <c r="C993" s="1183" t="s">
        <v>324</v>
      </c>
      <c r="D993" s="13">
        <f>D492+28300/60</f>
        <v>771.66666666666674</v>
      </c>
      <c r="E993" s="13">
        <f>E492+36200/60</f>
        <v>953.33333333333337</v>
      </c>
      <c r="F993" s="13">
        <f>F492+36200/60</f>
        <v>953.33333333333337</v>
      </c>
      <c r="G993" s="705" t="s">
        <v>453</v>
      </c>
      <c r="H993" s="385" t="s">
        <v>1135</v>
      </c>
      <c r="I993" s="398" t="s">
        <v>129</v>
      </c>
      <c r="J993" s="37"/>
      <c r="K993" s="398">
        <v>16</v>
      </c>
      <c r="L993" s="386" t="s">
        <v>650</v>
      </c>
      <c r="M993" s="399">
        <v>43075</v>
      </c>
      <c r="N993" s="399">
        <v>43086</v>
      </c>
      <c r="O993" s="423" t="s">
        <v>601</v>
      </c>
      <c r="P993" s="751" t="s">
        <v>592</v>
      </c>
      <c r="Q993" s="61" t="s">
        <v>935</v>
      </c>
      <c r="R993" s="397" t="s">
        <v>247</v>
      </c>
      <c r="S993" s="316"/>
      <c r="T993" s="689"/>
      <c r="U993" s="421"/>
    </row>
    <row r="994" spans="1:21" s="377" customFormat="1" ht="20.100000000000001" customHeight="1">
      <c r="A994" s="1184" t="s">
        <v>2951</v>
      </c>
      <c r="B994" s="1183" t="s">
        <v>343</v>
      </c>
      <c r="C994" s="1183" t="s">
        <v>324</v>
      </c>
      <c r="D994" s="13">
        <f>D603+16100/60</f>
        <v>818.33333333333326</v>
      </c>
      <c r="E994" s="13">
        <f>E603+26650/60</f>
        <v>1234.1666666666667</v>
      </c>
      <c r="F994" s="13">
        <f>F603+26650/60</f>
        <v>1234.1666666666667</v>
      </c>
      <c r="G994" s="705" t="s">
        <v>12</v>
      </c>
      <c r="H994" s="401" t="s">
        <v>2000</v>
      </c>
      <c r="I994" s="380" t="s">
        <v>274</v>
      </c>
      <c r="J994" s="50" t="s">
        <v>2464</v>
      </c>
      <c r="K994" s="380" t="s">
        <v>2001</v>
      </c>
      <c r="L994" s="379" t="s">
        <v>636</v>
      </c>
      <c r="M994" s="551">
        <v>43076</v>
      </c>
      <c r="N994" s="551">
        <v>43091</v>
      </c>
      <c r="O994" s="419"/>
      <c r="P994" s="752"/>
      <c r="Q994" s="61" t="s">
        <v>902</v>
      </c>
      <c r="R994" s="397" t="s">
        <v>271</v>
      </c>
      <c r="S994" s="315" t="s">
        <v>2912</v>
      </c>
      <c r="T994" s="688" t="s">
        <v>2840</v>
      </c>
      <c r="U994" s="421"/>
    </row>
    <row r="995" spans="1:21" s="377" customFormat="1" ht="20.100000000000001" customHeight="1">
      <c r="A995" s="741" t="s">
        <v>2951</v>
      </c>
      <c r="B995" s="445" t="s">
        <v>343</v>
      </c>
      <c r="C995" s="445" t="s">
        <v>264</v>
      </c>
      <c r="D995" s="536">
        <f>D450+508+25</f>
        <v>1483</v>
      </c>
      <c r="E995" s="536">
        <f>E450+835+50</f>
        <v>2435</v>
      </c>
      <c r="F995" s="536">
        <f>F450+835+50</f>
        <v>2435</v>
      </c>
      <c r="G995" s="217" t="s">
        <v>85</v>
      </c>
      <c r="H995" s="401" t="s">
        <v>706</v>
      </c>
      <c r="I995" s="426" t="s">
        <v>93</v>
      </c>
      <c r="J995" s="681"/>
      <c r="K995" s="386">
        <v>23</v>
      </c>
      <c r="L995" s="379" t="s">
        <v>643</v>
      </c>
      <c r="M995" s="392">
        <v>42962</v>
      </c>
      <c r="N995" s="392">
        <v>43100</v>
      </c>
      <c r="O995" s="422"/>
      <c r="P995" s="61" t="s">
        <v>588</v>
      </c>
      <c r="Q995" s="61" t="s">
        <v>1121</v>
      </c>
      <c r="R995" s="397" t="s">
        <v>1783</v>
      </c>
      <c r="S995" s="316" t="s">
        <v>1176</v>
      </c>
      <c r="T995" s="689"/>
      <c r="U995" s="421"/>
    </row>
    <row r="996" spans="1:21" s="377" customFormat="1" ht="20.100000000000001" customHeight="1">
      <c r="A996" s="741" t="s">
        <v>2951</v>
      </c>
      <c r="B996" s="445" t="s">
        <v>343</v>
      </c>
      <c r="C996" s="445" t="s">
        <v>739</v>
      </c>
      <c r="D996" s="536">
        <f>D584+16726/55</f>
        <v>1539.1090909090908</v>
      </c>
      <c r="E996" s="528"/>
      <c r="F996" s="536">
        <f>F584+24344/55</f>
        <v>2752.6181818181817</v>
      </c>
      <c r="G996" s="707" t="s">
        <v>37</v>
      </c>
      <c r="H996" s="430" t="s">
        <v>634</v>
      </c>
      <c r="I996" s="398" t="s">
        <v>735</v>
      </c>
      <c r="J996" s="38"/>
      <c r="K996" s="428" t="s">
        <v>1513</v>
      </c>
      <c r="L996" s="429" t="s">
        <v>637</v>
      </c>
      <c r="M996" s="392">
        <v>43039</v>
      </c>
      <c r="N996" s="392">
        <v>43080</v>
      </c>
      <c r="O996" s="419"/>
      <c r="P996" s="61" t="s">
        <v>1932</v>
      </c>
      <c r="Q996" s="61" t="s">
        <v>931</v>
      </c>
      <c r="R996" s="397" t="s">
        <v>1507</v>
      </c>
      <c r="S996" s="316" t="s">
        <v>2913</v>
      </c>
      <c r="T996" s="316"/>
      <c r="U996" s="421"/>
    </row>
    <row r="997" spans="1:21" s="377" customFormat="1" ht="20.100000000000001" customHeight="1">
      <c r="A997" s="1184" t="s">
        <v>2951</v>
      </c>
      <c r="B997" s="1183" t="s">
        <v>343</v>
      </c>
      <c r="C997" s="1183" t="s">
        <v>549</v>
      </c>
      <c r="D997" s="13">
        <f>D417+53500/55</f>
        <v>1332.7272727272727</v>
      </c>
      <c r="E997" s="528"/>
      <c r="F997" s="13">
        <f>F417+90500/55</f>
        <v>2030.4545454545455</v>
      </c>
      <c r="G997" s="705" t="s">
        <v>156</v>
      </c>
      <c r="H997" s="378">
        <v>1</v>
      </c>
      <c r="I997" s="398" t="s">
        <v>93</v>
      </c>
      <c r="J997" s="681"/>
      <c r="K997" s="426">
        <v>24</v>
      </c>
      <c r="L997" s="379" t="s">
        <v>636</v>
      </c>
      <c r="M997" s="392">
        <v>43080</v>
      </c>
      <c r="N997" s="392">
        <v>43080</v>
      </c>
      <c r="O997" s="419"/>
      <c r="P997" s="61" t="s">
        <v>1933</v>
      </c>
      <c r="Q997" s="61" t="s">
        <v>927</v>
      </c>
      <c r="R997" s="397" t="s">
        <v>192</v>
      </c>
      <c r="S997" s="315" t="s">
        <v>2903</v>
      </c>
      <c r="T997" s="316"/>
      <c r="U997" s="421"/>
    </row>
    <row r="998" spans="1:21" s="377" customFormat="1" ht="20.100000000000001" customHeight="1">
      <c r="A998" s="1184" t="s">
        <v>2951</v>
      </c>
      <c r="B998" s="1183" t="s">
        <v>343</v>
      </c>
      <c r="C998" s="1183" t="s">
        <v>549</v>
      </c>
      <c r="D998" s="539">
        <f>D425+726+25</f>
        <v>1176</v>
      </c>
      <c r="E998" s="539">
        <f>E425+1258+50</f>
        <v>1858</v>
      </c>
      <c r="F998" s="539">
        <f>F425+1258+50</f>
        <v>1858</v>
      </c>
      <c r="G998" s="707" t="s">
        <v>61</v>
      </c>
      <c r="H998" s="385" t="s">
        <v>729</v>
      </c>
      <c r="I998" s="426" t="s">
        <v>93</v>
      </c>
      <c r="J998" s="681"/>
      <c r="K998" s="426" t="s">
        <v>794</v>
      </c>
      <c r="L998" s="398" t="s">
        <v>649</v>
      </c>
      <c r="M998" s="404">
        <v>43070</v>
      </c>
      <c r="N998" s="404">
        <v>43100</v>
      </c>
      <c r="O998" s="423" t="s">
        <v>601</v>
      </c>
      <c r="P998" s="7" t="s">
        <v>1813</v>
      </c>
      <c r="Q998" s="61" t="s">
        <v>934</v>
      </c>
      <c r="R998" s="424" t="s">
        <v>251</v>
      </c>
      <c r="S998" s="316" t="s">
        <v>2906</v>
      </c>
      <c r="T998" s="689"/>
      <c r="U998" s="421"/>
    </row>
    <row r="999" spans="1:21" s="377" customFormat="1" ht="20.100000000000001" customHeight="1">
      <c r="A999" s="1184" t="s">
        <v>2951</v>
      </c>
      <c r="B999" s="1183" t="s">
        <v>343</v>
      </c>
      <c r="C999" s="1183" t="s">
        <v>549</v>
      </c>
      <c r="D999" s="13">
        <f>D451+(43075/60)*1.15</f>
        <v>1150.6041666666665</v>
      </c>
      <c r="E999" s="13">
        <f>E451+(74277/60)*1.15</f>
        <v>1823.6424999999999</v>
      </c>
      <c r="F999" s="13">
        <f>F451+(74277/60)*1.15</f>
        <v>1823.6424999999999</v>
      </c>
      <c r="G999" s="705" t="s">
        <v>29</v>
      </c>
      <c r="H999" s="385" t="s">
        <v>1101</v>
      </c>
      <c r="I999" s="386" t="s">
        <v>93</v>
      </c>
      <c r="J999" s="681"/>
      <c r="K999" s="398">
        <v>24</v>
      </c>
      <c r="L999" s="398" t="s">
        <v>649</v>
      </c>
      <c r="M999" s="404">
        <v>43080</v>
      </c>
      <c r="N999" s="404">
        <v>43086</v>
      </c>
      <c r="O999" s="422"/>
      <c r="P999" s="751" t="s">
        <v>1072</v>
      </c>
      <c r="Q999" s="61" t="s">
        <v>934</v>
      </c>
      <c r="R999" s="397" t="s">
        <v>251</v>
      </c>
      <c r="S999" s="316" t="s">
        <v>2898</v>
      </c>
      <c r="T999" s="689"/>
      <c r="U999" s="421"/>
    </row>
    <row r="1000" spans="1:21" s="377" customFormat="1" ht="20.100000000000001" customHeight="1">
      <c r="A1000" s="1184" t="s">
        <v>2951</v>
      </c>
      <c r="B1000" s="1183" t="s">
        <v>343</v>
      </c>
      <c r="C1000" s="1183" t="s">
        <v>549</v>
      </c>
      <c r="D1000" s="536">
        <f>D422+55838/55</f>
        <v>1215.2363636363636</v>
      </c>
      <c r="E1000" s="536">
        <f>E422+82055/55</f>
        <v>1741.909090909091</v>
      </c>
      <c r="F1000" s="536">
        <f>F422+82055/55</f>
        <v>1741.909090909091</v>
      </c>
      <c r="G1000" s="710" t="s">
        <v>87</v>
      </c>
      <c r="H1000" s="390" t="s">
        <v>729</v>
      </c>
      <c r="I1000" s="406" t="s">
        <v>93</v>
      </c>
      <c r="J1000" s="50" t="s">
        <v>1382</v>
      </c>
      <c r="K1000" s="406">
        <v>24</v>
      </c>
      <c r="L1000" s="398" t="s">
        <v>649</v>
      </c>
      <c r="M1000" s="547">
        <v>43080</v>
      </c>
      <c r="N1000" s="547">
        <v>43080</v>
      </c>
      <c r="O1000" s="422"/>
      <c r="P1000" s="59" t="s">
        <v>604</v>
      </c>
      <c r="Q1000" s="61" t="s">
        <v>919</v>
      </c>
      <c r="R1000" s="397" t="s">
        <v>251</v>
      </c>
      <c r="S1000" s="322" t="s">
        <v>2861</v>
      </c>
      <c r="T1000" s="689"/>
      <c r="U1000" s="421"/>
    </row>
    <row r="1001" spans="1:21" s="377" customFormat="1" ht="20.100000000000001" customHeight="1">
      <c r="A1001" s="1184" t="s">
        <v>2951</v>
      </c>
      <c r="B1001" s="1183" t="s">
        <v>343</v>
      </c>
      <c r="C1001" s="1183" t="s">
        <v>549</v>
      </c>
      <c r="D1001" s="536">
        <f>D428+(50315+5000)/60</f>
        <v>1271.9166666666665</v>
      </c>
      <c r="E1001" s="536">
        <f>E428+(87975+10000)/60</f>
        <v>1972.9166666666667</v>
      </c>
      <c r="F1001" s="536">
        <f>F428+(87975+10000)/60</f>
        <v>1972.9166666666667</v>
      </c>
      <c r="G1001" s="656" t="s">
        <v>51</v>
      </c>
      <c r="H1001" s="390" t="s">
        <v>2360</v>
      </c>
      <c r="I1001" s="406" t="s">
        <v>93</v>
      </c>
      <c r="J1001" s="50"/>
      <c r="K1001" s="406" t="s">
        <v>2361</v>
      </c>
      <c r="L1001" s="380" t="s">
        <v>637</v>
      </c>
      <c r="M1001" s="381">
        <v>43080</v>
      </c>
      <c r="N1001" s="381">
        <v>43089</v>
      </c>
      <c r="O1001" s="422"/>
      <c r="P1001" s="59" t="s">
        <v>2362</v>
      </c>
      <c r="Q1001" s="61" t="s">
        <v>902</v>
      </c>
      <c r="R1001" s="397" t="s">
        <v>2320</v>
      </c>
      <c r="S1001" s="327" t="s">
        <v>3066</v>
      </c>
      <c r="T1001" s="689"/>
      <c r="U1001" s="421"/>
    </row>
    <row r="1002" spans="1:21" s="377" customFormat="1" ht="20.100000000000001" customHeight="1">
      <c r="A1002" s="1184" t="s">
        <v>2951</v>
      </c>
      <c r="B1002" s="1183" t="s">
        <v>343</v>
      </c>
      <c r="C1002" s="1183" t="s">
        <v>549</v>
      </c>
      <c r="D1002" s="536">
        <f>D435+851+25</f>
        <v>1106</v>
      </c>
      <c r="E1002" s="536">
        <f>E435+1653+50</f>
        <v>2028</v>
      </c>
      <c r="F1002" s="536">
        <f>F435+1653+50</f>
        <v>2028</v>
      </c>
      <c r="G1002" s="656" t="s">
        <v>14</v>
      </c>
      <c r="H1002" s="56" t="s">
        <v>742</v>
      </c>
      <c r="I1002" s="380" t="s">
        <v>93</v>
      </c>
      <c r="J1002" s="37"/>
      <c r="K1002" s="426" t="s">
        <v>2348</v>
      </c>
      <c r="L1002" s="398" t="s">
        <v>652</v>
      </c>
      <c r="M1002" s="547">
        <v>43086</v>
      </c>
      <c r="N1002" s="547">
        <v>43092</v>
      </c>
      <c r="O1002" s="422"/>
      <c r="P1002" s="61" t="s">
        <v>605</v>
      </c>
      <c r="Q1002" s="61" t="s">
        <v>934</v>
      </c>
      <c r="R1002" s="17" t="s">
        <v>449</v>
      </c>
      <c r="S1002" s="322" t="s">
        <v>1176</v>
      </c>
      <c r="T1002" s="689"/>
      <c r="U1002" s="421"/>
    </row>
    <row r="1003" spans="1:21" s="377" customFormat="1" ht="20.100000000000001" customHeight="1">
      <c r="A1003" s="1184" t="s">
        <v>2951</v>
      </c>
      <c r="B1003" s="1183" t="s">
        <v>343</v>
      </c>
      <c r="C1003" s="1183" t="s">
        <v>549</v>
      </c>
      <c r="D1003" s="527">
        <f>D421+56725/60</f>
        <v>1175.4166666666665</v>
      </c>
      <c r="E1003" s="527">
        <f>E421+98850/60</f>
        <v>1797.5</v>
      </c>
      <c r="F1003" s="527">
        <f>F421+98850/60</f>
        <v>1797.5</v>
      </c>
      <c r="G1003" s="707" t="s">
        <v>146</v>
      </c>
      <c r="H1003" s="417" t="s">
        <v>651</v>
      </c>
      <c r="I1003" s="398" t="s">
        <v>93</v>
      </c>
      <c r="J1003" s="37"/>
      <c r="K1003" s="398">
        <v>20</v>
      </c>
      <c r="L1003" s="415" t="s">
        <v>637</v>
      </c>
      <c r="M1003" s="551">
        <v>43084</v>
      </c>
      <c r="N1003" s="551">
        <v>43091</v>
      </c>
      <c r="O1003" s="419"/>
      <c r="P1003" s="72" t="s">
        <v>1941</v>
      </c>
      <c r="Q1003" s="61" t="s">
        <v>932</v>
      </c>
      <c r="R1003" s="384" t="s">
        <v>1740</v>
      </c>
      <c r="S1003" s="322" t="s">
        <v>1176</v>
      </c>
      <c r="T1003" s="688" t="s">
        <v>2840</v>
      </c>
      <c r="U1003" s="421"/>
    </row>
    <row r="1004" spans="1:21" s="377" customFormat="1" ht="20.100000000000001" customHeight="1">
      <c r="A1004" s="1184" t="s">
        <v>2951</v>
      </c>
      <c r="B1004" s="1183" t="s">
        <v>343</v>
      </c>
      <c r="C1004" s="1183" t="s">
        <v>549</v>
      </c>
      <c r="D1004" s="527">
        <f>D759</f>
        <v>1425</v>
      </c>
      <c r="E1004" s="527">
        <f>E759</f>
        <v>2000</v>
      </c>
      <c r="F1004" s="527">
        <f>F759</f>
        <v>2000</v>
      </c>
      <c r="G1004" s="217" t="s">
        <v>19</v>
      </c>
      <c r="H1004" s="385" t="s">
        <v>742</v>
      </c>
      <c r="I1004" s="398" t="s">
        <v>93</v>
      </c>
      <c r="J1004" s="37"/>
      <c r="K1004" s="398" t="s">
        <v>1270</v>
      </c>
      <c r="L1004" s="398" t="s">
        <v>639</v>
      </c>
      <c r="M1004" s="399">
        <v>43073</v>
      </c>
      <c r="N1004" s="399">
        <v>43086</v>
      </c>
      <c r="O1004" s="382" t="s">
        <v>611</v>
      </c>
      <c r="P1004" s="61" t="s">
        <v>588</v>
      </c>
      <c r="Q1004" s="61" t="s">
        <v>1661</v>
      </c>
      <c r="R1004" s="397" t="s">
        <v>187</v>
      </c>
      <c r="S1004" s="316" t="s">
        <v>2908</v>
      </c>
      <c r="T1004" s="848" t="s">
        <v>4105</v>
      </c>
      <c r="U1004" s="421"/>
    </row>
    <row r="1005" spans="1:21" s="377" customFormat="1" ht="20.100000000000001" customHeight="1">
      <c r="A1005" s="1184" t="s">
        <v>2951</v>
      </c>
      <c r="B1005" s="1183" t="s">
        <v>343</v>
      </c>
      <c r="C1005" s="1183" t="s">
        <v>549</v>
      </c>
      <c r="D1005" s="527">
        <f>D433+50369/60</f>
        <v>1064.4833333333333</v>
      </c>
      <c r="E1005" s="527">
        <f>E433+92621/60</f>
        <v>1818.6833333333334</v>
      </c>
      <c r="F1005" s="527">
        <f>F433+88521/60</f>
        <v>1750.35</v>
      </c>
      <c r="G1005" s="222" t="s">
        <v>1659</v>
      </c>
      <c r="H1005" s="385" t="s">
        <v>742</v>
      </c>
      <c r="I1005" s="380" t="s">
        <v>93</v>
      </c>
      <c r="J1005" s="50"/>
      <c r="K1005" s="380" t="s">
        <v>682</v>
      </c>
      <c r="L1005" s="398" t="s">
        <v>639</v>
      </c>
      <c r="M1005" s="547">
        <v>43081</v>
      </c>
      <c r="N1005" s="547">
        <v>43090</v>
      </c>
      <c r="O1005" s="419"/>
      <c r="P1005" s="61" t="s">
        <v>1927</v>
      </c>
      <c r="Q1005" s="61" t="s">
        <v>902</v>
      </c>
      <c r="R1005" s="397" t="s">
        <v>171</v>
      </c>
      <c r="S1005" s="315" t="s">
        <v>2862</v>
      </c>
      <c r="T1005" s="626">
        <v>14</v>
      </c>
      <c r="U1005" s="421"/>
    </row>
    <row r="1006" spans="1:21" s="377" customFormat="1" ht="20.100000000000001" customHeight="1">
      <c r="A1006" s="1184" t="s">
        <v>2951</v>
      </c>
      <c r="B1006" s="1183" t="s">
        <v>343</v>
      </c>
      <c r="C1006" s="1183" t="s">
        <v>549</v>
      </c>
      <c r="D1006" s="527">
        <f>D440+47665/60</f>
        <v>1044.4166666666665</v>
      </c>
      <c r="E1006" s="527">
        <f>E440+78665/60</f>
        <v>1561.0833333333333</v>
      </c>
      <c r="F1006" s="527">
        <f>F440+78665/60</f>
        <v>1561.0833333333333</v>
      </c>
      <c r="G1006" s="656" t="s">
        <v>2328</v>
      </c>
      <c r="H1006" s="385" t="s">
        <v>725</v>
      </c>
      <c r="I1006" s="398" t="s">
        <v>93</v>
      </c>
      <c r="J1006" s="37"/>
      <c r="K1006" s="398" t="s">
        <v>2336</v>
      </c>
      <c r="L1006" s="379" t="s">
        <v>641</v>
      </c>
      <c r="M1006" s="381">
        <v>43082</v>
      </c>
      <c r="N1006" s="381">
        <v>43086</v>
      </c>
      <c r="O1006" s="394" t="s">
        <v>1949</v>
      </c>
      <c r="P1006" s="72" t="s">
        <v>2285</v>
      </c>
      <c r="Q1006" s="61" t="s">
        <v>2337</v>
      </c>
      <c r="R1006" s="397" t="s">
        <v>826</v>
      </c>
      <c r="S1006" s="336" t="s">
        <v>1176</v>
      </c>
      <c r="T1006" s="323" t="s">
        <v>2935</v>
      </c>
      <c r="U1006" s="421"/>
    </row>
    <row r="1007" spans="1:21" s="377" customFormat="1" ht="20.100000000000001" customHeight="1">
      <c r="A1007" s="1184" t="s">
        <v>2951</v>
      </c>
      <c r="B1007" s="1183" t="s">
        <v>343</v>
      </c>
      <c r="C1007" s="1183" t="s">
        <v>549</v>
      </c>
      <c r="D1007" s="13">
        <f>D450+1375+25</f>
        <v>2350</v>
      </c>
      <c r="E1007" s="528"/>
      <c r="F1007" s="13">
        <f>F450+1779+50</f>
        <v>3379</v>
      </c>
      <c r="G1007" s="222" t="s">
        <v>134</v>
      </c>
      <c r="H1007" s="401" t="s">
        <v>706</v>
      </c>
      <c r="I1007" s="426" t="s">
        <v>93</v>
      </c>
      <c r="J1007" s="681"/>
      <c r="K1007" s="386">
        <v>23</v>
      </c>
      <c r="L1007" s="379" t="s">
        <v>643</v>
      </c>
      <c r="M1007" s="392">
        <v>42962</v>
      </c>
      <c r="N1007" s="392">
        <v>43100</v>
      </c>
      <c r="O1007" s="422"/>
      <c r="P1007" s="61" t="s">
        <v>588</v>
      </c>
      <c r="Q1007" s="61" t="s">
        <v>919</v>
      </c>
      <c r="R1007" s="397" t="s">
        <v>1783</v>
      </c>
      <c r="S1007" s="316" t="s">
        <v>1176</v>
      </c>
      <c r="T1007" s="689"/>
      <c r="U1007" s="421"/>
    </row>
    <row r="1008" spans="1:21" s="377" customFormat="1" ht="20.100000000000001" customHeight="1">
      <c r="A1008" s="1184" t="s">
        <v>2951</v>
      </c>
      <c r="B1008" s="1183" t="s">
        <v>343</v>
      </c>
      <c r="C1008" s="1183" t="s">
        <v>549</v>
      </c>
      <c r="D1008" s="62">
        <f>D473+47062/55</f>
        <v>1455.6727272727271</v>
      </c>
      <c r="E1008" s="62">
        <f>E473+69940/55</f>
        <v>2071.636363636364</v>
      </c>
      <c r="F1008" s="62">
        <f>F473+69940/55</f>
        <v>2071.636363636364</v>
      </c>
      <c r="G1008" s="710" t="s">
        <v>87</v>
      </c>
      <c r="H1008" s="378">
        <v>1</v>
      </c>
      <c r="I1008" s="406" t="s">
        <v>130</v>
      </c>
      <c r="J1008" s="50" t="s">
        <v>1382</v>
      </c>
      <c r="K1008" s="406">
        <v>26</v>
      </c>
      <c r="L1008" s="379" t="s">
        <v>636</v>
      </c>
      <c r="M1008" s="547">
        <v>43040</v>
      </c>
      <c r="N1008" s="547">
        <v>43080</v>
      </c>
      <c r="O1008" s="422"/>
      <c r="P1008" s="59"/>
      <c r="Q1008" s="61" t="s">
        <v>3034</v>
      </c>
      <c r="R1008" s="427" t="s">
        <v>192</v>
      </c>
      <c r="S1008" s="322" t="s">
        <v>2849</v>
      </c>
      <c r="T1008" s="689"/>
      <c r="U1008" s="421"/>
    </row>
    <row r="1009" spans="1:21" s="377" customFormat="1" ht="20.100000000000001" customHeight="1">
      <c r="A1009" s="1184" t="s">
        <v>2951</v>
      </c>
      <c r="B1009" s="1183" t="s">
        <v>343</v>
      </c>
      <c r="C1009" s="1183" t="s">
        <v>549</v>
      </c>
      <c r="D1009" s="13">
        <f>D459+45500/55</f>
        <v>1187.2727272727273</v>
      </c>
      <c r="E1009" s="528"/>
      <c r="F1009" s="13">
        <f>F459+72500/55</f>
        <v>1703.1818181818182</v>
      </c>
      <c r="G1009" s="705" t="s">
        <v>156</v>
      </c>
      <c r="H1009" s="378">
        <v>1</v>
      </c>
      <c r="I1009" s="398" t="s">
        <v>130</v>
      </c>
      <c r="J1009" s="681"/>
      <c r="K1009" s="426">
        <v>26</v>
      </c>
      <c r="L1009" s="379" t="s">
        <v>636</v>
      </c>
      <c r="M1009" s="392">
        <v>43080</v>
      </c>
      <c r="N1009" s="392">
        <v>43080</v>
      </c>
      <c r="O1009" s="419"/>
      <c r="P1009" s="61" t="s">
        <v>907</v>
      </c>
      <c r="Q1009" s="61" t="s">
        <v>927</v>
      </c>
      <c r="R1009" s="397" t="s">
        <v>192</v>
      </c>
      <c r="S1009" s="315" t="s">
        <v>2903</v>
      </c>
      <c r="T1009" s="316"/>
      <c r="U1009" s="421"/>
    </row>
    <row r="1010" spans="1:21" s="377" customFormat="1" ht="20.100000000000001" customHeight="1">
      <c r="A1010" s="1184" t="s">
        <v>2951</v>
      </c>
      <c r="B1010" s="1183" t="s">
        <v>343</v>
      </c>
      <c r="C1010" s="1183" t="s">
        <v>549</v>
      </c>
      <c r="D1010" s="539">
        <f>D462+52100/60</f>
        <v>1243.3333333333335</v>
      </c>
      <c r="E1010" s="539">
        <f>E462+90400/60</f>
        <v>1921.6666666666667</v>
      </c>
      <c r="F1010" s="539">
        <f>F462+90400/60</f>
        <v>1921.6666666666667</v>
      </c>
      <c r="G1010" s="707" t="s">
        <v>12</v>
      </c>
      <c r="H1010" s="417" t="s">
        <v>729</v>
      </c>
      <c r="I1010" s="398" t="s">
        <v>130</v>
      </c>
      <c r="J1010" s="37"/>
      <c r="K1010" s="426">
        <v>24</v>
      </c>
      <c r="L1010" s="379" t="s">
        <v>636</v>
      </c>
      <c r="M1010" s="551">
        <v>43084</v>
      </c>
      <c r="N1010" s="551">
        <v>43091</v>
      </c>
      <c r="O1010" s="419"/>
      <c r="P1010" s="61" t="s">
        <v>597</v>
      </c>
      <c r="Q1010" s="61" t="s">
        <v>932</v>
      </c>
      <c r="R1010" s="397" t="s">
        <v>271</v>
      </c>
      <c r="S1010" s="322" t="s">
        <v>1176</v>
      </c>
      <c r="T1010" s="688" t="s">
        <v>2840</v>
      </c>
      <c r="U1010" s="421"/>
    </row>
    <row r="1011" spans="1:21" s="377" customFormat="1" ht="20.100000000000001" customHeight="1">
      <c r="A1011" s="1184" t="s">
        <v>2951</v>
      </c>
      <c r="B1011" s="1183" t="s">
        <v>343</v>
      </c>
      <c r="C1011" s="1183" t="s">
        <v>549</v>
      </c>
      <c r="D1011" s="539">
        <f>D464+(44665+5000)/60</f>
        <v>1427.75</v>
      </c>
      <c r="E1011" s="539">
        <f>E464+(79325+10000)/60</f>
        <v>2138.75</v>
      </c>
      <c r="F1011" s="539">
        <f>F464+(79325+10000)/60</f>
        <v>2138.75</v>
      </c>
      <c r="G1011" s="217" t="s">
        <v>51</v>
      </c>
      <c r="H1011" s="417" t="s">
        <v>2363</v>
      </c>
      <c r="I1011" s="398" t="s">
        <v>130</v>
      </c>
      <c r="J1011" s="37"/>
      <c r="K1011" s="426" t="s">
        <v>2364</v>
      </c>
      <c r="L1011" s="380" t="s">
        <v>639</v>
      </c>
      <c r="M1011" s="381">
        <v>43080</v>
      </c>
      <c r="N1011" s="381">
        <v>43089</v>
      </c>
      <c r="O1011" s="419"/>
      <c r="P1011" s="61" t="s">
        <v>597</v>
      </c>
      <c r="Q1011" s="61" t="s">
        <v>902</v>
      </c>
      <c r="R1011" s="424" t="s">
        <v>171</v>
      </c>
      <c r="S1011" s="322"/>
      <c r="T1011" s="688"/>
      <c r="U1011" s="421"/>
    </row>
    <row r="1012" spans="1:21" s="377" customFormat="1" ht="20.100000000000001" customHeight="1">
      <c r="A1012" s="1184" t="s">
        <v>2951</v>
      </c>
      <c r="B1012" s="1183" t="s">
        <v>343</v>
      </c>
      <c r="C1012" s="1183" t="s">
        <v>549</v>
      </c>
      <c r="D1012" s="539">
        <f>D465+45295/60</f>
        <v>1079.9166666666665</v>
      </c>
      <c r="E1012" s="539">
        <f>E465+82945/60</f>
        <v>1857.4166666666667</v>
      </c>
      <c r="F1012" s="539">
        <f>F465+78445/60</f>
        <v>1782.4166666666667</v>
      </c>
      <c r="G1012" s="222" t="s">
        <v>1659</v>
      </c>
      <c r="H1012" s="385" t="s">
        <v>742</v>
      </c>
      <c r="I1012" s="398" t="s">
        <v>130</v>
      </c>
      <c r="J1012" s="37"/>
      <c r="K1012" s="380" t="s">
        <v>727</v>
      </c>
      <c r="L1012" s="398" t="s">
        <v>639</v>
      </c>
      <c r="M1012" s="547">
        <v>43081</v>
      </c>
      <c r="N1012" s="547">
        <v>43090</v>
      </c>
      <c r="O1012" s="419"/>
      <c r="P1012" s="61"/>
      <c r="Q1012" s="61" t="s">
        <v>902</v>
      </c>
      <c r="R1012" s="397" t="s">
        <v>171</v>
      </c>
      <c r="S1012" s="315" t="s">
        <v>2862</v>
      </c>
      <c r="T1012" s="626">
        <v>14</v>
      </c>
      <c r="U1012" s="421"/>
    </row>
    <row r="1013" spans="1:21" s="377" customFormat="1" ht="20.100000000000001" customHeight="1">
      <c r="A1013" s="1184" t="s">
        <v>2951</v>
      </c>
      <c r="B1013" s="1183" t="s">
        <v>343</v>
      </c>
      <c r="C1013" s="1183" t="s">
        <v>549</v>
      </c>
      <c r="D1013" s="539">
        <f>D467+702+25</f>
        <v>1007</v>
      </c>
      <c r="E1013" s="539">
        <f>E467+1386+50</f>
        <v>1861</v>
      </c>
      <c r="F1013" s="539">
        <f>F467+1386+50</f>
        <v>1861</v>
      </c>
      <c r="G1013" s="222" t="s">
        <v>2347</v>
      </c>
      <c r="H1013" s="385" t="s">
        <v>2350</v>
      </c>
      <c r="I1013" s="398" t="s">
        <v>130</v>
      </c>
      <c r="J1013" s="37"/>
      <c r="K1013" s="380" t="s">
        <v>2346</v>
      </c>
      <c r="L1013" s="386" t="s">
        <v>639</v>
      </c>
      <c r="M1013" s="547">
        <v>43086</v>
      </c>
      <c r="N1013" s="547">
        <v>43092</v>
      </c>
      <c r="O1013" s="419"/>
      <c r="P1013" s="61"/>
      <c r="Q1013" s="61" t="s">
        <v>934</v>
      </c>
      <c r="R1013" s="397" t="s">
        <v>171</v>
      </c>
      <c r="S1013" s="322"/>
      <c r="T1013" s="688"/>
      <c r="U1013" s="421"/>
    </row>
    <row r="1014" spans="1:21" s="377" customFormat="1" ht="20.100000000000001" customHeight="1">
      <c r="A1014" s="1184" t="s">
        <v>2951</v>
      </c>
      <c r="B1014" s="1183" t="s">
        <v>343</v>
      </c>
      <c r="C1014" s="1183" t="s">
        <v>549</v>
      </c>
      <c r="D1014" s="539">
        <f>D771</f>
        <v>1425</v>
      </c>
      <c r="E1014" s="539">
        <f>E771</f>
        <v>2000</v>
      </c>
      <c r="F1014" s="539">
        <f>F771</f>
        <v>2000</v>
      </c>
      <c r="G1014" s="217" t="s">
        <v>19</v>
      </c>
      <c r="H1014" s="385" t="s">
        <v>742</v>
      </c>
      <c r="I1014" s="398" t="s">
        <v>623</v>
      </c>
      <c r="J1014" s="37"/>
      <c r="K1014" s="398" t="s">
        <v>1269</v>
      </c>
      <c r="L1014" s="398" t="s">
        <v>639</v>
      </c>
      <c r="M1014" s="399">
        <v>43073</v>
      </c>
      <c r="N1014" s="399">
        <v>43086</v>
      </c>
      <c r="O1014" s="382" t="s">
        <v>611</v>
      </c>
      <c r="P1014" s="105"/>
      <c r="Q1014" s="61" t="s">
        <v>1661</v>
      </c>
      <c r="R1014" s="397" t="s">
        <v>187</v>
      </c>
      <c r="S1014" s="316" t="s">
        <v>2908</v>
      </c>
      <c r="T1014" s="848" t="s">
        <v>4105</v>
      </c>
      <c r="U1014" s="421"/>
    </row>
    <row r="1015" spans="1:21" s="377" customFormat="1" ht="20.100000000000001" customHeight="1">
      <c r="A1015" s="1184" t="s">
        <v>2951</v>
      </c>
      <c r="B1015" s="1183" t="s">
        <v>343</v>
      </c>
      <c r="C1015" s="1183" t="s">
        <v>549</v>
      </c>
      <c r="D1015" s="527">
        <f>D476+850+25</f>
        <v>1125</v>
      </c>
      <c r="E1015" s="527">
        <f>E476+1460+50</f>
        <v>1910</v>
      </c>
      <c r="F1015" s="527">
        <f>F476+1460+50</f>
        <v>1810</v>
      </c>
      <c r="G1015" s="707" t="s">
        <v>157</v>
      </c>
      <c r="H1015" s="385" t="s">
        <v>1102</v>
      </c>
      <c r="I1015" s="398" t="s">
        <v>130</v>
      </c>
      <c r="J1015" s="681"/>
      <c r="K1015" s="426">
        <v>23</v>
      </c>
      <c r="L1015" s="398" t="s">
        <v>639</v>
      </c>
      <c r="M1015" s="392">
        <v>43084</v>
      </c>
      <c r="N1015" s="392">
        <v>43088</v>
      </c>
      <c r="O1015" s="423" t="s">
        <v>601</v>
      </c>
      <c r="P1015" s="61" t="s">
        <v>1942</v>
      </c>
      <c r="Q1015" s="61" t="s">
        <v>902</v>
      </c>
      <c r="R1015" s="424" t="s">
        <v>171</v>
      </c>
      <c r="S1015" s="316" t="s">
        <v>2909</v>
      </c>
      <c r="T1015" s="689"/>
      <c r="U1015" s="421"/>
    </row>
    <row r="1016" spans="1:21" s="377" customFormat="1" ht="20.100000000000001" customHeight="1">
      <c r="A1016" s="1184" t="s">
        <v>2951</v>
      </c>
      <c r="B1016" s="1183" t="s">
        <v>343</v>
      </c>
      <c r="C1016" s="1183" t="s">
        <v>549</v>
      </c>
      <c r="D1016" s="527">
        <f>D472+621+25</f>
        <v>646</v>
      </c>
      <c r="E1016" s="527">
        <f>E472+1095+50</f>
        <v>1145</v>
      </c>
      <c r="F1016" s="527">
        <f>F472+1095+50</f>
        <v>1145</v>
      </c>
      <c r="G1016" s="707" t="s">
        <v>13</v>
      </c>
      <c r="H1016" s="385" t="s">
        <v>721</v>
      </c>
      <c r="I1016" s="398" t="s">
        <v>130</v>
      </c>
      <c r="J1016" s="37"/>
      <c r="K1016" s="398" t="s">
        <v>663</v>
      </c>
      <c r="L1016" s="398" t="s">
        <v>639</v>
      </c>
      <c r="M1016" s="404">
        <v>43040</v>
      </c>
      <c r="N1016" s="404">
        <v>43100</v>
      </c>
      <c r="O1016" s="423" t="s">
        <v>601</v>
      </c>
      <c r="P1016" s="61"/>
      <c r="Q1016" s="61" t="s">
        <v>3035</v>
      </c>
      <c r="R1016" s="397" t="s">
        <v>173</v>
      </c>
      <c r="S1016" s="316" t="s">
        <v>2906</v>
      </c>
      <c r="T1016" s="689"/>
      <c r="U1016" s="421"/>
    </row>
    <row r="1017" spans="1:21" s="377" customFormat="1" ht="20.100000000000001" customHeight="1">
      <c r="A1017" s="1184" t="s">
        <v>2951</v>
      </c>
      <c r="B1017" s="1183" t="s">
        <v>343</v>
      </c>
      <c r="C1017" s="1183" t="s">
        <v>549</v>
      </c>
      <c r="D1017" s="32">
        <f>D475+(36568/60)*1.15</f>
        <v>700.88666666666666</v>
      </c>
      <c r="E1017" s="32">
        <f>E475+(64474/60)*1.15</f>
        <v>1235.7516666666666</v>
      </c>
      <c r="F1017" s="32">
        <f>F475+(64474/60)*1.15</f>
        <v>1235.7516666666666</v>
      </c>
      <c r="G1017" s="67" t="s">
        <v>29</v>
      </c>
      <c r="H1017" s="385" t="s">
        <v>1098</v>
      </c>
      <c r="I1017" s="398" t="s">
        <v>130</v>
      </c>
      <c r="J1017" s="37"/>
      <c r="K1017" s="398" t="s">
        <v>1100</v>
      </c>
      <c r="L1017" s="398" t="s">
        <v>652</v>
      </c>
      <c r="M1017" s="404">
        <v>43038</v>
      </c>
      <c r="N1017" s="404">
        <v>43086</v>
      </c>
      <c r="O1017" s="422"/>
      <c r="P1017" s="61"/>
      <c r="Q1017" s="61" t="s">
        <v>3035</v>
      </c>
      <c r="R1017" s="397" t="s">
        <v>173</v>
      </c>
      <c r="S1017" s="316" t="s">
        <v>2898</v>
      </c>
      <c r="T1017" s="689"/>
      <c r="U1017" s="421"/>
    </row>
    <row r="1018" spans="1:21" s="377" customFormat="1" ht="20.100000000000001" customHeight="1">
      <c r="A1018" s="1184" t="s">
        <v>1111</v>
      </c>
      <c r="B1018" s="1183" t="s">
        <v>343</v>
      </c>
      <c r="C1018" s="1183" t="s">
        <v>549</v>
      </c>
      <c r="D1018" s="13">
        <f>D555+(38940/60)*1.15</f>
        <v>1221.3499999999999</v>
      </c>
      <c r="E1018" s="13">
        <f>E555+(68307/60)*1.15</f>
        <v>1809.2175</v>
      </c>
      <c r="F1018" s="13">
        <f>F555+(68307/60)*1.15</f>
        <v>1809.2175</v>
      </c>
      <c r="G1018" s="705" t="s">
        <v>29</v>
      </c>
      <c r="H1018" s="385" t="s">
        <v>659</v>
      </c>
      <c r="I1018" s="426" t="s">
        <v>472</v>
      </c>
      <c r="J1018" s="681"/>
      <c r="K1018" s="386">
        <v>33</v>
      </c>
      <c r="L1018" s="398" t="s">
        <v>639</v>
      </c>
      <c r="M1018" s="404">
        <v>43082</v>
      </c>
      <c r="N1018" s="404">
        <v>43086</v>
      </c>
      <c r="O1018" s="422"/>
      <c r="P1018" s="61" t="s">
        <v>599</v>
      </c>
      <c r="Q1018" s="61" t="s">
        <v>934</v>
      </c>
      <c r="R1018" s="397" t="s">
        <v>450</v>
      </c>
      <c r="S1018" s="316" t="s">
        <v>2898</v>
      </c>
      <c r="T1018" s="689"/>
      <c r="U1018" s="421"/>
    </row>
    <row r="1019" spans="1:21" s="377" customFormat="1" ht="20.100000000000001" customHeight="1">
      <c r="A1019" s="1184" t="s">
        <v>1111</v>
      </c>
      <c r="B1019" s="1183" t="s">
        <v>343</v>
      </c>
      <c r="C1019" s="1183" t="s">
        <v>549</v>
      </c>
      <c r="D1019" s="13">
        <f>D535+(47215+5000)/60</f>
        <v>1270.25</v>
      </c>
      <c r="E1019" s="13">
        <f>E535+(83425+10000)/60</f>
        <v>2007.0833333333333</v>
      </c>
      <c r="F1019" s="13">
        <f>F535+(83425+10000)/60</f>
        <v>2007.0833333333333</v>
      </c>
      <c r="G1019" s="222" t="s">
        <v>51</v>
      </c>
      <c r="H1019" s="403">
        <v>3</v>
      </c>
      <c r="I1019" s="426" t="s">
        <v>472</v>
      </c>
      <c r="J1019" s="681"/>
      <c r="K1019" s="386" t="s">
        <v>2364</v>
      </c>
      <c r="L1019" s="380" t="s">
        <v>639</v>
      </c>
      <c r="M1019" s="381">
        <v>43084</v>
      </c>
      <c r="N1019" s="381">
        <v>43089</v>
      </c>
      <c r="O1019" s="422"/>
      <c r="P1019" s="61" t="s">
        <v>597</v>
      </c>
      <c r="Q1019" s="61" t="s">
        <v>902</v>
      </c>
      <c r="R1019" s="397" t="s">
        <v>450</v>
      </c>
      <c r="S1019" s="327" t="s">
        <v>3066</v>
      </c>
      <c r="T1019" s="689"/>
      <c r="U1019" s="421"/>
    </row>
    <row r="1020" spans="1:21" s="377" customFormat="1" ht="20.100000000000001" customHeight="1">
      <c r="A1020" s="1184" t="s">
        <v>1111</v>
      </c>
      <c r="B1020" s="1183" t="s">
        <v>343</v>
      </c>
      <c r="C1020" s="1183" t="s">
        <v>549</v>
      </c>
      <c r="D1020" s="13">
        <f>D554+41045/60</f>
        <v>1059.0833333333335</v>
      </c>
      <c r="E1020" s="13">
        <f>E554+68605/60</f>
        <v>1593.4166666666667</v>
      </c>
      <c r="F1020" s="13">
        <f>F554+68605/60</f>
        <v>1593.4166666666667</v>
      </c>
      <c r="G1020" s="222" t="s">
        <v>2328</v>
      </c>
      <c r="H1020" s="385" t="s">
        <v>725</v>
      </c>
      <c r="I1020" s="398" t="s">
        <v>472</v>
      </c>
      <c r="J1020" s="681"/>
      <c r="K1020" s="386" t="s">
        <v>2341</v>
      </c>
      <c r="L1020" s="379" t="s">
        <v>641</v>
      </c>
      <c r="M1020" s="381">
        <v>43082</v>
      </c>
      <c r="N1020" s="381">
        <v>43086</v>
      </c>
      <c r="O1020" s="394" t="s">
        <v>1949</v>
      </c>
      <c r="P1020" s="61"/>
      <c r="Q1020" s="61" t="s">
        <v>2337</v>
      </c>
      <c r="R1020" s="397" t="s">
        <v>826</v>
      </c>
      <c r="S1020" s="336" t="s">
        <v>1176</v>
      </c>
      <c r="T1020" s="323" t="s">
        <v>2935</v>
      </c>
      <c r="U1020" s="421"/>
    </row>
    <row r="1021" spans="1:21" s="377" customFormat="1" ht="20.100000000000001" customHeight="1">
      <c r="A1021" s="1184" t="s">
        <v>2951</v>
      </c>
      <c r="B1021" s="1183" t="s">
        <v>343</v>
      </c>
      <c r="C1021" s="1183" t="s">
        <v>549</v>
      </c>
      <c r="D1021" s="13">
        <f>D546+47500/55</f>
        <v>1298.6363636363635</v>
      </c>
      <c r="E1021" s="528"/>
      <c r="F1021" s="13">
        <f>F546+73500/55</f>
        <v>1846.3636363636363</v>
      </c>
      <c r="G1021" s="705" t="s">
        <v>37</v>
      </c>
      <c r="H1021" s="385">
        <v>5</v>
      </c>
      <c r="I1021" s="426" t="s">
        <v>472</v>
      </c>
      <c r="J1021" s="681"/>
      <c r="K1021" s="386" t="s">
        <v>872</v>
      </c>
      <c r="L1021" s="380" t="s">
        <v>649</v>
      </c>
      <c r="M1021" s="392">
        <v>43063</v>
      </c>
      <c r="N1021" s="392">
        <v>43080</v>
      </c>
      <c r="O1021" s="419"/>
      <c r="P1021" s="750"/>
      <c r="Q1021" s="61" t="s">
        <v>927</v>
      </c>
      <c r="R1021" s="397" t="s">
        <v>179</v>
      </c>
      <c r="S1021" s="315" t="s">
        <v>2903</v>
      </c>
      <c r="T1021" s="316"/>
      <c r="U1021" s="421"/>
    </row>
    <row r="1022" spans="1:21" s="377" customFormat="1" ht="20.100000000000001" customHeight="1">
      <c r="A1022" s="1184" t="s">
        <v>2951</v>
      </c>
      <c r="B1022" s="1183" t="s">
        <v>343</v>
      </c>
      <c r="C1022" s="1183" t="s">
        <v>549</v>
      </c>
      <c r="D1022" s="11">
        <f>D547+910+25</f>
        <v>1185</v>
      </c>
      <c r="E1022" s="13">
        <f>E547+1540+50</f>
        <v>2040</v>
      </c>
      <c r="F1022" s="13">
        <f>F547+1540+50</f>
        <v>1990</v>
      </c>
      <c r="G1022" s="705" t="s">
        <v>28</v>
      </c>
      <c r="H1022" s="417">
        <v>5</v>
      </c>
      <c r="I1022" s="426" t="s">
        <v>472</v>
      </c>
      <c r="J1022" s="681"/>
      <c r="K1022" s="386">
        <v>20</v>
      </c>
      <c r="L1022" s="380" t="s">
        <v>649</v>
      </c>
      <c r="M1022" s="392">
        <v>43084</v>
      </c>
      <c r="N1022" s="392">
        <v>43088</v>
      </c>
      <c r="O1022" s="422"/>
      <c r="P1022" s="61" t="s">
        <v>1676</v>
      </c>
      <c r="Q1022" s="61" t="s">
        <v>902</v>
      </c>
      <c r="R1022" s="397" t="s">
        <v>504</v>
      </c>
      <c r="S1022" s="316" t="s">
        <v>2909</v>
      </c>
      <c r="T1022" s="689"/>
      <c r="U1022" s="421"/>
    </row>
    <row r="1023" spans="1:21" s="377" customFormat="1" ht="20.100000000000001" customHeight="1">
      <c r="A1023" s="1184" t="s">
        <v>2951</v>
      </c>
      <c r="B1023" s="1183" t="s">
        <v>343</v>
      </c>
      <c r="C1023" s="1183" t="s">
        <v>549</v>
      </c>
      <c r="D1023" s="13">
        <f>D548+53800/60</f>
        <v>1296.6666666666665</v>
      </c>
      <c r="E1023" s="13">
        <f>E548+91900/60</f>
        <v>2031.6666666666667</v>
      </c>
      <c r="F1023" s="13">
        <f>F548+91900/60</f>
        <v>2031.6666666666667</v>
      </c>
      <c r="G1023" s="705" t="s">
        <v>236</v>
      </c>
      <c r="H1023" s="417" t="s">
        <v>721</v>
      </c>
      <c r="I1023" s="386" t="s">
        <v>472</v>
      </c>
      <c r="J1023" s="37"/>
      <c r="K1023" s="398">
        <v>21</v>
      </c>
      <c r="L1023" s="386" t="s">
        <v>641</v>
      </c>
      <c r="M1023" s="399">
        <v>43064</v>
      </c>
      <c r="N1023" s="399">
        <v>43086</v>
      </c>
      <c r="O1023" s="423" t="s">
        <v>601</v>
      </c>
      <c r="P1023" s="751"/>
      <c r="Q1023" s="61" t="s">
        <v>934</v>
      </c>
      <c r="R1023" s="424" t="s">
        <v>202</v>
      </c>
      <c r="S1023" s="316"/>
      <c r="T1023" s="689"/>
      <c r="U1023" s="421"/>
    </row>
    <row r="1024" spans="1:21" s="377" customFormat="1" ht="20.100000000000001" customHeight="1">
      <c r="A1024" s="1184" t="s">
        <v>2951</v>
      </c>
      <c r="B1024" s="1183" t="s">
        <v>343</v>
      </c>
      <c r="C1024" s="1183" t="s">
        <v>549</v>
      </c>
      <c r="D1024" s="13">
        <f>D549+57125/60</f>
        <v>1302.0833333333335</v>
      </c>
      <c r="E1024" s="13">
        <f>E549+103225/60</f>
        <v>2110.416666666667</v>
      </c>
      <c r="F1024" s="13">
        <f>F549+103225/60</f>
        <v>2110.416666666667</v>
      </c>
      <c r="G1024" s="705" t="s">
        <v>12</v>
      </c>
      <c r="H1024" s="417" t="s">
        <v>721</v>
      </c>
      <c r="I1024" s="426" t="s">
        <v>472</v>
      </c>
      <c r="J1024" s="681"/>
      <c r="K1024" s="386">
        <v>20</v>
      </c>
      <c r="L1024" s="386" t="s">
        <v>650</v>
      </c>
      <c r="M1024" s="551">
        <v>43084</v>
      </c>
      <c r="N1024" s="551">
        <v>43091</v>
      </c>
      <c r="O1024" s="419"/>
      <c r="P1024" s="61" t="s">
        <v>597</v>
      </c>
      <c r="Q1024" s="61" t="s">
        <v>932</v>
      </c>
      <c r="R1024" s="397" t="s">
        <v>202</v>
      </c>
      <c r="S1024" s="322" t="s">
        <v>1176</v>
      </c>
      <c r="T1024" s="688" t="s">
        <v>2840</v>
      </c>
      <c r="U1024" s="421"/>
    </row>
    <row r="1025" spans="1:21" s="377" customFormat="1" ht="20.100000000000001" customHeight="1">
      <c r="A1025" s="741" t="s">
        <v>2949</v>
      </c>
      <c r="B1025" s="445" t="s">
        <v>2331</v>
      </c>
      <c r="C1025" s="445" t="s">
        <v>2329</v>
      </c>
      <c r="D1025" s="13">
        <f>D440+46586/60</f>
        <v>1026.4333333333334</v>
      </c>
      <c r="E1025" s="13">
        <f>E440+84371/60</f>
        <v>1656.1833333333334</v>
      </c>
      <c r="F1025" s="13">
        <f>F440+84371/60</f>
        <v>1656.1833333333334</v>
      </c>
      <c r="G1025" s="656" t="s">
        <v>2328</v>
      </c>
      <c r="H1025" s="385" t="s">
        <v>725</v>
      </c>
      <c r="I1025" s="398" t="s">
        <v>93</v>
      </c>
      <c r="J1025" s="37"/>
      <c r="K1025" s="398" t="s">
        <v>2336</v>
      </c>
      <c r="L1025" s="379" t="s">
        <v>641</v>
      </c>
      <c r="M1025" s="381">
        <v>43082</v>
      </c>
      <c r="N1025" s="381">
        <v>43086</v>
      </c>
      <c r="O1025" s="394" t="s">
        <v>1949</v>
      </c>
      <c r="P1025" s="72" t="s">
        <v>2285</v>
      </c>
      <c r="Q1025" s="61" t="s">
        <v>2337</v>
      </c>
      <c r="R1025" s="397" t="s">
        <v>826</v>
      </c>
      <c r="S1025" s="336" t="s">
        <v>1176</v>
      </c>
      <c r="T1025" s="323" t="s">
        <v>2935</v>
      </c>
      <c r="U1025" s="421"/>
    </row>
    <row r="1026" spans="1:21" s="377" customFormat="1" ht="20.100000000000001" customHeight="1">
      <c r="A1026" s="1184" t="s">
        <v>2951</v>
      </c>
      <c r="B1026" s="1183" t="s">
        <v>343</v>
      </c>
      <c r="C1026" s="1183" t="s">
        <v>550</v>
      </c>
      <c r="D1026" s="13">
        <f>D417+36072/55</f>
        <v>1015.8545454545455</v>
      </c>
      <c r="E1026" s="528"/>
      <c r="F1026" s="13">
        <f>F417+48146/55</f>
        <v>1260.3818181818183</v>
      </c>
      <c r="G1026" s="705" t="s">
        <v>102</v>
      </c>
      <c r="H1026" s="378">
        <v>1</v>
      </c>
      <c r="I1026" s="398" t="s">
        <v>93</v>
      </c>
      <c r="J1026" s="37"/>
      <c r="K1026" s="426">
        <v>22</v>
      </c>
      <c r="L1026" s="379" t="s">
        <v>636</v>
      </c>
      <c r="M1026" s="392">
        <v>43080</v>
      </c>
      <c r="N1026" s="392">
        <v>43080</v>
      </c>
      <c r="O1026" s="419"/>
      <c r="P1026" s="61" t="s">
        <v>1933</v>
      </c>
      <c r="Q1026" s="61" t="s">
        <v>927</v>
      </c>
      <c r="R1026" s="397" t="s">
        <v>192</v>
      </c>
      <c r="S1026" s="315" t="s">
        <v>2903</v>
      </c>
      <c r="T1026" s="316"/>
      <c r="U1026" s="421"/>
    </row>
    <row r="1027" spans="1:21" s="377" customFormat="1" ht="20.100000000000001" customHeight="1">
      <c r="A1027" s="1184" t="s">
        <v>2951</v>
      </c>
      <c r="B1027" s="1183" t="s">
        <v>343</v>
      </c>
      <c r="C1027" s="1183" t="s">
        <v>550</v>
      </c>
      <c r="D1027" s="539">
        <f>D425+308+25</f>
        <v>758</v>
      </c>
      <c r="E1027" s="539">
        <f>E425+545+50</f>
        <v>1145</v>
      </c>
      <c r="F1027" s="539">
        <f>F425+545+50</f>
        <v>1145</v>
      </c>
      <c r="G1027" s="705" t="s">
        <v>61</v>
      </c>
      <c r="H1027" s="385" t="s">
        <v>729</v>
      </c>
      <c r="I1027" s="426" t="s">
        <v>93</v>
      </c>
      <c r="J1027" s="681"/>
      <c r="K1027" s="426" t="s">
        <v>794</v>
      </c>
      <c r="L1027" s="398" t="s">
        <v>649</v>
      </c>
      <c r="M1027" s="404">
        <v>43070</v>
      </c>
      <c r="N1027" s="404">
        <v>43100</v>
      </c>
      <c r="O1027" s="423" t="s">
        <v>601</v>
      </c>
      <c r="P1027" s="7" t="s">
        <v>1813</v>
      </c>
      <c r="Q1027" s="61" t="s">
        <v>934</v>
      </c>
      <c r="R1027" s="424" t="s">
        <v>251</v>
      </c>
      <c r="S1027" s="316" t="s">
        <v>2906</v>
      </c>
      <c r="T1027" s="689"/>
      <c r="U1027" s="421"/>
    </row>
    <row r="1028" spans="1:21" s="377" customFormat="1" ht="20.100000000000001" customHeight="1">
      <c r="A1028" s="1184" t="s">
        <v>2951</v>
      </c>
      <c r="B1028" s="1183" t="s">
        <v>343</v>
      </c>
      <c r="C1028" s="1183" t="s">
        <v>550</v>
      </c>
      <c r="D1028" s="2">
        <f>D452+(19860/60)*1.15</f>
        <v>705.65</v>
      </c>
      <c r="E1028" s="2">
        <f>E452+(34895/60)*1.15</f>
        <v>1068.8208333333332</v>
      </c>
      <c r="F1028" s="2">
        <f>F452+(34895/60)*1.15</f>
        <v>1068.8208333333332</v>
      </c>
      <c r="G1028" s="705" t="s">
        <v>29</v>
      </c>
      <c r="H1028" s="385" t="s">
        <v>1101</v>
      </c>
      <c r="I1028" s="386" t="s">
        <v>93</v>
      </c>
      <c r="J1028" s="681"/>
      <c r="K1028" s="398">
        <v>24</v>
      </c>
      <c r="L1028" s="398" t="s">
        <v>649</v>
      </c>
      <c r="M1028" s="404">
        <v>43080</v>
      </c>
      <c r="N1028" s="404">
        <v>43086</v>
      </c>
      <c r="O1028" s="422"/>
      <c r="P1028" s="751" t="s">
        <v>1072</v>
      </c>
      <c r="Q1028" s="61" t="s">
        <v>934</v>
      </c>
      <c r="R1028" s="397" t="s">
        <v>251</v>
      </c>
      <c r="S1028" s="316" t="s">
        <v>2898</v>
      </c>
      <c r="T1028" s="689"/>
      <c r="U1028" s="421"/>
    </row>
    <row r="1029" spans="1:21" s="377" customFormat="1" ht="20.100000000000001" customHeight="1">
      <c r="A1029" s="1184" t="s">
        <v>2951</v>
      </c>
      <c r="B1029" s="1183" t="s">
        <v>343</v>
      </c>
      <c r="C1029" s="1183" t="s">
        <v>550</v>
      </c>
      <c r="D1029" s="11">
        <f>D422+28711/55</f>
        <v>722.0181818181818</v>
      </c>
      <c r="E1029" s="11">
        <f>E422+44109/55</f>
        <v>1051.9818181818182</v>
      </c>
      <c r="F1029" s="11">
        <f>F422+44109/55</f>
        <v>1051.9818181818182</v>
      </c>
      <c r="G1029" s="67" t="s">
        <v>207</v>
      </c>
      <c r="H1029" s="390" t="s">
        <v>729</v>
      </c>
      <c r="I1029" s="406" t="s">
        <v>93</v>
      </c>
      <c r="J1029" s="50"/>
      <c r="K1029" s="406">
        <v>22</v>
      </c>
      <c r="L1029" s="398" t="s">
        <v>649</v>
      </c>
      <c r="M1029" s="547">
        <v>43080</v>
      </c>
      <c r="N1029" s="547">
        <v>43080</v>
      </c>
      <c r="O1029" s="422"/>
      <c r="P1029" s="59" t="s">
        <v>604</v>
      </c>
      <c r="Q1029" s="61" t="s">
        <v>919</v>
      </c>
      <c r="R1029" s="397" t="s">
        <v>251</v>
      </c>
      <c r="S1029" s="322" t="s">
        <v>2861</v>
      </c>
      <c r="T1029" s="689"/>
      <c r="U1029" s="421"/>
    </row>
    <row r="1030" spans="1:21" s="377" customFormat="1" ht="20.100000000000001" customHeight="1">
      <c r="A1030" s="1184" t="s">
        <v>2951</v>
      </c>
      <c r="B1030" s="1183" t="s">
        <v>343</v>
      </c>
      <c r="C1030" s="1183" t="s">
        <v>550</v>
      </c>
      <c r="D1030" s="13">
        <f>(D419+22211/60)+200</f>
        <v>845.18333333333339</v>
      </c>
      <c r="E1030" s="13">
        <f>(E419+41467/60)+600</f>
        <v>1641.1166666666668</v>
      </c>
      <c r="F1030" s="13">
        <f>(F419+41467/60)+600</f>
        <v>1641.1166666666668</v>
      </c>
      <c r="G1030" s="222" t="s">
        <v>10</v>
      </c>
      <c r="H1030" s="390" t="s">
        <v>633</v>
      </c>
      <c r="I1030" s="380" t="s">
        <v>93</v>
      </c>
      <c r="J1030" s="37"/>
      <c r="K1030" s="426" t="s">
        <v>949</v>
      </c>
      <c r="L1030" s="379" t="s">
        <v>637</v>
      </c>
      <c r="M1030" s="381">
        <v>43087</v>
      </c>
      <c r="N1030" s="381">
        <v>43087</v>
      </c>
      <c r="O1030" s="422"/>
      <c r="P1030" s="61" t="s">
        <v>913</v>
      </c>
      <c r="Q1030" s="61" t="s">
        <v>902</v>
      </c>
      <c r="R1030" s="397" t="s">
        <v>1015</v>
      </c>
      <c r="S1030" s="315" t="s">
        <v>2904</v>
      </c>
      <c r="T1030" s="689"/>
      <c r="U1030" s="421"/>
    </row>
    <row r="1031" spans="1:21" s="377" customFormat="1" ht="20.100000000000001" customHeight="1">
      <c r="A1031" s="1184" t="s">
        <v>2951</v>
      </c>
      <c r="B1031" s="1183" t="s">
        <v>343</v>
      </c>
      <c r="C1031" s="1183" t="s">
        <v>550</v>
      </c>
      <c r="D1031" s="13">
        <f>D435+454+25</f>
        <v>709</v>
      </c>
      <c r="E1031" s="13">
        <f>E435+945+50</f>
        <v>1320</v>
      </c>
      <c r="F1031" s="13">
        <f>F435+945+50</f>
        <v>1320</v>
      </c>
      <c r="G1031" s="222" t="s">
        <v>14</v>
      </c>
      <c r="H1031" s="56" t="s">
        <v>742</v>
      </c>
      <c r="I1031" s="380" t="s">
        <v>93</v>
      </c>
      <c r="J1031" s="37"/>
      <c r="K1031" s="426" t="s">
        <v>2348</v>
      </c>
      <c r="L1031" s="398" t="s">
        <v>652</v>
      </c>
      <c r="M1031" s="547">
        <v>43086</v>
      </c>
      <c r="N1031" s="547">
        <v>43092</v>
      </c>
      <c r="O1031" s="422"/>
      <c r="P1031" s="61" t="s">
        <v>605</v>
      </c>
      <c r="Q1031" s="61" t="s">
        <v>934</v>
      </c>
      <c r="R1031" s="17" t="s">
        <v>449</v>
      </c>
      <c r="S1031" s="322" t="s">
        <v>1176</v>
      </c>
      <c r="T1031" s="689"/>
      <c r="U1031" s="421"/>
    </row>
    <row r="1032" spans="1:21" s="377" customFormat="1" ht="20.100000000000001" customHeight="1">
      <c r="A1032" s="1184" t="s">
        <v>2951</v>
      </c>
      <c r="B1032" s="1183" t="s">
        <v>343</v>
      </c>
      <c r="C1032" s="1183" t="s">
        <v>550</v>
      </c>
      <c r="D1032" s="527">
        <f>D421+34125/60</f>
        <v>798.75</v>
      </c>
      <c r="E1032" s="527">
        <f>E421+75750/60</f>
        <v>1412.5</v>
      </c>
      <c r="F1032" s="527">
        <f>F421+75750/60</f>
        <v>1412.5</v>
      </c>
      <c r="G1032" s="67" t="s">
        <v>146</v>
      </c>
      <c r="H1032" s="417" t="s">
        <v>651</v>
      </c>
      <c r="I1032" s="380" t="s">
        <v>93</v>
      </c>
      <c r="J1032" s="50"/>
      <c r="K1032" s="380">
        <v>20</v>
      </c>
      <c r="L1032" s="415" t="s">
        <v>637</v>
      </c>
      <c r="M1032" s="551">
        <v>43084</v>
      </c>
      <c r="N1032" s="551">
        <v>43091</v>
      </c>
      <c r="O1032" s="419"/>
      <c r="P1032" s="72" t="s">
        <v>1941</v>
      </c>
      <c r="Q1032" s="61" t="s">
        <v>932</v>
      </c>
      <c r="R1032" s="384" t="s">
        <v>1740</v>
      </c>
      <c r="S1032" s="322" t="s">
        <v>1176</v>
      </c>
      <c r="T1032" s="688" t="s">
        <v>2840</v>
      </c>
      <c r="U1032" s="421"/>
    </row>
    <row r="1033" spans="1:21" s="377" customFormat="1" ht="20.100000000000001" customHeight="1">
      <c r="A1033" s="1184" t="s">
        <v>2951</v>
      </c>
      <c r="B1033" s="1183" t="s">
        <v>343</v>
      </c>
      <c r="C1033" s="1183" t="s">
        <v>550</v>
      </c>
      <c r="D1033" s="527">
        <f>D759</f>
        <v>1425</v>
      </c>
      <c r="E1033" s="527">
        <f>E759</f>
        <v>2000</v>
      </c>
      <c r="F1033" s="527">
        <f>F759</f>
        <v>2000</v>
      </c>
      <c r="G1033" s="222" t="s">
        <v>19</v>
      </c>
      <c r="H1033" s="385" t="s">
        <v>742</v>
      </c>
      <c r="I1033" s="398" t="s">
        <v>93</v>
      </c>
      <c r="J1033" s="37"/>
      <c r="K1033" s="398" t="s">
        <v>1260</v>
      </c>
      <c r="L1033" s="398" t="s">
        <v>639</v>
      </c>
      <c r="M1033" s="399">
        <v>43073</v>
      </c>
      <c r="N1033" s="399">
        <v>43086</v>
      </c>
      <c r="O1033" s="382" t="s">
        <v>611</v>
      </c>
      <c r="P1033" s="61" t="s">
        <v>588</v>
      </c>
      <c r="Q1033" s="61" t="s">
        <v>1661</v>
      </c>
      <c r="R1033" s="397" t="s">
        <v>187</v>
      </c>
      <c r="S1033" s="316" t="s">
        <v>2908</v>
      </c>
      <c r="T1033" s="848" t="s">
        <v>4105</v>
      </c>
      <c r="U1033" s="421"/>
    </row>
    <row r="1034" spans="1:21" s="377" customFormat="1" ht="20.100000000000001" customHeight="1">
      <c r="A1034" s="1184" t="s">
        <v>2951</v>
      </c>
      <c r="B1034" s="1183" t="s">
        <v>343</v>
      </c>
      <c r="C1034" s="1183" t="s">
        <v>550</v>
      </c>
      <c r="D1034" s="527">
        <f>D453+700+25</f>
        <v>975</v>
      </c>
      <c r="E1034" s="527">
        <f>E453+1330+50</f>
        <v>1780</v>
      </c>
      <c r="F1034" s="527">
        <f>F453+1330+50</f>
        <v>1680</v>
      </c>
      <c r="G1034" s="705" t="s">
        <v>157</v>
      </c>
      <c r="H1034" s="385" t="s">
        <v>1102</v>
      </c>
      <c r="I1034" s="426" t="s">
        <v>93</v>
      </c>
      <c r="J1034" s="681"/>
      <c r="K1034" s="426">
        <v>21</v>
      </c>
      <c r="L1034" s="398" t="s">
        <v>639</v>
      </c>
      <c r="M1034" s="392">
        <v>43084</v>
      </c>
      <c r="N1034" s="392">
        <v>43088</v>
      </c>
      <c r="O1034" s="423" t="s">
        <v>601</v>
      </c>
      <c r="P1034" s="61" t="s">
        <v>1942</v>
      </c>
      <c r="Q1034" s="61" t="s">
        <v>3033</v>
      </c>
      <c r="R1034" s="424" t="s">
        <v>171</v>
      </c>
      <c r="S1034" s="316" t="s">
        <v>2909</v>
      </c>
      <c r="T1034" s="689"/>
      <c r="U1034" s="421"/>
    </row>
    <row r="1035" spans="1:21" s="377" customFormat="1" ht="20.100000000000001" customHeight="1">
      <c r="A1035" s="1184" t="s">
        <v>2951</v>
      </c>
      <c r="B1035" s="1183" t="s">
        <v>343</v>
      </c>
      <c r="C1035" s="1183" t="s">
        <v>550</v>
      </c>
      <c r="D1035" s="539">
        <f>D455+30200/60</f>
        <v>878.33333333333326</v>
      </c>
      <c r="E1035" s="539">
        <f>E455+52800/60</f>
        <v>1280</v>
      </c>
      <c r="F1035" s="539">
        <f>F455+52800/60</f>
        <v>1280</v>
      </c>
      <c r="G1035" s="705" t="s">
        <v>232</v>
      </c>
      <c r="H1035" s="425" t="s">
        <v>656</v>
      </c>
      <c r="I1035" s="398" t="s">
        <v>93</v>
      </c>
      <c r="J1035" s="37"/>
      <c r="K1035" s="398">
        <v>23</v>
      </c>
      <c r="L1035" s="386" t="s">
        <v>1871</v>
      </c>
      <c r="M1035" s="399">
        <v>43064</v>
      </c>
      <c r="N1035" s="399">
        <v>43086</v>
      </c>
      <c r="O1035" s="423" t="s">
        <v>601</v>
      </c>
      <c r="P1035" s="751" t="s">
        <v>1937</v>
      </c>
      <c r="Q1035" s="61" t="s">
        <v>934</v>
      </c>
      <c r="R1035" s="424" t="s">
        <v>1870</v>
      </c>
      <c r="S1035" s="315" t="s">
        <v>2907</v>
      </c>
      <c r="T1035" s="689"/>
      <c r="U1035" s="421"/>
    </row>
    <row r="1036" spans="1:21" s="377" customFormat="1" ht="20.100000000000001" customHeight="1">
      <c r="A1036" s="1184" t="s">
        <v>2951</v>
      </c>
      <c r="B1036" s="1183" t="s">
        <v>343</v>
      </c>
      <c r="C1036" s="1183" t="s">
        <v>550</v>
      </c>
      <c r="D1036" s="539">
        <f>D440+23382/60</f>
        <v>639.70000000000005</v>
      </c>
      <c r="E1036" s="539">
        <f>E440+46413/60</f>
        <v>1023.55</v>
      </c>
      <c r="F1036" s="539">
        <f>F440+46413/60</f>
        <v>1023.55</v>
      </c>
      <c r="G1036" s="656" t="s">
        <v>2328</v>
      </c>
      <c r="H1036" s="385" t="s">
        <v>725</v>
      </c>
      <c r="I1036" s="398" t="s">
        <v>93</v>
      </c>
      <c r="J1036" s="37"/>
      <c r="K1036" s="398" t="s">
        <v>2336</v>
      </c>
      <c r="L1036" s="379" t="s">
        <v>641</v>
      </c>
      <c r="M1036" s="381">
        <v>43082</v>
      </c>
      <c r="N1036" s="381">
        <v>43086</v>
      </c>
      <c r="O1036" s="394" t="s">
        <v>1949</v>
      </c>
      <c r="P1036" s="72" t="s">
        <v>2285</v>
      </c>
      <c r="Q1036" s="61" t="s">
        <v>2337</v>
      </c>
      <c r="R1036" s="397" t="s">
        <v>826</v>
      </c>
      <c r="S1036" s="336" t="s">
        <v>1176</v>
      </c>
      <c r="T1036" s="323" t="s">
        <v>2935</v>
      </c>
      <c r="U1036" s="421"/>
    </row>
    <row r="1037" spans="1:21" s="377" customFormat="1" ht="20.100000000000001" customHeight="1">
      <c r="A1037" s="1184" t="s">
        <v>2951</v>
      </c>
      <c r="B1037" s="1183" t="s">
        <v>343</v>
      </c>
      <c r="C1037" s="1183" t="s">
        <v>550</v>
      </c>
      <c r="D1037" s="13">
        <f>D452+(19860/60)*1.15</f>
        <v>705.65</v>
      </c>
      <c r="E1037" s="13">
        <f>E452+(34895/60)*1.15</f>
        <v>1068.8208333333332</v>
      </c>
      <c r="F1037" s="13">
        <f>F452+(34895/60)*1.15</f>
        <v>1068.8208333333332</v>
      </c>
      <c r="G1037" s="705" t="s">
        <v>29</v>
      </c>
      <c r="H1037" s="417">
        <v>6</v>
      </c>
      <c r="I1037" s="386" t="s">
        <v>93</v>
      </c>
      <c r="J1037" s="37"/>
      <c r="K1037" s="398" t="s">
        <v>794</v>
      </c>
      <c r="L1037" s="398" t="s">
        <v>652</v>
      </c>
      <c r="M1037" s="404">
        <v>43080</v>
      </c>
      <c r="N1037" s="404">
        <v>43086</v>
      </c>
      <c r="O1037" s="422"/>
      <c r="P1037" s="751" t="s">
        <v>1072</v>
      </c>
      <c r="Q1037" s="61" t="s">
        <v>3035</v>
      </c>
      <c r="R1037" s="397" t="s">
        <v>173</v>
      </c>
      <c r="S1037" s="316" t="s">
        <v>2898</v>
      </c>
      <c r="T1037" s="689"/>
      <c r="U1037" s="421"/>
    </row>
    <row r="1038" spans="1:21" s="377" customFormat="1" ht="20.100000000000001" customHeight="1">
      <c r="A1038" s="1184" t="s">
        <v>2951</v>
      </c>
      <c r="B1038" s="1183" t="s">
        <v>343</v>
      </c>
      <c r="C1038" s="1183" t="s">
        <v>550</v>
      </c>
      <c r="D1038" s="2">
        <f>D450+911+25</f>
        <v>1886</v>
      </c>
      <c r="E1038" s="2">
        <f>E450+1456+50</f>
        <v>3056</v>
      </c>
      <c r="F1038" s="2">
        <f>F450+1456+50</f>
        <v>3056</v>
      </c>
      <c r="G1038" s="222" t="s">
        <v>55</v>
      </c>
      <c r="H1038" s="401" t="s">
        <v>706</v>
      </c>
      <c r="I1038" s="426" t="s">
        <v>93</v>
      </c>
      <c r="J1038" s="681"/>
      <c r="K1038" s="386">
        <v>23</v>
      </c>
      <c r="L1038" s="379" t="s">
        <v>643</v>
      </c>
      <c r="M1038" s="392">
        <v>42962</v>
      </c>
      <c r="N1038" s="392">
        <v>43100</v>
      </c>
      <c r="O1038" s="422"/>
      <c r="P1038" s="61" t="s">
        <v>588</v>
      </c>
      <c r="Q1038" s="61" t="s">
        <v>919</v>
      </c>
      <c r="R1038" s="397" t="s">
        <v>1783</v>
      </c>
      <c r="S1038" s="316" t="s">
        <v>1176</v>
      </c>
      <c r="T1038" s="689"/>
      <c r="U1038" s="421"/>
    </row>
    <row r="1039" spans="1:21" s="377" customFormat="1" ht="20.100000000000001" customHeight="1">
      <c r="A1039" s="1184" t="s">
        <v>1111</v>
      </c>
      <c r="B1039" s="1183" t="s">
        <v>343</v>
      </c>
      <c r="C1039" s="1183" t="s">
        <v>550</v>
      </c>
      <c r="D1039" s="2">
        <f>D486+37674/55</f>
        <v>1294.9818181818182</v>
      </c>
      <c r="E1039" s="2">
        <f>E486+67077/55</f>
        <v>2034.5818181818181</v>
      </c>
      <c r="F1039" s="2">
        <f>F486+67077/55</f>
        <v>2034.5818181818181</v>
      </c>
      <c r="G1039" s="705" t="s">
        <v>37</v>
      </c>
      <c r="H1039" s="385" t="s">
        <v>742</v>
      </c>
      <c r="I1039" s="426" t="s">
        <v>129</v>
      </c>
      <c r="J1039" s="681"/>
      <c r="K1039" s="682" t="s">
        <v>3492</v>
      </c>
      <c r="L1039" s="386" t="s">
        <v>636</v>
      </c>
      <c r="M1039" s="392">
        <v>43067</v>
      </c>
      <c r="N1039" s="392">
        <v>43080</v>
      </c>
      <c r="O1039" s="419"/>
      <c r="P1039" s="61" t="s">
        <v>1934</v>
      </c>
      <c r="Q1039" s="61" t="s">
        <v>930</v>
      </c>
      <c r="R1039" s="49" t="s">
        <v>1454</v>
      </c>
      <c r="S1039" s="316" t="s">
        <v>2913</v>
      </c>
      <c r="T1039" s="316"/>
      <c r="U1039" s="421"/>
    </row>
    <row r="1040" spans="1:21" s="377" customFormat="1" ht="20.100000000000001" customHeight="1">
      <c r="A1040" s="1184" t="s">
        <v>1111</v>
      </c>
      <c r="B1040" s="1183" t="s">
        <v>343</v>
      </c>
      <c r="C1040" s="1183" t="s">
        <v>550</v>
      </c>
      <c r="D1040" s="2">
        <f>D490+668+25</f>
        <v>993</v>
      </c>
      <c r="E1040" s="2">
        <f>E490+1183+50</f>
        <v>1733</v>
      </c>
      <c r="F1040" s="2">
        <f>F490+1183+50</f>
        <v>1733</v>
      </c>
      <c r="G1040" s="222" t="s">
        <v>14</v>
      </c>
      <c r="H1040" s="56" t="s">
        <v>742</v>
      </c>
      <c r="I1040" s="398" t="s">
        <v>129</v>
      </c>
      <c r="J1040" s="681"/>
      <c r="K1040" s="428" t="s">
        <v>2351</v>
      </c>
      <c r="L1040" s="398" t="s">
        <v>652</v>
      </c>
      <c r="M1040" s="547">
        <v>43071</v>
      </c>
      <c r="N1040" s="547">
        <v>43092</v>
      </c>
      <c r="O1040" s="419"/>
      <c r="P1040" s="61" t="s">
        <v>964</v>
      </c>
      <c r="Q1040" s="61" t="s">
        <v>934</v>
      </c>
      <c r="R1040" s="17" t="s">
        <v>449</v>
      </c>
      <c r="S1040" s="316"/>
      <c r="T1040" s="316"/>
      <c r="U1040" s="421"/>
    </row>
    <row r="1041" spans="1:21" s="377" customFormat="1" ht="20.100000000000001" customHeight="1">
      <c r="A1041" s="1184" t="s">
        <v>2951</v>
      </c>
      <c r="B1041" s="1183" t="s">
        <v>343</v>
      </c>
      <c r="C1041" s="1183" t="s">
        <v>550</v>
      </c>
      <c r="D1041" s="2">
        <f>(D488+28075/60)+100</f>
        <v>817.91666666666674</v>
      </c>
      <c r="E1041" s="2">
        <f>(E488+46038/60)+200</f>
        <v>1267.3</v>
      </c>
      <c r="F1041" s="2">
        <f>(F488+46038/60)+200</f>
        <v>1267.3</v>
      </c>
      <c r="G1041" s="222" t="s">
        <v>10</v>
      </c>
      <c r="H1041" s="385" t="s">
        <v>742</v>
      </c>
      <c r="I1041" s="398" t="s">
        <v>129</v>
      </c>
      <c r="J1041" s="37"/>
      <c r="K1041" s="428" t="s">
        <v>1691</v>
      </c>
      <c r="L1041" s="386" t="s">
        <v>636</v>
      </c>
      <c r="M1041" s="381">
        <v>43074</v>
      </c>
      <c r="N1041" s="547">
        <v>43087</v>
      </c>
      <c r="O1041" s="422"/>
      <c r="P1041" s="59" t="s">
        <v>1690</v>
      </c>
      <c r="Q1041" s="61" t="s">
        <v>950</v>
      </c>
      <c r="R1041" s="384" t="s">
        <v>2286</v>
      </c>
      <c r="S1041" s="315" t="s">
        <v>2904</v>
      </c>
      <c r="T1041" s="689"/>
      <c r="U1041" s="421"/>
    </row>
    <row r="1042" spans="1:21" s="377" customFormat="1" ht="20.100000000000001" customHeight="1">
      <c r="A1042" s="1184" t="s">
        <v>2951</v>
      </c>
      <c r="B1042" s="1183" t="s">
        <v>343</v>
      </c>
      <c r="C1042" s="1183" t="s">
        <v>550</v>
      </c>
      <c r="D1042" s="539">
        <f>D492+34000/60</f>
        <v>866.66666666666663</v>
      </c>
      <c r="E1042" s="539">
        <f>E492+59800/60</f>
        <v>1346.6666666666665</v>
      </c>
      <c r="F1042" s="539">
        <f>F492+59800/60</f>
        <v>1346.6666666666665</v>
      </c>
      <c r="G1042" s="705" t="s">
        <v>232</v>
      </c>
      <c r="H1042" s="385" t="s">
        <v>1135</v>
      </c>
      <c r="I1042" s="398" t="s">
        <v>129</v>
      </c>
      <c r="J1042" s="37"/>
      <c r="K1042" s="398">
        <v>19</v>
      </c>
      <c r="L1042" s="386" t="s">
        <v>650</v>
      </c>
      <c r="M1042" s="399">
        <v>43075</v>
      </c>
      <c r="N1042" s="399">
        <v>43086</v>
      </c>
      <c r="O1042" s="423" t="s">
        <v>601</v>
      </c>
      <c r="P1042" s="751" t="s">
        <v>592</v>
      </c>
      <c r="Q1042" s="61" t="s">
        <v>934</v>
      </c>
      <c r="R1042" s="397" t="s">
        <v>247</v>
      </c>
      <c r="S1042" s="316"/>
      <c r="T1042" s="689"/>
      <c r="U1042" s="421"/>
    </row>
    <row r="1043" spans="1:21" s="377" customFormat="1" ht="20.100000000000001" customHeight="1">
      <c r="A1043" s="1184" t="s">
        <v>2951</v>
      </c>
      <c r="B1043" s="1183" t="s">
        <v>343</v>
      </c>
      <c r="C1043" s="1183" t="s">
        <v>550</v>
      </c>
      <c r="D1043" s="11">
        <f>D503+(26725/60)*1.15</f>
        <v>737.22916666666663</v>
      </c>
      <c r="E1043" s="11">
        <f>E503+(47955/60)*1.15</f>
        <v>1169.1374999999998</v>
      </c>
      <c r="F1043" s="11">
        <f>F503+(47955/60)*1.15</f>
        <v>1169.1374999999998</v>
      </c>
      <c r="G1043" s="67" t="s">
        <v>29</v>
      </c>
      <c r="H1043" s="430" t="s">
        <v>659</v>
      </c>
      <c r="I1043" s="380" t="s">
        <v>129</v>
      </c>
      <c r="J1043" s="50"/>
      <c r="K1043" s="380" t="s">
        <v>474</v>
      </c>
      <c r="L1043" s="415" t="s">
        <v>637</v>
      </c>
      <c r="M1043" s="404">
        <v>43068</v>
      </c>
      <c r="N1043" s="404">
        <v>43086</v>
      </c>
      <c r="O1043" s="422"/>
      <c r="P1043" s="61" t="s">
        <v>605</v>
      </c>
      <c r="Q1043" s="61" t="s">
        <v>934</v>
      </c>
      <c r="R1043" s="397" t="s">
        <v>191</v>
      </c>
      <c r="S1043" s="316" t="s">
        <v>2898</v>
      </c>
      <c r="T1043" s="689"/>
      <c r="U1043" s="421"/>
    </row>
    <row r="1044" spans="1:21" s="377" customFormat="1" ht="20.100000000000001" customHeight="1">
      <c r="A1044" s="1184" t="s">
        <v>2951</v>
      </c>
      <c r="B1044" s="1183" t="s">
        <v>343</v>
      </c>
      <c r="C1044" s="1183" t="s">
        <v>550</v>
      </c>
      <c r="D1044" s="539">
        <f>D501+488+25</f>
        <v>1063</v>
      </c>
      <c r="E1044" s="539">
        <f>E501+1332+25</f>
        <v>2157</v>
      </c>
      <c r="F1044" s="539">
        <f>F501+1332+25</f>
        <v>2157</v>
      </c>
      <c r="G1044" s="222" t="s">
        <v>475</v>
      </c>
      <c r="H1044" s="401" t="s">
        <v>706</v>
      </c>
      <c r="I1044" s="380" t="s">
        <v>129</v>
      </c>
      <c r="J1044" s="50"/>
      <c r="K1044" s="380">
        <v>16</v>
      </c>
      <c r="L1044" s="379" t="s">
        <v>643</v>
      </c>
      <c r="M1044" s="392">
        <v>42962</v>
      </c>
      <c r="N1044" s="392">
        <v>43100</v>
      </c>
      <c r="O1044" s="422"/>
      <c r="P1044" s="61" t="s">
        <v>606</v>
      </c>
      <c r="Q1044" s="61" t="s">
        <v>937</v>
      </c>
      <c r="R1044" s="397" t="s">
        <v>1783</v>
      </c>
      <c r="S1044" s="316" t="s">
        <v>1176</v>
      </c>
      <c r="T1044" s="689"/>
      <c r="U1044" s="421"/>
    </row>
    <row r="1045" spans="1:21" s="377" customFormat="1" ht="20.100000000000001" customHeight="1">
      <c r="A1045" s="741" t="s">
        <v>2949</v>
      </c>
      <c r="B1045" s="445" t="s">
        <v>1921</v>
      </c>
      <c r="C1045" s="445" t="s">
        <v>1922</v>
      </c>
      <c r="D1045" s="539">
        <f>D528+28375/60</f>
        <v>1007.9166666666667</v>
      </c>
      <c r="E1045" s="539">
        <f>E528+50400/60</f>
        <v>1550</v>
      </c>
      <c r="F1045" s="539">
        <f>F528+50400/60</f>
        <v>1550</v>
      </c>
      <c r="G1045" s="67" t="s">
        <v>12</v>
      </c>
      <c r="H1045" s="385" t="s">
        <v>659</v>
      </c>
      <c r="I1045" s="380" t="s">
        <v>1923</v>
      </c>
      <c r="J1045" s="50"/>
      <c r="K1045" s="380" t="s">
        <v>1924</v>
      </c>
      <c r="L1045" s="386" t="s">
        <v>641</v>
      </c>
      <c r="M1045" s="392">
        <v>43057</v>
      </c>
      <c r="N1045" s="551">
        <v>43091</v>
      </c>
      <c r="O1045" s="422"/>
      <c r="P1045" s="752"/>
      <c r="Q1045" s="61" t="s">
        <v>902</v>
      </c>
      <c r="R1045" s="384" t="s">
        <v>1740</v>
      </c>
      <c r="S1045" s="322" t="s">
        <v>1176</v>
      </c>
      <c r="T1045" s="688" t="s">
        <v>2840</v>
      </c>
      <c r="U1045" s="421"/>
    </row>
    <row r="1046" spans="1:21" s="377" customFormat="1" ht="20.100000000000001" customHeight="1">
      <c r="A1046" s="1184" t="s">
        <v>2951</v>
      </c>
      <c r="B1046" s="1183" t="s">
        <v>343</v>
      </c>
      <c r="C1046" s="1183" t="s">
        <v>551</v>
      </c>
      <c r="D1046" s="13">
        <f>D417+45500/55</f>
        <v>1187.2727272727273</v>
      </c>
      <c r="E1046" s="13">
        <f>E417+85500/55</f>
        <v>1939.5454545454545</v>
      </c>
      <c r="F1046" s="13">
        <f>F417+85500/55</f>
        <v>1939.5454545454545</v>
      </c>
      <c r="G1046" s="707" t="s">
        <v>102</v>
      </c>
      <c r="H1046" s="378">
        <v>1</v>
      </c>
      <c r="I1046" s="398" t="s">
        <v>93</v>
      </c>
      <c r="J1046" s="682"/>
      <c r="K1046" s="426">
        <v>24</v>
      </c>
      <c r="L1046" s="379" t="s">
        <v>636</v>
      </c>
      <c r="M1046" s="392">
        <v>43080</v>
      </c>
      <c r="N1046" s="392">
        <v>43080</v>
      </c>
      <c r="O1046" s="419"/>
      <c r="P1046" s="61" t="s">
        <v>1933</v>
      </c>
      <c r="Q1046" s="61" t="s">
        <v>927</v>
      </c>
      <c r="R1046" s="397" t="s">
        <v>192</v>
      </c>
      <c r="S1046" s="315" t="s">
        <v>2903</v>
      </c>
      <c r="T1046" s="316"/>
      <c r="U1046" s="421"/>
    </row>
    <row r="1047" spans="1:21" s="377" customFormat="1" ht="20.100000000000001" customHeight="1">
      <c r="A1047" s="1184" t="s">
        <v>2951</v>
      </c>
      <c r="B1047" s="1183" t="s">
        <v>343</v>
      </c>
      <c r="C1047" s="1183" t="s">
        <v>551</v>
      </c>
      <c r="D1047" s="13">
        <f>D422+43301/55</f>
        <v>987.29090909090905</v>
      </c>
      <c r="E1047" s="13">
        <f>E422+63478/55</f>
        <v>1404.1454545454546</v>
      </c>
      <c r="F1047" s="13">
        <f>F422+63478/55</f>
        <v>1404.1454545454546</v>
      </c>
      <c r="G1047" s="707" t="s">
        <v>87</v>
      </c>
      <c r="H1047" s="390" t="s">
        <v>729</v>
      </c>
      <c r="I1047" s="406" t="s">
        <v>93</v>
      </c>
      <c r="J1047" s="50"/>
      <c r="K1047" s="406">
        <v>22</v>
      </c>
      <c r="L1047" s="398" t="s">
        <v>649</v>
      </c>
      <c r="M1047" s="547">
        <v>43080</v>
      </c>
      <c r="N1047" s="547">
        <v>43080</v>
      </c>
      <c r="O1047" s="422"/>
      <c r="P1047" s="59" t="s">
        <v>604</v>
      </c>
      <c r="Q1047" s="61" t="s">
        <v>919</v>
      </c>
      <c r="R1047" s="397" t="s">
        <v>251</v>
      </c>
      <c r="S1047" s="322" t="s">
        <v>2861</v>
      </c>
      <c r="T1047" s="689"/>
      <c r="U1047" s="421"/>
    </row>
    <row r="1048" spans="1:21" s="377" customFormat="1" ht="20.100000000000001" customHeight="1">
      <c r="A1048" s="1184" t="s">
        <v>2951</v>
      </c>
      <c r="B1048" s="1183" t="s">
        <v>343</v>
      </c>
      <c r="C1048" s="1183" t="s">
        <v>551</v>
      </c>
      <c r="D1048" s="13">
        <f>D435+676+25</f>
        <v>931</v>
      </c>
      <c r="E1048" s="13">
        <f>E435+1347+50</f>
        <v>1722</v>
      </c>
      <c r="F1048" s="13">
        <f>F435+1347+50</f>
        <v>1722</v>
      </c>
      <c r="G1048" s="217" t="s">
        <v>14</v>
      </c>
      <c r="H1048" s="56" t="s">
        <v>742</v>
      </c>
      <c r="I1048" s="380" t="s">
        <v>93</v>
      </c>
      <c r="J1048" s="37"/>
      <c r="K1048" s="426" t="s">
        <v>2348</v>
      </c>
      <c r="L1048" s="398" t="s">
        <v>652</v>
      </c>
      <c r="M1048" s="547">
        <v>43086</v>
      </c>
      <c r="N1048" s="547">
        <v>43092</v>
      </c>
      <c r="O1048" s="422"/>
      <c r="P1048" s="61" t="s">
        <v>605</v>
      </c>
      <c r="Q1048" s="61" t="s">
        <v>934</v>
      </c>
      <c r="R1048" s="17" t="s">
        <v>449</v>
      </c>
      <c r="S1048" s="322" t="s">
        <v>1176</v>
      </c>
      <c r="T1048" s="689"/>
      <c r="U1048" s="421"/>
    </row>
    <row r="1049" spans="1:21" s="377" customFormat="1" ht="20.100000000000001" customHeight="1">
      <c r="A1049" s="1184" t="s">
        <v>2951</v>
      </c>
      <c r="B1049" s="1183" t="s">
        <v>343</v>
      </c>
      <c r="C1049" s="1183" t="s">
        <v>551</v>
      </c>
      <c r="D1049" s="13">
        <f>D759</f>
        <v>1425</v>
      </c>
      <c r="E1049" s="13">
        <f>E759</f>
        <v>2000</v>
      </c>
      <c r="F1049" s="13">
        <f>F759</f>
        <v>2000</v>
      </c>
      <c r="G1049" s="222" t="s">
        <v>19</v>
      </c>
      <c r="H1049" s="385" t="s">
        <v>742</v>
      </c>
      <c r="I1049" s="398" t="s">
        <v>93</v>
      </c>
      <c r="J1049" s="37"/>
      <c r="K1049" s="398" t="s">
        <v>680</v>
      </c>
      <c r="L1049" s="398" t="s">
        <v>639</v>
      </c>
      <c r="M1049" s="399">
        <v>43073</v>
      </c>
      <c r="N1049" s="399">
        <v>43086</v>
      </c>
      <c r="O1049" s="382" t="s">
        <v>611</v>
      </c>
      <c r="P1049" s="61" t="s">
        <v>588</v>
      </c>
      <c r="Q1049" s="61" t="s">
        <v>1661</v>
      </c>
      <c r="R1049" s="397" t="s">
        <v>187</v>
      </c>
      <c r="S1049" s="316" t="s">
        <v>2908</v>
      </c>
      <c r="T1049" s="848" t="s">
        <v>4105</v>
      </c>
      <c r="U1049" s="421"/>
    </row>
    <row r="1050" spans="1:21" s="377" customFormat="1" ht="20.100000000000001" customHeight="1">
      <c r="A1050" s="1184" t="s">
        <v>2951</v>
      </c>
      <c r="B1050" s="1183" t="s">
        <v>343</v>
      </c>
      <c r="C1050" s="1183" t="s">
        <v>551</v>
      </c>
      <c r="D1050" s="13">
        <f>D440+45869/60</f>
        <v>1014.4833333333333</v>
      </c>
      <c r="E1050" s="13">
        <f>E440+75790/60</f>
        <v>1513.1666666666667</v>
      </c>
      <c r="F1050" s="13">
        <f>F440+75790/60</f>
        <v>1513.1666666666667</v>
      </c>
      <c r="G1050" s="656" t="s">
        <v>2328</v>
      </c>
      <c r="H1050" s="385" t="s">
        <v>725</v>
      </c>
      <c r="I1050" s="398" t="s">
        <v>93</v>
      </c>
      <c r="J1050" s="37"/>
      <c r="K1050" s="398" t="s">
        <v>2336</v>
      </c>
      <c r="L1050" s="379" t="s">
        <v>641</v>
      </c>
      <c r="M1050" s="381">
        <v>43082</v>
      </c>
      <c r="N1050" s="381">
        <v>43086</v>
      </c>
      <c r="O1050" s="394" t="s">
        <v>1949</v>
      </c>
      <c r="P1050" s="72" t="s">
        <v>2285</v>
      </c>
      <c r="Q1050" s="61" t="s">
        <v>2337</v>
      </c>
      <c r="R1050" s="397" t="s">
        <v>826</v>
      </c>
      <c r="S1050" s="336" t="s">
        <v>1176</v>
      </c>
      <c r="T1050" s="323" t="s">
        <v>2935</v>
      </c>
      <c r="U1050" s="421"/>
    </row>
    <row r="1051" spans="1:21" s="377" customFormat="1" ht="20.100000000000001" customHeight="1">
      <c r="A1051" s="741" t="s">
        <v>2949</v>
      </c>
      <c r="B1051" s="445" t="s">
        <v>343</v>
      </c>
      <c r="C1051" s="445" t="s">
        <v>551</v>
      </c>
      <c r="D1051" s="13">
        <f>D467+593+25</f>
        <v>898</v>
      </c>
      <c r="E1051" s="13">
        <f>E467+1186+50</f>
        <v>1661</v>
      </c>
      <c r="F1051" s="13">
        <f>F467+1186+50</f>
        <v>1661</v>
      </c>
      <c r="G1051" s="222" t="s">
        <v>2347</v>
      </c>
      <c r="H1051" s="385" t="s">
        <v>2350</v>
      </c>
      <c r="I1051" s="398" t="s">
        <v>130</v>
      </c>
      <c r="J1051" s="37"/>
      <c r="K1051" s="380" t="s">
        <v>2346</v>
      </c>
      <c r="L1051" s="386" t="s">
        <v>639</v>
      </c>
      <c r="M1051" s="547">
        <v>43086</v>
      </c>
      <c r="N1051" s="547">
        <v>43092</v>
      </c>
      <c r="O1051" s="419"/>
      <c r="P1051" s="61"/>
      <c r="Q1051" s="61" t="s">
        <v>934</v>
      </c>
      <c r="R1051" s="397" t="s">
        <v>171</v>
      </c>
      <c r="S1051" s="336"/>
      <c r="T1051" s="323"/>
      <c r="U1051" s="421"/>
    </row>
    <row r="1052" spans="1:21" s="377" customFormat="1" ht="20.100000000000001" customHeight="1">
      <c r="A1052" s="741" t="s">
        <v>2949</v>
      </c>
      <c r="B1052" s="445" t="s">
        <v>343</v>
      </c>
      <c r="C1052" s="445" t="s">
        <v>2340</v>
      </c>
      <c r="D1052" s="13">
        <f>D554+40469/60</f>
        <v>1049.4833333333333</v>
      </c>
      <c r="E1052" s="13">
        <f>E554+66605/60</f>
        <v>1560.0833333333333</v>
      </c>
      <c r="F1052" s="13">
        <f>F554+66605/60</f>
        <v>1560.0833333333333</v>
      </c>
      <c r="G1052" s="656" t="s">
        <v>2328</v>
      </c>
      <c r="H1052" s="385" t="s">
        <v>725</v>
      </c>
      <c r="I1052" s="398" t="s">
        <v>472</v>
      </c>
      <c r="J1052" s="681"/>
      <c r="K1052" s="386" t="s">
        <v>2341</v>
      </c>
      <c r="L1052" s="379" t="s">
        <v>641</v>
      </c>
      <c r="M1052" s="381">
        <v>43082</v>
      </c>
      <c r="N1052" s="381">
        <v>43086</v>
      </c>
      <c r="O1052" s="394" t="s">
        <v>1949</v>
      </c>
      <c r="P1052" s="61"/>
      <c r="Q1052" s="61" t="s">
        <v>2337</v>
      </c>
      <c r="R1052" s="397" t="s">
        <v>826</v>
      </c>
      <c r="S1052" s="336" t="s">
        <v>1176</v>
      </c>
      <c r="T1052" s="323" t="s">
        <v>2935</v>
      </c>
      <c r="U1052" s="421"/>
    </row>
    <row r="1053" spans="1:21" s="377" customFormat="1" ht="20.100000000000001" customHeight="1">
      <c r="A1053" s="1184" t="s">
        <v>2951</v>
      </c>
      <c r="B1053" s="1183" t="s">
        <v>343</v>
      </c>
      <c r="C1053" s="1183" t="s">
        <v>921</v>
      </c>
      <c r="D1053" s="13">
        <f>D417+29772/55</f>
        <v>901.30909090909086</v>
      </c>
      <c r="E1053" s="528"/>
      <c r="F1053" s="13">
        <f>F417+48296/55</f>
        <v>1263.1090909090908</v>
      </c>
      <c r="G1053" s="707" t="s">
        <v>156</v>
      </c>
      <c r="H1053" s="378">
        <v>1</v>
      </c>
      <c r="I1053" s="398" t="s">
        <v>93</v>
      </c>
      <c r="J1053" s="37"/>
      <c r="K1053" s="426">
        <v>22</v>
      </c>
      <c r="L1053" s="379" t="s">
        <v>636</v>
      </c>
      <c r="M1053" s="392">
        <v>43080</v>
      </c>
      <c r="N1053" s="392">
        <v>43080</v>
      </c>
      <c r="O1053" s="419"/>
      <c r="P1053" s="61" t="s">
        <v>1933</v>
      </c>
      <c r="Q1053" s="61" t="s">
        <v>927</v>
      </c>
      <c r="R1053" s="397" t="s">
        <v>192</v>
      </c>
      <c r="S1053" s="315" t="s">
        <v>2903</v>
      </c>
      <c r="T1053" s="316"/>
      <c r="U1053" s="421"/>
    </row>
    <row r="1054" spans="1:21" s="377" customFormat="1" ht="20.100000000000001" customHeight="1">
      <c r="A1054" s="1184" t="s">
        <v>2951</v>
      </c>
      <c r="B1054" s="1183" t="s">
        <v>343</v>
      </c>
      <c r="C1054" s="1183" t="s">
        <v>921</v>
      </c>
      <c r="D1054" s="536">
        <f>D425+456+25</f>
        <v>906</v>
      </c>
      <c r="E1054" s="536">
        <f>E425+803+50</f>
        <v>1403</v>
      </c>
      <c r="F1054" s="536">
        <f>F425+803+50</f>
        <v>1403</v>
      </c>
      <c r="G1054" s="707" t="s">
        <v>61</v>
      </c>
      <c r="H1054" s="385" t="s">
        <v>729</v>
      </c>
      <c r="I1054" s="426" t="s">
        <v>93</v>
      </c>
      <c r="J1054" s="681"/>
      <c r="K1054" s="426" t="s">
        <v>794</v>
      </c>
      <c r="L1054" s="398" t="s">
        <v>649</v>
      </c>
      <c r="M1054" s="404">
        <v>43070</v>
      </c>
      <c r="N1054" s="404">
        <v>43100</v>
      </c>
      <c r="O1054" s="423" t="s">
        <v>601</v>
      </c>
      <c r="P1054" s="7" t="s">
        <v>1813</v>
      </c>
      <c r="Q1054" s="61" t="s">
        <v>934</v>
      </c>
      <c r="R1054" s="424" t="s">
        <v>251</v>
      </c>
      <c r="S1054" s="316" t="s">
        <v>2906</v>
      </c>
      <c r="T1054" s="689"/>
      <c r="U1054" s="421"/>
    </row>
    <row r="1055" spans="1:21" s="377" customFormat="1" ht="20.100000000000001" customHeight="1">
      <c r="A1055" s="1184" t="s">
        <v>2951</v>
      </c>
      <c r="B1055" s="1183" t="s">
        <v>343</v>
      </c>
      <c r="C1055" s="1183" t="s">
        <v>921</v>
      </c>
      <c r="D1055" s="536">
        <f>D422+39846/55</f>
        <v>924.4727272727273</v>
      </c>
      <c r="E1055" s="536">
        <f>E422+58642/55</f>
        <v>1316.2181818181818</v>
      </c>
      <c r="F1055" s="536">
        <f>F422+58642/55</f>
        <v>1316.2181818181818</v>
      </c>
      <c r="G1055" s="710" t="s">
        <v>87</v>
      </c>
      <c r="H1055" s="390" t="s">
        <v>729</v>
      </c>
      <c r="I1055" s="406" t="s">
        <v>93</v>
      </c>
      <c r="J1055" s="50"/>
      <c r="K1055" s="406">
        <v>22</v>
      </c>
      <c r="L1055" s="398" t="s">
        <v>649</v>
      </c>
      <c r="M1055" s="547">
        <v>43080</v>
      </c>
      <c r="N1055" s="547">
        <v>43080</v>
      </c>
      <c r="O1055" s="422"/>
      <c r="P1055" s="59" t="s">
        <v>604</v>
      </c>
      <c r="Q1055" s="61" t="s">
        <v>919</v>
      </c>
      <c r="R1055" s="397" t="s">
        <v>251</v>
      </c>
      <c r="S1055" s="322" t="s">
        <v>2861</v>
      </c>
      <c r="T1055" s="689"/>
      <c r="U1055" s="421"/>
    </row>
    <row r="1056" spans="1:21" s="377" customFormat="1" ht="20.100000000000001" customHeight="1">
      <c r="A1056" s="1184" t="s">
        <v>2951</v>
      </c>
      <c r="B1056" s="1183" t="s">
        <v>343</v>
      </c>
      <c r="C1056" s="1183" t="s">
        <v>921</v>
      </c>
      <c r="D1056" s="536">
        <f>D435+735+25</f>
        <v>990</v>
      </c>
      <c r="E1056" s="536">
        <f>E435+1280+50</f>
        <v>1655</v>
      </c>
      <c r="F1056" s="536">
        <f>F435+1280+50</f>
        <v>1655</v>
      </c>
      <c r="G1056" s="656" t="s">
        <v>14</v>
      </c>
      <c r="H1056" s="56" t="s">
        <v>742</v>
      </c>
      <c r="I1056" s="380" t="s">
        <v>93</v>
      </c>
      <c r="J1056" s="37"/>
      <c r="K1056" s="426" t="s">
        <v>2348</v>
      </c>
      <c r="L1056" s="398" t="s">
        <v>652</v>
      </c>
      <c r="M1056" s="547">
        <v>43086</v>
      </c>
      <c r="N1056" s="547">
        <v>43092</v>
      </c>
      <c r="O1056" s="422"/>
      <c r="P1056" s="61" t="s">
        <v>605</v>
      </c>
      <c r="Q1056" s="61" t="s">
        <v>934</v>
      </c>
      <c r="R1056" s="17" t="s">
        <v>449</v>
      </c>
      <c r="S1056" s="322" t="s">
        <v>1176</v>
      </c>
      <c r="T1056" s="689"/>
      <c r="U1056" s="421"/>
    </row>
    <row r="1057" spans="1:21" s="377" customFormat="1" ht="20.100000000000001" customHeight="1">
      <c r="A1057" s="1184" t="s">
        <v>2951</v>
      </c>
      <c r="B1057" s="1183" t="s">
        <v>343</v>
      </c>
      <c r="C1057" s="1183" t="s">
        <v>921</v>
      </c>
      <c r="D1057" s="11">
        <f>D421+35775/60</f>
        <v>826.25</v>
      </c>
      <c r="E1057" s="11">
        <f>E421+60550/60</f>
        <v>1159.1666666666665</v>
      </c>
      <c r="F1057" s="11">
        <f>F421+60550/60</f>
        <v>1159.1666666666665</v>
      </c>
      <c r="G1057" s="12" t="s">
        <v>146</v>
      </c>
      <c r="H1057" s="417" t="s">
        <v>651</v>
      </c>
      <c r="I1057" s="380" t="s">
        <v>93</v>
      </c>
      <c r="J1057" s="50"/>
      <c r="K1057" s="380">
        <v>20</v>
      </c>
      <c r="L1057" s="415" t="s">
        <v>637</v>
      </c>
      <c r="M1057" s="551">
        <v>43084</v>
      </c>
      <c r="N1057" s="551">
        <v>43091</v>
      </c>
      <c r="O1057" s="419"/>
      <c r="P1057" s="72" t="s">
        <v>1941</v>
      </c>
      <c r="Q1057" s="61" t="s">
        <v>932</v>
      </c>
      <c r="R1057" s="384" t="s">
        <v>1740</v>
      </c>
      <c r="S1057" s="322" t="s">
        <v>1176</v>
      </c>
      <c r="T1057" s="688" t="s">
        <v>2840</v>
      </c>
      <c r="U1057" s="421"/>
    </row>
    <row r="1058" spans="1:21" s="377" customFormat="1" ht="20.100000000000001" customHeight="1">
      <c r="A1058" s="1184" t="s">
        <v>2951</v>
      </c>
      <c r="B1058" s="1183" t="s">
        <v>343</v>
      </c>
      <c r="C1058" s="1183" t="s">
        <v>921</v>
      </c>
      <c r="D1058" s="536">
        <f>D759</f>
        <v>1425</v>
      </c>
      <c r="E1058" s="536">
        <f>E759</f>
        <v>2000</v>
      </c>
      <c r="F1058" s="536">
        <f>F759</f>
        <v>2000</v>
      </c>
      <c r="G1058" s="222" t="s">
        <v>19</v>
      </c>
      <c r="H1058" s="385" t="s">
        <v>742</v>
      </c>
      <c r="I1058" s="398" t="s">
        <v>93</v>
      </c>
      <c r="J1058" s="37"/>
      <c r="K1058" s="398" t="s">
        <v>680</v>
      </c>
      <c r="L1058" s="398" t="s">
        <v>639</v>
      </c>
      <c r="M1058" s="399">
        <v>43073</v>
      </c>
      <c r="N1058" s="399">
        <v>43086</v>
      </c>
      <c r="O1058" s="382" t="s">
        <v>611</v>
      </c>
      <c r="P1058" s="61" t="s">
        <v>588</v>
      </c>
      <c r="Q1058" s="61" t="s">
        <v>1661</v>
      </c>
      <c r="R1058" s="397" t="s">
        <v>187</v>
      </c>
      <c r="S1058" s="316" t="s">
        <v>2908</v>
      </c>
      <c r="T1058" s="848" t="s">
        <v>4105</v>
      </c>
      <c r="U1058" s="421"/>
    </row>
    <row r="1059" spans="1:21" s="377" customFormat="1" ht="20.100000000000001" customHeight="1">
      <c r="A1059" s="1184" t="s">
        <v>2951</v>
      </c>
      <c r="B1059" s="1183" t="s">
        <v>343</v>
      </c>
      <c r="C1059" s="1183" t="s">
        <v>921</v>
      </c>
      <c r="D1059" s="536">
        <f>D455+38300/60</f>
        <v>1013.3333333333334</v>
      </c>
      <c r="E1059" s="536">
        <f>E455+63400/60</f>
        <v>1456.6666666666667</v>
      </c>
      <c r="F1059" s="536">
        <f>F455+63400/60</f>
        <v>1456.6666666666667</v>
      </c>
      <c r="G1059" s="707" t="s">
        <v>232</v>
      </c>
      <c r="H1059" s="425" t="s">
        <v>656</v>
      </c>
      <c r="I1059" s="398" t="s">
        <v>93</v>
      </c>
      <c r="J1059" s="37"/>
      <c r="K1059" s="398">
        <v>20</v>
      </c>
      <c r="L1059" s="386" t="s">
        <v>1871</v>
      </c>
      <c r="M1059" s="399">
        <v>43064</v>
      </c>
      <c r="N1059" s="399">
        <v>43086</v>
      </c>
      <c r="O1059" s="423" t="s">
        <v>601</v>
      </c>
      <c r="P1059" s="751" t="s">
        <v>1937</v>
      </c>
      <c r="Q1059" s="61" t="s">
        <v>934</v>
      </c>
      <c r="R1059" s="424" t="s">
        <v>1870</v>
      </c>
      <c r="S1059" s="315" t="s">
        <v>2907</v>
      </c>
      <c r="T1059" s="689"/>
      <c r="U1059" s="421"/>
    </row>
    <row r="1060" spans="1:21" s="377" customFormat="1" ht="20.100000000000001" customHeight="1">
      <c r="A1060" s="1184" t="s">
        <v>2951</v>
      </c>
      <c r="B1060" s="1183" t="s">
        <v>343</v>
      </c>
      <c r="C1060" s="1183" t="s">
        <v>921</v>
      </c>
      <c r="D1060" s="536">
        <f>D440+44282/60</f>
        <v>988.0333333333333</v>
      </c>
      <c r="E1060" s="536">
        <f>E440+74398/60</f>
        <v>1489.9666666666667</v>
      </c>
      <c r="F1060" s="536">
        <f>F440+74398/60</f>
        <v>1489.9666666666667</v>
      </c>
      <c r="G1060" s="656" t="s">
        <v>2328</v>
      </c>
      <c r="H1060" s="385" t="s">
        <v>725</v>
      </c>
      <c r="I1060" s="398" t="s">
        <v>93</v>
      </c>
      <c r="J1060" s="37"/>
      <c r="K1060" s="398" t="s">
        <v>2336</v>
      </c>
      <c r="L1060" s="379" t="s">
        <v>641</v>
      </c>
      <c r="M1060" s="381">
        <v>43082</v>
      </c>
      <c r="N1060" s="381">
        <v>43086</v>
      </c>
      <c r="O1060" s="394" t="s">
        <v>1949</v>
      </c>
      <c r="P1060" s="72" t="s">
        <v>2285</v>
      </c>
      <c r="Q1060" s="61" t="s">
        <v>2337</v>
      </c>
      <c r="R1060" s="397" t="s">
        <v>826</v>
      </c>
      <c r="S1060" s="336" t="s">
        <v>1176</v>
      </c>
      <c r="T1060" s="323" t="s">
        <v>2935</v>
      </c>
      <c r="U1060" s="421"/>
    </row>
    <row r="1061" spans="1:21" s="377" customFormat="1" ht="20.100000000000001" customHeight="1">
      <c r="A1061" s="1184" t="s">
        <v>2951</v>
      </c>
      <c r="B1061" s="1183" t="s">
        <v>343</v>
      </c>
      <c r="C1061" s="1183" t="s">
        <v>921</v>
      </c>
      <c r="D1061" s="536">
        <f>D450+623+25</f>
        <v>1598</v>
      </c>
      <c r="E1061" s="536">
        <f>E450+1600+50</f>
        <v>3200</v>
      </c>
      <c r="F1061" s="536">
        <f>F450+1600+50</f>
        <v>3200</v>
      </c>
      <c r="G1061" s="217" t="s">
        <v>55</v>
      </c>
      <c r="H1061" s="401" t="s">
        <v>706</v>
      </c>
      <c r="I1061" s="426" t="s">
        <v>93</v>
      </c>
      <c r="J1061" s="681"/>
      <c r="K1061" s="386">
        <v>23</v>
      </c>
      <c r="L1061" s="379" t="s">
        <v>643</v>
      </c>
      <c r="M1061" s="392">
        <v>42962</v>
      </c>
      <c r="N1061" s="392">
        <v>43100</v>
      </c>
      <c r="O1061" s="422"/>
      <c r="P1061" s="61" t="s">
        <v>588</v>
      </c>
      <c r="Q1061" s="61" t="s">
        <v>1119</v>
      </c>
      <c r="R1061" s="397" t="s">
        <v>1783</v>
      </c>
      <c r="S1061" s="316" t="s">
        <v>1176</v>
      </c>
      <c r="T1061" s="689"/>
      <c r="U1061" s="421"/>
    </row>
    <row r="1062" spans="1:21" s="377" customFormat="1" ht="20.100000000000001" customHeight="1">
      <c r="A1062" s="1184" t="s">
        <v>2951</v>
      </c>
      <c r="B1062" s="1183" t="s">
        <v>343</v>
      </c>
      <c r="C1062" s="1183" t="s">
        <v>481</v>
      </c>
      <c r="D1062" s="13">
        <f>D417+30500/55</f>
        <v>914.5454545454545</v>
      </c>
      <c r="E1062" s="528"/>
      <c r="F1062" s="13">
        <f>F417+54000/55</f>
        <v>1366.818181818182</v>
      </c>
      <c r="G1062" s="707" t="s">
        <v>102</v>
      </c>
      <c r="H1062" s="378">
        <v>1</v>
      </c>
      <c r="I1062" s="398" t="s">
        <v>93</v>
      </c>
      <c r="J1062" s="37"/>
      <c r="K1062" s="426">
        <v>21</v>
      </c>
      <c r="L1062" s="379" t="s">
        <v>636</v>
      </c>
      <c r="M1062" s="392">
        <v>43080</v>
      </c>
      <c r="N1062" s="392">
        <v>43080</v>
      </c>
      <c r="O1062" s="419"/>
      <c r="P1062" s="61" t="s">
        <v>1933</v>
      </c>
      <c r="Q1062" s="61" t="s">
        <v>927</v>
      </c>
      <c r="R1062" s="397" t="s">
        <v>192</v>
      </c>
      <c r="S1062" s="315" t="s">
        <v>2903</v>
      </c>
      <c r="T1062" s="316"/>
      <c r="U1062" s="421"/>
    </row>
    <row r="1063" spans="1:21" s="377" customFormat="1" ht="20.100000000000001" customHeight="1">
      <c r="A1063" s="1184" t="s">
        <v>2951</v>
      </c>
      <c r="B1063" s="1183" t="s">
        <v>343</v>
      </c>
      <c r="C1063" s="1183" t="s">
        <v>481</v>
      </c>
      <c r="D1063" s="536">
        <f>D425+388+25</f>
        <v>838</v>
      </c>
      <c r="E1063" s="536">
        <f>E425+724+50</f>
        <v>1324</v>
      </c>
      <c r="F1063" s="536">
        <f>F425+724+50</f>
        <v>1324</v>
      </c>
      <c r="G1063" s="707" t="s">
        <v>61</v>
      </c>
      <c r="H1063" s="385" t="s">
        <v>729</v>
      </c>
      <c r="I1063" s="426" t="s">
        <v>93</v>
      </c>
      <c r="J1063" s="681"/>
      <c r="K1063" s="426" t="s">
        <v>794</v>
      </c>
      <c r="L1063" s="398" t="s">
        <v>649</v>
      </c>
      <c r="M1063" s="404">
        <v>43070</v>
      </c>
      <c r="N1063" s="404">
        <v>43100</v>
      </c>
      <c r="O1063" s="423" t="s">
        <v>601</v>
      </c>
      <c r="P1063" s="7" t="s">
        <v>1813</v>
      </c>
      <c r="Q1063" s="61" t="s">
        <v>934</v>
      </c>
      <c r="R1063" s="424" t="s">
        <v>251</v>
      </c>
      <c r="S1063" s="316" t="s">
        <v>2906</v>
      </c>
      <c r="T1063" s="689"/>
      <c r="U1063" s="421"/>
    </row>
    <row r="1064" spans="1:21" s="377" customFormat="1" ht="20.100000000000001" customHeight="1">
      <c r="A1064" s="1184" t="s">
        <v>2951</v>
      </c>
      <c r="B1064" s="1183" t="s">
        <v>343</v>
      </c>
      <c r="C1064" s="1183" t="s">
        <v>481</v>
      </c>
      <c r="D1064" s="536">
        <f>D422+41192/55</f>
        <v>948.9454545454546</v>
      </c>
      <c r="E1064" s="536">
        <f>E422+60058/55</f>
        <v>1341.9636363636364</v>
      </c>
      <c r="F1064" s="536">
        <f>F422+60058/55</f>
        <v>1341.9636363636364</v>
      </c>
      <c r="G1064" s="710" t="s">
        <v>87</v>
      </c>
      <c r="H1064" s="390" t="s">
        <v>729</v>
      </c>
      <c r="I1064" s="406" t="s">
        <v>93</v>
      </c>
      <c r="J1064" s="50" t="s">
        <v>1381</v>
      </c>
      <c r="K1064" s="406">
        <v>23</v>
      </c>
      <c r="L1064" s="398" t="s">
        <v>649</v>
      </c>
      <c r="M1064" s="547">
        <v>43080</v>
      </c>
      <c r="N1064" s="547">
        <v>43080</v>
      </c>
      <c r="O1064" s="422"/>
      <c r="P1064" s="59" t="s">
        <v>604</v>
      </c>
      <c r="Q1064" s="61" t="s">
        <v>1356</v>
      </c>
      <c r="R1064" s="397" t="s">
        <v>251</v>
      </c>
      <c r="S1064" s="322" t="s">
        <v>2861</v>
      </c>
      <c r="T1064" s="689"/>
      <c r="U1064" s="421"/>
    </row>
    <row r="1065" spans="1:21" s="377" customFormat="1" ht="20.100000000000001" customHeight="1">
      <c r="A1065" s="1184" t="s">
        <v>2951</v>
      </c>
      <c r="B1065" s="1183" t="s">
        <v>343</v>
      </c>
      <c r="C1065" s="1183" t="s">
        <v>481</v>
      </c>
      <c r="D1065" s="528">
        <f>D451+(27789/60)*1.15</f>
        <v>857.62249999999995</v>
      </c>
      <c r="E1065" s="528">
        <f>E451+(50061/60)*1.15</f>
        <v>1359.5025000000001</v>
      </c>
      <c r="F1065" s="528">
        <f>F451+(50061/60)*1.15</f>
        <v>1359.5025000000001</v>
      </c>
      <c r="G1065" s="707" t="s">
        <v>29</v>
      </c>
      <c r="H1065" s="385" t="s">
        <v>1101</v>
      </c>
      <c r="I1065" s="386" t="s">
        <v>93</v>
      </c>
      <c r="J1065" s="681"/>
      <c r="K1065" s="398">
        <v>24</v>
      </c>
      <c r="L1065" s="398" t="s">
        <v>649</v>
      </c>
      <c r="M1065" s="404">
        <v>43080</v>
      </c>
      <c r="N1065" s="404">
        <v>43086</v>
      </c>
      <c r="O1065" s="422"/>
      <c r="P1065" s="751" t="s">
        <v>1072</v>
      </c>
      <c r="Q1065" s="61" t="s">
        <v>934</v>
      </c>
      <c r="R1065" s="397" t="s">
        <v>251</v>
      </c>
      <c r="S1065" s="316" t="s">
        <v>2898</v>
      </c>
      <c r="T1065" s="689"/>
      <c r="U1065" s="421"/>
    </row>
    <row r="1066" spans="1:21" s="377" customFormat="1" ht="20.100000000000001" customHeight="1">
      <c r="A1066" s="1184" t="s">
        <v>2951</v>
      </c>
      <c r="B1066" s="1183" t="s">
        <v>343</v>
      </c>
      <c r="C1066" s="1183" t="s">
        <v>481</v>
      </c>
      <c r="D1066" s="528">
        <f>D428+(40140+5000)/60</f>
        <v>1102.3333333333335</v>
      </c>
      <c r="E1066" s="528">
        <f>E428+(71800+10000)/60</f>
        <v>1703.3333333333333</v>
      </c>
      <c r="F1066" s="528">
        <f>F428+(71800+10000)/60</f>
        <v>1703.3333333333333</v>
      </c>
      <c r="G1066" s="217" t="s">
        <v>51</v>
      </c>
      <c r="H1066" s="390" t="s">
        <v>2360</v>
      </c>
      <c r="I1066" s="386" t="s">
        <v>93</v>
      </c>
      <c r="J1066" s="681"/>
      <c r="K1066" s="406" t="s">
        <v>2361</v>
      </c>
      <c r="L1066" s="380" t="s">
        <v>637</v>
      </c>
      <c r="M1066" s="381">
        <v>43080</v>
      </c>
      <c r="N1066" s="381">
        <v>43089</v>
      </c>
      <c r="O1066" s="422"/>
      <c r="P1066" s="59" t="s">
        <v>2362</v>
      </c>
      <c r="Q1066" s="61" t="s">
        <v>902</v>
      </c>
      <c r="R1066" s="397" t="s">
        <v>2320</v>
      </c>
      <c r="S1066" s="327" t="s">
        <v>3066</v>
      </c>
      <c r="T1066" s="689"/>
      <c r="U1066" s="421"/>
    </row>
    <row r="1067" spans="1:21" s="377" customFormat="1" ht="20.100000000000001" customHeight="1">
      <c r="A1067" s="1184" t="s">
        <v>2951</v>
      </c>
      <c r="B1067" s="1183" t="s">
        <v>343</v>
      </c>
      <c r="C1067" s="1183" t="s">
        <v>481</v>
      </c>
      <c r="D1067" s="13">
        <f>(D419+29461/60)+200</f>
        <v>966.01666666666665</v>
      </c>
      <c r="E1067" s="13">
        <f>(E419+55352/60)+600</f>
        <v>1872.5333333333333</v>
      </c>
      <c r="F1067" s="13">
        <f>(F419+55352/60)+600</f>
        <v>1872.5333333333333</v>
      </c>
      <c r="G1067" s="217" t="s">
        <v>10</v>
      </c>
      <c r="H1067" s="390" t="s">
        <v>633</v>
      </c>
      <c r="I1067" s="398" t="s">
        <v>93</v>
      </c>
      <c r="J1067" s="37"/>
      <c r="K1067" s="426" t="s">
        <v>949</v>
      </c>
      <c r="L1067" s="379" t="s">
        <v>637</v>
      </c>
      <c r="M1067" s="381">
        <v>43087</v>
      </c>
      <c r="N1067" s="381">
        <v>43087</v>
      </c>
      <c r="O1067" s="422"/>
      <c r="P1067" s="61" t="s">
        <v>913</v>
      </c>
      <c r="Q1067" s="61" t="s">
        <v>902</v>
      </c>
      <c r="R1067" s="397" t="s">
        <v>1015</v>
      </c>
      <c r="S1067" s="315" t="s">
        <v>2904</v>
      </c>
      <c r="T1067" s="689"/>
      <c r="U1067" s="421"/>
    </row>
    <row r="1068" spans="1:21" s="377" customFormat="1" ht="20.100000000000001" customHeight="1">
      <c r="A1068" s="1184" t="s">
        <v>2951</v>
      </c>
      <c r="B1068" s="1183" t="s">
        <v>343</v>
      </c>
      <c r="C1068" s="1183" t="s">
        <v>481</v>
      </c>
      <c r="D1068" s="13">
        <f>D435+621+25</f>
        <v>876</v>
      </c>
      <c r="E1068" s="13">
        <f>E435+1297+50</f>
        <v>1672</v>
      </c>
      <c r="F1068" s="13">
        <f>F435+1297+50</f>
        <v>1672</v>
      </c>
      <c r="G1068" s="217" t="s">
        <v>14</v>
      </c>
      <c r="H1068" s="56" t="s">
        <v>742</v>
      </c>
      <c r="I1068" s="380" t="s">
        <v>93</v>
      </c>
      <c r="J1068" s="37"/>
      <c r="K1068" s="426" t="s">
        <v>2348</v>
      </c>
      <c r="L1068" s="398" t="s">
        <v>652</v>
      </c>
      <c r="M1068" s="547">
        <v>43086</v>
      </c>
      <c r="N1068" s="547">
        <v>43092</v>
      </c>
      <c r="O1068" s="422"/>
      <c r="P1068" s="61" t="s">
        <v>605</v>
      </c>
      <c r="Q1068" s="61" t="s">
        <v>934</v>
      </c>
      <c r="R1068" s="17" t="s">
        <v>449</v>
      </c>
      <c r="S1068" s="322" t="s">
        <v>1176</v>
      </c>
      <c r="T1068" s="689"/>
      <c r="U1068" s="421"/>
    </row>
    <row r="1069" spans="1:21" s="377" customFormat="1" ht="20.100000000000001" customHeight="1">
      <c r="A1069" s="1184" t="s">
        <v>2951</v>
      </c>
      <c r="B1069" s="1183" t="s">
        <v>343</v>
      </c>
      <c r="C1069" s="1183" t="s">
        <v>481</v>
      </c>
      <c r="D1069" s="11">
        <f>D421+36925/60</f>
        <v>845.41666666666663</v>
      </c>
      <c r="E1069" s="11">
        <f>E421+67450/60</f>
        <v>1274.1666666666667</v>
      </c>
      <c r="F1069" s="11">
        <f>F421+67450/60</f>
        <v>1274.1666666666667</v>
      </c>
      <c r="G1069" s="707" t="s">
        <v>146</v>
      </c>
      <c r="H1069" s="417" t="s">
        <v>651</v>
      </c>
      <c r="I1069" s="398" t="s">
        <v>93</v>
      </c>
      <c r="J1069" s="681" t="s">
        <v>1374</v>
      </c>
      <c r="K1069" s="398">
        <v>20</v>
      </c>
      <c r="L1069" s="415" t="s">
        <v>637</v>
      </c>
      <c r="M1069" s="551">
        <v>43084</v>
      </c>
      <c r="N1069" s="551">
        <v>43091</v>
      </c>
      <c r="O1069" s="419"/>
      <c r="P1069" s="72" t="s">
        <v>1941</v>
      </c>
      <c r="Q1069" s="61" t="s">
        <v>932</v>
      </c>
      <c r="R1069" s="384" t="s">
        <v>1740</v>
      </c>
      <c r="S1069" s="322" t="s">
        <v>1176</v>
      </c>
      <c r="T1069" s="688" t="s">
        <v>2840</v>
      </c>
      <c r="U1069" s="421"/>
    </row>
    <row r="1070" spans="1:21" s="377" customFormat="1" ht="20.100000000000001" customHeight="1">
      <c r="A1070" s="1184" t="s">
        <v>2951</v>
      </c>
      <c r="B1070" s="1183" t="s">
        <v>343</v>
      </c>
      <c r="C1070" s="1183" t="s">
        <v>481</v>
      </c>
      <c r="D1070" s="11">
        <f>D433+41894/60</f>
        <v>923.23333333333335</v>
      </c>
      <c r="E1070" s="11">
        <f>E433+83546/60</f>
        <v>1667.4333333333334</v>
      </c>
      <c r="F1070" s="11">
        <f>F433+77046/60</f>
        <v>1559.1</v>
      </c>
      <c r="G1070" s="222" t="s">
        <v>1659</v>
      </c>
      <c r="H1070" s="385" t="s">
        <v>742</v>
      </c>
      <c r="I1070" s="380" t="s">
        <v>93</v>
      </c>
      <c r="J1070" s="50"/>
      <c r="K1070" s="380" t="s">
        <v>682</v>
      </c>
      <c r="L1070" s="398" t="s">
        <v>639</v>
      </c>
      <c r="M1070" s="547">
        <v>43081</v>
      </c>
      <c r="N1070" s="547">
        <v>43090</v>
      </c>
      <c r="O1070" s="419"/>
      <c r="P1070" s="61" t="s">
        <v>1927</v>
      </c>
      <c r="Q1070" s="61" t="s">
        <v>902</v>
      </c>
      <c r="R1070" s="397" t="s">
        <v>171</v>
      </c>
      <c r="S1070" s="315" t="s">
        <v>2862</v>
      </c>
      <c r="T1070" s="626">
        <v>14</v>
      </c>
      <c r="U1070" s="421"/>
    </row>
    <row r="1071" spans="1:21" s="377" customFormat="1" ht="20.100000000000001" customHeight="1">
      <c r="A1071" s="1184" t="s">
        <v>2951</v>
      </c>
      <c r="B1071" s="1183" t="s">
        <v>343</v>
      </c>
      <c r="C1071" s="1183" t="s">
        <v>481</v>
      </c>
      <c r="D1071" s="11">
        <f>D759</f>
        <v>1425</v>
      </c>
      <c r="E1071" s="11">
        <f>E759</f>
        <v>2000</v>
      </c>
      <c r="F1071" s="11">
        <f>F759</f>
        <v>2000</v>
      </c>
      <c r="G1071" s="222" t="s">
        <v>19</v>
      </c>
      <c r="H1071" s="385" t="s">
        <v>742</v>
      </c>
      <c r="I1071" s="398" t="s">
        <v>93</v>
      </c>
      <c r="J1071" s="37"/>
      <c r="K1071" s="398" t="s">
        <v>680</v>
      </c>
      <c r="L1071" s="398" t="s">
        <v>639</v>
      </c>
      <c r="M1071" s="399">
        <v>43073</v>
      </c>
      <c r="N1071" s="399">
        <v>43086</v>
      </c>
      <c r="O1071" s="382" t="s">
        <v>611</v>
      </c>
      <c r="P1071" s="61" t="s">
        <v>588</v>
      </c>
      <c r="Q1071" s="61" t="s">
        <v>1661</v>
      </c>
      <c r="R1071" s="397" t="s">
        <v>187</v>
      </c>
      <c r="S1071" s="316" t="s">
        <v>2908</v>
      </c>
      <c r="T1071" s="848" t="s">
        <v>4105</v>
      </c>
      <c r="U1071" s="421"/>
    </row>
    <row r="1072" spans="1:21" s="377" customFormat="1" ht="20.100000000000001" customHeight="1">
      <c r="A1072" s="1184" t="s">
        <v>2951</v>
      </c>
      <c r="B1072" s="1183" t="s">
        <v>343</v>
      </c>
      <c r="C1072" s="1183" t="s">
        <v>481</v>
      </c>
      <c r="D1072" s="11">
        <f>D440+32720/60</f>
        <v>795.33333333333337</v>
      </c>
      <c r="E1072" s="11">
        <f>E440+66660/60</f>
        <v>1361</v>
      </c>
      <c r="F1072" s="11">
        <f>F440+66660/60</f>
        <v>1361</v>
      </c>
      <c r="G1072" s="656" t="s">
        <v>2328</v>
      </c>
      <c r="H1072" s="385" t="s">
        <v>725</v>
      </c>
      <c r="I1072" s="398" t="s">
        <v>93</v>
      </c>
      <c r="J1072" s="37"/>
      <c r="K1072" s="398" t="s">
        <v>2336</v>
      </c>
      <c r="L1072" s="379" t="s">
        <v>641</v>
      </c>
      <c r="M1072" s="381">
        <v>43082</v>
      </c>
      <c r="N1072" s="381">
        <v>43086</v>
      </c>
      <c r="O1072" s="394" t="s">
        <v>1949</v>
      </c>
      <c r="P1072" s="72" t="s">
        <v>2285</v>
      </c>
      <c r="Q1072" s="61" t="s">
        <v>2337</v>
      </c>
      <c r="R1072" s="397" t="s">
        <v>826</v>
      </c>
      <c r="S1072" s="336" t="s">
        <v>1176</v>
      </c>
      <c r="T1072" s="323" t="s">
        <v>2935</v>
      </c>
      <c r="U1072" s="421"/>
    </row>
    <row r="1073" spans="1:21" s="377" customFormat="1" ht="20.100000000000001" customHeight="1">
      <c r="A1073" s="1184" t="s">
        <v>2951</v>
      </c>
      <c r="B1073" s="1183" t="s">
        <v>343</v>
      </c>
      <c r="C1073" s="1183" t="s">
        <v>481</v>
      </c>
      <c r="D1073" s="528">
        <f>D417+25000/55</f>
        <v>814.5454545454545</v>
      </c>
      <c r="E1073" s="528"/>
      <c r="F1073" s="528">
        <f>F417+45000/55</f>
        <v>1203.181818181818</v>
      </c>
      <c r="G1073" s="707" t="s">
        <v>37</v>
      </c>
      <c r="H1073" s="378">
        <v>1</v>
      </c>
      <c r="I1073" s="398" t="s">
        <v>130</v>
      </c>
      <c r="J1073" s="37"/>
      <c r="K1073" s="426">
        <v>23</v>
      </c>
      <c r="L1073" s="379" t="s">
        <v>636</v>
      </c>
      <c r="M1073" s="392">
        <v>43080</v>
      </c>
      <c r="N1073" s="392">
        <v>43080</v>
      </c>
      <c r="O1073" s="419"/>
      <c r="P1073" s="61" t="s">
        <v>907</v>
      </c>
      <c r="Q1073" s="61" t="s">
        <v>927</v>
      </c>
      <c r="R1073" s="397" t="s">
        <v>192</v>
      </c>
      <c r="S1073" s="315" t="s">
        <v>2903</v>
      </c>
      <c r="T1073" s="316"/>
      <c r="U1073" s="421"/>
    </row>
    <row r="1074" spans="1:21" s="377" customFormat="1" ht="20.100000000000001" customHeight="1">
      <c r="A1074" s="1184" t="s">
        <v>2951</v>
      </c>
      <c r="B1074" s="1183" t="s">
        <v>343</v>
      </c>
      <c r="C1074" s="1183" t="s">
        <v>481</v>
      </c>
      <c r="D1074" s="528">
        <f>D474+24921/60</f>
        <v>790.35</v>
      </c>
      <c r="E1074" s="528">
        <f>E474+47382/60</f>
        <v>1239.7</v>
      </c>
      <c r="F1074" s="528">
        <f>F474+47382/60</f>
        <v>1239.7</v>
      </c>
      <c r="G1074" s="217" t="s">
        <v>10</v>
      </c>
      <c r="H1074" s="378">
        <v>1</v>
      </c>
      <c r="I1074" s="398" t="s">
        <v>130</v>
      </c>
      <c r="J1074" s="37"/>
      <c r="K1074" s="426" t="s">
        <v>951</v>
      </c>
      <c r="L1074" s="379" t="s">
        <v>636</v>
      </c>
      <c r="M1074" s="381">
        <v>43087</v>
      </c>
      <c r="N1074" s="381">
        <v>43087</v>
      </c>
      <c r="O1074" s="422"/>
      <c r="P1074" s="61"/>
      <c r="Q1074" s="61" t="s">
        <v>902</v>
      </c>
      <c r="R1074" s="397" t="s">
        <v>203</v>
      </c>
      <c r="S1074" s="315" t="s">
        <v>2904</v>
      </c>
      <c r="T1074" s="689"/>
      <c r="U1074" s="421"/>
    </row>
    <row r="1075" spans="1:21" s="377" customFormat="1" ht="20.100000000000001" customHeight="1">
      <c r="A1075" s="1184" t="s">
        <v>2951</v>
      </c>
      <c r="B1075" s="1183" t="s">
        <v>343</v>
      </c>
      <c r="C1075" s="1183" t="s">
        <v>481</v>
      </c>
      <c r="D1075" s="536">
        <f>D462+35700/60</f>
        <v>970</v>
      </c>
      <c r="E1075" s="536">
        <f>E462+63250/60</f>
        <v>1469.1666666666667</v>
      </c>
      <c r="F1075" s="536">
        <f>F462+63250/60</f>
        <v>1469.1666666666667</v>
      </c>
      <c r="G1075" s="707" t="s">
        <v>12</v>
      </c>
      <c r="H1075" s="417" t="s">
        <v>729</v>
      </c>
      <c r="I1075" s="398" t="s">
        <v>130</v>
      </c>
      <c r="J1075" s="37" t="s">
        <v>1374</v>
      </c>
      <c r="K1075" s="426">
        <v>24</v>
      </c>
      <c r="L1075" s="379" t="s">
        <v>636</v>
      </c>
      <c r="M1075" s="551">
        <v>43084</v>
      </c>
      <c r="N1075" s="551">
        <v>43091</v>
      </c>
      <c r="O1075" s="419"/>
      <c r="P1075" s="61" t="s">
        <v>597</v>
      </c>
      <c r="Q1075" s="61" t="s">
        <v>932</v>
      </c>
      <c r="R1075" s="397" t="s">
        <v>271</v>
      </c>
      <c r="S1075" s="322" t="s">
        <v>1176</v>
      </c>
      <c r="T1075" s="688" t="s">
        <v>2840</v>
      </c>
      <c r="U1075" s="421"/>
    </row>
    <row r="1076" spans="1:21" s="377" customFormat="1" ht="20.100000000000001" customHeight="1">
      <c r="A1076" s="1184" t="s">
        <v>2951</v>
      </c>
      <c r="B1076" s="1183" t="s">
        <v>343</v>
      </c>
      <c r="C1076" s="1183" t="s">
        <v>481</v>
      </c>
      <c r="D1076" s="536">
        <f>D464+(34940+5000)/60</f>
        <v>1265.6666666666665</v>
      </c>
      <c r="E1076" s="536">
        <f>E464+(63350+10000)/60</f>
        <v>1872.5</v>
      </c>
      <c r="F1076" s="536">
        <f>F464+(63350+10000)/60</f>
        <v>1872.5</v>
      </c>
      <c r="G1076" s="217" t="s">
        <v>51</v>
      </c>
      <c r="H1076" s="417" t="s">
        <v>2363</v>
      </c>
      <c r="I1076" s="398" t="s">
        <v>130</v>
      </c>
      <c r="J1076" s="37"/>
      <c r="K1076" s="426" t="s">
        <v>2364</v>
      </c>
      <c r="L1076" s="380" t="s">
        <v>639</v>
      </c>
      <c r="M1076" s="381">
        <v>43080</v>
      </c>
      <c r="N1076" s="381">
        <v>43089</v>
      </c>
      <c r="O1076" s="419"/>
      <c r="P1076" s="61" t="s">
        <v>597</v>
      </c>
      <c r="Q1076" s="61" t="s">
        <v>902</v>
      </c>
      <c r="R1076" s="424" t="s">
        <v>171</v>
      </c>
      <c r="S1076" s="322"/>
      <c r="T1076" s="688"/>
      <c r="U1076" s="421"/>
    </row>
    <row r="1077" spans="1:21" s="377" customFormat="1" ht="20.100000000000001" customHeight="1">
      <c r="A1077" s="1184" t="s">
        <v>2951</v>
      </c>
      <c r="B1077" s="1183" t="s">
        <v>343</v>
      </c>
      <c r="C1077" s="1183" t="s">
        <v>481</v>
      </c>
      <c r="D1077" s="536">
        <f>D465+34870/60</f>
        <v>906.16666666666663</v>
      </c>
      <c r="E1077" s="536">
        <f>E465+66320/60</f>
        <v>1580.3333333333333</v>
      </c>
      <c r="F1077" s="536">
        <f>F465+61920/60</f>
        <v>1507</v>
      </c>
      <c r="G1077" s="222" t="s">
        <v>1659</v>
      </c>
      <c r="H1077" s="385" t="s">
        <v>742</v>
      </c>
      <c r="I1077" s="398" t="s">
        <v>130</v>
      </c>
      <c r="J1077" s="37"/>
      <c r="K1077" s="380" t="s">
        <v>727</v>
      </c>
      <c r="L1077" s="398" t="s">
        <v>639</v>
      </c>
      <c r="M1077" s="547">
        <v>43081</v>
      </c>
      <c r="N1077" s="547">
        <v>43090</v>
      </c>
      <c r="O1077" s="419"/>
      <c r="P1077" s="61"/>
      <c r="Q1077" s="61" t="s">
        <v>902</v>
      </c>
      <c r="R1077" s="397" t="s">
        <v>171</v>
      </c>
      <c r="S1077" s="315" t="s">
        <v>2862</v>
      </c>
      <c r="T1077" s="626">
        <v>14</v>
      </c>
      <c r="U1077" s="421"/>
    </row>
    <row r="1078" spans="1:21" s="377" customFormat="1" ht="20.100000000000001" customHeight="1">
      <c r="A1078" s="1184" t="s">
        <v>2951</v>
      </c>
      <c r="B1078" s="1183" t="s">
        <v>343</v>
      </c>
      <c r="C1078" s="1183" t="s">
        <v>481</v>
      </c>
      <c r="D1078" s="536">
        <f>D467+515+25</f>
        <v>820</v>
      </c>
      <c r="E1078" s="536">
        <f>E467+1076+50</f>
        <v>1551</v>
      </c>
      <c r="F1078" s="536">
        <f>F467+1076+50</f>
        <v>1551</v>
      </c>
      <c r="G1078" s="222" t="s">
        <v>2347</v>
      </c>
      <c r="H1078" s="385" t="s">
        <v>2350</v>
      </c>
      <c r="I1078" s="398" t="s">
        <v>130</v>
      </c>
      <c r="J1078" s="37"/>
      <c r="K1078" s="380" t="s">
        <v>2346</v>
      </c>
      <c r="L1078" s="386" t="s">
        <v>639</v>
      </c>
      <c r="M1078" s="547">
        <v>43086</v>
      </c>
      <c r="N1078" s="547">
        <v>43092</v>
      </c>
      <c r="O1078" s="419"/>
      <c r="P1078" s="61"/>
      <c r="Q1078" s="61" t="s">
        <v>934</v>
      </c>
      <c r="R1078" s="397" t="s">
        <v>171</v>
      </c>
      <c r="S1078" s="322"/>
      <c r="T1078" s="688"/>
      <c r="U1078" s="421"/>
    </row>
    <row r="1079" spans="1:21" s="377" customFormat="1" ht="20.100000000000001" customHeight="1">
      <c r="A1079" s="1184" t="s">
        <v>2951</v>
      </c>
      <c r="B1079" s="1183" t="s">
        <v>343</v>
      </c>
      <c r="C1079" s="1183" t="s">
        <v>481</v>
      </c>
      <c r="D1079" s="11">
        <f>D472+329+25</f>
        <v>354</v>
      </c>
      <c r="E1079" s="11">
        <f>E472+617+50</f>
        <v>667</v>
      </c>
      <c r="F1079" s="11">
        <f>F472+617+50</f>
        <v>667</v>
      </c>
      <c r="G1079" s="707" t="s">
        <v>13</v>
      </c>
      <c r="H1079" s="385" t="s">
        <v>721</v>
      </c>
      <c r="I1079" s="398" t="s">
        <v>130</v>
      </c>
      <c r="J1079" s="37"/>
      <c r="K1079" s="398" t="s">
        <v>663</v>
      </c>
      <c r="L1079" s="398" t="s">
        <v>639</v>
      </c>
      <c r="M1079" s="404">
        <v>43040</v>
      </c>
      <c r="N1079" s="404">
        <v>43100</v>
      </c>
      <c r="O1079" s="423" t="s">
        <v>601</v>
      </c>
      <c r="P1079" s="61"/>
      <c r="Q1079" s="61" t="s">
        <v>3035</v>
      </c>
      <c r="R1079" s="397" t="s">
        <v>173</v>
      </c>
      <c r="S1079" s="316" t="s">
        <v>2906</v>
      </c>
      <c r="T1079" s="689"/>
      <c r="U1079" s="421"/>
    </row>
    <row r="1080" spans="1:21" s="377" customFormat="1" ht="20.100000000000001" customHeight="1">
      <c r="A1080" s="1184" t="s">
        <v>2951</v>
      </c>
      <c r="B1080" s="1183" t="s">
        <v>343</v>
      </c>
      <c r="C1080" s="1183" t="s">
        <v>481</v>
      </c>
      <c r="D1080" s="11">
        <f>D475+(24446/60)*1.15</f>
        <v>468.54833333333329</v>
      </c>
      <c r="E1080" s="11">
        <f>E475+(44355/60)*1.15</f>
        <v>850.13749999999993</v>
      </c>
      <c r="F1080" s="11">
        <f>F475+(44355/60)*1.15</f>
        <v>850.13749999999993</v>
      </c>
      <c r="G1080" s="707" t="s">
        <v>29</v>
      </c>
      <c r="H1080" s="385" t="s">
        <v>1098</v>
      </c>
      <c r="I1080" s="398" t="s">
        <v>130</v>
      </c>
      <c r="J1080" s="37"/>
      <c r="K1080" s="398" t="s">
        <v>1100</v>
      </c>
      <c r="L1080" s="398" t="s">
        <v>652</v>
      </c>
      <c r="M1080" s="404">
        <v>43038</v>
      </c>
      <c r="N1080" s="404">
        <v>43086</v>
      </c>
      <c r="O1080" s="422"/>
      <c r="P1080" s="61"/>
      <c r="Q1080" s="61" t="s">
        <v>3035</v>
      </c>
      <c r="R1080" s="397" t="s">
        <v>173</v>
      </c>
      <c r="S1080" s="316" t="s">
        <v>2898</v>
      </c>
      <c r="T1080" s="689"/>
      <c r="U1080" s="421"/>
    </row>
    <row r="1081" spans="1:21" s="377" customFormat="1" ht="20.100000000000001" customHeight="1">
      <c r="A1081" s="1184" t="s">
        <v>2951</v>
      </c>
      <c r="B1081" s="1183" t="s">
        <v>343</v>
      </c>
      <c r="C1081" s="1183" t="s">
        <v>481</v>
      </c>
      <c r="D1081" s="528">
        <f>D555+(27406/60)*1.15</f>
        <v>1000.2816666666666</v>
      </c>
      <c r="E1081" s="528">
        <f>E555+(46307/60)*1.15</f>
        <v>1387.5508333333332</v>
      </c>
      <c r="F1081" s="528">
        <f>F555+(46307/60)*1.15</f>
        <v>1387.5508333333332</v>
      </c>
      <c r="G1081" s="705" t="s">
        <v>29</v>
      </c>
      <c r="H1081" s="385" t="s">
        <v>659</v>
      </c>
      <c r="I1081" s="426" t="s">
        <v>472</v>
      </c>
      <c r="J1081" s="681"/>
      <c r="K1081" s="386">
        <v>33</v>
      </c>
      <c r="L1081" s="398" t="s">
        <v>639</v>
      </c>
      <c r="M1081" s="404">
        <v>43082</v>
      </c>
      <c r="N1081" s="404">
        <v>43086</v>
      </c>
      <c r="O1081" s="422"/>
      <c r="P1081" s="61" t="s">
        <v>599</v>
      </c>
      <c r="Q1081" s="61" t="s">
        <v>934</v>
      </c>
      <c r="R1081" s="397" t="s">
        <v>450</v>
      </c>
      <c r="S1081" s="316" t="s">
        <v>2898</v>
      </c>
      <c r="T1081" s="689"/>
      <c r="U1081" s="421"/>
    </row>
    <row r="1082" spans="1:21" s="377" customFormat="1" ht="20.100000000000001" customHeight="1">
      <c r="A1082" s="1184" t="s">
        <v>2951</v>
      </c>
      <c r="B1082" s="1183" t="s">
        <v>343</v>
      </c>
      <c r="C1082" s="1183" t="s">
        <v>481</v>
      </c>
      <c r="D1082" s="528">
        <f>D535+(37890+5000)/60</f>
        <v>1114.8333333333335</v>
      </c>
      <c r="E1082" s="528">
        <f>E535+(65300+10000)/60</f>
        <v>1705</v>
      </c>
      <c r="F1082" s="528">
        <f>F535+(65300+10000)/60</f>
        <v>1705</v>
      </c>
      <c r="G1082" s="222" t="s">
        <v>51</v>
      </c>
      <c r="H1082" s="403">
        <v>3</v>
      </c>
      <c r="I1082" s="426" t="s">
        <v>472</v>
      </c>
      <c r="J1082" s="681"/>
      <c r="K1082" s="386" t="s">
        <v>2364</v>
      </c>
      <c r="L1082" s="380" t="s">
        <v>639</v>
      </c>
      <c r="M1082" s="381">
        <v>43084</v>
      </c>
      <c r="N1082" s="381">
        <v>43089</v>
      </c>
      <c r="O1082" s="422"/>
      <c r="P1082" s="61" t="s">
        <v>597</v>
      </c>
      <c r="Q1082" s="61" t="s">
        <v>902</v>
      </c>
      <c r="R1082" s="397" t="s">
        <v>450</v>
      </c>
      <c r="S1082" s="327" t="s">
        <v>3066</v>
      </c>
      <c r="T1082" s="689"/>
      <c r="U1082" s="421"/>
    </row>
    <row r="1083" spans="1:21" s="377" customFormat="1" ht="20.100000000000001" customHeight="1">
      <c r="A1083" s="1184" t="s">
        <v>2951</v>
      </c>
      <c r="B1083" s="1183" t="s">
        <v>343</v>
      </c>
      <c r="C1083" s="1183" t="s">
        <v>481</v>
      </c>
      <c r="D1083" s="528">
        <f>D554+29810/60</f>
        <v>871.83333333333326</v>
      </c>
      <c r="E1083" s="528">
        <f>E554+58720/60</f>
        <v>1428.6666666666665</v>
      </c>
      <c r="F1083" s="528">
        <f>F554+58720/60</f>
        <v>1428.6666666666665</v>
      </c>
      <c r="G1083" s="222" t="s">
        <v>2328</v>
      </c>
      <c r="H1083" s="385" t="s">
        <v>725</v>
      </c>
      <c r="I1083" s="398" t="s">
        <v>472</v>
      </c>
      <c r="J1083" s="681"/>
      <c r="K1083" s="386" t="s">
        <v>2341</v>
      </c>
      <c r="L1083" s="379" t="s">
        <v>641</v>
      </c>
      <c r="M1083" s="381">
        <v>43082</v>
      </c>
      <c r="N1083" s="381">
        <v>43086</v>
      </c>
      <c r="O1083" s="394" t="s">
        <v>1949</v>
      </c>
      <c r="P1083" s="61"/>
      <c r="Q1083" s="61" t="s">
        <v>2337</v>
      </c>
      <c r="R1083" s="397" t="s">
        <v>826</v>
      </c>
      <c r="S1083" s="336" t="s">
        <v>1176</v>
      </c>
      <c r="T1083" s="323" t="s">
        <v>2935</v>
      </c>
      <c r="U1083" s="421"/>
    </row>
    <row r="1084" spans="1:21" s="377" customFormat="1" ht="20.100000000000001" customHeight="1">
      <c r="A1084" s="1184" t="s">
        <v>2951</v>
      </c>
      <c r="B1084" s="1183" t="s">
        <v>343</v>
      </c>
      <c r="C1084" s="1183" t="s">
        <v>481</v>
      </c>
      <c r="D1084" s="528">
        <f>D545+31351/60</f>
        <v>1032.5166666666667</v>
      </c>
      <c r="E1084" s="528">
        <f>E545+57112/60</f>
        <v>1671.8666666666668</v>
      </c>
      <c r="F1084" s="528">
        <f>F545+57112/60</f>
        <v>1671.8666666666668</v>
      </c>
      <c r="G1084" s="222" t="s">
        <v>10</v>
      </c>
      <c r="H1084" s="385" t="s">
        <v>725</v>
      </c>
      <c r="I1084" s="426" t="s">
        <v>472</v>
      </c>
      <c r="J1084" s="681"/>
      <c r="K1084" s="379" t="s">
        <v>680</v>
      </c>
      <c r="L1084" s="379" t="s">
        <v>641</v>
      </c>
      <c r="M1084" s="381">
        <v>43045</v>
      </c>
      <c r="N1084" s="547">
        <v>43087</v>
      </c>
      <c r="O1084" s="422"/>
      <c r="P1084" s="677"/>
      <c r="Q1084" s="61" t="s">
        <v>902</v>
      </c>
      <c r="R1084" s="397" t="s">
        <v>836</v>
      </c>
      <c r="S1084" s="316" t="s">
        <v>1176</v>
      </c>
      <c r="T1084" s="689"/>
      <c r="U1084" s="421"/>
    </row>
    <row r="1085" spans="1:21" s="377" customFormat="1" ht="20.100000000000001" customHeight="1">
      <c r="A1085" s="1184" t="s">
        <v>2951</v>
      </c>
      <c r="B1085" s="1183" t="s">
        <v>343</v>
      </c>
      <c r="C1085" s="1183" t="s">
        <v>481</v>
      </c>
      <c r="D1085" s="528">
        <f>D546+27500/55</f>
        <v>935</v>
      </c>
      <c r="E1085" s="528"/>
      <c r="F1085" s="528">
        <f>F546+46000/55</f>
        <v>1346.3636363636365</v>
      </c>
      <c r="G1085" s="707" t="s">
        <v>37</v>
      </c>
      <c r="H1085" s="385">
        <v>5</v>
      </c>
      <c r="I1085" s="426" t="s">
        <v>472</v>
      </c>
      <c r="J1085" s="681"/>
      <c r="K1085" s="386" t="s">
        <v>872</v>
      </c>
      <c r="L1085" s="380" t="s">
        <v>649</v>
      </c>
      <c r="M1085" s="392">
        <v>43063</v>
      </c>
      <c r="N1085" s="392">
        <v>43080</v>
      </c>
      <c r="O1085" s="419"/>
      <c r="P1085" s="750"/>
      <c r="Q1085" s="61" t="s">
        <v>927</v>
      </c>
      <c r="R1085" s="397" t="s">
        <v>179</v>
      </c>
      <c r="S1085" s="315" t="s">
        <v>2903</v>
      </c>
      <c r="T1085" s="316"/>
      <c r="U1085" s="421"/>
    </row>
    <row r="1086" spans="1:21" s="377" customFormat="1" ht="20.100000000000001" customHeight="1">
      <c r="A1086" s="1184" t="s">
        <v>2951</v>
      </c>
      <c r="B1086" s="1183" t="s">
        <v>343</v>
      </c>
      <c r="C1086" s="1183" t="s">
        <v>481</v>
      </c>
      <c r="D1086" s="528">
        <f>D548+39200/60</f>
        <v>1053.3333333333335</v>
      </c>
      <c r="E1086" s="528">
        <f>E548+70100/60</f>
        <v>1668.3333333333333</v>
      </c>
      <c r="F1086" s="528">
        <f>F548+70100/60</f>
        <v>1668.3333333333333</v>
      </c>
      <c r="G1086" s="705" t="s">
        <v>232</v>
      </c>
      <c r="H1086" s="417" t="s">
        <v>721</v>
      </c>
      <c r="I1086" s="386" t="s">
        <v>472</v>
      </c>
      <c r="J1086" s="37"/>
      <c r="K1086" s="398">
        <v>20</v>
      </c>
      <c r="L1086" s="386" t="s">
        <v>641</v>
      </c>
      <c r="M1086" s="399">
        <v>43064</v>
      </c>
      <c r="N1086" s="399">
        <v>43086</v>
      </c>
      <c r="O1086" s="423" t="s">
        <v>601</v>
      </c>
      <c r="P1086" s="751"/>
      <c r="Q1086" s="61" t="s">
        <v>934</v>
      </c>
      <c r="R1086" s="424" t="s">
        <v>202</v>
      </c>
      <c r="S1086" s="316"/>
      <c r="T1086" s="689"/>
      <c r="U1086" s="421"/>
    </row>
    <row r="1087" spans="1:21" s="377" customFormat="1" ht="20.100000000000001" customHeight="1">
      <c r="A1087" s="1184" t="s">
        <v>2951</v>
      </c>
      <c r="B1087" s="1183" t="s">
        <v>343</v>
      </c>
      <c r="C1087" s="1183" t="s">
        <v>481</v>
      </c>
      <c r="D1087" s="528">
        <f>D549+39525/60</f>
        <v>1008.75</v>
      </c>
      <c r="E1087" s="528">
        <f>E549+68675/60</f>
        <v>1534.5833333333333</v>
      </c>
      <c r="F1087" s="528">
        <f>F549+68675/60</f>
        <v>1534.5833333333333</v>
      </c>
      <c r="G1087" s="705" t="s">
        <v>12</v>
      </c>
      <c r="H1087" s="417" t="s">
        <v>721</v>
      </c>
      <c r="I1087" s="426" t="s">
        <v>472</v>
      </c>
      <c r="J1087" s="681" t="s">
        <v>1374</v>
      </c>
      <c r="K1087" s="386">
        <v>20</v>
      </c>
      <c r="L1087" s="386" t="s">
        <v>650</v>
      </c>
      <c r="M1087" s="551">
        <v>43084</v>
      </c>
      <c r="N1087" s="551">
        <v>43091</v>
      </c>
      <c r="O1087" s="419"/>
      <c r="P1087" s="61" t="s">
        <v>597</v>
      </c>
      <c r="Q1087" s="61" t="s">
        <v>932</v>
      </c>
      <c r="R1087" s="397" t="s">
        <v>202</v>
      </c>
      <c r="S1087" s="322" t="s">
        <v>1176</v>
      </c>
      <c r="T1087" s="688" t="s">
        <v>2840</v>
      </c>
      <c r="U1087" s="421"/>
    </row>
    <row r="1088" spans="1:21" s="377" customFormat="1" ht="20.100000000000001" customHeight="1">
      <c r="A1088" s="1184" t="s">
        <v>2951</v>
      </c>
      <c r="B1088" s="1183" t="s">
        <v>343</v>
      </c>
      <c r="C1088" s="1183" t="s">
        <v>482</v>
      </c>
      <c r="D1088" s="13">
        <f>D417+33500/55</f>
        <v>969.09090909090912</v>
      </c>
      <c r="E1088" s="528"/>
      <c r="F1088" s="13">
        <f>F417+46000/55</f>
        <v>1221.3636363636365</v>
      </c>
      <c r="G1088" s="707" t="s">
        <v>37</v>
      </c>
      <c r="H1088" s="378">
        <v>1</v>
      </c>
      <c r="I1088" s="398" t="s">
        <v>93</v>
      </c>
      <c r="J1088" s="37"/>
      <c r="K1088" s="426">
        <v>22</v>
      </c>
      <c r="L1088" s="379" t="s">
        <v>636</v>
      </c>
      <c r="M1088" s="392">
        <v>43080</v>
      </c>
      <c r="N1088" s="392">
        <v>43080</v>
      </c>
      <c r="O1088" s="419"/>
      <c r="P1088" s="61" t="s">
        <v>1933</v>
      </c>
      <c r="Q1088" s="61" t="s">
        <v>927</v>
      </c>
      <c r="R1088" s="397" t="s">
        <v>192</v>
      </c>
      <c r="S1088" s="315" t="s">
        <v>2903</v>
      </c>
      <c r="T1088" s="316"/>
      <c r="U1088" s="421"/>
    </row>
    <row r="1089" spans="1:21" s="377" customFormat="1" ht="20.100000000000001" customHeight="1">
      <c r="A1089" s="1184" t="s">
        <v>2951</v>
      </c>
      <c r="B1089" s="1183" t="s">
        <v>343</v>
      </c>
      <c r="C1089" s="1183" t="s">
        <v>482</v>
      </c>
      <c r="D1089" s="536">
        <f>D422+38501/55</f>
        <v>900.0181818181818</v>
      </c>
      <c r="E1089" s="536">
        <f>E422+57975/55</f>
        <v>1304.090909090909</v>
      </c>
      <c r="F1089" s="536">
        <f>F422+57975/55</f>
        <v>1304.090909090909</v>
      </c>
      <c r="G1089" s="710" t="s">
        <v>87</v>
      </c>
      <c r="H1089" s="390" t="s">
        <v>729</v>
      </c>
      <c r="I1089" s="406" t="s">
        <v>93</v>
      </c>
      <c r="J1089" s="50"/>
      <c r="K1089" s="406">
        <v>24</v>
      </c>
      <c r="L1089" s="398" t="s">
        <v>649</v>
      </c>
      <c r="M1089" s="547">
        <v>43080</v>
      </c>
      <c r="N1089" s="547">
        <v>43080</v>
      </c>
      <c r="O1089" s="422"/>
      <c r="P1089" s="59" t="s">
        <v>604</v>
      </c>
      <c r="Q1089" s="61" t="s">
        <v>919</v>
      </c>
      <c r="R1089" s="397" t="s">
        <v>251</v>
      </c>
      <c r="S1089" s="322" t="s">
        <v>2861</v>
      </c>
      <c r="T1089" s="689"/>
      <c r="U1089" s="421"/>
    </row>
    <row r="1090" spans="1:21" s="377" customFormat="1" ht="20.100000000000001" customHeight="1">
      <c r="A1090" s="1184" t="s">
        <v>2951</v>
      </c>
      <c r="B1090" s="1183" t="s">
        <v>343</v>
      </c>
      <c r="C1090" s="1183" t="s">
        <v>482</v>
      </c>
      <c r="D1090" s="536">
        <f>D435+805+25</f>
        <v>1060</v>
      </c>
      <c r="E1090" s="536">
        <f>E435+1443+50</f>
        <v>1818</v>
      </c>
      <c r="F1090" s="536">
        <f>F435+1443+50</f>
        <v>1818</v>
      </c>
      <c r="G1090" s="656" t="s">
        <v>14</v>
      </c>
      <c r="H1090" s="56" t="s">
        <v>742</v>
      </c>
      <c r="I1090" s="380" t="s">
        <v>93</v>
      </c>
      <c r="J1090" s="37"/>
      <c r="K1090" s="426" t="s">
        <v>2348</v>
      </c>
      <c r="L1090" s="398" t="s">
        <v>652</v>
      </c>
      <c r="M1090" s="547">
        <v>43086</v>
      </c>
      <c r="N1090" s="547">
        <v>43092</v>
      </c>
      <c r="O1090" s="422"/>
      <c r="P1090" s="61" t="s">
        <v>605</v>
      </c>
      <c r="Q1090" s="61" t="s">
        <v>934</v>
      </c>
      <c r="R1090" s="17" t="s">
        <v>449</v>
      </c>
      <c r="S1090" s="322" t="s">
        <v>1176</v>
      </c>
      <c r="T1090" s="689"/>
      <c r="U1090" s="421"/>
    </row>
    <row r="1091" spans="1:21" s="377" customFormat="1" ht="20.100000000000001" customHeight="1">
      <c r="A1091" s="1184" t="s">
        <v>2951</v>
      </c>
      <c r="B1091" s="1183" t="s">
        <v>343</v>
      </c>
      <c r="C1091" s="1183" t="s">
        <v>482</v>
      </c>
      <c r="D1091" s="11">
        <f>D421+34475/60</f>
        <v>804.58333333333337</v>
      </c>
      <c r="E1091" s="11">
        <f>E421+60650/60</f>
        <v>1160.8333333333335</v>
      </c>
      <c r="F1091" s="11">
        <f>F421+60650/60</f>
        <v>1160.8333333333335</v>
      </c>
      <c r="G1091" s="707" t="s">
        <v>146</v>
      </c>
      <c r="H1091" s="417" t="s">
        <v>651</v>
      </c>
      <c r="I1091" s="398" t="s">
        <v>93</v>
      </c>
      <c r="J1091" s="37" t="s">
        <v>1375</v>
      </c>
      <c r="K1091" s="398">
        <v>20</v>
      </c>
      <c r="L1091" s="415" t="s">
        <v>637</v>
      </c>
      <c r="M1091" s="551">
        <v>43084</v>
      </c>
      <c r="N1091" s="551">
        <v>43091</v>
      </c>
      <c r="O1091" s="419"/>
      <c r="P1091" s="72" t="s">
        <v>1941</v>
      </c>
      <c r="Q1091" s="61" t="s">
        <v>932</v>
      </c>
      <c r="R1091" s="384" t="s">
        <v>1740</v>
      </c>
      <c r="S1091" s="322" t="s">
        <v>1176</v>
      </c>
      <c r="T1091" s="688" t="s">
        <v>2840</v>
      </c>
      <c r="U1091" s="421"/>
    </row>
    <row r="1092" spans="1:21" s="377" customFormat="1" ht="20.100000000000001" customHeight="1">
      <c r="A1092" s="1184" t="s">
        <v>2951</v>
      </c>
      <c r="B1092" s="1183" t="s">
        <v>343</v>
      </c>
      <c r="C1092" s="1183" t="s">
        <v>482</v>
      </c>
      <c r="D1092" s="11">
        <f>D759</f>
        <v>1425</v>
      </c>
      <c r="E1092" s="11">
        <f>E759</f>
        <v>2000</v>
      </c>
      <c r="F1092" s="11">
        <f>F759</f>
        <v>2000</v>
      </c>
      <c r="G1092" s="222" t="s">
        <v>19</v>
      </c>
      <c r="H1092" s="385" t="s">
        <v>742</v>
      </c>
      <c r="I1092" s="398" t="s">
        <v>93</v>
      </c>
      <c r="J1092" s="37"/>
      <c r="K1092" s="398" t="s">
        <v>680</v>
      </c>
      <c r="L1092" s="398" t="s">
        <v>639</v>
      </c>
      <c r="M1092" s="399">
        <v>43073</v>
      </c>
      <c r="N1092" s="399">
        <v>43086</v>
      </c>
      <c r="O1092" s="382" t="s">
        <v>611</v>
      </c>
      <c r="P1092" s="61" t="s">
        <v>588</v>
      </c>
      <c r="Q1092" s="61" t="s">
        <v>1661</v>
      </c>
      <c r="R1092" s="397" t="s">
        <v>187</v>
      </c>
      <c r="S1092" s="316" t="s">
        <v>2908</v>
      </c>
      <c r="T1092" s="848" t="s">
        <v>4105</v>
      </c>
      <c r="U1092" s="421"/>
    </row>
    <row r="1093" spans="1:21" s="377" customFormat="1" ht="20.100000000000001" customHeight="1">
      <c r="A1093" s="1184" t="s">
        <v>2951</v>
      </c>
      <c r="B1093" s="1183" t="s">
        <v>343</v>
      </c>
      <c r="C1093" s="1183" t="s">
        <v>482</v>
      </c>
      <c r="D1093" s="536">
        <f>D455+35100/60</f>
        <v>960</v>
      </c>
      <c r="E1093" s="536">
        <f>E455+60000/60</f>
        <v>1400</v>
      </c>
      <c r="F1093" s="536">
        <f>F455+60000/60</f>
        <v>1400</v>
      </c>
      <c r="G1093" s="707" t="s">
        <v>232</v>
      </c>
      <c r="H1093" s="425" t="s">
        <v>656</v>
      </c>
      <c r="I1093" s="398" t="s">
        <v>93</v>
      </c>
      <c r="J1093" s="37"/>
      <c r="K1093" s="398">
        <v>28</v>
      </c>
      <c r="L1093" s="386" t="s">
        <v>1871</v>
      </c>
      <c r="M1093" s="399">
        <v>43064</v>
      </c>
      <c r="N1093" s="399">
        <v>43086</v>
      </c>
      <c r="O1093" s="423" t="s">
        <v>601</v>
      </c>
      <c r="P1093" s="751" t="s">
        <v>1937</v>
      </c>
      <c r="Q1093" s="61" t="s">
        <v>934</v>
      </c>
      <c r="R1093" s="424" t="s">
        <v>1870</v>
      </c>
      <c r="S1093" s="315" t="s">
        <v>2907</v>
      </c>
      <c r="T1093" s="689"/>
      <c r="U1093" s="421"/>
    </row>
    <row r="1094" spans="1:21" s="377" customFormat="1" ht="20.100000000000001" customHeight="1">
      <c r="A1094" s="1184" t="s">
        <v>2951</v>
      </c>
      <c r="B1094" s="1183" t="s">
        <v>343</v>
      </c>
      <c r="C1094" s="1183" t="s">
        <v>482</v>
      </c>
      <c r="D1094" s="11">
        <f>D440+32298/60</f>
        <v>788.3</v>
      </c>
      <c r="E1094" s="11">
        <f>E440+60305/60</f>
        <v>1255.0833333333335</v>
      </c>
      <c r="F1094" s="11">
        <f>F440+60305/60</f>
        <v>1255.0833333333335</v>
      </c>
      <c r="G1094" s="656" t="s">
        <v>2328</v>
      </c>
      <c r="H1094" s="385" t="s">
        <v>725</v>
      </c>
      <c r="I1094" s="398" t="s">
        <v>93</v>
      </c>
      <c r="J1094" s="37"/>
      <c r="K1094" s="398" t="s">
        <v>2336</v>
      </c>
      <c r="L1094" s="379" t="s">
        <v>641</v>
      </c>
      <c r="M1094" s="381">
        <v>43082</v>
      </c>
      <c r="N1094" s="381">
        <v>43086</v>
      </c>
      <c r="O1094" s="394" t="s">
        <v>1949</v>
      </c>
      <c r="P1094" s="72" t="s">
        <v>2285</v>
      </c>
      <c r="Q1094" s="61" t="s">
        <v>2337</v>
      </c>
      <c r="R1094" s="397" t="s">
        <v>826</v>
      </c>
      <c r="S1094" s="336" t="s">
        <v>1176</v>
      </c>
      <c r="T1094" s="323" t="s">
        <v>2935</v>
      </c>
      <c r="U1094" s="421"/>
    </row>
    <row r="1095" spans="1:21" s="377" customFormat="1" ht="20.100000000000001" customHeight="1">
      <c r="A1095" s="1184" t="s">
        <v>2951</v>
      </c>
      <c r="B1095" s="1183" t="s">
        <v>343</v>
      </c>
      <c r="C1095" s="1183" t="s">
        <v>482</v>
      </c>
      <c r="D1095" s="536">
        <f>D473+30475/55</f>
        <v>1154.090909090909</v>
      </c>
      <c r="E1095" s="536">
        <f>E473+44347/55</f>
        <v>1606.3090909090909</v>
      </c>
      <c r="F1095" s="536">
        <f>F473+44347/55</f>
        <v>1606.3090909090909</v>
      </c>
      <c r="G1095" s="710" t="s">
        <v>87</v>
      </c>
      <c r="H1095" s="378">
        <v>1</v>
      </c>
      <c r="I1095" s="406" t="s">
        <v>130</v>
      </c>
      <c r="J1095" s="50"/>
      <c r="K1095" s="406">
        <v>26</v>
      </c>
      <c r="L1095" s="379" t="s">
        <v>636</v>
      </c>
      <c r="M1095" s="547">
        <v>43040</v>
      </c>
      <c r="N1095" s="547">
        <v>43080</v>
      </c>
      <c r="O1095" s="422"/>
      <c r="P1095" s="59"/>
      <c r="Q1095" s="61" t="s">
        <v>3034</v>
      </c>
      <c r="R1095" s="427" t="s">
        <v>192</v>
      </c>
      <c r="S1095" s="322" t="s">
        <v>2849</v>
      </c>
      <c r="T1095" s="689"/>
      <c r="U1095" s="421"/>
    </row>
    <row r="1096" spans="1:21" s="377" customFormat="1" ht="20.100000000000001" customHeight="1">
      <c r="A1096" s="1184" t="s">
        <v>2951</v>
      </c>
      <c r="B1096" s="1183" t="s">
        <v>343</v>
      </c>
      <c r="C1096" s="1183" t="s">
        <v>482</v>
      </c>
      <c r="D1096" s="536">
        <f>D459+27500/55</f>
        <v>860</v>
      </c>
      <c r="E1096" s="528"/>
      <c r="F1096" s="536">
        <f>F459+37000/55</f>
        <v>1057.7272727272727</v>
      </c>
      <c r="G1096" s="707" t="s">
        <v>37</v>
      </c>
      <c r="H1096" s="378">
        <v>1</v>
      </c>
      <c r="I1096" s="398" t="s">
        <v>130</v>
      </c>
      <c r="J1096" s="37"/>
      <c r="K1096" s="426">
        <v>24</v>
      </c>
      <c r="L1096" s="379" t="s">
        <v>636</v>
      </c>
      <c r="M1096" s="392">
        <v>43080</v>
      </c>
      <c r="N1096" s="392">
        <v>43080</v>
      </c>
      <c r="O1096" s="419"/>
      <c r="P1096" s="61" t="s">
        <v>907</v>
      </c>
      <c r="Q1096" s="61" t="s">
        <v>927</v>
      </c>
      <c r="R1096" s="397" t="s">
        <v>192</v>
      </c>
      <c r="S1096" s="315" t="s">
        <v>2903</v>
      </c>
      <c r="T1096" s="316"/>
      <c r="U1096" s="421"/>
    </row>
    <row r="1097" spans="1:21" s="377" customFormat="1" ht="20.100000000000001" customHeight="1">
      <c r="A1097" s="1184" t="s">
        <v>2951</v>
      </c>
      <c r="B1097" s="1183" t="s">
        <v>343</v>
      </c>
      <c r="C1097" s="1183" t="s">
        <v>482</v>
      </c>
      <c r="D1097" s="536">
        <f>D462+31850/60</f>
        <v>905.83333333333337</v>
      </c>
      <c r="E1097" s="536">
        <f>E462+53550/60</f>
        <v>1307.5</v>
      </c>
      <c r="F1097" s="536">
        <f>F462+53550/60</f>
        <v>1307.5</v>
      </c>
      <c r="G1097" s="707" t="s">
        <v>12</v>
      </c>
      <c r="H1097" s="417" t="s">
        <v>729</v>
      </c>
      <c r="I1097" s="398" t="s">
        <v>130</v>
      </c>
      <c r="J1097" s="37" t="s">
        <v>1551</v>
      </c>
      <c r="K1097" s="426">
        <v>24</v>
      </c>
      <c r="L1097" s="379" t="s">
        <v>636</v>
      </c>
      <c r="M1097" s="551">
        <v>43084</v>
      </c>
      <c r="N1097" s="551">
        <v>43091</v>
      </c>
      <c r="O1097" s="419"/>
      <c r="P1097" s="61" t="s">
        <v>597</v>
      </c>
      <c r="Q1097" s="61" t="s">
        <v>932</v>
      </c>
      <c r="R1097" s="397" t="s">
        <v>271</v>
      </c>
      <c r="S1097" s="322" t="s">
        <v>1176</v>
      </c>
      <c r="T1097" s="688" t="s">
        <v>2840</v>
      </c>
      <c r="U1097" s="421"/>
    </row>
    <row r="1098" spans="1:21" s="377" customFormat="1" ht="20.100000000000001" customHeight="1">
      <c r="A1098" s="1184" t="s">
        <v>2951</v>
      </c>
      <c r="B1098" s="1183" t="s">
        <v>343</v>
      </c>
      <c r="C1098" s="1183" t="s">
        <v>482</v>
      </c>
      <c r="D1098" s="536">
        <f>D464+(31940+5000)/60</f>
        <v>1215.6666666666665</v>
      </c>
      <c r="E1098" s="536">
        <f>E464+(55900+10000)/60</f>
        <v>1748.3333333333333</v>
      </c>
      <c r="F1098" s="536">
        <f>F464+(55900+10000)/60</f>
        <v>1748.3333333333333</v>
      </c>
      <c r="G1098" s="217" t="s">
        <v>51</v>
      </c>
      <c r="H1098" s="417" t="s">
        <v>2363</v>
      </c>
      <c r="I1098" s="398" t="s">
        <v>130</v>
      </c>
      <c r="J1098" s="37"/>
      <c r="K1098" s="426" t="s">
        <v>2364</v>
      </c>
      <c r="L1098" s="380" t="s">
        <v>639</v>
      </c>
      <c r="M1098" s="381">
        <v>43080</v>
      </c>
      <c r="N1098" s="381">
        <v>43089</v>
      </c>
      <c r="O1098" s="419"/>
      <c r="P1098" s="61" t="s">
        <v>597</v>
      </c>
      <c r="Q1098" s="61" t="s">
        <v>902</v>
      </c>
      <c r="R1098" s="424" t="s">
        <v>171</v>
      </c>
      <c r="S1098" s="322"/>
      <c r="T1098" s="688"/>
      <c r="U1098" s="421"/>
    </row>
    <row r="1099" spans="1:21" s="377" customFormat="1" ht="20.100000000000001" customHeight="1">
      <c r="A1099" s="1184" t="s">
        <v>2951</v>
      </c>
      <c r="B1099" s="1183" t="s">
        <v>343</v>
      </c>
      <c r="C1099" s="1183" t="s">
        <v>482</v>
      </c>
      <c r="D1099" s="536">
        <f>D467+695+25</f>
        <v>1000</v>
      </c>
      <c r="E1099" s="536">
        <f>E467+1227+50</f>
        <v>1702</v>
      </c>
      <c r="F1099" s="536">
        <f>F467+1227+50</f>
        <v>1702</v>
      </c>
      <c r="G1099" s="222" t="s">
        <v>2347</v>
      </c>
      <c r="H1099" s="385" t="s">
        <v>2350</v>
      </c>
      <c r="I1099" s="398" t="s">
        <v>130</v>
      </c>
      <c r="J1099" s="37"/>
      <c r="K1099" s="380" t="s">
        <v>2346</v>
      </c>
      <c r="L1099" s="386" t="s">
        <v>639</v>
      </c>
      <c r="M1099" s="547">
        <v>43086</v>
      </c>
      <c r="N1099" s="547">
        <v>43092</v>
      </c>
      <c r="O1099" s="419"/>
      <c r="P1099" s="61"/>
      <c r="Q1099" s="61" t="s">
        <v>934</v>
      </c>
      <c r="R1099" s="397" t="s">
        <v>171</v>
      </c>
      <c r="S1099" s="322"/>
      <c r="T1099" s="688"/>
      <c r="U1099" s="421"/>
    </row>
    <row r="1100" spans="1:21" s="377" customFormat="1" ht="20.100000000000001" customHeight="1">
      <c r="A1100" s="1184" t="s">
        <v>2951</v>
      </c>
      <c r="B1100" s="1183" t="s">
        <v>343</v>
      </c>
      <c r="C1100" s="1183" t="s">
        <v>482</v>
      </c>
      <c r="D1100" s="536">
        <f>D535+(32290+5000)/60</f>
        <v>1021.5</v>
      </c>
      <c r="E1100" s="536">
        <f>E535+(56650+10000)/60</f>
        <v>1560.8333333333333</v>
      </c>
      <c r="F1100" s="536">
        <f>F535+(56650+10000)/60</f>
        <v>1560.8333333333333</v>
      </c>
      <c r="G1100" s="222" t="s">
        <v>51</v>
      </c>
      <c r="H1100" s="403">
        <v>3</v>
      </c>
      <c r="I1100" s="398" t="s">
        <v>472</v>
      </c>
      <c r="J1100" s="37"/>
      <c r="K1100" s="386" t="s">
        <v>2364</v>
      </c>
      <c r="L1100" s="380" t="s">
        <v>639</v>
      </c>
      <c r="M1100" s="381">
        <v>43084</v>
      </c>
      <c r="N1100" s="381">
        <v>43089</v>
      </c>
      <c r="O1100" s="419"/>
      <c r="P1100" s="61" t="s">
        <v>597</v>
      </c>
      <c r="Q1100" s="61" t="s">
        <v>902</v>
      </c>
      <c r="R1100" s="397" t="s">
        <v>450</v>
      </c>
      <c r="S1100" s="327" t="s">
        <v>3066</v>
      </c>
      <c r="T1100" s="688"/>
      <c r="U1100" s="421"/>
    </row>
    <row r="1101" spans="1:21" s="377" customFormat="1" ht="20.100000000000001" customHeight="1">
      <c r="A1101" s="1184" t="s">
        <v>2951</v>
      </c>
      <c r="B1101" s="1183" t="s">
        <v>343</v>
      </c>
      <c r="C1101" s="1183" t="s">
        <v>482</v>
      </c>
      <c r="D1101" s="536">
        <f>D554+26325/60</f>
        <v>813.75</v>
      </c>
      <c r="E1101" s="536">
        <f>E554+50026/60</f>
        <v>1283.7666666666667</v>
      </c>
      <c r="F1101" s="536">
        <f>F554+50026/60</f>
        <v>1283.7666666666667</v>
      </c>
      <c r="G1101" s="217" t="s">
        <v>2328</v>
      </c>
      <c r="H1101" s="385" t="s">
        <v>725</v>
      </c>
      <c r="I1101" s="398" t="s">
        <v>472</v>
      </c>
      <c r="J1101" s="681"/>
      <c r="K1101" s="386" t="s">
        <v>2341</v>
      </c>
      <c r="L1101" s="379" t="s">
        <v>641</v>
      </c>
      <c r="M1101" s="381">
        <v>43082</v>
      </c>
      <c r="N1101" s="381">
        <v>43086</v>
      </c>
      <c r="O1101" s="394" t="s">
        <v>1949</v>
      </c>
      <c r="P1101" s="61"/>
      <c r="Q1101" s="61" t="s">
        <v>2337</v>
      </c>
      <c r="R1101" s="397" t="s">
        <v>826</v>
      </c>
      <c r="S1101" s="336" t="s">
        <v>1176</v>
      </c>
      <c r="T1101" s="323" t="s">
        <v>2935</v>
      </c>
      <c r="U1101" s="421"/>
    </row>
    <row r="1102" spans="1:21" s="377" customFormat="1" ht="20.100000000000001" customHeight="1">
      <c r="A1102" s="1184" t="s">
        <v>2951</v>
      </c>
      <c r="B1102" s="1183" t="s">
        <v>343</v>
      </c>
      <c r="C1102" s="1183" t="s">
        <v>482</v>
      </c>
      <c r="D1102" s="536">
        <f>D546+26500/55</f>
        <v>916.81818181818176</v>
      </c>
      <c r="E1102" s="528"/>
      <c r="F1102" s="536">
        <f>F546+37500/55</f>
        <v>1191.818181818182</v>
      </c>
      <c r="G1102" s="707" t="s">
        <v>37</v>
      </c>
      <c r="H1102" s="385">
        <v>5</v>
      </c>
      <c r="I1102" s="426" t="s">
        <v>472</v>
      </c>
      <c r="J1102" s="681"/>
      <c r="K1102" s="386" t="s">
        <v>872</v>
      </c>
      <c r="L1102" s="380" t="s">
        <v>649</v>
      </c>
      <c r="M1102" s="392">
        <v>43063</v>
      </c>
      <c r="N1102" s="392">
        <v>43080</v>
      </c>
      <c r="O1102" s="419"/>
      <c r="P1102" s="750"/>
      <c r="Q1102" s="61" t="s">
        <v>927</v>
      </c>
      <c r="R1102" s="397" t="s">
        <v>179</v>
      </c>
      <c r="S1102" s="315" t="s">
        <v>2903</v>
      </c>
      <c r="T1102" s="316"/>
      <c r="U1102" s="421"/>
    </row>
    <row r="1103" spans="1:21" s="377" customFormat="1" ht="20.100000000000001" customHeight="1">
      <c r="A1103" s="1184" t="s">
        <v>2951</v>
      </c>
      <c r="B1103" s="1183" t="s">
        <v>343</v>
      </c>
      <c r="C1103" s="1183" t="s">
        <v>482</v>
      </c>
      <c r="D1103" s="536">
        <f>D549+32975/60</f>
        <v>899.58333333333337</v>
      </c>
      <c r="E1103" s="536">
        <f>E549+57625/60</f>
        <v>1350.4166666666665</v>
      </c>
      <c r="F1103" s="536">
        <f>F549+57625/60</f>
        <v>1350.4166666666665</v>
      </c>
      <c r="G1103" s="707" t="s">
        <v>12</v>
      </c>
      <c r="H1103" s="417" t="s">
        <v>721</v>
      </c>
      <c r="I1103" s="426" t="s">
        <v>472</v>
      </c>
      <c r="J1103" s="37" t="s">
        <v>1551</v>
      </c>
      <c r="K1103" s="386">
        <v>20</v>
      </c>
      <c r="L1103" s="386" t="s">
        <v>650</v>
      </c>
      <c r="M1103" s="551">
        <v>43084</v>
      </c>
      <c r="N1103" s="551">
        <v>43091</v>
      </c>
      <c r="O1103" s="419"/>
      <c r="P1103" s="61" t="s">
        <v>597</v>
      </c>
      <c r="Q1103" s="61" t="s">
        <v>932</v>
      </c>
      <c r="R1103" s="397" t="s">
        <v>202</v>
      </c>
      <c r="S1103" s="322" t="s">
        <v>1176</v>
      </c>
      <c r="T1103" s="688" t="s">
        <v>2840</v>
      </c>
      <c r="U1103" s="421"/>
    </row>
    <row r="1104" spans="1:21" s="377" customFormat="1" ht="20.100000000000001" customHeight="1">
      <c r="A1104" s="1184" t="s">
        <v>1111</v>
      </c>
      <c r="B1104" s="1183" t="s">
        <v>343</v>
      </c>
      <c r="C1104" s="1183" t="s">
        <v>2333</v>
      </c>
      <c r="D1104" s="536">
        <f>D440+46940/60</f>
        <v>1032.3333333333335</v>
      </c>
      <c r="E1104" s="536">
        <f>E440+89390/60</f>
        <v>1739.8333333333333</v>
      </c>
      <c r="F1104" s="536">
        <f>F440+89390/60</f>
        <v>1739.8333333333333</v>
      </c>
      <c r="G1104" s="656" t="s">
        <v>2328</v>
      </c>
      <c r="H1104" s="385" t="s">
        <v>725</v>
      </c>
      <c r="I1104" s="398" t="s">
        <v>93</v>
      </c>
      <c r="J1104" s="37"/>
      <c r="K1104" s="398" t="s">
        <v>2336</v>
      </c>
      <c r="L1104" s="379" t="s">
        <v>641</v>
      </c>
      <c r="M1104" s="381">
        <v>43082</v>
      </c>
      <c r="N1104" s="381">
        <v>43086</v>
      </c>
      <c r="O1104" s="394" t="s">
        <v>1949</v>
      </c>
      <c r="P1104" s="72" t="s">
        <v>2285</v>
      </c>
      <c r="Q1104" s="61" t="s">
        <v>2337</v>
      </c>
      <c r="R1104" s="397" t="s">
        <v>826</v>
      </c>
      <c r="S1104" s="336" t="s">
        <v>1176</v>
      </c>
      <c r="T1104" s="323" t="s">
        <v>2935</v>
      </c>
      <c r="U1104" s="421"/>
    </row>
    <row r="1105" spans="1:21" s="377" customFormat="1" ht="20.100000000000001" customHeight="1">
      <c r="A1105" s="1184" t="s">
        <v>1111</v>
      </c>
      <c r="B1105" s="1183" t="s">
        <v>343</v>
      </c>
      <c r="C1105" s="1183" t="s">
        <v>2333</v>
      </c>
      <c r="D1105" s="536">
        <f>D554+38100/60</f>
        <v>1010</v>
      </c>
      <c r="E1105" s="536">
        <f>E554+77852/60</f>
        <v>1747.5333333333333</v>
      </c>
      <c r="F1105" s="536">
        <f>F554+77852/60</f>
        <v>1747.5333333333333</v>
      </c>
      <c r="G1105" s="656" t="s">
        <v>2328</v>
      </c>
      <c r="H1105" s="385" t="s">
        <v>725</v>
      </c>
      <c r="I1105" s="398" t="s">
        <v>472</v>
      </c>
      <c r="J1105" s="681"/>
      <c r="K1105" s="386" t="s">
        <v>2341</v>
      </c>
      <c r="L1105" s="379" t="s">
        <v>641</v>
      </c>
      <c r="M1105" s="381">
        <v>43082</v>
      </c>
      <c r="N1105" s="381">
        <v>43086</v>
      </c>
      <c r="O1105" s="394" t="s">
        <v>1949</v>
      </c>
      <c r="P1105" s="61"/>
      <c r="Q1105" s="61" t="s">
        <v>2337</v>
      </c>
      <c r="R1105" s="397" t="s">
        <v>826</v>
      </c>
      <c r="S1105" s="336" t="s">
        <v>1176</v>
      </c>
      <c r="T1105" s="323" t="s">
        <v>2935</v>
      </c>
      <c r="U1105" s="421"/>
    </row>
    <row r="1106" spans="1:21" s="377" customFormat="1" ht="20.100000000000001" customHeight="1">
      <c r="A1106" s="741" t="s">
        <v>2949</v>
      </c>
      <c r="B1106" s="445" t="s">
        <v>1123</v>
      </c>
      <c r="C1106" s="445" t="s">
        <v>1124</v>
      </c>
      <c r="D1106" s="11">
        <f>D450+17+25</f>
        <v>992</v>
      </c>
      <c r="E1106" s="11">
        <f>E450+34+50</f>
        <v>1634</v>
      </c>
      <c r="F1106" s="11">
        <f>F450+34+50</f>
        <v>1634</v>
      </c>
      <c r="G1106" s="222" t="s">
        <v>22</v>
      </c>
      <c r="H1106" s="401" t="s">
        <v>706</v>
      </c>
      <c r="I1106" s="426" t="s">
        <v>93</v>
      </c>
      <c r="J1106" s="681"/>
      <c r="K1106" s="386">
        <v>23</v>
      </c>
      <c r="L1106" s="379" t="s">
        <v>643</v>
      </c>
      <c r="M1106" s="392">
        <v>42962</v>
      </c>
      <c r="N1106" s="392">
        <v>43100</v>
      </c>
      <c r="O1106" s="422"/>
      <c r="P1106" s="61" t="s">
        <v>588</v>
      </c>
      <c r="Q1106" s="761" t="s">
        <v>495</v>
      </c>
      <c r="R1106" s="397" t="s">
        <v>1783</v>
      </c>
      <c r="S1106" s="316" t="s">
        <v>1176</v>
      </c>
      <c r="T1106" s="689"/>
      <c r="U1106" s="421"/>
    </row>
    <row r="1107" spans="1:21" s="377" customFormat="1" ht="20.100000000000001" customHeight="1">
      <c r="A1107" s="1183" t="s">
        <v>2951</v>
      </c>
      <c r="B1107" s="1183" t="s">
        <v>1122</v>
      </c>
      <c r="C1107" s="1183" t="s">
        <v>344</v>
      </c>
      <c r="D1107" s="528">
        <f>D417+50500/55</f>
        <v>1278.181818181818</v>
      </c>
      <c r="E1107" s="528"/>
      <c r="F1107" s="528">
        <f>F417+77000/55</f>
        <v>1785</v>
      </c>
      <c r="G1107" s="705" t="s">
        <v>102</v>
      </c>
      <c r="H1107" s="378">
        <v>1</v>
      </c>
      <c r="I1107" s="398" t="s">
        <v>93</v>
      </c>
      <c r="J1107" s="681"/>
      <c r="K1107" s="426">
        <v>23</v>
      </c>
      <c r="L1107" s="379" t="s">
        <v>636</v>
      </c>
      <c r="M1107" s="392">
        <v>43080</v>
      </c>
      <c r="N1107" s="392">
        <v>43080</v>
      </c>
      <c r="O1107" s="419"/>
      <c r="P1107" s="61" t="s">
        <v>1933</v>
      </c>
      <c r="Q1107" s="61" t="s">
        <v>927</v>
      </c>
      <c r="R1107" s="397" t="s">
        <v>192</v>
      </c>
      <c r="S1107" s="315" t="s">
        <v>2903</v>
      </c>
      <c r="T1107" s="316"/>
      <c r="U1107" s="421"/>
    </row>
    <row r="1108" spans="1:21" s="377" customFormat="1" ht="20.100000000000001" customHeight="1">
      <c r="A1108" s="1183" t="s">
        <v>2951</v>
      </c>
      <c r="B1108" s="1183" t="s">
        <v>1122</v>
      </c>
      <c r="C1108" s="1183" t="s">
        <v>344</v>
      </c>
      <c r="D1108" s="528">
        <f>D451+(35734/60)*1.15</f>
        <v>1009.9016666666666</v>
      </c>
      <c r="E1108" s="528">
        <f>E451+(63876/60)*1.15</f>
        <v>1624.2899999999997</v>
      </c>
      <c r="F1108" s="528">
        <f>F451+(63876/60)*1.15</f>
        <v>1624.2899999999997</v>
      </c>
      <c r="G1108" s="705" t="s">
        <v>29</v>
      </c>
      <c r="H1108" s="385" t="s">
        <v>1101</v>
      </c>
      <c r="I1108" s="386" t="s">
        <v>93</v>
      </c>
      <c r="J1108" s="681"/>
      <c r="K1108" s="398">
        <v>24</v>
      </c>
      <c r="L1108" s="398" t="s">
        <v>649</v>
      </c>
      <c r="M1108" s="404">
        <v>43080</v>
      </c>
      <c r="N1108" s="404">
        <v>43086</v>
      </c>
      <c r="O1108" s="422"/>
      <c r="P1108" s="751" t="s">
        <v>1072</v>
      </c>
      <c r="Q1108" s="61" t="s">
        <v>934</v>
      </c>
      <c r="R1108" s="397" t="s">
        <v>251</v>
      </c>
      <c r="S1108" s="316" t="s">
        <v>2898</v>
      </c>
      <c r="T1108" s="689"/>
      <c r="U1108" s="421"/>
    </row>
    <row r="1109" spans="1:21" s="377" customFormat="1" ht="20.100000000000001" customHeight="1">
      <c r="A1109" s="1183" t="s">
        <v>2951</v>
      </c>
      <c r="B1109" s="1183" t="s">
        <v>1122</v>
      </c>
      <c r="C1109" s="1183" t="s">
        <v>344</v>
      </c>
      <c r="D1109" s="536">
        <f>D422+73721/55</f>
        <v>1540.3818181818183</v>
      </c>
      <c r="E1109" s="536">
        <f>E422+104748/55</f>
        <v>2154.5090909090909</v>
      </c>
      <c r="F1109" s="536">
        <f>F422+104748/55</f>
        <v>2154.5090909090909</v>
      </c>
      <c r="G1109" s="710" t="s">
        <v>87</v>
      </c>
      <c r="H1109" s="390" t="s">
        <v>729</v>
      </c>
      <c r="I1109" s="406" t="s">
        <v>93</v>
      </c>
      <c r="J1109" s="50"/>
      <c r="K1109" s="406">
        <v>24</v>
      </c>
      <c r="L1109" s="398" t="s">
        <v>649</v>
      </c>
      <c r="M1109" s="547">
        <v>43080</v>
      </c>
      <c r="N1109" s="547">
        <v>43080</v>
      </c>
      <c r="O1109" s="422"/>
      <c r="P1109" s="59" t="s">
        <v>604</v>
      </c>
      <c r="Q1109" s="61" t="s">
        <v>919</v>
      </c>
      <c r="R1109" s="397" t="s">
        <v>251</v>
      </c>
      <c r="S1109" s="322" t="s">
        <v>2861</v>
      </c>
      <c r="T1109" s="689"/>
      <c r="U1109" s="421"/>
    </row>
    <row r="1110" spans="1:21" s="377" customFormat="1" ht="20.100000000000001" customHeight="1">
      <c r="A1110" s="1183" t="s">
        <v>2951</v>
      </c>
      <c r="B1110" s="1183" t="s">
        <v>1122</v>
      </c>
      <c r="C1110" s="1183" t="s">
        <v>344</v>
      </c>
      <c r="D1110" s="536">
        <f>D435+732+25</f>
        <v>987</v>
      </c>
      <c r="E1110" s="536">
        <f>E435+1493+50</f>
        <v>1868</v>
      </c>
      <c r="F1110" s="536">
        <f>F435+1493+50</f>
        <v>1868</v>
      </c>
      <c r="G1110" s="656" t="s">
        <v>14</v>
      </c>
      <c r="H1110" s="56" t="s">
        <v>742</v>
      </c>
      <c r="I1110" s="380" t="s">
        <v>93</v>
      </c>
      <c r="J1110" s="37" t="s">
        <v>3433</v>
      </c>
      <c r="K1110" s="426" t="s">
        <v>2348</v>
      </c>
      <c r="L1110" s="398" t="s">
        <v>652</v>
      </c>
      <c r="M1110" s="547">
        <v>43086</v>
      </c>
      <c r="N1110" s="547">
        <v>43092</v>
      </c>
      <c r="O1110" s="422"/>
      <c r="P1110" s="61" t="s">
        <v>605</v>
      </c>
      <c r="Q1110" s="61" t="s">
        <v>934</v>
      </c>
      <c r="R1110" s="17" t="s">
        <v>449</v>
      </c>
      <c r="S1110" s="322" t="s">
        <v>1176</v>
      </c>
      <c r="T1110" s="689"/>
      <c r="U1110" s="421"/>
    </row>
    <row r="1111" spans="1:21" s="377" customFormat="1" ht="20.100000000000001" customHeight="1">
      <c r="A1111" s="1183" t="s">
        <v>2951</v>
      </c>
      <c r="B1111" s="1183" t="s">
        <v>1122</v>
      </c>
      <c r="C1111" s="1183" t="s">
        <v>344</v>
      </c>
      <c r="D1111" s="536">
        <f>D435+707+25</f>
        <v>962</v>
      </c>
      <c r="E1111" s="536">
        <f>E435+1439+50</f>
        <v>1814</v>
      </c>
      <c r="F1111" s="536">
        <f>F435+1439+50</f>
        <v>1814</v>
      </c>
      <c r="G1111" s="656" t="s">
        <v>14</v>
      </c>
      <c r="H1111" s="56" t="s">
        <v>742</v>
      </c>
      <c r="I1111" s="380" t="s">
        <v>93</v>
      </c>
      <c r="J1111" s="37" t="s">
        <v>3435</v>
      </c>
      <c r="K1111" s="426" t="s">
        <v>2348</v>
      </c>
      <c r="L1111" s="398" t="s">
        <v>652</v>
      </c>
      <c r="M1111" s="547">
        <v>43086</v>
      </c>
      <c r="N1111" s="547">
        <v>43092</v>
      </c>
      <c r="O1111" s="422"/>
      <c r="P1111" s="61" t="s">
        <v>605</v>
      </c>
      <c r="Q1111" s="61" t="s">
        <v>934</v>
      </c>
      <c r="R1111" s="17" t="s">
        <v>449</v>
      </c>
      <c r="S1111" s="322" t="s">
        <v>1176</v>
      </c>
      <c r="T1111" s="785"/>
      <c r="U1111" s="421"/>
    </row>
    <row r="1112" spans="1:21" s="377" customFormat="1" ht="20.100000000000001" customHeight="1">
      <c r="A1112" s="1183" t="s">
        <v>2951</v>
      </c>
      <c r="B1112" s="1183" t="s">
        <v>1122</v>
      </c>
      <c r="C1112" s="1183" t="s">
        <v>344</v>
      </c>
      <c r="D1112" s="32">
        <f>D421+57675/60</f>
        <v>1191.25</v>
      </c>
      <c r="E1112" s="32">
        <f>E421+95825/60</f>
        <v>1747.0833333333333</v>
      </c>
      <c r="F1112" s="32">
        <f>F421+95825/60</f>
        <v>1747.0833333333333</v>
      </c>
      <c r="G1112" s="67" t="s">
        <v>146</v>
      </c>
      <c r="H1112" s="417" t="s">
        <v>651</v>
      </c>
      <c r="I1112" s="380" t="s">
        <v>93</v>
      </c>
      <c r="J1112" s="50"/>
      <c r="K1112" s="380">
        <v>20</v>
      </c>
      <c r="L1112" s="415" t="s">
        <v>637</v>
      </c>
      <c r="M1112" s="551">
        <v>43084</v>
      </c>
      <c r="N1112" s="551">
        <v>43091</v>
      </c>
      <c r="O1112" s="419"/>
      <c r="P1112" s="72" t="s">
        <v>1941</v>
      </c>
      <c r="Q1112" s="61" t="s">
        <v>932</v>
      </c>
      <c r="R1112" s="384" t="s">
        <v>1740</v>
      </c>
      <c r="S1112" s="322" t="s">
        <v>1176</v>
      </c>
      <c r="T1112" s="688" t="s">
        <v>2840</v>
      </c>
      <c r="U1112" s="421"/>
    </row>
    <row r="1113" spans="1:21" s="377" customFormat="1" ht="20.100000000000001" customHeight="1">
      <c r="A1113" s="1183" t="s">
        <v>2951</v>
      </c>
      <c r="B1113" s="1183" t="s">
        <v>1122</v>
      </c>
      <c r="C1113" s="1183" t="s">
        <v>344</v>
      </c>
      <c r="D1113" s="32">
        <f>D759</f>
        <v>1425</v>
      </c>
      <c r="E1113" s="32">
        <f>E759</f>
        <v>2000</v>
      </c>
      <c r="F1113" s="32">
        <f>F759</f>
        <v>2000</v>
      </c>
      <c r="G1113" s="222" t="s">
        <v>19</v>
      </c>
      <c r="H1113" s="385" t="s">
        <v>742</v>
      </c>
      <c r="I1113" s="398" t="s">
        <v>93</v>
      </c>
      <c r="J1113" s="37"/>
      <c r="K1113" s="398" t="s">
        <v>1259</v>
      </c>
      <c r="L1113" s="398" t="s">
        <v>639</v>
      </c>
      <c r="M1113" s="399">
        <v>43073</v>
      </c>
      <c r="N1113" s="399">
        <v>43086</v>
      </c>
      <c r="O1113" s="382" t="s">
        <v>611</v>
      </c>
      <c r="P1113" s="61" t="s">
        <v>588</v>
      </c>
      <c r="Q1113" s="61" t="s">
        <v>1661</v>
      </c>
      <c r="R1113" s="397" t="s">
        <v>187</v>
      </c>
      <c r="S1113" s="316" t="s">
        <v>2908</v>
      </c>
      <c r="T1113" s="848" t="s">
        <v>4105</v>
      </c>
      <c r="U1113" s="421"/>
    </row>
    <row r="1114" spans="1:21" s="377" customFormat="1" ht="20.100000000000001" customHeight="1">
      <c r="A1114" s="1183" t="s">
        <v>2951</v>
      </c>
      <c r="B1114" s="1183" t="s">
        <v>1122</v>
      </c>
      <c r="C1114" s="1183" t="s">
        <v>344</v>
      </c>
      <c r="D1114" s="528">
        <f>D455+43000/60</f>
        <v>1091.6666666666665</v>
      </c>
      <c r="E1114" s="528">
        <f>E455+75900/60</f>
        <v>1665</v>
      </c>
      <c r="F1114" s="528">
        <f>F455+75900/60</f>
        <v>1665</v>
      </c>
      <c r="G1114" s="705" t="s">
        <v>232</v>
      </c>
      <c r="H1114" s="425" t="s">
        <v>656</v>
      </c>
      <c r="I1114" s="398" t="s">
        <v>93</v>
      </c>
      <c r="J1114" s="37"/>
      <c r="K1114" s="398">
        <v>21</v>
      </c>
      <c r="L1114" s="386" t="s">
        <v>1871</v>
      </c>
      <c r="M1114" s="399">
        <v>43064</v>
      </c>
      <c r="N1114" s="399">
        <v>43086</v>
      </c>
      <c r="O1114" s="423" t="s">
        <v>601</v>
      </c>
      <c r="P1114" s="751" t="s">
        <v>1937</v>
      </c>
      <c r="Q1114" s="61" t="s">
        <v>934</v>
      </c>
      <c r="R1114" s="424" t="s">
        <v>1870</v>
      </c>
      <c r="S1114" s="315" t="s">
        <v>2907</v>
      </c>
      <c r="T1114" s="689"/>
      <c r="U1114" s="421"/>
    </row>
    <row r="1115" spans="1:21" s="377" customFormat="1" ht="20.100000000000001" customHeight="1">
      <c r="A1115" s="1183" t="s">
        <v>2951</v>
      </c>
      <c r="B1115" s="1183" t="s">
        <v>1122</v>
      </c>
      <c r="C1115" s="1183" t="s">
        <v>344</v>
      </c>
      <c r="D1115" s="528">
        <f>D440+44620/60</f>
        <v>993.66666666666663</v>
      </c>
      <c r="E1115" s="528">
        <f>E440+86990/60</f>
        <v>1699.8333333333333</v>
      </c>
      <c r="F1115" s="528">
        <f>F440+86990/60</f>
        <v>1699.8333333333333</v>
      </c>
      <c r="G1115" s="656" t="s">
        <v>2328</v>
      </c>
      <c r="H1115" s="385" t="s">
        <v>725</v>
      </c>
      <c r="I1115" s="398" t="s">
        <v>93</v>
      </c>
      <c r="J1115" s="37"/>
      <c r="K1115" s="398" t="s">
        <v>2336</v>
      </c>
      <c r="L1115" s="379" t="s">
        <v>641</v>
      </c>
      <c r="M1115" s="381">
        <v>43082</v>
      </c>
      <c r="N1115" s="381">
        <v>43086</v>
      </c>
      <c r="O1115" s="394" t="s">
        <v>1949</v>
      </c>
      <c r="P1115" s="72" t="s">
        <v>2285</v>
      </c>
      <c r="Q1115" s="61" t="s">
        <v>2337</v>
      </c>
      <c r="R1115" s="397" t="s">
        <v>826</v>
      </c>
      <c r="S1115" s="336" t="s">
        <v>1176</v>
      </c>
      <c r="T1115" s="323" t="s">
        <v>2935</v>
      </c>
      <c r="U1115" s="421"/>
    </row>
    <row r="1116" spans="1:21" s="377" customFormat="1" ht="20.100000000000001" customHeight="1">
      <c r="A1116" s="1183" t="s">
        <v>2951</v>
      </c>
      <c r="B1116" s="1183" t="s">
        <v>1122</v>
      </c>
      <c r="C1116" s="1183" t="s">
        <v>344</v>
      </c>
      <c r="D1116" s="528">
        <f>D448+53117/60</f>
        <v>1245.2833333333333</v>
      </c>
      <c r="E1116" s="528">
        <f>E448+94199/60</f>
        <v>1919.9833333333333</v>
      </c>
      <c r="F1116" s="528">
        <f>F448+94199/60</f>
        <v>1919.9833333333333</v>
      </c>
      <c r="G1116" s="67" t="s">
        <v>432</v>
      </c>
      <c r="H1116" s="385" t="s">
        <v>721</v>
      </c>
      <c r="I1116" s="386" t="s">
        <v>93</v>
      </c>
      <c r="J1116" s="681"/>
      <c r="K1116" s="398" t="s">
        <v>1006</v>
      </c>
      <c r="L1116" s="415" t="s">
        <v>637</v>
      </c>
      <c r="M1116" s="391">
        <v>43050</v>
      </c>
      <c r="N1116" s="547">
        <v>43089</v>
      </c>
      <c r="O1116" s="422"/>
      <c r="P1116" s="61" t="s">
        <v>1944</v>
      </c>
      <c r="Q1116" s="61" t="s">
        <v>902</v>
      </c>
      <c r="R1116" s="397" t="s">
        <v>202</v>
      </c>
      <c r="S1116" s="319" t="s">
        <v>1177</v>
      </c>
      <c r="T1116" s="689"/>
      <c r="U1116" s="421"/>
    </row>
    <row r="1117" spans="1:21" s="377" customFormat="1" ht="20.100000000000001" customHeight="1">
      <c r="A1117" s="741" t="s">
        <v>1111</v>
      </c>
      <c r="B1117" s="445" t="s">
        <v>343</v>
      </c>
      <c r="C1117" s="445" t="s">
        <v>2349</v>
      </c>
      <c r="D1117" s="528">
        <f>D467+755+25</f>
        <v>1060</v>
      </c>
      <c r="E1117" s="528">
        <f>E467+1512+50</f>
        <v>1987</v>
      </c>
      <c r="F1117" s="528">
        <f>F467+1512+50</f>
        <v>1987</v>
      </c>
      <c r="G1117" s="222" t="s">
        <v>2347</v>
      </c>
      <c r="H1117" s="385" t="s">
        <v>2350</v>
      </c>
      <c r="I1117" s="398" t="s">
        <v>130</v>
      </c>
      <c r="J1117" s="37"/>
      <c r="K1117" s="380" t="s">
        <v>2346</v>
      </c>
      <c r="L1117" s="386" t="s">
        <v>639</v>
      </c>
      <c r="M1117" s="547">
        <v>43086</v>
      </c>
      <c r="N1117" s="547">
        <v>43092</v>
      </c>
      <c r="O1117" s="419"/>
      <c r="P1117" s="61"/>
      <c r="Q1117" s="61" t="s">
        <v>934</v>
      </c>
      <c r="R1117" s="397" t="s">
        <v>171</v>
      </c>
      <c r="S1117" s="325"/>
      <c r="T1117" s="689"/>
      <c r="U1117" s="421"/>
    </row>
    <row r="1118" spans="1:21" s="377" customFormat="1" ht="20.100000000000001" customHeight="1">
      <c r="A1118" s="741" t="s">
        <v>1111</v>
      </c>
      <c r="B1118" s="445" t="s">
        <v>343</v>
      </c>
      <c r="C1118" s="445" t="s">
        <v>1361</v>
      </c>
      <c r="D1118" s="528">
        <f>D759</f>
        <v>1425</v>
      </c>
      <c r="E1118" s="528">
        <f>E759</f>
        <v>2000</v>
      </c>
      <c r="F1118" s="528">
        <f>F759</f>
        <v>2000</v>
      </c>
      <c r="G1118" s="609" t="s">
        <v>19</v>
      </c>
      <c r="H1118" s="385" t="s">
        <v>742</v>
      </c>
      <c r="I1118" s="398" t="s">
        <v>93</v>
      </c>
      <c r="J1118" s="37"/>
      <c r="K1118" s="398" t="s">
        <v>680</v>
      </c>
      <c r="L1118" s="398" t="s">
        <v>639</v>
      </c>
      <c r="M1118" s="399">
        <v>43073</v>
      </c>
      <c r="N1118" s="399">
        <v>43086</v>
      </c>
      <c r="O1118" s="382" t="s">
        <v>611</v>
      </c>
      <c r="P1118" s="61" t="s">
        <v>588</v>
      </c>
      <c r="Q1118" s="61" t="s">
        <v>1661</v>
      </c>
      <c r="R1118" s="397" t="s">
        <v>187</v>
      </c>
      <c r="S1118" s="316" t="s">
        <v>2908</v>
      </c>
      <c r="T1118" s="848" t="s">
        <v>4105</v>
      </c>
      <c r="U1118" s="421"/>
    </row>
    <row r="1119" spans="1:21" s="377" customFormat="1" ht="20.100000000000001" customHeight="1">
      <c r="A1119" s="741" t="s">
        <v>1111</v>
      </c>
      <c r="B1119" s="445" t="s">
        <v>343</v>
      </c>
      <c r="C1119" s="445" t="s">
        <v>1360</v>
      </c>
      <c r="D1119" s="32"/>
      <c r="E1119" s="32"/>
      <c r="F1119" s="32"/>
      <c r="G1119" s="692"/>
      <c r="H1119" s="378"/>
      <c r="I1119" s="380"/>
      <c r="J1119" s="20"/>
      <c r="K1119" s="406"/>
      <c r="L1119" s="379"/>
      <c r="M1119" s="379"/>
      <c r="N1119" s="399"/>
      <c r="O1119" s="446"/>
      <c r="P1119" s="59"/>
      <c r="Q1119" s="59"/>
      <c r="R1119" s="384"/>
      <c r="S1119" s="322"/>
      <c r="T1119" s="689"/>
      <c r="U1119" s="421"/>
    </row>
    <row r="1120" spans="1:21" s="377" customFormat="1" ht="20.100000000000001" customHeight="1">
      <c r="A1120" s="1184" t="s">
        <v>1111</v>
      </c>
      <c r="B1120" s="1183" t="s">
        <v>343</v>
      </c>
      <c r="C1120" s="1183" t="s">
        <v>2334</v>
      </c>
      <c r="D1120" s="32">
        <f>D440+45390/60</f>
        <v>1006.5</v>
      </c>
      <c r="E1120" s="32">
        <f>E440+80060/60</f>
        <v>1584.3333333333333</v>
      </c>
      <c r="F1120" s="32">
        <f>F440+80060/60</f>
        <v>1584.3333333333333</v>
      </c>
      <c r="G1120" s="656" t="s">
        <v>2328</v>
      </c>
      <c r="H1120" s="385" t="s">
        <v>725</v>
      </c>
      <c r="I1120" s="398" t="s">
        <v>93</v>
      </c>
      <c r="J1120" s="37"/>
      <c r="K1120" s="398" t="s">
        <v>2336</v>
      </c>
      <c r="L1120" s="379" t="s">
        <v>641</v>
      </c>
      <c r="M1120" s="381">
        <v>43082</v>
      </c>
      <c r="N1120" s="381">
        <v>43086</v>
      </c>
      <c r="O1120" s="394" t="s">
        <v>1949</v>
      </c>
      <c r="P1120" s="72" t="s">
        <v>2285</v>
      </c>
      <c r="Q1120" s="61" t="s">
        <v>2337</v>
      </c>
      <c r="R1120" s="397" t="s">
        <v>826</v>
      </c>
      <c r="S1120" s="336" t="s">
        <v>1176</v>
      </c>
      <c r="T1120" s="323" t="s">
        <v>2935</v>
      </c>
      <c r="U1120" s="421"/>
    </row>
    <row r="1121" spans="1:21" s="377" customFormat="1" ht="20.100000000000001" customHeight="1">
      <c r="A1121" s="1184" t="s">
        <v>1111</v>
      </c>
      <c r="B1121" s="1183" t="s">
        <v>343</v>
      </c>
      <c r="C1121" s="1183" t="s">
        <v>2334</v>
      </c>
      <c r="D1121" s="32">
        <f>D554+42980/60</f>
        <v>1091.3333333333335</v>
      </c>
      <c r="E1121" s="32">
        <f>E554+79350/60</f>
        <v>1772.5</v>
      </c>
      <c r="F1121" s="32">
        <f>F554+79350/60</f>
        <v>1772.5</v>
      </c>
      <c r="G1121" s="656" t="s">
        <v>2328</v>
      </c>
      <c r="H1121" s="385" t="s">
        <v>725</v>
      </c>
      <c r="I1121" s="398" t="s">
        <v>472</v>
      </c>
      <c r="J1121" s="681"/>
      <c r="K1121" s="386" t="s">
        <v>2341</v>
      </c>
      <c r="L1121" s="379" t="s">
        <v>641</v>
      </c>
      <c r="M1121" s="381">
        <v>43082</v>
      </c>
      <c r="N1121" s="381">
        <v>43086</v>
      </c>
      <c r="O1121" s="394" t="s">
        <v>1949</v>
      </c>
      <c r="P1121" s="61"/>
      <c r="Q1121" s="61" t="s">
        <v>2337</v>
      </c>
      <c r="R1121" s="397" t="s">
        <v>826</v>
      </c>
      <c r="S1121" s="336" t="s">
        <v>1176</v>
      </c>
      <c r="T1121" s="323" t="s">
        <v>2935</v>
      </c>
      <c r="U1121" s="421"/>
    </row>
    <row r="1122" spans="1:21" s="377" customFormat="1" ht="20.100000000000001" customHeight="1">
      <c r="A1122" s="1184" t="s">
        <v>1111</v>
      </c>
      <c r="B1122" s="1183" t="s">
        <v>343</v>
      </c>
      <c r="C1122" s="1183" t="s">
        <v>744</v>
      </c>
      <c r="D1122" s="528">
        <f>D450+765+25</f>
        <v>1740</v>
      </c>
      <c r="E1122" s="528">
        <f>E450+1248+50</f>
        <v>2848</v>
      </c>
      <c r="F1122" s="528">
        <f>F450+1248+50</f>
        <v>2848</v>
      </c>
      <c r="G1122" s="217" t="s">
        <v>22</v>
      </c>
      <c r="H1122" s="401" t="s">
        <v>706</v>
      </c>
      <c r="I1122" s="426" t="s">
        <v>93</v>
      </c>
      <c r="J1122" s="681"/>
      <c r="K1122" s="386">
        <v>23</v>
      </c>
      <c r="L1122" s="379" t="s">
        <v>643</v>
      </c>
      <c r="M1122" s="392">
        <v>42962</v>
      </c>
      <c r="N1122" s="392">
        <v>43100</v>
      </c>
      <c r="O1122" s="422"/>
      <c r="P1122" s="61" t="s">
        <v>588</v>
      </c>
      <c r="Q1122" s="61" t="s">
        <v>919</v>
      </c>
      <c r="R1122" s="397" t="s">
        <v>1783</v>
      </c>
      <c r="S1122" s="316" t="s">
        <v>1176</v>
      </c>
      <c r="T1122" s="689"/>
      <c r="U1122" s="421"/>
    </row>
    <row r="1123" spans="1:21" s="377" customFormat="1" ht="20.100000000000001" customHeight="1">
      <c r="A1123" s="1184" t="s">
        <v>1111</v>
      </c>
      <c r="B1123" s="1183" t="s">
        <v>343</v>
      </c>
      <c r="C1123" s="1183" t="s">
        <v>744</v>
      </c>
      <c r="D1123" s="528">
        <f>D421+40500/60</f>
        <v>905</v>
      </c>
      <c r="E1123" s="528">
        <f>E421+53500/60</f>
        <v>1041.6666666666665</v>
      </c>
      <c r="F1123" s="528">
        <f>F421+53500/60</f>
        <v>1041.6666666666665</v>
      </c>
      <c r="G1123" s="705" t="s">
        <v>12</v>
      </c>
      <c r="H1123" s="417" t="s">
        <v>651</v>
      </c>
      <c r="I1123" s="380" t="s">
        <v>93</v>
      </c>
      <c r="J1123" s="50"/>
      <c r="K1123" s="380">
        <v>20</v>
      </c>
      <c r="L1123" s="415" t="s">
        <v>637</v>
      </c>
      <c r="M1123" s="551">
        <v>43084</v>
      </c>
      <c r="N1123" s="551">
        <v>43091</v>
      </c>
      <c r="O1123" s="419"/>
      <c r="P1123" s="72" t="s">
        <v>1941</v>
      </c>
      <c r="Q1123" s="61" t="s">
        <v>950</v>
      </c>
      <c r="R1123" s="384" t="s">
        <v>1740</v>
      </c>
      <c r="S1123" s="322" t="s">
        <v>1176</v>
      </c>
      <c r="T1123" s="688" t="s">
        <v>2840</v>
      </c>
      <c r="U1123" s="421"/>
    </row>
    <row r="1124" spans="1:21" s="377" customFormat="1" ht="20.100000000000001" customHeight="1">
      <c r="A1124" s="1184" t="s">
        <v>2952</v>
      </c>
      <c r="B1124" s="1183" t="s">
        <v>343</v>
      </c>
      <c r="C1124" s="1183" t="s">
        <v>744</v>
      </c>
      <c r="D1124" s="528">
        <f>D417+38075/55</f>
        <v>1052.2727272727273</v>
      </c>
      <c r="E1124" s="528"/>
      <c r="F1124" s="528">
        <f>F417+44625/55</f>
        <v>1196.3636363636365</v>
      </c>
      <c r="G1124" s="705" t="s">
        <v>37</v>
      </c>
      <c r="H1124" s="378">
        <v>1</v>
      </c>
      <c r="I1124" s="398" t="s">
        <v>93</v>
      </c>
      <c r="J1124" s="681"/>
      <c r="K1124" s="426">
        <v>23</v>
      </c>
      <c r="L1124" s="379" t="s">
        <v>636</v>
      </c>
      <c r="M1124" s="392">
        <v>43080</v>
      </c>
      <c r="N1124" s="392">
        <v>43080</v>
      </c>
      <c r="O1124" s="419"/>
      <c r="P1124" s="61" t="s">
        <v>1933</v>
      </c>
      <c r="Q1124" s="61" t="s">
        <v>927</v>
      </c>
      <c r="R1124" s="397" t="s">
        <v>192</v>
      </c>
      <c r="S1124" s="315" t="s">
        <v>2903</v>
      </c>
      <c r="T1124" s="316"/>
      <c r="U1124" s="421"/>
    </row>
    <row r="1125" spans="1:21" s="377" customFormat="1" ht="20.100000000000001" customHeight="1">
      <c r="A1125" s="741" t="s">
        <v>1111</v>
      </c>
      <c r="B1125" s="445" t="s">
        <v>1322</v>
      </c>
      <c r="C1125" s="445" t="s">
        <v>1321</v>
      </c>
      <c r="D1125" s="528">
        <f>D549+50500/60</f>
        <v>1191.6666666666665</v>
      </c>
      <c r="E1125" s="528">
        <f>E549+90675/60</f>
        <v>1901.25</v>
      </c>
      <c r="F1125" s="528">
        <f>F549+90675/60</f>
        <v>1901.25</v>
      </c>
      <c r="G1125" s="705" t="s">
        <v>12</v>
      </c>
      <c r="H1125" s="417" t="s">
        <v>721</v>
      </c>
      <c r="I1125" s="426" t="s">
        <v>472</v>
      </c>
      <c r="J1125" s="37"/>
      <c r="K1125" s="386">
        <v>20</v>
      </c>
      <c r="L1125" s="386" t="s">
        <v>641</v>
      </c>
      <c r="M1125" s="551">
        <v>43084</v>
      </c>
      <c r="N1125" s="551">
        <v>43091</v>
      </c>
      <c r="O1125" s="419"/>
      <c r="P1125" s="61" t="s">
        <v>597</v>
      </c>
      <c r="Q1125" s="61" t="s">
        <v>902</v>
      </c>
      <c r="R1125" s="397" t="s">
        <v>202</v>
      </c>
      <c r="S1125" s="322" t="s">
        <v>1176</v>
      </c>
      <c r="T1125" s="688" t="s">
        <v>2840</v>
      </c>
      <c r="U1125" s="421"/>
    </row>
    <row r="1126" spans="1:21" s="377" customFormat="1" ht="20.100000000000001" customHeight="1">
      <c r="A1126" s="1183" t="s">
        <v>2951</v>
      </c>
      <c r="B1126" s="1183" t="s">
        <v>1122</v>
      </c>
      <c r="C1126" s="1183" t="s">
        <v>3434</v>
      </c>
      <c r="D1126" s="536">
        <f>D451+(40809/60)*1.15</f>
        <v>1107.1724999999999</v>
      </c>
      <c r="E1126" s="536">
        <f>E451+(70946/60)*1.15</f>
        <v>1759.7983333333334</v>
      </c>
      <c r="F1126" s="536">
        <f>F451+(70946/60)*1.15</f>
        <v>1759.7983333333334</v>
      </c>
      <c r="G1126" s="707" t="s">
        <v>29</v>
      </c>
      <c r="H1126" s="385" t="s">
        <v>1101</v>
      </c>
      <c r="I1126" s="386" t="s">
        <v>93</v>
      </c>
      <c r="J1126" s="37"/>
      <c r="K1126" s="398">
        <v>24</v>
      </c>
      <c r="L1126" s="398" t="s">
        <v>649</v>
      </c>
      <c r="M1126" s="404">
        <v>43080</v>
      </c>
      <c r="N1126" s="404">
        <v>43086</v>
      </c>
      <c r="O1126" s="422"/>
      <c r="P1126" s="751" t="s">
        <v>1072</v>
      </c>
      <c r="Q1126" s="61" t="s">
        <v>934</v>
      </c>
      <c r="R1126" s="397" t="s">
        <v>251</v>
      </c>
      <c r="S1126" s="316" t="s">
        <v>2898</v>
      </c>
      <c r="T1126" s="689"/>
      <c r="U1126" s="421"/>
    </row>
    <row r="1127" spans="1:21" s="377" customFormat="1" ht="20.100000000000001" customHeight="1">
      <c r="A1127" s="1183" t="s">
        <v>2951</v>
      </c>
      <c r="B1127" s="1183" t="s">
        <v>1122</v>
      </c>
      <c r="C1127" s="1183" t="s">
        <v>3434</v>
      </c>
      <c r="D1127" s="13">
        <f>D417+53500/55</f>
        <v>1332.7272727272727</v>
      </c>
      <c r="E1127" s="528"/>
      <c r="F1127" s="13">
        <f>F417+65500/55</f>
        <v>1575.909090909091</v>
      </c>
      <c r="G1127" s="707" t="s">
        <v>102</v>
      </c>
      <c r="H1127" s="378">
        <v>1</v>
      </c>
      <c r="I1127" s="398" t="s">
        <v>93</v>
      </c>
      <c r="J1127" s="37"/>
      <c r="K1127" s="426">
        <v>23</v>
      </c>
      <c r="L1127" s="379" t="s">
        <v>636</v>
      </c>
      <c r="M1127" s="392">
        <v>43080</v>
      </c>
      <c r="N1127" s="392">
        <v>43080</v>
      </c>
      <c r="O1127" s="419"/>
      <c r="P1127" s="61" t="s">
        <v>1933</v>
      </c>
      <c r="Q1127" s="61" t="s">
        <v>927</v>
      </c>
      <c r="R1127" s="397" t="s">
        <v>192</v>
      </c>
      <c r="S1127" s="315" t="s">
        <v>2903</v>
      </c>
      <c r="T1127" s="316"/>
      <c r="U1127" s="421"/>
    </row>
    <row r="1128" spans="1:21" s="377" customFormat="1" ht="20.100000000000001" customHeight="1">
      <c r="A1128" s="1183" t="s">
        <v>2951</v>
      </c>
      <c r="B1128" s="1183" t="s">
        <v>1122</v>
      </c>
      <c r="C1128" s="1183" t="s">
        <v>3434</v>
      </c>
      <c r="D1128" s="13">
        <f>D425+599+25</f>
        <v>1049</v>
      </c>
      <c r="E1128" s="13">
        <f>E425+1029+50</f>
        <v>1629</v>
      </c>
      <c r="F1128" s="13">
        <f>F425+1029+50</f>
        <v>1629</v>
      </c>
      <c r="G1128" s="707" t="s">
        <v>61</v>
      </c>
      <c r="H1128" s="385" t="s">
        <v>729</v>
      </c>
      <c r="I1128" s="426" t="s">
        <v>93</v>
      </c>
      <c r="J1128" s="681"/>
      <c r="K1128" s="426" t="s">
        <v>794</v>
      </c>
      <c r="L1128" s="398" t="s">
        <v>649</v>
      </c>
      <c r="M1128" s="404">
        <v>43070</v>
      </c>
      <c r="N1128" s="404">
        <v>43100</v>
      </c>
      <c r="O1128" s="423" t="s">
        <v>601</v>
      </c>
      <c r="P1128" s="7" t="s">
        <v>1813</v>
      </c>
      <c r="Q1128" s="61" t="s">
        <v>934</v>
      </c>
      <c r="R1128" s="424" t="s">
        <v>251</v>
      </c>
      <c r="S1128" s="316" t="s">
        <v>2906</v>
      </c>
      <c r="T1128" s="689"/>
      <c r="U1128" s="421"/>
    </row>
    <row r="1129" spans="1:21" s="377" customFormat="1" ht="20.100000000000001" customHeight="1">
      <c r="A1129" s="1183" t="s">
        <v>2951</v>
      </c>
      <c r="B1129" s="1183" t="s">
        <v>1122</v>
      </c>
      <c r="C1129" s="1183" t="s">
        <v>3434</v>
      </c>
      <c r="D1129" s="62">
        <f>D422+57110/55</f>
        <v>1238.3636363636363</v>
      </c>
      <c r="E1129" s="62">
        <f>E422+82132/55</f>
        <v>1743.3090909090909</v>
      </c>
      <c r="F1129" s="62">
        <f>F422+82132/55</f>
        <v>1743.3090909090909</v>
      </c>
      <c r="G1129" s="710" t="s">
        <v>87</v>
      </c>
      <c r="H1129" s="390" t="s">
        <v>729</v>
      </c>
      <c r="I1129" s="406" t="s">
        <v>93</v>
      </c>
      <c r="J1129" s="50" t="s">
        <v>1380</v>
      </c>
      <c r="K1129" s="406">
        <v>23</v>
      </c>
      <c r="L1129" s="398" t="s">
        <v>649</v>
      </c>
      <c r="M1129" s="547">
        <v>43080</v>
      </c>
      <c r="N1129" s="547">
        <v>43080</v>
      </c>
      <c r="O1129" s="422"/>
      <c r="P1129" s="59" t="s">
        <v>604</v>
      </c>
      <c r="Q1129" s="61" t="s">
        <v>919</v>
      </c>
      <c r="R1129" s="397" t="s">
        <v>251</v>
      </c>
      <c r="S1129" s="322" t="s">
        <v>2861</v>
      </c>
      <c r="T1129" s="689"/>
      <c r="U1129" s="421"/>
    </row>
    <row r="1130" spans="1:21" s="377" customFormat="1" ht="20.100000000000001" customHeight="1">
      <c r="A1130" s="1183" t="s">
        <v>2951</v>
      </c>
      <c r="B1130" s="1183" t="s">
        <v>1122</v>
      </c>
      <c r="C1130" s="1183" t="s">
        <v>3434</v>
      </c>
      <c r="D1130" s="62">
        <f>D428+(49540+5000)/60</f>
        <v>1259</v>
      </c>
      <c r="E1130" s="62">
        <f>E428+(87670+10000)/60</f>
        <v>1967.8333333333333</v>
      </c>
      <c r="F1130" s="62">
        <f>F428+(87670+10000)/60</f>
        <v>1967.8333333333333</v>
      </c>
      <c r="G1130" s="656" t="s">
        <v>51</v>
      </c>
      <c r="H1130" s="390" t="s">
        <v>2360</v>
      </c>
      <c r="I1130" s="406" t="s">
        <v>93</v>
      </c>
      <c r="J1130" s="50" t="s">
        <v>2359</v>
      </c>
      <c r="K1130" s="406" t="s">
        <v>2361</v>
      </c>
      <c r="L1130" s="380" t="s">
        <v>637</v>
      </c>
      <c r="M1130" s="381">
        <v>43080</v>
      </c>
      <c r="N1130" s="381">
        <v>43089</v>
      </c>
      <c r="O1130" s="422"/>
      <c r="P1130" s="59" t="s">
        <v>2362</v>
      </c>
      <c r="Q1130" s="61" t="s">
        <v>902</v>
      </c>
      <c r="R1130" s="397" t="s">
        <v>2320</v>
      </c>
      <c r="S1130" s="327" t="s">
        <v>3066</v>
      </c>
      <c r="T1130" s="689"/>
      <c r="U1130" s="421"/>
    </row>
    <row r="1131" spans="1:21" s="377" customFormat="1" ht="20.100000000000001" customHeight="1">
      <c r="A1131" s="1183" t="s">
        <v>2951</v>
      </c>
      <c r="B1131" s="1183" t="s">
        <v>1122</v>
      </c>
      <c r="C1131" s="1183" t="s">
        <v>3434</v>
      </c>
      <c r="D1131" s="13">
        <f>(D419+38736/60)+200</f>
        <v>1120.5999999999999</v>
      </c>
      <c r="E1131" s="13">
        <f>(E419+68867/60)+600</f>
        <v>2097.7833333333333</v>
      </c>
      <c r="F1131" s="13">
        <f>(F419+68867/60)+600</f>
        <v>2097.7833333333333</v>
      </c>
      <c r="G1131" s="217" t="s">
        <v>10</v>
      </c>
      <c r="H1131" s="390" t="s">
        <v>633</v>
      </c>
      <c r="I1131" s="398" t="s">
        <v>93</v>
      </c>
      <c r="J1131" s="37"/>
      <c r="K1131" s="426" t="s">
        <v>949</v>
      </c>
      <c r="L1131" s="379" t="s">
        <v>637</v>
      </c>
      <c r="M1131" s="381">
        <v>43087</v>
      </c>
      <c r="N1131" s="381">
        <v>43087</v>
      </c>
      <c r="O1131" s="422"/>
      <c r="P1131" s="61" t="s">
        <v>913</v>
      </c>
      <c r="Q1131" s="61" t="s">
        <v>902</v>
      </c>
      <c r="R1131" s="397" t="s">
        <v>1015</v>
      </c>
      <c r="S1131" s="315" t="s">
        <v>2904</v>
      </c>
      <c r="T1131" s="689"/>
      <c r="U1131" s="421"/>
    </row>
    <row r="1132" spans="1:21" s="377" customFormat="1" ht="20.100000000000001" customHeight="1">
      <c r="A1132" s="1183" t="s">
        <v>2951</v>
      </c>
      <c r="B1132" s="1183" t="s">
        <v>1122</v>
      </c>
      <c r="C1132" s="1183" t="s">
        <v>3434</v>
      </c>
      <c r="D1132" s="13">
        <f>D435+781+25</f>
        <v>1036</v>
      </c>
      <c r="E1132" s="13">
        <f>E435+1575+50</f>
        <v>1950</v>
      </c>
      <c r="F1132" s="13">
        <f>F435+1575+50</f>
        <v>1950</v>
      </c>
      <c r="G1132" s="217" t="s">
        <v>14</v>
      </c>
      <c r="H1132" s="56" t="s">
        <v>742</v>
      </c>
      <c r="I1132" s="380" t="s">
        <v>93</v>
      </c>
      <c r="J1132" s="37" t="s">
        <v>3433</v>
      </c>
      <c r="K1132" s="426" t="s">
        <v>2348</v>
      </c>
      <c r="L1132" s="398" t="s">
        <v>652</v>
      </c>
      <c r="M1132" s="547">
        <v>43086</v>
      </c>
      <c r="N1132" s="547">
        <v>43092</v>
      </c>
      <c r="O1132" s="422"/>
      <c r="P1132" s="61" t="s">
        <v>605</v>
      </c>
      <c r="Q1132" s="61" t="s">
        <v>934</v>
      </c>
      <c r="R1132" s="17" t="s">
        <v>449</v>
      </c>
      <c r="S1132" s="322" t="s">
        <v>1176</v>
      </c>
      <c r="T1132" s="689"/>
      <c r="U1132" s="421"/>
    </row>
    <row r="1133" spans="1:21" s="377" customFormat="1" ht="20.100000000000001" customHeight="1">
      <c r="A1133" s="1183" t="s">
        <v>2951</v>
      </c>
      <c r="B1133" s="1183" t="s">
        <v>1122</v>
      </c>
      <c r="C1133" s="1183" t="s">
        <v>483</v>
      </c>
      <c r="D1133" s="13">
        <f>D435+770+25</f>
        <v>1025</v>
      </c>
      <c r="E1133" s="13">
        <f>E435+1577+50</f>
        <v>1952</v>
      </c>
      <c r="F1133" s="13">
        <f>F435+1577+50</f>
        <v>1952</v>
      </c>
      <c r="G1133" s="217" t="s">
        <v>14</v>
      </c>
      <c r="H1133" s="56" t="s">
        <v>742</v>
      </c>
      <c r="I1133" s="380" t="s">
        <v>93</v>
      </c>
      <c r="J1133" s="37" t="s">
        <v>3435</v>
      </c>
      <c r="K1133" s="426" t="s">
        <v>2348</v>
      </c>
      <c r="L1133" s="398" t="s">
        <v>652</v>
      </c>
      <c r="M1133" s="547">
        <v>43086</v>
      </c>
      <c r="N1133" s="547">
        <v>43092</v>
      </c>
      <c r="O1133" s="422"/>
      <c r="P1133" s="61" t="s">
        <v>605</v>
      </c>
      <c r="Q1133" s="61" t="s">
        <v>934</v>
      </c>
      <c r="R1133" s="17" t="s">
        <v>449</v>
      </c>
      <c r="S1133" s="322" t="s">
        <v>1176</v>
      </c>
      <c r="T1133" s="785"/>
      <c r="U1133" s="421"/>
    </row>
    <row r="1134" spans="1:21" s="377" customFormat="1" ht="20.100000000000001" customHeight="1">
      <c r="A1134" s="1183" t="s">
        <v>2951</v>
      </c>
      <c r="B1134" s="1183" t="s">
        <v>1122</v>
      </c>
      <c r="C1134" s="1183" t="s">
        <v>3434</v>
      </c>
      <c r="D1134" s="13">
        <f>D435+807+25</f>
        <v>1062</v>
      </c>
      <c r="E1134" s="13">
        <f>E435+1628+50</f>
        <v>2003</v>
      </c>
      <c r="F1134" s="13">
        <f>F435+1628+50</f>
        <v>2003</v>
      </c>
      <c r="G1134" s="217" t="s">
        <v>14</v>
      </c>
      <c r="H1134" s="56" t="s">
        <v>742</v>
      </c>
      <c r="I1134" s="380" t="s">
        <v>93</v>
      </c>
      <c r="J1134" s="37" t="s">
        <v>1696</v>
      </c>
      <c r="K1134" s="426" t="s">
        <v>2348</v>
      </c>
      <c r="L1134" s="398" t="s">
        <v>652</v>
      </c>
      <c r="M1134" s="547">
        <v>43086</v>
      </c>
      <c r="N1134" s="547">
        <v>43092</v>
      </c>
      <c r="O1134" s="422"/>
      <c r="P1134" s="61" t="s">
        <v>605</v>
      </c>
      <c r="Q1134" s="61" t="s">
        <v>934</v>
      </c>
      <c r="R1134" s="17" t="s">
        <v>449</v>
      </c>
      <c r="S1134" s="322" t="s">
        <v>1176</v>
      </c>
      <c r="T1134" s="689"/>
      <c r="U1134" s="421"/>
    </row>
    <row r="1135" spans="1:21" s="377" customFormat="1" ht="20.100000000000001" customHeight="1">
      <c r="A1135" s="1183" t="s">
        <v>2951</v>
      </c>
      <c r="B1135" s="1183" t="s">
        <v>1122</v>
      </c>
      <c r="C1135" s="1183" t="s">
        <v>3434</v>
      </c>
      <c r="D1135" s="11">
        <f>D421+47700/60</f>
        <v>1025</v>
      </c>
      <c r="E1135" s="11">
        <f>E421+84350/60</f>
        <v>1555.8333333333333</v>
      </c>
      <c r="F1135" s="11">
        <f>F421+84350/60</f>
        <v>1555.8333333333333</v>
      </c>
      <c r="G1135" s="707" t="s">
        <v>146</v>
      </c>
      <c r="H1135" s="417" t="s">
        <v>651</v>
      </c>
      <c r="I1135" s="398" t="s">
        <v>93</v>
      </c>
      <c r="J1135" s="37" t="s">
        <v>1698</v>
      </c>
      <c r="K1135" s="398">
        <v>20</v>
      </c>
      <c r="L1135" s="415" t="s">
        <v>637</v>
      </c>
      <c r="M1135" s="551">
        <v>43084</v>
      </c>
      <c r="N1135" s="551">
        <v>43091</v>
      </c>
      <c r="O1135" s="419"/>
      <c r="P1135" s="72" t="s">
        <v>1941</v>
      </c>
      <c r="Q1135" s="61" t="s">
        <v>932</v>
      </c>
      <c r="R1135" s="384" t="s">
        <v>1740</v>
      </c>
      <c r="S1135" s="322" t="s">
        <v>1176</v>
      </c>
      <c r="T1135" s="688" t="s">
        <v>2840</v>
      </c>
      <c r="U1135" s="421"/>
    </row>
    <row r="1136" spans="1:21" s="377" customFormat="1" ht="20.100000000000001" customHeight="1">
      <c r="A1136" s="1183" t="s">
        <v>2951</v>
      </c>
      <c r="B1136" s="1183" t="s">
        <v>1122</v>
      </c>
      <c r="C1136" s="1183" t="s">
        <v>3434</v>
      </c>
      <c r="D1136" s="11">
        <f>D759</f>
        <v>1425</v>
      </c>
      <c r="E1136" s="11">
        <f>E759</f>
        <v>2000</v>
      </c>
      <c r="F1136" s="11">
        <f>F759</f>
        <v>2000</v>
      </c>
      <c r="G1136" s="217" t="s">
        <v>19</v>
      </c>
      <c r="H1136" s="385" t="s">
        <v>742</v>
      </c>
      <c r="I1136" s="398" t="s">
        <v>93</v>
      </c>
      <c r="J1136" s="37"/>
      <c r="K1136" s="398" t="s">
        <v>1270</v>
      </c>
      <c r="L1136" s="398" t="s">
        <v>639</v>
      </c>
      <c r="M1136" s="399">
        <v>43073</v>
      </c>
      <c r="N1136" s="399">
        <v>43086</v>
      </c>
      <c r="O1136" s="382" t="s">
        <v>611</v>
      </c>
      <c r="P1136" s="61" t="s">
        <v>588</v>
      </c>
      <c r="Q1136" s="61" t="s">
        <v>1661</v>
      </c>
      <c r="R1136" s="397" t="s">
        <v>187</v>
      </c>
      <c r="S1136" s="316" t="s">
        <v>2908</v>
      </c>
      <c r="T1136" s="848" t="s">
        <v>4105</v>
      </c>
      <c r="U1136" s="421"/>
    </row>
    <row r="1137" spans="1:21" s="377" customFormat="1" ht="20.100000000000001" customHeight="1">
      <c r="A1137" s="1183" t="s">
        <v>2951</v>
      </c>
      <c r="B1137" s="1183" t="s">
        <v>1122</v>
      </c>
      <c r="C1137" s="1183" t="s">
        <v>3434</v>
      </c>
      <c r="D1137" s="11">
        <f>D433+51594/60</f>
        <v>1084.9000000000001</v>
      </c>
      <c r="E1137" s="11">
        <f>E433+99546/60</f>
        <v>1934.1</v>
      </c>
      <c r="F1137" s="11">
        <f>F433+92346/60</f>
        <v>1814.1</v>
      </c>
      <c r="G1137" s="222" t="s">
        <v>1659</v>
      </c>
      <c r="H1137" s="385" t="s">
        <v>742</v>
      </c>
      <c r="I1137" s="380" t="s">
        <v>93</v>
      </c>
      <c r="J1137" s="50"/>
      <c r="K1137" s="380" t="s">
        <v>682</v>
      </c>
      <c r="L1137" s="398" t="s">
        <v>639</v>
      </c>
      <c r="M1137" s="547">
        <v>43081</v>
      </c>
      <c r="N1137" s="547">
        <v>43090</v>
      </c>
      <c r="O1137" s="419"/>
      <c r="P1137" s="61" t="s">
        <v>1927</v>
      </c>
      <c r="Q1137" s="61" t="s">
        <v>902</v>
      </c>
      <c r="R1137" s="397" t="s">
        <v>171</v>
      </c>
      <c r="S1137" s="315" t="s">
        <v>2862</v>
      </c>
      <c r="T1137" s="626">
        <v>14</v>
      </c>
      <c r="U1137" s="421"/>
    </row>
    <row r="1138" spans="1:21" s="377" customFormat="1" ht="20.100000000000001" customHeight="1">
      <c r="A1138" s="1183" t="s">
        <v>2951</v>
      </c>
      <c r="B1138" s="1183" t="s">
        <v>1122</v>
      </c>
      <c r="C1138" s="1183" t="s">
        <v>3434</v>
      </c>
      <c r="D1138" s="11">
        <f>D440+50321/60</f>
        <v>1088.6833333333334</v>
      </c>
      <c r="E1138" s="11">
        <f>E440+73336/60</f>
        <v>1472.2666666666667</v>
      </c>
      <c r="F1138" s="11">
        <f>F440+73336/60</f>
        <v>1472.2666666666667</v>
      </c>
      <c r="G1138" s="656" t="s">
        <v>2328</v>
      </c>
      <c r="H1138" s="385" t="s">
        <v>725</v>
      </c>
      <c r="I1138" s="398" t="s">
        <v>93</v>
      </c>
      <c r="J1138" s="37"/>
      <c r="K1138" s="398" t="s">
        <v>2336</v>
      </c>
      <c r="L1138" s="379" t="s">
        <v>641</v>
      </c>
      <c r="M1138" s="381">
        <v>43082</v>
      </c>
      <c r="N1138" s="381">
        <v>43086</v>
      </c>
      <c r="O1138" s="394" t="s">
        <v>1949</v>
      </c>
      <c r="P1138" s="72" t="s">
        <v>2285</v>
      </c>
      <c r="Q1138" s="61" t="s">
        <v>2337</v>
      </c>
      <c r="R1138" s="397" t="s">
        <v>826</v>
      </c>
      <c r="S1138" s="336" t="s">
        <v>1176</v>
      </c>
      <c r="T1138" s="323" t="s">
        <v>2935</v>
      </c>
      <c r="U1138" s="421"/>
    </row>
    <row r="1139" spans="1:21" s="377" customFormat="1" ht="20.100000000000001" customHeight="1">
      <c r="A1139" s="1183" t="s">
        <v>2951</v>
      </c>
      <c r="B1139" s="1183" t="s">
        <v>1122</v>
      </c>
      <c r="C1139" s="1183" t="s">
        <v>3434</v>
      </c>
      <c r="D1139" s="13">
        <f>D440+50321/60</f>
        <v>1088.6833333333334</v>
      </c>
      <c r="E1139" s="13">
        <f>E440+73336/60</f>
        <v>1472.2666666666667</v>
      </c>
      <c r="F1139" s="13">
        <f>F440+73336/60</f>
        <v>1472.2666666666667</v>
      </c>
      <c r="G1139" s="656" t="s">
        <v>2328</v>
      </c>
      <c r="H1139" s="385" t="s">
        <v>725</v>
      </c>
      <c r="I1139" s="398" t="s">
        <v>93</v>
      </c>
      <c r="J1139" s="37" t="s">
        <v>1696</v>
      </c>
      <c r="K1139" s="398" t="s">
        <v>2336</v>
      </c>
      <c r="L1139" s="379" t="s">
        <v>641</v>
      </c>
      <c r="M1139" s="381">
        <v>43082</v>
      </c>
      <c r="N1139" s="381">
        <v>43086</v>
      </c>
      <c r="O1139" s="394" t="s">
        <v>1949</v>
      </c>
      <c r="P1139" s="72" t="s">
        <v>2285</v>
      </c>
      <c r="Q1139" s="61" t="s">
        <v>2337</v>
      </c>
      <c r="R1139" s="397" t="s">
        <v>826</v>
      </c>
      <c r="S1139" s="336" t="s">
        <v>1176</v>
      </c>
      <c r="T1139" s="323" t="s">
        <v>2935</v>
      </c>
      <c r="U1139" s="421"/>
    </row>
    <row r="1140" spans="1:21" s="377" customFormat="1" ht="20.100000000000001" customHeight="1">
      <c r="A1140" s="1183" t="s">
        <v>2951</v>
      </c>
      <c r="B1140" s="1183" t="s">
        <v>1122</v>
      </c>
      <c r="C1140" s="1183" t="s">
        <v>3434</v>
      </c>
      <c r="D1140" s="536">
        <f>D448+59551/60</f>
        <v>1352.5166666666667</v>
      </c>
      <c r="E1140" s="536">
        <f>E448+100657/60</f>
        <v>2027.6166666666666</v>
      </c>
      <c r="F1140" s="536">
        <f>F448+100657/60</f>
        <v>2027.6166666666666</v>
      </c>
      <c r="G1140" s="67" t="s">
        <v>432</v>
      </c>
      <c r="H1140" s="385" t="s">
        <v>721</v>
      </c>
      <c r="I1140" s="386" t="s">
        <v>93</v>
      </c>
      <c r="J1140" s="37"/>
      <c r="K1140" s="398" t="s">
        <v>1006</v>
      </c>
      <c r="L1140" s="415" t="s">
        <v>637</v>
      </c>
      <c r="M1140" s="391">
        <v>43050</v>
      </c>
      <c r="N1140" s="547">
        <v>43089</v>
      </c>
      <c r="O1140" s="422"/>
      <c r="P1140" s="61" t="s">
        <v>1944</v>
      </c>
      <c r="Q1140" s="61" t="s">
        <v>902</v>
      </c>
      <c r="R1140" s="397" t="s">
        <v>202</v>
      </c>
      <c r="S1140" s="319" t="s">
        <v>1177</v>
      </c>
      <c r="T1140" s="689"/>
      <c r="U1140" s="421"/>
    </row>
    <row r="1141" spans="1:21" s="377" customFormat="1" ht="20.100000000000001" customHeight="1">
      <c r="A1141" s="1183" t="s">
        <v>2951</v>
      </c>
      <c r="B1141" s="1183" t="s">
        <v>1122</v>
      </c>
      <c r="C1141" s="1183" t="s">
        <v>3434</v>
      </c>
      <c r="D1141" s="528"/>
      <c r="E1141" s="528"/>
      <c r="F1141" s="528"/>
      <c r="G1141" s="217" t="s">
        <v>134</v>
      </c>
      <c r="H1141" s="401" t="s">
        <v>706</v>
      </c>
      <c r="I1141" s="426" t="s">
        <v>93</v>
      </c>
      <c r="J1141" s="681"/>
      <c r="K1141" s="386">
        <v>23</v>
      </c>
      <c r="L1141" s="379" t="s">
        <v>643</v>
      </c>
      <c r="M1141" s="392">
        <v>42962</v>
      </c>
      <c r="N1141" s="392">
        <v>43100</v>
      </c>
      <c r="O1141" s="422"/>
      <c r="P1141" s="61" t="s">
        <v>588</v>
      </c>
      <c r="Q1141" s="61" t="s">
        <v>1119</v>
      </c>
      <c r="R1141" s="397" t="s">
        <v>1783</v>
      </c>
      <c r="S1141" s="316" t="s">
        <v>1176</v>
      </c>
      <c r="T1141" s="689"/>
      <c r="U1141" s="421"/>
    </row>
    <row r="1142" spans="1:21" s="377" customFormat="1" ht="20.100000000000001" customHeight="1">
      <c r="A1142" s="1183" t="s">
        <v>2951</v>
      </c>
      <c r="B1142" s="1183" t="s">
        <v>1122</v>
      </c>
      <c r="C1142" s="1183" t="s">
        <v>3434</v>
      </c>
      <c r="D1142" s="536">
        <f>D473+51451/55</f>
        <v>1535.4727272727273</v>
      </c>
      <c r="E1142" s="536">
        <f>E473+75511/55</f>
        <v>2172.9272727272728</v>
      </c>
      <c r="F1142" s="536">
        <f>F473+75511/55</f>
        <v>2172.9272727272728</v>
      </c>
      <c r="G1142" s="710" t="s">
        <v>87</v>
      </c>
      <c r="H1142" s="378">
        <v>1</v>
      </c>
      <c r="I1142" s="406" t="s">
        <v>130</v>
      </c>
      <c r="J1142" s="50" t="s">
        <v>1380</v>
      </c>
      <c r="K1142" s="406">
        <v>25</v>
      </c>
      <c r="L1142" s="379" t="s">
        <v>636</v>
      </c>
      <c r="M1142" s="547">
        <v>43040</v>
      </c>
      <c r="N1142" s="547">
        <v>43080</v>
      </c>
      <c r="O1142" s="422"/>
      <c r="P1142" s="59"/>
      <c r="Q1142" s="61" t="s">
        <v>3034</v>
      </c>
      <c r="R1142" s="427" t="s">
        <v>192</v>
      </c>
      <c r="S1142" s="322" t="s">
        <v>2849</v>
      </c>
      <c r="T1142" s="689"/>
      <c r="U1142" s="421"/>
    </row>
    <row r="1143" spans="1:21" s="377" customFormat="1" ht="20.100000000000001" customHeight="1">
      <c r="A1143" s="1183" t="s">
        <v>2951</v>
      </c>
      <c r="B1143" s="1183" t="s">
        <v>1122</v>
      </c>
      <c r="C1143" s="1183" t="s">
        <v>3434</v>
      </c>
      <c r="D1143" s="528">
        <f>D459+48500/55</f>
        <v>1241.818181818182</v>
      </c>
      <c r="E1143" s="528"/>
      <c r="F1143" s="528">
        <f>F459+57000/55</f>
        <v>1421.3636363636363</v>
      </c>
      <c r="G1143" s="707" t="s">
        <v>37</v>
      </c>
      <c r="H1143" s="378">
        <v>1</v>
      </c>
      <c r="I1143" s="426" t="s">
        <v>130</v>
      </c>
      <c r="J1143" s="681"/>
      <c r="K1143" s="426">
        <v>25</v>
      </c>
      <c r="L1143" s="379" t="s">
        <v>636</v>
      </c>
      <c r="M1143" s="392">
        <v>43080</v>
      </c>
      <c r="N1143" s="392">
        <v>43080</v>
      </c>
      <c r="O1143" s="419"/>
      <c r="P1143" s="61" t="s">
        <v>907</v>
      </c>
      <c r="Q1143" s="61" t="s">
        <v>927</v>
      </c>
      <c r="R1143" s="397" t="s">
        <v>192</v>
      </c>
      <c r="S1143" s="315" t="s">
        <v>2903</v>
      </c>
      <c r="T1143" s="316"/>
      <c r="U1143" s="421"/>
    </row>
    <row r="1144" spans="1:21" s="377" customFormat="1" ht="20.100000000000001" customHeight="1">
      <c r="A1144" s="1183" t="s">
        <v>2951</v>
      </c>
      <c r="B1144" s="1183" t="s">
        <v>1122</v>
      </c>
      <c r="C1144" s="1183" t="s">
        <v>3434</v>
      </c>
      <c r="D1144" s="528">
        <f>D474+35206/60</f>
        <v>961.76666666666665</v>
      </c>
      <c r="E1144" s="528">
        <f>E474+61427/60</f>
        <v>1473.7833333333333</v>
      </c>
      <c r="F1144" s="528">
        <f>F474+61427/60</f>
        <v>1473.7833333333333</v>
      </c>
      <c r="G1144" s="217" t="s">
        <v>10</v>
      </c>
      <c r="H1144" s="378">
        <v>1</v>
      </c>
      <c r="I1144" s="426" t="s">
        <v>130</v>
      </c>
      <c r="J1144" s="681"/>
      <c r="K1144" s="426" t="s">
        <v>951</v>
      </c>
      <c r="L1144" s="379" t="s">
        <v>636</v>
      </c>
      <c r="M1144" s="381">
        <v>43087</v>
      </c>
      <c r="N1144" s="381">
        <v>43087</v>
      </c>
      <c r="O1144" s="422"/>
      <c r="P1144" s="61"/>
      <c r="Q1144" s="61" t="s">
        <v>902</v>
      </c>
      <c r="R1144" s="397" t="s">
        <v>203</v>
      </c>
      <c r="S1144" s="315" t="s">
        <v>2904</v>
      </c>
      <c r="T1144" s="689"/>
      <c r="U1144" s="421"/>
    </row>
    <row r="1145" spans="1:21" s="377" customFormat="1" ht="20.100000000000001" customHeight="1">
      <c r="A1145" s="1183" t="s">
        <v>2951</v>
      </c>
      <c r="B1145" s="1183" t="s">
        <v>1122</v>
      </c>
      <c r="C1145" s="1183" t="s">
        <v>3434</v>
      </c>
      <c r="D1145" s="13">
        <f>D462+45925/60</f>
        <v>1140.4166666666665</v>
      </c>
      <c r="E1145" s="13">
        <f>E462+78150/60</f>
        <v>1717.5</v>
      </c>
      <c r="F1145" s="13">
        <f>F462+78150/60</f>
        <v>1717.5</v>
      </c>
      <c r="G1145" s="707" t="s">
        <v>12</v>
      </c>
      <c r="H1145" s="417" t="s">
        <v>729</v>
      </c>
      <c r="I1145" s="398" t="s">
        <v>130</v>
      </c>
      <c r="J1145" s="681" t="s">
        <v>1695</v>
      </c>
      <c r="K1145" s="426">
        <v>24</v>
      </c>
      <c r="L1145" s="379" t="s">
        <v>636</v>
      </c>
      <c r="M1145" s="551">
        <v>43084</v>
      </c>
      <c r="N1145" s="551">
        <v>43091</v>
      </c>
      <c r="O1145" s="419"/>
      <c r="P1145" s="61" t="s">
        <v>597</v>
      </c>
      <c r="Q1145" s="61" t="s">
        <v>932</v>
      </c>
      <c r="R1145" s="397" t="s">
        <v>271</v>
      </c>
      <c r="S1145" s="322" t="s">
        <v>1176</v>
      </c>
      <c r="T1145" s="688" t="s">
        <v>2840</v>
      </c>
      <c r="U1145" s="421"/>
    </row>
    <row r="1146" spans="1:21" s="377" customFormat="1" ht="20.100000000000001" customHeight="1">
      <c r="A1146" s="1183" t="s">
        <v>2951</v>
      </c>
      <c r="B1146" s="1183" t="s">
        <v>1122</v>
      </c>
      <c r="C1146" s="1183" t="s">
        <v>3434</v>
      </c>
      <c r="D1146" s="13">
        <f>D462+47000/60</f>
        <v>1158.3333333333335</v>
      </c>
      <c r="E1146" s="13">
        <f>E462+80000/60</f>
        <v>1748.3333333333333</v>
      </c>
      <c r="F1146" s="13">
        <f>F462+80000/60</f>
        <v>1748.3333333333333</v>
      </c>
      <c r="G1146" s="707" t="s">
        <v>12</v>
      </c>
      <c r="H1146" s="417" t="s">
        <v>729</v>
      </c>
      <c r="I1146" s="398" t="s">
        <v>130</v>
      </c>
      <c r="J1146" s="681" t="s">
        <v>1700</v>
      </c>
      <c r="K1146" s="426">
        <v>24</v>
      </c>
      <c r="L1146" s="379" t="s">
        <v>636</v>
      </c>
      <c r="M1146" s="551">
        <v>43084</v>
      </c>
      <c r="N1146" s="551">
        <v>43091</v>
      </c>
      <c r="O1146" s="419"/>
      <c r="P1146" s="61" t="s">
        <v>597</v>
      </c>
      <c r="Q1146" s="61" t="s">
        <v>902</v>
      </c>
      <c r="R1146" s="397" t="s">
        <v>271</v>
      </c>
      <c r="S1146" s="322" t="s">
        <v>1176</v>
      </c>
      <c r="T1146" s="688" t="s">
        <v>2840</v>
      </c>
      <c r="U1146" s="421"/>
    </row>
    <row r="1147" spans="1:21" s="377" customFormat="1" ht="20.100000000000001" customHeight="1">
      <c r="A1147" s="1183" t="s">
        <v>2951</v>
      </c>
      <c r="B1147" s="1183" t="s">
        <v>1122</v>
      </c>
      <c r="C1147" s="1183" t="s">
        <v>3434</v>
      </c>
      <c r="D1147" s="13">
        <f>D464+(44950+5000)/60</f>
        <v>1432.5</v>
      </c>
      <c r="E1147" s="13">
        <f>E464+(78350+10000)/60</f>
        <v>2122.5</v>
      </c>
      <c r="F1147" s="13">
        <f>F464+(78350+10000)/60</f>
        <v>2122.5</v>
      </c>
      <c r="G1147" s="217" t="s">
        <v>51</v>
      </c>
      <c r="H1147" s="417" t="s">
        <v>2363</v>
      </c>
      <c r="I1147" s="398" t="s">
        <v>130</v>
      </c>
      <c r="J1147" s="50" t="s">
        <v>2359</v>
      </c>
      <c r="K1147" s="426" t="s">
        <v>2364</v>
      </c>
      <c r="L1147" s="380" t="s">
        <v>639</v>
      </c>
      <c r="M1147" s="381">
        <v>43080</v>
      </c>
      <c r="N1147" s="381">
        <v>43089</v>
      </c>
      <c r="O1147" s="419"/>
      <c r="P1147" s="61" t="s">
        <v>597</v>
      </c>
      <c r="Q1147" s="61" t="s">
        <v>902</v>
      </c>
      <c r="R1147" s="424" t="s">
        <v>171</v>
      </c>
      <c r="S1147" s="322"/>
      <c r="T1147" s="688"/>
      <c r="U1147" s="421"/>
    </row>
    <row r="1148" spans="1:21" s="377" customFormat="1" ht="20.100000000000001" customHeight="1">
      <c r="A1148" s="1183" t="s">
        <v>2951</v>
      </c>
      <c r="B1148" s="1183" t="s">
        <v>1122</v>
      </c>
      <c r="C1148" s="1183" t="s">
        <v>3434</v>
      </c>
      <c r="D1148" s="13">
        <f>D465+50170/60</f>
        <v>1161.1666666666665</v>
      </c>
      <c r="E1148" s="13">
        <f>E465+96820/60</f>
        <v>2088.666666666667</v>
      </c>
      <c r="F1148" s="13">
        <f>F465+88620/60</f>
        <v>1952</v>
      </c>
      <c r="G1148" s="222" t="s">
        <v>1659</v>
      </c>
      <c r="H1148" s="385" t="s">
        <v>742</v>
      </c>
      <c r="I1148" s="398" t="s">
        <v>130</v>
      </c>
      <c r="J1148" s="37"/>
      <c r="K1148" s="380" t="s">
        <v>727</v>
      </c>
      <c r="L1148" s="398" t="s">
        <v>639</v>
      </c>
      <c r="M1148" s="547">
        <v>43081</v>
      </c>
      <c r="N1148" s="547">
        <v>43090</v>
      </c>
      <c r="O1148" s="419"/>
      <c r="P1148" s="61"/>
      <c r="Q1148" s="61" t="s">
        <v>902</v>
      </c>
      <c r="R1148" s="397" t="s">
        <v>171</v>
      </c>
      <c r="S1148" s="315" t="s">
        <v>2862</v>
      </c>
      <c r="T1148" s="626">
        <v>14</v>
      </c>
      <c r="U1148" s="421"/>
    </row>
    <row r="1149" spans="1:21" s="377" customFormat="1" ht="20.100000000000001" customHeight="1">
      <c r="A1149" s="1183" t="s">
        <v>2951</v>
      </c>
      <c r="B1149" s="1183" t="s">
        <v>1122</v>
      </c>
      <c r="C1149" s="1183" t="s">
        <v>3434</v>
      </c>
      <c r="D1149" s="13">
        <f>D467+717+25</f>
        <v>1022</v>
      </c>
      <c r="E1149" s="13">
        <f>E467+1412+50</f>
        <v>1887</v>
      </c>
      <c r="F1149" s="13">
        <f>F467+1412+50</f>
        <v>1887</v>
      </c>
      <c r="G1149" s="222" t="s">
        <v>2347</v>
      </c>
      <c r="H1149" s="385" t="s">
        <v>2350</v>
      </c>
      <c r="I1149" s="398" t="s">
        <v>130</v>
      </c>
      <c r="J1149" s="37" t="s">
        <v>3433</v>
      </c>
      <c r="K1149" s="380" t="s">
        <v>2346</v>
      </c>
      <c r="L1149" s="386" t="s">
        <v>639</v>
      </c>
      <c r="M1149" s="547">
        <v>43086</v>
      </c>
      <c r="N1149" s="547">
        <v>43092</v>
      </c>
      <c r="O1149" s="419"/>
      <c r="P1149" s="61"/>
      <c r="Q1149" s="61" t="s">
        <v>934</v>
      </c>
      <c r="R1149" s="397" t="s">
        <v>171</v>
      </c>
      <c r="S1149" s="322"/>
      <c r="T1149" s="688"/>
      <c r="U1149" s="421"/>
    </row>
    <row r="1150" spans="1:21" s="377" customFormat="1" ht="20.100000000000001" customHeight="1">
      <c r="A1150" s="1183" t="s">
        <v>2951</v>
      </c>
      <c r="B1150" s="1183" t="s">
        <v>1122</v>
      </c>
      <c r="C1150" s="1183" t="s">
        <v>3434</v>
      </c>
      <c r="D1150" s="13">
        <f>D467+709+25</f>
        <v>1014</v>
      </c>
      <c r="E1150" s="13">
        <f>E467+1402+50</f>
        <v>1877</v>
      </c>
      <c r="F1150" s="13">
        <f>F467+1402+50</f>
        <v>1877</v>
      </c>
      <c r="G1150" s="222" t="s">
        <v>2347</v>
      </c>
      <c r="H1150" s="385" t="s">
        <v>2350</v>
      </c>
      <c r="I1150" s="398" t="s">
        <v>130</v>
      </c>
      <c r="J1150" s="37" t="s">
        <v>3437</v>
      </c>
      <c r="K1150" s="380" t="s">
        <v>2346</v>
      </c>
      <c r="L1150" s="386" t="s">
        <v>639</v>
      </c>
      <c r="M1150" s="547">
        <v>43086</v>
      </c>
      <c r="N1150" s="547">
        <v>43092</v>
      </c>
      <c r="O1150" s="419"/>
      <c r="P1150" s="61"/>
      <c r="Q1150" s="61" t="s">
        <v>934</v>
      </c>
      <c r="R1150" s="397" t="s">
        <v>171</v>
      </c>
      <c r="S1150" s="322"/>
      <c r="T1150" s="688"/>
      <c r="U1150" s="421"/>
    </row>
    <row r="1151" spans="1:21" s="377" customFormat="1" ht="20.100000000000001" customHeight="1">
      <c r="A1151" s="1183" t="s">
        <v>2951</v>
      </c>
      <c r="B1151" s="1183" t="s">
        <v>1122</v>
      </c>
      <c r="C1151" s="1183" t="s">
        <v>483</v>
      </c>
      <c r="D1151" s="13">
        <f>D467+674+25</f>
        <v>979</v>
      </c>
      <c r="E1151" s="13">
        <f>E467+1353+50</f>
        <v>1828</v>
      </c>
      <c r="F1151" s="13">
        <f>F467+1353+50</f>
        <v>1828</v>
      </c>
      <c r="G1151" s="222" t="s">
        <v>14</v>
      </c>
      <c r="H1151" s="385" t="s">
        <v>742</v>
      </c>
      <c r="I1151" s="398" t="s">
        <v>130</v>
      </c>
      <c r="J1151" s="37" t="s">
        <v>3435</v>
      </c>
      <c r="K1151" s="380" t="s">
        <v>727</v>
      </c>
      <c r="L1151" s="386" t="s">
        <v>639</v>
      </c>
      <c r="M1151" s="547">
        <v>43086</v>
      </c>
      <c r="N1151" s="547">
        <v>43092</v>
      </c>
      <c r="O1151" s="419"/>
      <c r="P1151" s="61"/>
      <c r="Q1151" s="61" t="s">
        <v>934</v>
      </c>
      <c r="R1151" s="397" t="s">
        <v>171</v>
      </c>
      <c r="S1151" s="322"/>
      <c r="T1151" s="688"/>
      <c r="U1151" s="421"/>
    </row>
    <row r="1152" spans="1:21" s="377" customFormat="1" ht="20.100000000000001" customHeight="1">
      <c r="A1152" s="1183" t="s">
        <v>2951</v>
      </c>
      <c r="B1152" s="1183" t="s">
        <v>1122</v>
      </c>
      <c r="C1152" s="1183" t="s">
        <v>3434</v>
      </c>
      <c r="D1152" s="13">
        <f>D771</f>
        <v>1425</v>
      </c>
      <c r="E1152" s="13">
        <f>E771</f>
        <v>2000</v>
      </c>
      <c r="F1152" s="13">
        <f>F771</f>
        <v>2000</v>
      </c>
      <c r="G1152" s="217" t="s">
        <v>19</v>
      </c>
      <c r="H1152" s="385" t="s">
        <v>742</v>
      </c>
      <c r="I1152" s="398" t="s">
        <v>623</v>
      </c>
      <c r="J1152" s="37"/>
      <c r="K1152" s="398" t="s">
        <v>1257</v>
      </c>
      <c r="L1152" s="398" t="s">
        <v>639</v>
      </c>
      <c r="M1152" s="399">
        <v>43073</v>
      </c>
      <c r="N1152" s="399">
        <v>43086</v>
      </c>
      <c r="O1152" s="382" t="s">
        <v>611</v>
      </c>
      <c r="P1152" s="105"/>
      <c r="Q1152" s="61" t="s">
        <v>1661</v>
      </c>
      <c r="R1152" s="397" t="s">
        <v>187</v>
      </c>
      <c r="S1152" s="316" t="s">
        <v>2908</v>
      </c>
      <c r="T1152" s="848" t="s">
        <v>4105</v>
      </c>
      <c r="U1152" s="421"/>
    </row>
    <row r="1153" spans="1:21" s="377" customFormat="1" ht="20.100000000000001" customHeight="1">
      <c r="A1153" s="1183" t="s">
        <v>2951</v>
      </c>
      <c r="B1153" s="1183" t="s">
        <v>1122</v>
      </c>
      <c r="C1153" s="1183" t="s">
        <v>3434</v>
      </c>
      <c r="D1153" s="11">
        <f>D477+890+25</f>
        <v>1165</v>
      </c>
      <c r="E1153" s="11">
        <f>E477+1610+50</f>
        <v>2060</v>
      </c>
      <c r="F1153" s="11">
        <f>F477+1610+50</f>
        <v>1960</v>
      </c>
      <c r="G1153" s="707" t="s">
        <v>157</v>
      </c>
      <c r="H1153" s="385" t="s">
        <v>1102</v>
      </c>
      <c r="I1153" s="398" t="s">
        <v>130</v>
      </c>
      <c r="J1153" s="37"/>
      <c r="K1153" s="426">
        <v>23</v>
      </c>
      <c r="L1153" s="398" t="s">
        <v>639</v>
      </c>
      <c r="M1153" s="392">
        <v>43084</v>
      </c>
      <c r="N1153" s="392">
        <v>43088</v>
      </c>
      <c r="O1153" s="423" t="s">
        <v>601</v>
      </c>
      <c r="P1153" s="61" t="s">
        <v>1942</v>
      </c>
      <c r="Q1153" s="61" t="s">
        <v>902</v>
      </c>
      <c r="R1153" s="424" t="s">
        <v>171</v>
      </c>
      <c r="S1153" s="316" t="s">
        <v>2909</v>
      </c>
      <c r="T1153" s="689"/>
      <c r="U1153" s="421"/>
    </row>
    <row r="1154" spans="1:21" s="377" customFormat="1" ht="20.100000000000001" customHeight="1">
      <c r="A1154" s="1183" t="s">
        <v>2951</v>
      </c>
      <c r="B1154" s="1183" t="s">
        <v>1122</v>
      </c>
      <c r="C1154" s="1183" t="s">
        <v>3434</v>
      </c>
      <c r="D1154" s="528">
        <f>D472+546+25</f>
        <v>571</v>
      </c>
      <c r="E1154" s="528">
        <f>E472+915+25</f>
        <v>940</v>
      </c>
      <c r="F1154" s="528">
        <f>F472+915+25</f>
        <v>940</v>
      </c>
      <c r="G1154" s="707" t="s">
        <v>13</v>
      </c>
      <c r="H1154" s="385" t="s">
        <v>721</v>
      </c>
      <c r="I1154" s="398" t="s">
        <v>130</v>
      </c>
      <c r="J1154" s="37"/>
      <c r="K1154" s="398" t="s">
        <v>663</v>
      </c>
      <c r="L1154" s="398" t="s">
        <v>639</v>
      </c>
      <c r="M1154" s="404">
        <v>43040</v>
      </c>
      <c r="N1154" s="404">
        <v>43100</v>
      </c>
      <c r="O1154" s="423" t="s">
        <v>601</v>
      </c>
      <c r="P1154" s="750"/>
      <c r="Q1154" s="61" t="s">
        <v>3035</v>
      </c>
      <c r="R1154" s="397" t="s">
        <v>173</v>
      </c>
      <c r="S1154" s="316" t="s">
        <v>2906</v>
      </c>
      <c r="T1154" s="689"/>
      <c r="U1154" s="421"/>
    </row>
    <row r="1155" spans="1:21" s="377" customFormat="1" ht="20.100000000000001" customHeight="1">
      <c r="A1155" s="1183" t="s">
        <v>2951</v>
      </c>
      <c r="B1155" s="1183" t="s">
        <v>1122</v>
      </c>
      <c r="C1155" s="1183" t="s">
        <v>3434</v>
      </c>
      <c r="D1155" s="32">
        <f>D475+(38451/60)*1.15</f>
        <v>736.97749999999996</v>
      </c>
      <c r="E1155" s="32">
        <f>E475+(65758/60)*1.15</f>
        <v>1260.3616666666667</v>
      </c>
      <c r="F1155" s="32">
        <f>F475+(65758/60)*1.15</f>
        <v>1260.3616666666667</v>
      </c>
      <c r="G1155" s="67" t="s">
        <v>29</v>
      </c>
      <c r="H1155" s="385" t="s">
        <v>1098</v>
      </c>
      <c r="I1155" s="398" t="s">
        <v>130</v>
      </c>
      <c r="J1155" s="37"/>
      <c r="K1155" s="398" t="s">
        <v>1100</v>
      </c>
      <c r="L1155" s="398" t="s">
        <v>652</v>
      </c>
      <c r="M1155" s="404">
        <v>43038</v>
      </c>
      <c r="N1155" s="404">
        <v>43086</v>
      </c>
      <c r="O1155" s="422"/>
      <c r="P1155" s="61"/>
      <c r="Q1155" s="61" t="s">
        <v>3035</v>
      </c>
      <c r="R1155" s="397" t="s">
        <v>173</v>
      </c>
      <c r="S1155" s="316" t="s">
        <v>2898</v>
      </c>
      <c r="T1155" s="689"/>
      <c r="U1155" s="421"/>
    </row>
    <row r="1156" spans="1:21" s="377" customFormat="1" ht="20.100000000000001" customHeight="1">
      <c r="A1156" s="1184" t="s">
        <v>2951</v>
      </c>
      <c r="B1156" s="1183" t="s">
        <v>343</v>
      </c>
      <c r="C1156" s="1183" t="s">
        <v>483</v>
      </c>
      <c r="D1156" s="528">
        <f>D555+(38090/60)*1.15</f>
        <v>1205.0583333333334</v>
      </c>
      <c r="E1156" s="528">
        <f>E555+(66764/60)*1.15</f>
        <v>1779.6433333333332</v>
      </c>
      <c r="F1156" s="528">
        <f>F555+(66764/60)*1.15</f>
        <v>1779.6433333333332</v>
      </c>
      <c r="G1156" s="707" t="s">
        <v>29</v>
      </c>
      <c r="H1156" s="385" t="s">
        <v>659</v>
      </c>
      <c r="I1156" s="426" t="s">
        <v>472</v>
      </c>
      <c r="J1156" s="681"/>
      <c r="K1156" s="386">
        <v>32</v>
      </c>
      <c r="L1156" s="398" t="s">
        <v>639</v>
      </c>
      <c r="M1156" s="404">
        <v>43082</v>
      </c>
      <c r="N1156" s="404">
        <v>43086</v>
      </c>
      <c r="O1156" s="422"/>
      <c r="P1156" s="61" t="s">
        <v>599</v>
      </c>
      <c r="Q1156" s="61" t="s">
        <v>934</v>
      </c>
      <c r="R1156" s="397" t="s">
        <v>450</v>
      </c>
      <c r="S1156" s="316" t="s">
        <v>2898</v>
      </c>
      <c r="T1156" s="689"/>
      <c r="U1156" s="421"/>
    </row>
    <row r="1157" spans="1:21" s="377" customFormat="1" ht="20.100000000000001" customHeight="1">
      <c r="A1157" s="1184" t="s">
        <v>2951</v>
      </c>
      <c r="B1157" s="1183" t="s">
        <v>343</v>
      </c>
      <c r="C1157" s="1183" t="s">
        <v>483</v>
      </c>
      <c r="D1157" s="528">
        <f>D535+(45215+5000)/60</f>
        <v>1236.9166666666665</v>
      </c>
      <c r="E1157" s="528">
        <f>E535+(80970+10000)/60</f>
        <v>1966.1666666666667</v>
      </c>
      <c r="F1157" s="528">
        <f>F535+(80970+10000)/60</f>
        <v>1966.1666666666667</v>
      </c>
      <c r="G1157" s="217" t="s">
        <v>51</v>
      </c>
      <c r="H1157" s="403">
        <v>3</v>
      </c>
      <c r="I1157" s="426" t="s">
        <v>472</v>
      </c>
      <c r="J1157" s="50" t="s">
        <v>2359</v>
      </c>
      <c r="K1157" s="386" t="s">
        <v>2364</v>
      </c>
      <c r="L1157" s="380" t="s">
        <v>639</v>
      </c>
      <c r="M1157" s="381">
        <v>43084</v>
      </c>
      <c r="N1157" s="381">
        <v>43089</v>
      </c>
      <c r="O1157" s="422"/>
      <c r="P1157" s="61" t="s">
        <v>597</v>
      </c>
      <c r="Q1157" s="61" t="s">
        <v>902</v>
      </c>
      <c r="R1157" s="397" t="s">
        <v>450</v>
      </c>
      <c r="S1157" s="327" t="s">
        <v>3066</v>
      </c>
      <c r="T1157" s="689"/>
      <c r="U1157" s="421"/>
    </row>
    <row r="1158" spans="1:21" s="377" customFormat="1" ht="20.100000000000001" customHeight="1">
      <c r="A1158" s="1184" t="s">
        <v>2951</v>
      </c>
      <c r="B1158" s="1183" t="s">
        <v>343</v>
      </c>
      <c r="C1158" s="1183" t="s">
        <v>483</v>
      </c>
      <c r="D1158" s="528">
        <f>D554+44817/60</f>
        <v>1121.95</v>
      </c>
      <c r="E1158" s="528">
        <f>E554+64620/60</f>
        <v>1527</v>
      </c>
      <c r="F1158" s="528">
        <f>F554+64620/60</f>
        <v>1527</v>
      </c>
      <c r="G1158" s="217" t="s">
        <v>2328</v>
      </c>
      <c r="H1158" s="385" t="s">
        <v>725</v>
      </c>
      <c r="I1158" s="398" t="s">
        <v>472</v>
      </c>
      <c r="J1158" s="681"/>
      <c r="K1158" s="386" t="s">
        <v>2341</v>
      </c>
      <c r="L1158" s="379" t="s">
        <v>641</v>
      </c>
      <c r="M1158" s="381">
        <v>43082</v>
      </c>
      <c r="N1158" s="381">
        <v>43086</v>
      </c>
      <c r="O1158" s="394" t="s">
        <v>1949</v>
      </c>
      <c r="P1158" s="61"/>
      <c r="Q1158" s="61" t="s">
        <v>2337</v>
      </c>
      <c r="R1158" s="397" t="s">
        <v>826</v>
      </c>
      <c r="S1158" s="336" t="s">
        <v>1176</v>
      </c>
      <c r="T1158" s="323" t="s">
        <v>2935</v>
      </c>
      <c r="U1158" s="421"/>
    </row>
    <row r="1159" spans="1:21" s="377" customFormat="1" ht="20.100000000000001" customHeight="1">
      <c r="A1159" s="1184" t="s">
        <v>2951</v>
      </c>
      <c r="B1159" s="1183" t="s">
        <v>343</v>
      </c>
      <c r="C1159" s="1183" t="s">
        <v>483</v>
      </c>
      <c r="D1159" s="13">
        <f>D554+44817/60</f>
        <v>1121.95</v>
      </c>
      <c r="E1159" s="13">
        <f>E554+64620/60</f>
        <v>1527</v>
      </c>
      <c r="F1159" s="13">
        <f>F554+64620/60</f>
        <v>1527</v>
      </c>
      <c r="G1159" s="656" t="s">
        <v>2328</v>
      </c>
      <c r="H1159" s="385" t="s">
        <v>725</v>
      </c>
      <c r="I1159" s="398" t="s">
        <v>472</v>
      </c>
      <c r="J1159" s="681" t="s">
        <v>1696</v>
      </c>
      <c r="K1159" s="386" t="s">
        <v>2341</v>
      </c>
      <c r="L1159" s="379" t="s">
        <v>641</v>
      </c>
      <c r="M1159" s="381">
        <v>43082</v>
      </c>
      <c r="N1159" s="381">
        <v>43086</v>
      </c>
      <c r="O1159" s="394" t="s">
        <v>1949</v>
      </c>
      <c r="P1159" s="61"/>
      <c r="Q1159" s="61" t="s">
        <v>2337</v>
      </c>
      <c r="R1159" s="397" t="s">
        <v>826</v>
      </c>
      <c r="S1159" s="336" t="s">
        <v>1176</v>
      </c>
      <c r="T1159" s="323" t="s">
        <v>2935</v>
      </c>
      <c r="U1159" s="421"/>
    </row>
    <row r="1160" spans="1:21" s="377" customFormat="1" ht="20.100000000000001" customHeight="1">
      <c r="A1160" s="1184" t="s">
        <v>2951</v>
      </c>
      <c r="B1160" s="1183" t="s">
        <v>343</v>
      </c>
      <c r="C1160" s="1183" t="s">
        <v>483</v>
      </c>
      <c r="D1160" s="32">
        <f>D545+38856/60</f>
        <v>1157.5999999999999</v>
      </c>
      <c r="E1160" s="32">
        <f>E545+71427/60</f>
        <v>1910.45</v>
      </c>
      <c r="F1160" s="32">
        <f>F545+71427/60</f>
        <v>1910.45</v>
      </c>
      <c r="G1160" s="222" t="s">
        <v>10</v>
      </c>
      <c r="H1160" s="385" t="s">
        <v>725</v>
      </c>
      <c r="I1160" s="426" t="s">
        <v>472</v>
      </c>
      <c r="J1160" s="681"/>
      <c r="K1160" s="379" t="s">
        <v>680</v>
      </c>
      <c r="L1160" s="379" t="s">
        <v>641</v>
      </c>
      <c r="M1160" s="381">
        <v>43045</v>
      </c>
      <c r="N1160" s="547">
        <v>43087</v>
      </c>
      <c r="O1160" s="422"/>
      <c r="P1160" s="677"/>
      <c r="Q1160" s="61" t="s">
        <v>902</v>
      </c>
      <c r="R1160" s="397" t="s">
        <v>836</v>
      </c>
      <c r="S1160" s="316" t="s">
        <v>1176</v>
      </c>
      <c r="T1160" s="689"/>
      <c r="U1160" s="421"/>
    </row>
    <row r="1161" spans="1:21" s="377" customFormat="1" ht="20.100000000000001" customHeight="1">
      <c r="A1161" s="1184" t="s">
        <v>2951</v>
      </c>
      <c r="B1161" s="1183" t="s">
        <v>343</v>
      </c>
      <c r="C1161" s="1183" t="s">
        <v>483</v>
      </c>
      <c r="D1161" s="528">
        <f>D546+48500/55</f>
        <v>1316.818181818182</v>
      </c>
      <c r="E1161" s="528"/>
      <c r="F1161" s="528">
        <f>F546+58000/55</f>
        <v>1564.5454545454545</v>
      </c>
      <c r="G1161" s="707" t="s">
        <v>37</v>
      </c>
      <c r="H1161" s="385">
        <v>5</v>
      </c>
      <c r="I1161" s="426" t="s">
        <v>472</v>
      </c>
      <c r="J1161" s="681"/>
      <c r="K1161" s="386" t="s">
        <v>872</v>
      </c>
      <c r="L1161" s="380" t="s">
        <v>649</v>
      </c>
      <c r="M1161" s="392">
        <v>43063</v>
      </c>
      <c r="N1161" s="392">
        <v>43080</v>
      </c>
      <c r="O1161" s="419"/>
      <c r="P1161" s="750"/>
      <c r="Q1161" s="61" t="s">
        <v>927</v>
      </c>
      <c r="R1161" s="397" t="s">
        <v>179</v>
      </c>
      <c r="S1161" s="315" t="s">
        <v>2903</v>
      </c>
      <c r="T1161" s="316"/>
      <c r="U1161" s="421"/>
    </row>
    <row r="1162" spans="1:21" s="377" customFormat="1" ht="20.100000000000001" customHeight="1">
      <c r="A1162" s="1184" t="s">
        <v>2951</v>
      </c>
      <c r="B1162" s="1183" t="s">
        <v>343</v>
      </c>
      <c r="C1162" s="1183" t="s">
        <v>483</v>
      </c>
      <c r="D1162" s="32">
        <f>D547+910+25</f>
        <v>1185</v>
      </c>
      <c r="E1162" s="528">
        <f>E547+1520+50</f>
        <v>2020</v>
      </c>
      <c r="F1162" s="528">
        <f>F547+1520+50</f>
        <v>1970</v>
      </c>
      <c r="G1162" s="707" t="s">
        <v>28</v>
      </c>
      <c r="H1162" s="417">
        <v>5</v>
      </c>
      <c r="I1162" s="426" t="s">
        <v>472</v>
      </c>
      <c r="J1162" s="681"/>
      <c r="K1162" s="386">
        <v>20</v>
      </c>
      <c r="L1162" s="380" t="s">
        <v>649</v>
      </c>
      <c r="M1162" s="392">
        <v>43084</v>
      </c>
      <c r="N1162" s="392">
        <v>43088</v>
      </c>
      <c r="O1162" s="422"/>
      <c r="P1162" s="61" t="s">
        <v>1676</v>
      </c>
      <c r="Q1162" s="61" t="s">
        <v>902</v>
      </c>
      <c r="R1162" s="397" t="s">
        <v>504</v>
      </c>
      <c r="S1162" s="316" t="s">
        <v>2909</v>
      </c>
      <c r="T1162" s="689"/>
      <c r="U1162" s="421"/>
    </row>
    <row r="1163" spans="1:21" s="377" customFormat="1" ht="20.100000000000001" customHeight="1">
      <c r="A1163" s="1184" t="s">
        <v>2951</v>
      </c>
      <c r="B1163" s="1183" t="s">
        <v>343</v>
      </c>
      <c r="C1163" s="1183" t="s">
        <v>483</v>
      </c>
      <c r="D1163" s="528">
        <f>D548+49000/60</f>
        <v>1216.6666666666665</v>
      </c>
      <c r="E1163" s="528">
        <f>E548+85300/60</f>
        <v>1921.6666666666667</v>
      </c>
      <c r="F1163" s="528">
        <f>F548+85300/60</f>
        <v>1921.6666666666667</v>
      </c>
      <c r="G1163" s="707" t="s">
        <v>236</v>
      </c>
      <c r="H1163" s="417" t="s">
        <v>721</v>
      </c>
      <c r="I1163" s="386" t="s">
        <v>472</v>
      </c>
      <c r="J1163" s="37"/>
      <c r="K1163" s="398">
        <v>19</v>
      </c>
      <c r="L1163" s="386" t="s">
        <v>641</v>
      </c>
      <c r="M1163" s="399">
        <v>43064</v>
      </c>
      <c r="N1163" s="399">
        <v>43086</v>
      </c>
      <c r="O1163" s="423" t="s">
        <v>601</v>
      </c>
      <c r="P1163" s="751"/>
      <c r="Q1163" s="61" t="s">
        <v>934</v>
      </c>
      <c r="R1163" s="424" t="s">
        <v>202</v>
      </c>
      <c r="S1163" s="316"/>
      <c r="T1163" s="689"/>
      <c r="U1163" s="421"/>
    </row>
    <row r="1164" spans="1:21" s="377" customFormat="1" ht="20.100000000000001" customHeight="1">
      <c r="A1164" s="1184" t="s">
        <v>2951</v>
      </c>
      <c r="B1164" s="1183" t="s">
        <v>343</v>
      </c>
      <c r="C1164" s="1183" t="s">
        <v>483</v>
      </c>
      <c r="D1164" s="528">
        <f>D549+51375/60</f>
        <v>1206.25</v>
      </c>
      <c r="E1164" s="528">
        <f>E549+84975/60</f>
        <v>1806.25</v>
      </c>
      <c r="F1164" s="528">
        <f>F549+84975/60</f>
        <v>1806.25</v>
      </c>
      <c r="G1164" s="707" t="s">
        <v>12</v>
      </c>
      <c r="H1164" s="417" t="s">
        <v>721</v>
      </c>
      <c r="I1164" s="426" t="s">
        <v>472</v>
      </c>
      <c r="J1164" s="681" t="s">
        <v>1695</v>
      </c>
      <c r="K1164" s="386">
        <v>20</v>
      </c>
      <c r="L1164" s="386" t="s">
        <v>650</v>
      </c>
      <c r="M1164" s="551">
        <v>43084</v>
      </c>
      <c r="N1164" s="551">
        <v>43091</v>
      </c>
      <c r="O1164" s="419"/>
      <c r="P1164" s="61" t="s">
        <v>597</v>
      </c>
      <c r="Q1164" s="61" t="s">
        <v>932</v>
      </c>
      <c r="R1164" s="397" t="s">
        <v>202</v>
      </c>
      <c r="S1164" s="322" t="s">
        <v>1176</v>
      </c>
      <c r="T1164" s="688" t="s">
        <v>2840</v>
      </c>
      <c r="U1164" s="421"/>
    </row>
    <row r="1165" spans="1:21" s="377" customFormat="1" ht="20.100000000000001" customHeight="1">
      <c r="A1165" s="1184" t="s">
        <v>2951</v>
      </c>
      <c r="B1165" s="1183" t="s">
        <v>343</v>
      </c>
      <c r="C1165" s="1183" t="s">
        <v>483</v>
      </c>
      <c r="D1165" s="528">
        <f>D549+52375/60</f>
        <v>1222.9166666666665</v>
      </c>
      <c r="E1165" s="528">
        <f>E549+86775/60</f>
        <v>1836.25</v>
      </c>
      <c r="F1165" s="528">
        <f>F549+86775/60</f>
        <v>1836.25</v>
      </c>
      <c r="G1165" s="707" t="s">
        <v>12</v>
      </c>
      <c r="H1165" s="417" t="s">
        <v>721</v>
      </c>
      <c r="I1165" s="426" t="s">
        <v>472</v>
      </c>
      <c r="J1165" s="681" t="s">
        <v>1696</v>
      </c>
      <c r="K1165" s="386">
        <v>20</v>
      </c>
      <c r="L1165" s="386" t="s">
        <v>641</v>
      </c>
      <c r="M1165" s="551">
        <v>43084</v>
      </c>
      <c r="N1165" s="551">
        <v>43091</v>
      </c>
      <c r="O1165" s="419"/>
      <c r="P1165" s="61" t="s">
        <v>597</v>
      </c>
      <c r="Q1165" s="61" t="s">
        <v>902</v>
      </c>
      <c r="R1165" s="397" t="s">
        <v>202</v>
      </c>
      <c r="S1165" s="322" t="s">
        <v>1176</v>
      </c>
      <c r="T1165" s="688" t="s">
        <v>2840</v>
      </c>
      <c r="U1165" s="421"/>
    </row>
    <row r="1166" spans="1:21" s="377" customFormat="1" ht="20.100000000000001" customHeight="1">
      <c r="A1166" s="1184" t="s">
        <v>2951</v>
      </c>
      <c r="B1166" s="1183" t="s">
        <v>343</v>
      </c>
      <c r="C1166" s="1183" t="s">
        <v>483</v>
      </c>
      <c r="D1166" s="528">
        <f>D549+52150/60</f>
        <v>1219.1666666666665</v>
      </c>
      <c r="E1166" s="528">
        <f>E549+86275/60</f>
        <v>1827.9166666666667</v>
      </c>
      <c r="F1166" s="528">
        <f>F549+86275/60</f>
        <v>1827.9166666666667</v>
      </c>
      <c r="G1166" s="707" t="s">
        <v>12</v>
      </c>
      <c r="H1166" s="417" t="s">
        <v>721</v>
      </c>
      <c r="I1166" s="426" t="s">
        <v>472</v>
      </c>
      <c r="J1166" s="681" t="s">
        <v>1697</v>
      </c>
      <c r="K1166" s="386">
        <v>20</v>
      </c>
      <c r="L1166" s="386" t="s">
        <v>641</v>
      </c>
      <c r="M1166" s="551">
        <v>43084</v>
      </c>
      <c r="N1166" s="551">
        <v>43091</v>
      </c>
      <c r="O1166" s="419"/>
      <c r="P1166" s="61" t="s">
        <v>597</v>
      </c>
      <c r="Q1166" s="61" t="s">
        <v>902</v>
      </c>
      <c r="R1166" s="397" t="s">
        <v>202</v>
      </c>
      <c r="S1166" s="322" t="s">
        <v>1176</v>
      </c>
      <c r="T1166" s="688" t="s">
        <v>2840</v>
      </c>
      <c r="U1166" s="421"/>
    </row>
    <row r="1167" spans="1:21" s="377" customFormat="1" ht="20.100000000000001" customHeight="1">
      <c r="A1167" s="1184" t="s">
        <v>2951</v>
      </c>
      <c r="B1167" s="1183" t="s">
        <v>343</v>
      </c>
      <c r="C1167" s="1183" t="s">
        <v>480</v>
      </c>
      <c r="D1167" s="536">
        <f>D422+59933/55</f>
        <v>1289.6909090909091</v>
      </c>
      <c r="E1167" s="536">
        <f>E422+89683/55</f>
        <v>1880.6</v>
      </c>
      <c r="F1167" s="536">
        <f>F422+89683/55</f>
        <v>1880.6</v>
      </c>
      <c r="G1167" s="710" t="s">
        <v>87</v>
      </c>
      <c r="H1167" s="390" t="s">
        <v>729</v>
      </c>
      <c r="I1167" s="406" t="s">
        <v>93</v>
      </c>
      <c r="J1167" s="50"/>
      <c r="K1167" s="406">
        <v>22</v>
      </c>
      <c r="L1167" s="398" t="s">
        <v>649</v>
      </c>
      <c r="M1167" s="547">
        <v>43080</v>
      </c>
      <c r="N1167" s="547">
        <v>43080</v>
      </c>
      <c r="O1167" s="422"/>
      <c r="P1167" s="59" t="s">
        <v>604</v>
      </c>
      <c r="Q1167" s="61" t="s">
        <v>919</v>
      </c>
      <c r="R1167" s="397" t="s">
        <v>251</v>
      </c>
      <c r="S1167" s="322" t="s">
        <v>2861</v>
      </c>
      <c r="T1167" s="680"/>
      <c r="U1167" s="421"/>
    </row>
    <row r="1168" spans="1:21" s="377" customFormat="1" ht="20.100000000000001" customHeight="1">
      <c r="A1168" s="1184" t="s">
        <v>2951</v>
      </c>
      <c r="B1168" s="1183" t="s">
        <v>343</v>
      </c>
      <c r="C1168" s="1183" t="s">
        <v>480</v>
      </c>
      <c r="D1168" s="536">
        <f>D435+948+25</f>
        <v>1203</v>
      </c>
      <c r="E1168" s="536">
        <f>E435+1691+50</f>
        <v>2066</v>
      </c>
      <c r="F1168" s="536">
        <f>F435+1691+50</f>
        <v>2066</v>
      </c>
      <c r="G1168" s="656" t="s">
        <v>14</v>
      </c>
      <c r="H1168" s="56" t="s">
        <v>742</v>
      </c>
      <c r="I1168" s="380" t="s">
        <v>93</v>
      </c>
      <c r="J1168" s="37"/>
      <c r="K1168" s="426" t="s">
        <v>2348</v>
      </c>
      <c r="L1168" s="398" t="s">
        <v>652</v>
      </c>
      <c r="M1168" s="547">
        <v>43086</v>
      </c>
      <c r="N1168" s="547">
        <v>43092</v>
      </c>
      <c r="O1168" s="422"/>
      <c r="P1168" s="61" t="s">
        <v>605</v>
      </c>
      <c r="Q1168" s="61" t="s">
        <v>934</v>
      </c>
      <c r="R1168" s="17" t="s">
        <v>449</v>
      </c>
      <c r="S1168" s="322" t="s">
        <v>1176</v>
      </c>
      <c r="T1168" s="680"/>
      <c r="U1168" s="421"/>
    </row>
    <row r="1169" spans="1:21" s="377" customFormat="1" ht="20.100000000000001" customHeight="1">
      <c r="A1169" s="1184" t="s">
        <v>2951</v>
      </c>
      <c r="B1169" s="1183" t="s">
        <v>343</v>
      </c>
      <c r="C1169" s="1183" t="s">
        <v>480</v>
      </c>
      <c r="D1169" s="536">
        <f>D421+84575/60</f>
        <v>1639.5833333333333</v>
      </c>
      <c r="E1169" s="536">
        <f>E421+120950/60</f>
        <v>2165.833333333333</v>
      </c>
      <c r="F1169" s="536">
        <f>F421+120950/60</f>
        <v>2165.833333333333</v>
      </c>
      <c r="G1169" s="705" t="s">
        <v>12</v>
      </c>
      <c r="H1169" s="417" t="s">
        <v>651</v>
      </c>
      <c r="I1169" s="398" t="s">
        <v>93</v>
      </c>
      <c r="J1169" s="50"/>
      <c r="K1169" s="398">
        <v>20</v>
      </c>
      <c r="L1169" s="415" t="s">
        <v>637</v>
      </c>
      <c r="M1169" s="551">
        <v>43084</v>
      </c>
      <c r="N1169" s="551">
        <v>43091</v>
      </c>
      <c r="O1169" s="419"/>
      <c r="P1169" s="72" t="s">
        <v>1941</v>
      </c>
      <c r="Q1169" s="61" t="s">
        <v>902</v>
      </c>
      <c r="R1169" s="384" t="s">
        <v>1740</v>
      </c>
      <c r="S1169" s="322" t="s">
        <v>1176</v>
      </c>
      <c r="T1169" s="688" t="s">
        <v>2840</v>
      </c>
      <c r="U1169" s="421"/>
    </row>
    <row r="1170" spans="1:21" s="377" customFormat="1" ht="20.100000000000001" customHeight="1">
      <c r="A1170" s="1184" t="s">
        <v>2951</v>
      </c>
      <c r="B1170" s="1183" t="s">
        <v>343</v>
      </c>
      <c r="C1170" s="1183" t="s">
        <v>480</v>
      </c>
      <c r="D1170" s="528">
        <f>D455+41900/60</f>
        <v>1073.3333333333335</v>
      </c>
      <c r="E1170" s="528">
        <f>E455+71100/60</f>
        <v>1585</v>
      </c>
      <c r="F1170" s="528">
        <f>F455+71100/60</f>
        <v>1585</v>
      </c>
      <c r="G1170" s="705" t="s">
        <v>232</v>
      </c>
      <c r="H1170" s="425" t="s">
        <v>656</v>
      </c>
      <c r="I1170" s="398" t="s">
        <v>93</v>
      </c>
      <c r="J1170" s="37"/>
      <c r="K1170" s="398">
        <v>17</v>
      </c>
      <c r="L1170" s="386" t="s">
        <v>1871</v>
      </c>
      <c r="M1170" s="399">
        <v>43064</v>
      </c>
      <c r="N1170" s="399">
        <v>43086</v>
      </c>
      <c r="O1170" s="423" t="s">
        <v>601</v>
      </c>
      <c r="P1170" s="751" t="s">
        <v>1937</v>
      </c>
      <c r="Q1170" s="61" t="s">
        <v>934</v>
      </c>
      <c r="R1170" s="424" t="s">
        <v>1870</v>
      </c>
      <c r="S1170" s="315" t="s">
        <v>2907</v>
      </c>
      <c r="T1170" s="680"/>
      <c r="U1170" s="421"/>
    </row>
    <row r="1171" spans="1:21" s="377" customFormat="1" ht="20.100000000000001" customHeight="1">
      <c r="A1171" s="1184" t="s">
        <v>2951</v>
      </c>
      <c r="B1171" s="1183" t="s">
        <v>343</v>
      </c>
      <c r="C1171" s="1183" t="s">
        <v>484</v>
      </c>
      <c r="D1171" s="528">
        <f>D417+47500/55</f>
        <v>1223.6363636363635</v>
      </c>
      <c r="E1171" s="528"/>
      <c r="F1171" s="528">
        <f>F417+72500/55</f>
        <v>1703.1818181818182</v>
      </c>
      <c r="G1171" s="705" t="s">
        <v>156</v>
      </c>
      <c r="H1171" s="378">
        <v>1</v>
      </c>
      <c r="I1171" s="398" t="s">
        <v>93</v>
      </c>
      <c r="J1171" s="37"/>
      <c r="K1171" s="426">
        <v>23</v>
      </c>
      <c r="L1171" s="379" t="s">
        <v>636</v>
      </c>
      <c r="M1171" s="392">
        <v>43080</v>
      </c>
      <c r="N1171" s="392">
        <v>43080</v>
      </c>
      <c r="O1171" s="419"/>
      <c r="P1171" s="61" t="s">
        <v>1933</v>
      </c>
      <c r="Q1171" s="61" t="s">
        <v>927</v>
      </c>
      <c r="R1171" s="397" t="s">
        <v>192</v>
      </c>
      <c r="S1171" s="315" t="s">
        <v>2903</v>
      </c>
      <c r="T1171" s="316"/>
      <c r="U1171" s="421"/>
    </row>
    <row r="1172" spans="1:21" s="377" customFormat="1" ht="20.100000000000001" customHeight="1">
      <c r="A1172" s="1184" t="s">
        <v>2951</v>
      </c>
      <c r="B1172" s="1183" t="s">
        <v>343</v>
      </c>
      <c r="C1172" s="1183" t="s">
        <v>484</v>
      </c>
      <c r="D1172" s="528">
        <f>D451+(38212/60)*1.15</f>
        <v>1057.3966666666665</v>
      </c>
      <c r="E1172" s="528">
        <f>E451+(64010/60)*1.15</f>
        <v>1626.8583333333331</v>
      </c>
      <c r="F1172" s="528">
        <f>F451+(64010/60)*1.15</f>
        <v>1626.8583333333331</v>
      </c>
      <c r="G1172" s="705" t="s">
        <v>29</v>
      </c>
      <c r="H1172" s="385" t="s">
        <v>1101</v>
      </c>
      <c r="I1172" s="398" t="s">
        <v>93</v>
      </c>
      <c r="J1172" s="37"/>
      <c r="K1172" s="398">
        <v>24</v>
      </c>
      <c r="L1172" s="398" t="s">
        <v>649</v>
      </c>
      <c r="M1172" s="404">
        <v>43080</v>
      </c>
      <c r="N1172" s="404">
        <v>43086</v>
      </c>
      <c r="O1172" s="422"/>
      <c r="P1172" s="751" t="s">
        <v>1072</v>
      </c>
      <c r="Q1172" s="61" t="s">
        <v>934</v>
      </c>
      <c r="R1172" s="397" t="s">
        <v>251</v>
      </c>
      <c r="S1172" s="316" t="s">
        <v>2898</v>
      </c>
      <c r="T1172" s="680"/>
      <c r="U1172" s="421"/>
    </row>
    <row r="1173" spans="1:21" s="377" customFormat="1" ht="20.100000000000001" customHeight="1">
      <c r="A1173" s="1184" t="s">
        <v>2951</v>
      </c>
      <c r="B1173" s="1183" t="s">
        <v>343</v>
      </c>
      <c r="C1173" s="1183" t="s">
        <v>484</v>
      </c>
      <c r="D1173" s="32"/>
      <c r="E1173" s="32"/>
      <c r="F1173" s="32"/>
      <c r="G1173" s="710" t="s">
        <v>87</v>
      </c>
      <c r="H1173" s="390" t="s">
        <v>729</v>
      </c>
      <c r="I1173" s="406" t="s">
        <v>93</v>
      </c>
      <c r="J1173" s="50"/>
      <c r="K1173" s="406">
        <v>22</v>
      </c>
      <c r="L1173" s="398" t="s">
        <v>649</v>
      </c>
      <c r="M1173" s="547">
        <v>43080</v>
      </c>
      <c r="N1173" s="547">
        <v>43080</v>
      </c>
      <c r="O1173" s="422"/>
      <c r="P1173" s="59" t="s">
        <v>604</v>
      </c>
      <c r="Q1173" s="61" t="s">
        <v>919</v>
      </c>
      <c r="R1173" s="397" t="s">
        <v>251</v>
      </c>
      <c r="S1173" s="322" t="s">
        <v>2861</v>
      </c>
      <c r="T1173" s="680"/>
      <c r="U1173" s="421"/>
    </row>
    <row r="1174" spans="1:21" s="377" customFormat="1" ht="20.100000000000001" customHeight="1">
      <c r="A1174" s="1184" t="s">
        <v>2951</v>
      </c>
      <c r="B1174" s="1183" t="s">
        <v>343</v>
      </c>
      <c r="C1174" s="1183" t="s">
        <v>484</v>
      </c>
      <c r="D1174" s="32">
        <f>D428+(51390+5000)/60</f>
        <v>1289.8333333333335</v>
      </c>
      <c r="E1174" s="32">
        <f>E428+(88850+10000)/60</f>
        <v>1987.5</v>
      </c>
      <c r="F1174" s="32">
        <f>F428+(88850+10000)/60</f>
        <v>1987.5</v>
      </c>
      <c r="G1174" s="656" t="s">
        <v>51</v>
      </c>
      <c r="H1174" s="390" t="s">
        <v>2360</v>
      </c>
      <c r="I1174" s="406" t="s">
        <v>93</v>
      </c>
      <c r="J1174" s="50"/>
      <c r="K1174" s="406" t="s">
        <v>2361</v>
      </c>
      <c r="L1174" s="380" t="s">
        <v>637</v>
      </c>
      <c r="M1174" s="381">
        <v>43080</v>
      </c>
      <c r="N1174" s="381">
        <v>43089</v>
      </c>
      <c r="O1174" s="422"/>
      <c r="P1174" s="59" t="s">
        <v>2362</v>
      </c>
      <c r="Q1174" s="61" t="s">
        <v>902</v>
      </c>
      <c r="R1174" s="397" t="s">
        <v>2320</v>
      </c>
      <c r="S1174" s="327" t="s">
        <v>3066</v>
      </c>
      <c r="T1174" s="680"/>
      <c r="U1174" s="421"/>
    </row>
    <row r="1175" spans="1:21" s="377" customFormat="1" ht="20.100000000000001" customHeight="1">
      <c r="A1175" s="1184" t="s">
        <v>2951</v>
      </c>
      <c r="B1175" s="1183" t="s">
        <v>343</v>
      </c>
      <c r="C1175" s="1183" t="s">
        <v>484</v>
      </c>
      <c r="D1175" s="32">
        <f>D435+830+25</f>
        <v>1085</v>
      </c>
      <c r="E1175" s="32">
        <f>E435+1620+50</f>
        <v>1995</v>
      </c>
      <c r="F1175" s="32">
        <f>F435+1620+50</f>
        <v>1995</v>
      </c>
      <c r="G1175" s="656" t="s">
        <v>14</v>
      </c>
      <c r="H1175" s="56" t="s">
        <v>742</v>
      </c>
      <c r="I1175" s="380" t="s">
        <v>93</v>
      </c>
      <c r="J1175" s="37"/>
      <c r="K1175" s="426" t="s">
        <v>2348</v>
      </c>
      <c r="L1175" s="398" t="s">
        <v>652</v>
      </c>
      <c r="M1175" s="547">
        <v>43086</v>
      </c>
      <c r="N1175" s="547">
        <v>43092</v>
      </c>
      <c r="O1175" s="422"/>
      <c r="P1175" s="61" t="s">
        <v>605</v>
      </c>
      <c r="Q1175" s="61" t="s">
        <v>934</v>
      </c>
      <c r="R1175" s="17" t="s">
        <v>449</v>
      </c>
      <c r="S1175" s="322" t="s">
        <v>1176</v>
      </c>
      <c r="T1175" s="680"/>
      <c r="U1175" s="421"/>
    </row>
    <row r="1176" spans="1:21" s="377" customFormat="1" ht="20.100000000000001" customHeight="1">
      <c r="A1176" s="1184" t="s">
        <v>2951</v>
      </c>
      <c r="B1176" s="1183" t="s">
        <v>343</v>
      </c>
      <c r="C1176" s="1183" t="s">
        <v>484</v>
      </c>
      <c r="D1176" s="32">
        <f>D421+49775/60</f>
        <v>1059.5833333333335</v>
      </c>
      <c r="E1176" s="32">
        <f>E421+87550/60</f>
        <v>1609.1666666666667</v>
      </c>
      <c r="F1176" s="32">
        <f>F421+87550/60</f>
        <v>1609.1666666666667</v>
      </c>
      <c r="G1176" s="705" t="s">
        <v>146</v>
      </c>
      <c r="H1176" s="417" t="s">
        <v>651</v>
      </c>
      <c r="I1176" s="398" t="s">
        <v>93</v>
      </c>
      <c r="J1176" s="37"/>
      <c r="K1176" s="398">
        <v>20</v>
      </c>
      <c r="L1176" s="415" t="s">
        <v>637</v>
      </c>
      <c r="M1176" s="551">
        <v>43084</v>
      </c>
      <c r="N1176" s="551">
        <v>43091</v>
      </c>
      <c r="O1176" s="419"/>
      <c r="P1176" s="72" t="s">
        <v>1941</v>
      </c>
      <c r="Q1176" s="61" t="s">
        <v>932</v>
      </c>
      <c r="R1176" s="384" t="s">
        <v>1740</v>
      </c>
      <c r="S1176" s="322" t="s">
        <v>1176</v>
      </c>
      <c r="T1176" s="688" t="s">
        <v>2840</v>
      </c>
      <c r="U1176" s="421"/>
    </row>
    <row r="1177" spans="1:21" s="377" customFormat="1" ht="20.100000000000001" customHeight="1">
      <c r="A1177" s="1184" t="s">
        <v>2951</v>
      </c>
      <c r="B1177" s="1183" t="s">
        <v>343</v>
      </c>
      <c r="C1177" s="1183" t="s">
        <v>484</v>
      </c>
      <c r="D1177" s="32">
        <f>D759</f>
        <v>1425</v>
      </c>
      <c r="E1177" s="32">
        <f>E759</f>
        <v>2000</v>
      </c>
      <c r="F1177" s="32">
        <f>F759</f>
        <v>2000</v>
      </c>
      <c r="G1177" s="217" t="s">
        <v>19</v>
      </c>
      <c r="H1177" s="385" t="s">
        <v>742</v>
      </c>
      <c r="I1177" s="398" t="s">
        <v>93</v>
      </c>
      <c r="J1177" s="37"/>
      <c r="K1177" s="398" t="s">
        <v>680</v>
      </c>
      <c r="L1177" s="398" t="s">
        <v>639</v>
      </c>
      <c r="M1177" s="399">
        <v>43073</v>
      </c>
      <c r="N1177" s="399">
        <v>43086</v>
      </c>
      <c r="O1177" s="382" t="s">
        <v>611</v>
      </c>
      <c r="P1177" s="61" t="s">
        <v>588</v>
      </c>
      <c r="Q1177" s="61" t="s">
        <v>1661</v>
      </c>
      <c r="R1177" s="397" t="s">
        <v>187</v>
      </c>
      <c r="S1177" s="316" t="s">
        <v>2908</v>
      </c>
      <c r="T1177" s="848" t="s">
        <v>4105</v>
      </c>
      <c r="U1177" s="421"/>
    </row>
    <row r="1178" spans="1:21" s="377" customFormat="1" ht="20.100000000000001" customHeight="1">
      <c r="A1178" s="1184" t="s">
        <v>2951</v>
      </c>
      <c r="B1178" s="1183" t="s">
        <v>343</v>
      </c>
      <c r="C1178" s="1183" t="s">
        <v>484</v>
      </c>
      <c r="D1178" s="528">
        <f>D455+47800/60</f>
        <v>1171.6666666666665</v>
      </c>
      <c r="E1178" s="528">
        <f>E455+80800/60</f>
        <v>1746.6666666666667</v>
      </c>
      <c r="F1178" s="528">
        <f>F455+80800/60</f>
        <v>1746.6666666666667</v>
      </c>
      <c r="G1178" s="705" t="s">
        <v>232</v>
      </c>
      <c r="H1178" s="425" t="s">
        <v>656</v>
      </c>
      <c r="I1178" s="398" t="s">
        <v>93</v>
      </c>
      <c r="J1178" s="37"/>
      <c r="K1178" s="398">
        <v>22</v>
      </c>
      <c r="L1178" s="386" t="s">
        <v>1871</v>
      </c>
      <c r="M1178" s="399">
        <v>43064</v>
      </c>
      <c r="N1178" s="399">
        <v>43086</v>
      </c>
      <c r="O1178" s="423" t="s">
        <v>601</v>
      </c>
      <c r="P1178" s="751" t="s">
        <v>1937</v>
      </c>
      <c r="Q1178" s="61" t="s">
        <v>934</v>
      </c>
      <c r="R1178" s="424" t="s">
        <v>1870</v>
      </c>
      <c r="S1178" s="315" t="s">
        <v>2907</v>
      </c>
      <c r="T1178" s="680"/>
      <c r="U1178" s="421"/>
    </row>
    <row r="1179" spans="1:21" s="377" customFormat="1" ht="20.100000000000001" customHeight="1">
      <c r="A1179" s="1184" t="s">
        <v>2951</v>
      </c>
      <c r="B1179" s="1183" t="s">
        <v>343</v>
      </c>
      <c r="C1179" s="1183" t="s">
        <v>484</v>
      </c>
      <c r="D1179" s="32">
        <f>D440+44740/60</f>
        <v>995.66666666666663</v>
      </c>
      <c r="E1179" s="32">
        <f>E440+81810/60</f>
        <v>1613.5</v>
      </c>
      <c r="F1179" s="32">
        <f>F440+81810/60</f>
        <v>1613.5</v>
      </c>
      <c r="G1179" s="656" t="s">
        <v>2328</v>
      </c>
      <c r="H1179" s="385" t="s">
        <v>725</v>
      </c>
      <c r="I1179" s="398" t="s">
        <v>93</v>
      </c>
      <c r="J1179" s="37"/>
      <c r="K1179" s="398" t="s">
        <v>2336</v>
      </c>
      <c r="L1179" s="379" t="s">
        <v>641</v>
      </c>
      <c r="M1179" s="381">
        <v>43082</v>
      </c>
      <c r="N1179" s="381">
        <v>43086</v>
      </c>
      <c r="O1179" s="394" t="s">
        <v>1949</v>
      </c>
      <c r="P1179" s="72" t="s">
        <v>2285</v>
      </c>
      <c r="Q1179" s="61" t="s">
        <v>2337</v>
      </c>
      <c r="R1179" s="397" t="s">
        <v>826</v>
      </c>
      <c r="S1179" s="336" t="s">
        <v>1176</v>
      </c>
      <c r="T1179" s="323" t="s">
        <v>2935</v>
      </c>
      <c r="U1179" s="421"/>
    </row>
    <row r="1180" spans="1:21" s="377" customFormat="1" ht="20.100000000000001" customHeight="1">
      <c r="A1180" s="1184" t="s">
        <v>2951</v>
      </c>
      <c r="B1180" s="1183" t="s">
        <v>343</v>
      </c>
      <c r="C1180" s="1183" t="s">
        <v>484</v>
      </c>
      <c r="D1180" s="528">
        <f>D459+39500/55</f>
        <v>1078.181818181818</v>
      </c>
      <c r="E1180" s="528"/>
      <c r="F1180" s="528">
        <f>F459+56500/55</f>
        <v>1412.2727272727273</v>
      </c>
      <c r="G1180" s="705" t="s">
        <v>156</v>
      </c>
      <c r="H1180" s="378">
        <v>1</v>
      </c>
      <c r="I1180" s="398" t="s">
        <v>130</v>
      </c>
      <c r="J1180" s="37"/>
      <c r="K1180" s="426">
        <v>25</v>
      </c>
      <c r="L1180" s="379" t="s">
        <v>636</v>
      </c>
      <c r="M1180" s="392">
        <v>43080</v>
      </c>
      <c r="N1180" s="392">
        <v>43080</v>
      </c>
      <c r="O1180" s="419"/>
      <c r="P1180" s="61" t="s">
        <v>907</v>
      </c>
      <c r="Q1180" s="61" t="s">
        <v>927</v>
      </c>
      <c r="R1180" s="397" t="s">
        <v>192</v>
      </c>
      <c r="S1180" s="315" t="s">
        <v>2903</v>
      </c>
      <c r="T1180" s="316"/>
      <c r="U1180" s="421"/>
    </row>
    <row r="1181" spans="1:21" s="377" customFormat="1" ht="20.100000000000001" customHeight="1">
      <c r="A1181" s="1184" t="s">
        <v>2951</v>
      </c>
      <c r="B1181" s="1183" t="s">
        <v>343</v>
      </c>
      <c r="C1181" s="1183" t="s">
        <v>484</v>
      </c>
      <c r="D1181" s="528">
        <f>D462+44550/60</f>
        <v>1117.5</v>
      </c>
      <c r="E1181" s="528">
        <f>E462+78950/60</f>
        <v>1730.8333333333333</v>
      </c>
      <c r="F1181" s="528">
        <f>F462+78950/60</f>
        <v>1730.8333333333333</v>
      </c>
      <c r="G1181" s="705" t="s">
        <v>12</v>
      </c>
      <c r="H1181" s="417" t="s">
        <v>729</v>
      </c>
      <c r="I1181" s="398" t="s">
        <v>130</v>
      </c>
      <c r="J1181" s="37"/>
      <c r="K1181" s="426">
        <v>24</v>
      </c>
      <c r="L1181" s="379" t="s">
        <v>636</v>
      </c>
      <c r="M1181" s="551">
        <v>43084</v>
      </c>
      <c r="N1181" s="551">
        <v>43091</v>
      </c>
      <c r="O1181" s="419"/>
      <c r="P1181" s="61" t="s">
        <v>597</v>
      </c>
      <c r="Q1181" s="61" t="s">
        <v>932</v>
      </c>
      <c r="R1181" s="397" t="s">
        <v>271</v>
      </c>
      <c r="S1181" s="322" t="s">
        <v>1176</v>
      </c>
      <c r="T1181" s="688" t="s">
        <v>2840</v>
      </c>
      <c r="U1181" s="421"/>
    </row>
    <row r="1182" spans="1:21" s="377" customFormat="1" ht="20.100000000000001" customHeight="1">
      <c r="A1182" s="1184" t="s">
        <v>2951</v>
      </c>
      <c r="B1182" s="1183" t="s">
        <v>343</v>
      </c>
      <c r="C1182" s="1183" t="s">
        <v>484</v>
      </c>
      <c r="D1182" s="32">
        <f>D475+(32276/60)*1.15</f>
        <v>618.62333333333322</v>
      </c>
      <c r="E1182" s="32">
        <f>E475+(56333/60)*1.15</f>
        <v>1079.7158333333332</v>
      </c>
      <c r="F1182" s="32">
        <f>F475+(56333/60)*1.15</f>
        <v>1079.7158333333332</v>
      </c>
      <c r="G1182" s="705" t="s">
        <v>29</v>
      </c>
      <c r="H1182" s="385" t="s">
        <v>1098</v>
      </c>
      <c r="I1182" s="398" t="s">
        <v>130</v>
      </c>
      <c r="J1182" s="37"/>
      <c r="K1182" s="398" t="s">
        <v>1100</v>
      </c>
      <c r="L1182" s="398" t="s">
        <v>639</v>
      </c>
      <c r="M1182" s="404">
        <v>43038</v>
      </c>
      <c r="N1182" s="404">
        <v>43086</v>
      </c>
      <c r="O1182" s="422"/>
      <c r="P1182" s="61"/>
      <c r="Q1182" s="61" t="s">
        <v>3035</v>
      </c>
      <c r="R1182" s="397" t="s">
        <v>173</v>
      </c>
      <c r="S1182" s="316" t="s">
        <v>2898</v>
      </c>
      <c r="T1182" s="680"/>
      <c r="U1182" s="421"/>
    </row>
    <row r="1183" spans="1:21" s="377" customFormat="1" ht="20.100000000000001" customHeight="1">
      <c r="A1183" s="1184" t="s">
        <v>2951</v>
      </c>
      <c r="B1183" s="1183" t="s">
        <v>343</v>
      </c>
      <c r="C1183" s="1183" t="s">
        <v>484</v>
      </c>
      <c r="D1183" s="528">
        <f>D555+(35580/60)*1.15</f>
        <v>1156.9499999999998</v>
      </c>
      <c r="E1183" s="528">
        <f>E555+(59907/60)*1.15</f>
        <v>1648.2175</v>
      </c>
      <c r="F1183" s="528">
        <f>F555+(59907/60)*1.15</f>
        <v>1648.2175</v>
      </c>
      <c r="G1183" s="705" t="s">
        <v>29</v>
      </c>
      <c r="H1183" s="385" t="s">
        <v>659</v>
      </c>
      <c r="I1183" s="426" t="s">
        <v>472</v>
      </c>
      <c r="J1183" s="37"/>
      <c r="K1183" s="386">
        <v>32</v>
      </c>
      <c r="L1183" s="398" t="s">
        <v>639</v>
      </c>
      <c r="M1183" s="404">
        <v>43082</v>
      </c>
      <c r="N1183" s="404">
        <v>43086</v>
      </c>
      <c r="O1183" s="422"/>
      <c r="P1183" s="61" t="s">
        <v>599</v>
      </c>
      <c r="Q1183" s="61" t="s">
        <v>934</v>
      </c>
      <c r="R1183" s="397" t="s">
        <v>450</v>
      </c>
      <c r="S1183" s="316" t="s">
        <v>2898</v>
      </c>
      <c r="T1183" s="680"/>
      <c r="U1183" s="421"/>
    </row>
    <row r="1184" spans="1:21" s="377" customFormat="1" ht="20.100000000000001" customHeight="1">
      <c r="A1184" s="1184" t="s">
        <v>2951</v>
      </c>
      <c r="B1184" s="1183" t="s">
        <v>343</v>
      </c>
      <c r="C1184" s="1183" t="s">
        <v>484</v>
      </c>
      <c r="D1184" s="528">
        <f>D554+42980/60</f>
        <v>1091.3333333333335</v>
      </c>
      <c r="E1184" s="528">
        <f>E554+79350/60</f>
        <v>1772.5</v>
      </c>
      <c r="F1184" s="528">
        <f>F554+79350/60</f>
        <v>1772.5</v>
      </c>
      <c r="G1184" s="222" t="s">
        <v>2328</v>
      </c>
      <c r="H1184" s="385" t="s">
        <v>725</v>
      </c>
      <c r="I1184" s="398" t="s">
        <v>472</v>
      </c>
      <c r="J1184" s="681"/>
      <c r="K1184" s="386" t="s">
        <v>2341</v>
      </c>
      <c r="L1184" s="379" t="s">
        <v>641</v>
      </c>
      <c r="M1184" s="381">
        <v>43082</v>
      </c>
      <c r="N1184" s="381">
        <v>43086</v>
      </c>
      <c r="O1184" s="394" t="s">
        <v>1949</v>
      </c>
      <c r="P1184" s="61"/>
      <c r="Q1184" s="61" t="s">
        <v>2337</v>
      </c>
      <c r="R1184" s="397" t="s">
        <v>826</v>
      </c>
      <c r="S1184" s="336" t="s">
        <v>1176</v>
      </c>
      <c r="T1184" s="323" t="s">
        <v>2935</v>
      </c>
      <c r="U1184" s="421"/>
    </row>
    <row r="1185" spans="1:21" s="377" customFormat="1" ht="20.100000000000001" customHeight="1">
      <c r="A1185" s="1184" t="s">
        <v>2951</v>
      </c>
      <c r="B1185" s="1183" t="s">
        <v>343</v>
      </c>
      <c r="C1185" s="1183" t="s">
        <v>489</v>
      </c>
      <c r="D1185" s="13">
        <f>D417+12747/55</f>
        <v>591.76363636363635</v>
      </c>
      <c r="E1185" s="13">
        <f>E417+19136/55</f>
        <v>732.92727272727279</v>
      </c>
      <c r="F1185" s="13">
        <f>F417+19136/55</f>
        <v>732.92727272727279</v>
      </c>
      <c r="G1185" s="707" t="s">
        <v>102</v>
      </c>
      <c r="H1185" s="378">
        <v>1</v>
      </c>
      <c r="I1185" s="398" t="s">
        <v>93</v>
      </c>
      <c r="J1185" s="682"/>
      <c r="K1185" s="426">
        <v>21</v>
      </c>
      <c r="L1185" s="379" t="s">
        <v>636</v>
      </c>
      <c r="M1185" s="392">
        <v>43080</v>
      </c>
      <c r="N1185" s="392">
        <v>43080</v>
      </c>
      <c r="O1185" s="419"/>
      <c r="P1185" s="61" t="s">
        <v>1933</v>
      </c>
      <c r="Q1185" s="61" t="s">
        <v>927</v>
      </c>
      <c r="R1185" s="397" t="s">
        <v>192</v>
      </c>
      <c r="S1185" s="315" t="s">
        <v>2903</v>
      </c>
      <c r="T1185" s="316"/>
      <c r="U1185" s="421"/>
    </row>
    <row r="1186" spans="1:21" s="377" customFormat="1" ht="20.100000000000001" customHeight="1">
      <c r="A1186" s="1184" t="s">
        <v>2951</v>
      </c>
      <c r="B1186" s="1183" t="s">
        <v>343</v>
      </c>
      <c r="C1186" s="1183" t="s">
        <v>489</v>
      </c>
      <c r="D1186" s="536">
        <f>D425+252+25</f>
        <v>702</v>
      </c>
      <c r="E1186" s="536">
        <f>E425+414+50</f>
        <v>1014</v>
      </c>
      <c r="F1186" s="536">
        <f>F425+414+50</f>
        <v>1014</v>
      </c>
      <c r="G1186" s="707" t="s">
        <v>61</v>
      </c>
      <c r="H1186" s="385" t="s">
        <v>729</v>
      </c>
      <c r="I1186" s="426" t="s">
        <v>93</v>
      </c>
      <c r="J1186" s="681"/>
      <c r="K1186" s="426" t="s">
        <v>794</v>
      </c>
      <c r="L1186" s="398" t="s">
        <v>649</v>
      </c>
      <c r="M1186" s="404">
        <v>43070</v>
      </c>
      <c r="N1186" s="404">
        <v>43100</v>
      </c>
      <c r="O1186" s="423" t="s">
        <v>601</v>
      </c>
      <c r="P1186" s="7" t="s">
        <v>1813</v>
      </c>
      <c r="Q1186" s="61" t="s">
        <v>934</v>
      </c>
      <c r="R1186" s="424" t="s">
        <v>251</v>
      </c>
      <c r="S1186" s="316" t="s">
        <v>2906</v>
      </c>
      <c r="T1186" s="680"/>
      <c r="U1186" s="421"/>
    </row>
    <row r="1187" spans="1:21" s="377" customFormat="1" ht="20.100000000000001" customHeight="1">
      <c r="A1187" s="1184" t="s">
        <v>2951</v>
      </c>
      <c r="B1187" s="1183" t="s">
        <v>343</v>
      </c>
      <c r="C1187" s="1183" t="s">
        <v>489</v>
      </c>
      <c r="D1187" s="11"/>
      <c r="E1187" s="11"/>
      <c r="F1187" s="11"/>
      <c r="G1187" s="710" t="s">
        <v>87</v>
      </c>
      <c r="H1187" s="390" t="s">
        <v>729</v>
      </c>
      <c r="I1187" s="406" t="s">
        <v>93</v>
      </c>
      <c r="J1187" s="50"/>
      <c r="K1187" s="406">
        <v>22</v>
      </c>
      <c r="L1187" s="398" t="s">
        <v>649</v>
      </c>
      <c r="M1187" s="547">
        <v>43080</v>
      </c>
      <c r="N1187" s="547">
        <v>43080</v>
      </c>
      <c r="O1187" s="422"/>
      <c r="P1187" s="59" t="s">
        <v>604</v>
      </c>
      <c r="Q1187" s="61" t="s">
        <v>1120</v>
      </c>
      <c r="R1187" s="397" t="s">
        <v>251</v>
      </c>
      <c r="S1187" s="322" t="s">
        <v>2861</v>
      </c>
      <c r="T1187" s="680"/>
      <c r="U1187" s="421"/>
    </row>
    <row r="1188" spans="1:21" s="377" customFormat="1" ht="20.100000000000001" customHeight="1">
      <c r="A1188" s="1184" t="s">
        <v>2951</v>
      </c>
      <c r="B1188" s="1183" t="s">
        <v>343</v>
      </c>
      <c r="C1188" s="1183" t="s">
        <v>489</v>
      </c>
      <c r="D1188" s="536">
        <f>D451+(13352/60)*1.15</f>
        <v>580.9133333333333</v>
      </c>
      <c r="E1188" s="536">
        <f>E451+(21441/60)*1.15</f>
        <v>810.95249999999999</v>
      </c>
      <c r="F1188" s="536">
        <f>F451+(21441/60)*1.15</f>
        <v>810.95249999999999</v>
      </c>
      <c r="G1188" s="707" t="s">
        <v>29</v>
      </c>
      <c r="H1188" s="385" t="s">
        <v>1101</v>
      </c>
      <c r="I1188" s="386" t="s">
        <v>93</v>
      </c>
      <c r="J1188" s="681"/>
      <c r="K1188" s="398">
        <v>24</v>
      </c>
      <c r="L1188" s="398" t="s">
        <v>649</v>
      </c>
      <c r="M1188" s="404">
        <v>43080</v>
      </c>
      <c r="N1188" s="404">
        <v>43086</v>
      </c>
      <c r="O1188" s="422"/>
      <c r="P1188" s="751" t="s">
        <v>1072</v>
      </c>
      <c r="Q1188" s="61" t="s">
        <v>934</v>
      </c>
      <c r="R1188" s="397" t="s">
        <v>251</v>
      </c>
      <c r="S1188" s="316" t="s">
        <v>2898</v>
      </c>
      <c r="T1188" s="680"/>
      <c r="U1188" s="421"/>
    </row>
    <row r="1189" spans="1:21" s="377" customFormat="1" ht="20.100000000000001" customHeight="1">
      <c r="A1189" s="1184" t="s">
        <v>2951</v>
      </c>
      <c r="B1189" s="1183" t="s">
        <v>343</v>
      </c>
      <c r="C1189" s="1183" t="s">
        <v>489</v>
      </c>
      <c r="D1189" s="536">
        <f>D428+20900/60</f>
        <v>698.33333333333326</v>
      </c>
      <c r="E1189" s="536">
        <f>E428+32200/60</f>
        <v>876.66666666666663</v>
      </c>
      <c r="F1189" s="536">
        <f>F428+32200/60</f>
        <v>876.66666666666663</v>
      </c>
      <c r="G1189" s="217" t="s">
        <v>51</v>
      </c>
      <c r="H1189" s="390" t="s">
        <v>2360</v>
      </c>
      <c r="I1189" s="386" t="s">
        <v>93</v>
      </c>
      <c r="J1189" s="681"/>
      <c r="K1189" s="406" t="s">
        <v>2361</v>
      </c>
      <c r="L1189" s="380" t="s">
        <v>637</v>
      </c>
      <c r="M1189" s="381">
        <v>43080</v>
      </c>
      <c r="N1189" s="381">
        <v>43089</v>
      </c>
      <c r="O1189" s="422"/>
      <c r="P1189" s="59" t="s">
        <v>2362</v>
      </c>
      <c r="Q1189" s="61" t="s">
        <v>902</v>
      </c>
      <c r="R1189" s="397" t="s">
        <v>2320</v>
      </c>
      <c r="S1189" s="327" t="s">
        <v>3066</v>
      </c>
      <c r="T1189" s="680"/>
      <c r="U1189" s="421"/>
    </row>
    <row r="1190" spans="1:21" s="377" customFormat="1" ht="20.100000000000001" customHeight="1">
      <c r="A1190" s="1184" t="s">
        <v>2951</v>
      </c>
      <c r="B1190" s="1183" t="s">
        <v>343</v>
      </c>
      <c r="C1190" s="1183" t="s">
        <v>489</v>
      </c>
      <c r="D1190" s="13">
        <f>(D419+15501/60)+200</f>
        <v>733.35</v>
      </c>
      <c r="E1190" s="13">
        <f>(E419+24567/60)+600</f>
        <v>1359.45</v>
      </c>
      <c r="F1190" s="13">
        <f>(F419+24567/60)+600</f>
        <v>1359.45</v>
      </c>
      <c r="G1190" s="217" t="s">
        <v>10</v>
      </c>
      <c r="H1190" s="390" t="s">
        <v>633</v>
      </c>
      <c r="I1190" s="398" t="s">
        <v>93</v>
      </c>
      <c r="J1190" s="682"/>
      <c r="K1190" s="426" t="s">
        <v>949</v>
      </c>
      <c r="L1190" s="379" t="s">
        <v>637</v>
      </c>
      <c r="M1190" s="381">
        <v>43087</v>
      </c>
      <c r="N1190" s="381">
        <v>43087</v>
      </c>
      <c r="O1190" s="422"/>
      <c r="P1190" s="61" t="s">
        <v>913</v>
      </c>
      <c r="Q1190" s="61" t="s">
        <v>902</v>
      </c>
      <c r="R1190" s="397" t="s">
        <v>1015</v>
      </c>
      <c r="S1190" s="315" t="s">
        <v>2904</v>
      </c>
      <c r="T1190" s="680"/>
      <c r="U1190" s="421"/>
    </row>
    <row r="1191" spans="1:21" s="377" customFormat="1" ht="20.100000000000001" customHeight="1">
      <c r="A1191" s="1184" t="s">
        <v>2951</v>
      </c>
      <c r="B1191" s="1183" t="s">
        <v>343</v>
      </c>
      <c r="C1191" s="1183" t="s">
        <v>489</v>
      </c>
      <c r="D1191" s="536">
        <f>D435+219+25</f>
        <v>474</v>
      </c>
      <c r="E1191" s="536">
        <f>E435+420+50</f>
        <v>795</v>
      </c>
      <c r="F1191" s="536">
        <f>F435+420+50</f>
        <v>795</v>
      </c>
      <c r="G1191" s="656" t="s">
        <v>14</v>
      </c>
      <c r="H1191" s="56" t="s">
        <v>742</v>
      </c>
      <c r="I1191" s="380" t="s">
        <v>93</v>
      </c>
      <c r="J1191" s="37"/>
      <c r="K1191" s="426" t="s">
        <v>2348</v>
      </c>
      <c r="L1191" s="398" t="s">
        <v>652</v>
      </c>
      <c r="M1191" s="547">
        <v>43086</v>
      </c>
      <c r="N1191" s="547">
        <v>43092</v>
      </c>
      <c r="O1191" s="422"/>
      <c r="P1191" s="61" t="s">
        <v>605</v>
      </c>
      <c r="Q1191" s="61" t="s">
        <v>934</v>
      </c>
      <c r="R1191" s="17" t="s">
        <v>449</v>
      </c>
      <c r="S1191" s="322" t="s">
        <v>1176</v>
      </c>
      <c r="T1191" s="680"/>
      <c r="U1191" s="421"/>
    </row>
    <row r="1192" spans="1:21" s="377" customFormat="1" ht="20.100000000000001" customHeight="1">
      <c r="A1192" s="1184" t="s">
        <v>2951</v>
      </c>
      <c r="B1192" s="1183" t="s">
        <v>343</v>
      </c>
      <c r="C1192" s="1183" t="s">
        <v>489</v>
      </c>
      <c r="D1192" s="11">
        <f>D421+29050/60</f>
        <v>714.16666666666674</v>
      </c>
      <c r="E1192" s="11">
        <f>E421+51625/60</f>
        <v>1010.4166666666666</v>
      </c>
      <c r="F1192" s="11">
        <f>F421+51625/60</f>
        <v>1010.4166666666666</v>
      </c>
      <c r="G1192" s="707" t="s">
        <v>146</v>
      </c>
      <c r="H1192" s="417" t="s">
        <v>651</v>
      </c>
      <c r="I1192" s="398" t="s">
        <v>93</v>
      </c>
      <c r="J1192" s="37" t="s">
        <v>1378</v>
      </c>
      <c r="K1192" s="398">
        <v>20</v>
      </c>
      <c r="L1192" s="415" t="s">
        <v>637</v>
      </c>
      <c r="M1192" s="551">
        <v>43084</v>
      </c>
      <c r="N1192" s="551">
        <v>43091</v>
      </c>
      <c r="O1192" s="419"/>
      <c r="P1192" s="72" t="s">
        <v>1941</v>
      </c>
      <c r="Q1192" s="61" t="s">
        <v>932</v>
      </c>
      <c r="R1192" s="384" t="s">
        <v>1740</v>
      </c>
      <c r="S1192" s="322" t="s">
        <v>1176</v>
      </c>
      <c r="T1192" s="688" t="s">
        <v>2840</v>
      </c>
      <c r="U1192" s="421"/>
    </row>
    <row r="1193" spans="1:21" s="377" customFormat="1" ht="20.100000000000001" customHeight="1">
      <c r="A1193" s="1184" t="s">
        <v>2951</v>
      </c>
      <c r="B1193" s="1183" t="s">
        <v>343</v>
      </c>
      <c r="C1193" s="1183" t="s">
        <v>489</v>
      </c>
      <c r="D1193" s="11">
        <f>D455+25</f>
        <v>400</v>
      </c>
      <c r="E1193" s="11">
        <f>E455+50</f>
        <v>450</v>
      </c>
      <c r="F1193" s="11">
        <f>F455+50</f>
        <v>450</v>
      </c>
      <c r="G1193" s="705" t="s">
        <v>233</v>
      </c>
      <c r="H1193" s="425" t="s">
        <v>656</v>
      </c>
      <c r="I1193" s="398" t="s">
        <v>93</v>
      </c>
      <c r="J1193" s="37"/>
      <c r="K1193" s="398">
        <v>18</v>
      </c>
      <c r="L1193" s="386" t="s">
        <v>1871</v>
      </c>
      <c r="M1193" s="399">
        <v>43064</v>
      </c>
      <c r="N1193" s="399">
        <v>43086</v>
      </c>
      <c r="O1193" s="423" t="s">
        <v>601</v>
      </c>
      <c r="P1193" s="751" t="s">
        <v>1937</v>
      </c>
      <c r="Q1193" s="61"/>
      <c r="R1193" s="424" t="s">
        <v>1870</v>
      </c>
      <c r="S1193" s="315" t="s">
        <v>2907</v>
      </c>
      <c r="T1193" s="680"/>
      <c r="U1193" s="421"/>
    </row>
    <row r="1194" spans="1:21" s="377" customFormat="1" ht="20.100000000000001" customHeight="1">
      <c r="A1194" s="1184" t="s">
        <v>2951</v>
      </c>
      <c r="B1194" s="1183" t="s">
        <v>343</v>
      </c>
      <c r="C1194" s="1183" t="s">
        <v>489</v>
      </c>
      <c r="D1194" s="11">
        <f>D440+11932/60</f>
        <v>448.86666666666667</v>
      </c>
      <c r="E1194" s="11">
        <f>E440+22014/60</f>
        <v>616.9</v>
      </c>
      <c r="F1194" s="11">
        <f>F440+22014/60</f>
        <v>616.9</v>
      </c>
      <c r="G1194" s="656" t="s">
        <v>2328</v>
      </c>
      <c r="H1194" s="385" t="s">
        <v>725</v>
      </c>
      <c r="I1194" s="398" t="s">
        <v>93</v>
      </c>
      <c r="J1194" s="37"/>
      <c r="K1194" s="398" t="s">
        <v>2336</v>
      </c>
      <c r="L1194" s="379" t="s">
        <v>641</v>
      </c>
      <c r="M1194" s="381">
        <v>43082</v>
      </c>
      <c r="N1194" s="381">
        <v>43086</v>
      </c>
      <c r="O1194" s="394" t="s">
        <v>1949</v>
      </c>
      <c r="P1194" s="72" t="s">
        <v>2285</v>
      </c>
      <c r="Q1194" s="61" t="s">
        <v>2337</v>
      </c>
      <c r="R1194" s="397" t="s">
        <v>826</v>
      </c>
      <c r="S1194" s="336" t="s">
        <v>1176</v>
      </c>
      <c r="T1194" s="323" t="s">
        <v>2935</v>
      </c>
      <c r="U1194" s="421"/>
    </row>
    <row r="1195" spans="1:21" s="377" customFormat="1" ht="20.100000000000001" customHeight="1">
      <c r="A1195" s="1184" t="s">
        <v>2951</v>
      </c>
      <c r="B1195" s="1183" t="s">
        <v>343</v>
      </c>
      <c r="C1195" s="1183" t="s">
        <v>489</v>
      </c>
      <c r="D1195" s="11">
        <f>D450+333+25</f>
        <v>1308</v>
      </c>
      <c r="E1195" s="11">
        <f>E450+615+50</f>
        <v>2215</v>
      </c>
      <c r="F1195" s="11">
        <f>F450+615+50</f>
        <v>2215</v>
      </c>
      <c r="G1195" s="217" t="s">
        <v>55</v>
      </c>
      <c r="H1195" s="401" t="s">
        <v>706</v>
      </c>
      <c r="I1195" s="426" t="s">
        <v>93</v>
      </c>
      <c r="J1195" s="681"/>
      <c r="K1195" s="386">
        <v>23</v>
      </c>
      <c r="L1195" s="379" t="s">
        <v>643</v>
      </c>
      <c r="M1195" s="392">
        <v>42962</v>
      </c>
      <c r="N1195" s="392">
        <v>43100</v>
      </c>
      <c r="O1195" s="422"/>
      <c r="P1195" s="61" t="s">
        <v>588</v>
      </c>
      <c r="Q1195" s="61" t="s">
        <v>1117</v>
      </c>
      <c r="R1195" s="397" t="s">
        <v>1783</v>
      </c>
      <c r="S1195" s="316" t="s">
        <v>1176</v>
      </c>
      <c r="T1195" s="680"/>
      <c r="U1195" s="421"/>
    </row>
    <row r="1196" spans="1:21" s="377" customFormat="1" ht="20.100000000000001" customHeight="1">
      <c r="A1196" s="1184" t="s">
        <v>2951</v>
      </c>
      <c r="B1196" s="1183" t="s">
        <v>343</v>
      </c>
      <c r="C1196" s="1183" t="s">
        <v>552</v>
      </c>
      <c r="D1196" s="11">
        <f>D417+33772/55</f>
        <v>974.0363636363636</v>
      </c>
      <c r="E1196" s="528"/>
      <c r="F1196" s="11">
        <f>F417+52746/55</f>
        <v>1344.0181818181818</v>
      </c>
      <c r="G1196" s="707" t="s">
        <v>156</v>
      </c>
      <c r="H1196" s="378">
        <v>1</v>
      </c>
      <c r="I1196" s="398" t="s">
        <v>93</v>
      </c>
      <c r="J1196" s="681"/>
      <c r="K1196" s="426">
        <v>22</v>
      </c>
      <c r="L1196" s="379" t="s">
        <v>636</v>
      </c>
      <c r="M1196" s="392">
        <v>43080</v>
      </c>
      <c r="N1196" s="392">
        <v>43080</v>
      </c>
      <c r="O1196" s="419"/>
      <c r="P1196" s="61" t="s">
        <v>1933</v>
      </c>
      <c r="Q1196" s="61" t="s">
        <v>927</v>
      </c>
      <c r="R1196" s="397" t="s">
        <v>192</v>
      </c>
      <c r="S1196" s="315" t="s">
        <v>2903</v>
      </c>
      <c r="T1196" s="316"/>
      <c r="U1196" s="421"/>
    </row>
    <row r="1197" spans="1:21" s="377" customFormat="1" ht="20.100000000000001" customHeight="1">
      <c r="A1197" s="1184" t="s">
        <v>2951</v>
      </c>
      <c r="B1197" s="1183" t="s">
        <v>343</v>
      </c>
      <c r="C1197" s="1183" t="s">
        <v>552</v>
      </c>
      <c r="D1197" s="11">
        <f>D425+319+25</f>
        <v>769</v>
      </c>
      <c r="E1197" s="11">
        <f>E425+588+50</f>
        <v>1188</v>
      </c>
      <c r="F1197" s="11">
        <f>F425+588+50</f>
        <v>1188</v>
      </c>
      <c r="G1197" s="707" t="s">
        <v>61</v>
      </c>
      <c r="H1197" s="385" t="s">
        <v>729</v>
      </c>
      <c r="I1197" s="426" t="s">
        <v>93</v>
      </c>
      <c r="J1197" s="681"/>
      <c r="K1197" s="426" t="s">
        <v>794</v>
      </c>
      <c r="L1197" s="398" t="s">
        <v>649</v>
      </c>
      <c r="M1197" s="404">
        <v>43070</v>
      </c>
      <c r="N1197" s="404">
        <v>43100</v>
      </c>
      <c r="O1197" s="423" t="s">
        <v>601</v>
      </c>
      <c r="P1197" s="7" t="s">
        <v>1813</v>
      </c>
      <c r="Q1197" s="61" t="s">
        <v>934</v>
      </c>
      <c r="R1197" s="424" t="s">
        <v>251</v>
      </c>
      <c r="S1197" s="316" t="s">
        <v>2906</v>
      </c>
      <c r="T1197" s="680"/>
      <c r="U1197" s="421"/>
    </row>
    <row r="1198" spans="1:21" s="377" customFormat="1" ht="20.100000000000001" customHeight="1">
      <c r="A1198" s="1184" t="s">
        <v>2951</v>
      </c>
      <c r="B1198" s="1183" t="s">
        <v>343</v>
      </c>
      <c r="C1198" s="1183" t="s">
        <v>552</v>
      </c>
      <c r="D1198" s="536">
        <f>D451+(21770/60)*1.15</f>
        <v>742.25833333333321</v>
      </c>
      <c r="E1198" s="536">
        <f>E451+(38872/60)*1.15</f>
        <v>1145.0466666666666</v>
      </c>
      <c r="F1198" s="536">
        <f>F451+(38872/60)*1.15</f>
        <v>1145.0466666666666</v>
      </c>
      <c r="G1198" s="707" t="s">
        <v>29</v>
      </c>
      <c r="H1198" s="385" t="s">
        <v>1101</v>
      </c>
      <c r="I1198" s="386" t="s">
        <v>93</v>
      </c>
      <c r="J1198" s="681"/>
      <c r="K1198" s="398">
        <v>24</v>
      </c>
      <c r="L1198" s="398" t="s">
        <v>649</v>
      </c>
      <c r="M1198" s="404">
        <v>43080</v>
      </c>
      <c r="N1198" s="404">
        <v>43086</v>
      </c>
      <c r="O1198" s="422"/>
      <c r="P1198" s="751" t="s">
        <v>1072</v>
      </c>
      <c r="Q1198" s="61" t="s">
        <v>934</v>
      </c>
      <c r="R1198" s="397" t="s">
        <v>251</v>
      </c>
      <c r="S1198" s="316" t="s">
        <v>2898</v>
      </c>
      <c r="T1198" s="680"/>
      <c r="U1198" s="421"/>
    </row>
    <row r="1199" spans="1:21" s="377" customFormat="1" ht="20.100000000000001" customHeight="1">
      <c r="A1199" s="1184" t="s">
        <v>2951</v>
      </c>
      <c r="B1199" s="1183" t="s">
        <v>343</v>
      </c>
      <c r="C1199" s="1183" t="s">
        <v>552</v>
      </c>
      <c r="D1199" s="11">
        <f>D422+32842/55</f>
        <v>797.12727272727273</v>
      </c>
      <c r="E1199" s="11">
        <f>E422+50828/55</f>
        <v>1174.1454545454544</v>
      </c>
      <c r="F1199" s="11">
        <f>F422+50828/55</f>
        <v>1174.1454545454544</v>
      </c>
      <c r="G1199" s="710" t="s">
        <v>87</v>
      </c>
      <c r="H1199" s="390" t="s">
        <v>729</v>
      </c>
      <c r="I1199" s="406" t="s">
        <v>93</v>
      </c>
      <c r="J1199" s="50"/>
      <c r="K1199" s="406">
        <v>22</v>
      </c>
      <c r="L1199" s="398" t="s">
        <v>649</v>
      </c>
      <c r="M1199" s="547">
        <v>43080</v>
      </c>
      <c r="N1199" s="547">
        <v>43080</v>
      </c>
      <c r="O1199" s="422"/>
      <c r="P1199" s="59" t="s">
        <v>604</v>
      </c>
      <c r="Q1199" s="61" t="s">
        <v>919</v>
      </c>
      <c r="R1199" s="397" t="s">
        <v>251</v>
      </c>
      <c r="S1199" s="322" t="s">
        <v>2861</v>
      </c>
      <c r="T1199" s="680"/>
      <c r="U1199" s="421"/>
    </row>
    <row r="1200" spans="1:21" s="377" customFormat="1" ht="20.100000000000001" customHeight="1">
      <c r="A1200" s="1184" t="s">
        <v>2951</v>
      </c>
      <c r="B1200" s="1183" t="s">
        <v>343</v>
      </c>
      <c r="C1200" s="1183" t="s">
        <v>552</v>
      </c>
      <c r="D1200" s="11">
        <f>D435+471+25</f>
        <v>726</v>
      </c>
      <c r="E1200" s="11">
        <f>E435+978+50</f>
        <v>1353</v>
      </c>
      <c r="F1200" s="11">
        <f>F435+978+50</f>
        <v>1353</v>
      </c>
      <c r="G1200" s="656" t="s">
        <v>14</v>
      </c>
      <c r="H1200" s="56" t="s">
        <v>742</v>
      </c>
      <c r="I1200" s="380" t="s">
        <v>93</v>
      </c>
      <c r="J1200" s="37"/>
      <c r="K1200" s="426" t="s">
        <v>2348</v>
      </c>
      <c r="L1200" s="398" t="s">
        <v>652</v>
      </c>
      <c r="M1200" s="547">
        <v>43086</v>
      </c>
      <c r="N1200" s="547">
        <v>43092</v>
      </c>
      <c r="O1200" s="422"/>
      <c r="P1200" s="61" t="s">
        <v>605</v>
      </c>
      <c r="Q1200" s="61" t="s">
        <v>934</v>
      </c>
      <c r="R1200" s="17" t="s">
        <v>449</v>
      </c>
      <c r="S1200" s="322" t="s">
        <v>1176</v>
      </c>
      <c r="T1200" s="680"/>
      <c r="U1200" s="421"/>
    </row>
    <row r="1201" spans="1:21" s="377" customFormat="1" ht="20.100000000000001" customHeight="1">
      <c r="A1201" s="1184" t="s">
        <v>2951</v>
      </c>
      <c r="B1201" s="1183" t="s">
        <v>343</v>
      </c>
      <c r="C1201" s="1183" t="s">
        <v>552</v>
      </c>
      <c r="D1201" s="11">
        <f>D421+36525/60</f>
        <v>838.75</v>
      </c>
      <c r="E1201" s="11">
        <f>E421+97975/60</f>
        <v>1782.9166666666667</v>
      </c>
      <c r="F1201" s="11">
        <f>F421+97975/60</f>
        <v>1782.9166666666667</v>
      </c>
      <c r="G1201" s="12" t="s">
        <v>146</v>
      </c>
      <c r="H1201" s="417" t="s">
        <v>651</v>
      </c>
      <c r="I1201" s="380" t="s">
        <v>93</v>
      </c>
      <c r="J1201" s="50"/>
      <c r="K1201" s="380">
        <v>20</v>
      </c>
      <c r="L1201" s="415" t="s">
        <v>637</v>
      </c>
      <c r="M1201" s="551">
        <v>43084</v>
      </c>
      <c r="N1201" s="551">
        <v>43091</v>
      </c>
      <c r="O1201" s="419"/>
      <c r="P1201" s="72" t="s">
        <v>1941</v>
      </c>
      <c r="Q1201" s="61" t="s">
        <v>932</v>
      </c>
      <c r="R1201" s="384" t="s">
        <v>1740</v>
      </c>
      <c r="S1201" s="322" t="s">
        <v>1176</v>
      </c>
      <c r="T1201" s="688" t="s">
        <v>2840</v>
      </c>
      <c r="U1201" s="421"/>
    </row>
    <row r="1202" spans="1:21" s="377" customFormat="1" ht="20.100000000000001" customHeight="1">
      <c r="A1202" s="1184" t="s">
        <v>2951</v>
      </c>
      <c r="B1202" s="1183" t="s">
        <v>343</v>
      </c>
      <c r="C1202" s="1183" t="s">
        <v>552</v>
      </c>
      <c r="D1202" s="11">
        <f>D759</f>
        <v>1425</v>
      </c>
      <c r="E1202" s="11">
        <f>E759</f>
        <v>2000</v>
      </c>
      <c r="F1202" s="11">
        <f>F759</f>
        <v>2000</v>
      </c>
      <c r="G1202" s="217" t="s">
        <v>19</v>
      </c>
      <c r="H1202" s="385" t="s">
        <v>742</v>
      </c>
      <c r="I1202" s="398" t="s">
        <v>93</v>
      </c>
      <c r="J1202" s="37"/>
      <c r="K1202" s="398" t="s">
        <v>1259</v>
      </c>
      <c r="L1202" s="398" t="s">
        <v>639</v>
      </c>
      <c r="M1202" s="399">
        <v>43073</v>
      </c>
      <c r="N1202" s="399">
        <v>43086</v>
      </c>
      <c r="O1202" s="382" t="s">
        <v>611</v>
      </c>
      <c r="P1202" s="61" t="s">
        <v>588</v>
      </c>
      <c r="Q1202" s="61" t="s">
        <v>1661</v>
      </c>
      <c r="R1202" s="397" t="s">
        <v>187</v>
      </c>
      <c r="S1202" s="316" t="s">
        <v>2908</v>
      </c>
      <c r="T1202" s="848" t="s">
        <v>4105</v>
      </c>
      <c r="U1202" s="421"/>
    </row>
    <row r="1203" spans="1:21" s="377" customFormat="1" ht="20.100000000000001" customHeight="1">
      <c r="A1203" s="1184" t="s">
        <v>2951</v>
      </c>
      <c r="B1203" s="1183" t="s">
        <v>343</v>
      </c>
      <c r="C1203" s="1183" t="s">
        <v>552</v>
      </c>
      <c r="D1203" s="13">
        <f>D455+33400/60</f>
        <v>931.66666666666663</v>
      </c>
      <c r="E1203" s="13">
        <f>E455+58700/60</f>
        <v>1378.3333333333335</v>
      </c>
      <c r="F1203" s="13">
        <f>F455+58700/60</f>
        <v>1378.3333333333335</v>
      </c>
      <c r="G1203" s="707" t="s">
        <v>236</v>
      </c>
      <c r="H1203" s="425" t="s">
        <v>656</v>
      </c>
      <c r="I1203" s="398" t="s">
        <v>93</v>
      </c>
      <c r="J1203" s="37"/>
      <c r="K1203" s="398">
        <v>19</v>
      </c>
      <c r="L1203" s="386" t="s">
        <v>1871</v>
      </c>
      <c r="M1203" s="399">
        <v>43064</v>
      </c>
      <c r="N1203" s="399">
        <v>43086</v>
      </c>
      <c r="O1203" s="423" t="s">
        <v>601</v>
      </c>
      <c r="P1203" s="751" t="s">
        <v>1937</v>
      </c>
      <c r="Q1203" s="61" t="s">
        <v>934</v>
      </c>
      <c r="R1203" s="424" t="s">
        <v>1870</v>
      </c>
      <c r="S1203" s="315" t="s">
        <v>2907</v>
      </c>
      <c r="T1203" s="680"/>
      <c r="U1203" s="421"/>
    </row>
    <row r="1204" spans="1:21" s="377" customFormat="1" ht="20.100000000000001" customHeight="1">
      <c r="A1204" s="1184" t="s">
        <v>2951</v>
      </c>
      <c r="B1204" s="1183" t="s">
        <v>343</v>
      </c>
      <c r="C1204" s="1183" t="s">
        <v>552</v>
      </c>
      <c r="D1204" s="13">
        <f>D440+27177/60</f>
        <v>702.95</v>
      </c>
      <c r="E1204" s="13">
        <f>E440+65299/60</f>
        <v>1338.3166666666666</v>
      </c>
      <c r="F1204" s="13">
        <f>F440+65299/60</f>
        <v>1338.3166666666666</v>
      </c>
      <c r="G1204" s="656" t="s">
        <v>2328</v>
      </c>
      <c r="H1204" s="385" t="s">
        <v>725</v>
      </c>
      <c r="I1204" s="398" t="s">
        <v>93</v>
      </c>
      <c r="J1204" s="37"/>
      <c r="K1204" s="398" t="s">
        <v>2336</v>
      </c>
      <c r="L1204" s="379" t="s">
        <v>641</v>
      </c>
      <c r="M1204" s="381">
        <v>43082</v>
      </c>
      <c r="N1204" s="381">
        <v>43086</v>
      </c>
      <c r="O1204" s="394" t="s">
        <v>1949</v>
      </c>
      <c r="P1204" s="72" t="s">
        <v>2285</v>
      </c>
      <c r="Q1204" s="61" t="s">
        <v>2337</v>
      </c>
      <c r="R1204" s="397" t="s">
        <v>826</v>
      </c>
      <c r="S1204" s="336" t="s">
        <v>1176</v>
      </c>
      <c r="T1204" s="323" t="s">
        <v>2935</v>
      </c>
      <c r="U1204" s="421"/>
    </row>
    <row r="1205" spans="1:21" s="377" customFormat="1" ht="20.100000000000001" customHeight="1">
      <c r="A1205" s="1184" t="s">
        <v>2951</v>
      </c>
      <c r="B1205" s="1183" t="s">
        <v>343</v>
      </c>
      <c r="C1205" s="1183" t="s">
        <v>552</v>
      </c>
      <c r="D1205" s="536">
        <f>D450+590+25</f>
        <v>1565</v>
      </c>
      <c r="E1205" s="536">
        <f>E450+1497+50</f>
        <v>3097</v>
      </c>
      <c r="F1205" s="536">
        <f>F450+1497+50</f>
        <v>3097</v>
      </c>
      <c r="G1205" s="217" t="s">
        <v>55</v>
      </c>
      <c r="H1205" s="401" t="s">
        <v>706</v>
      </c>
      <c r="I1205" s="426" t="s">
        <v>93</v>
      </c>
      <c r="J1205" s="681"/>
      <c r="K1205" s="386">
        <v>23</v>
      </c>
      <c r="L1205" s="379" t="s">
        <v>643</v>
      </c>
      <c r="M1205" s="392">
        <v>42962</v>
      </c>
      <c r="N1205" s="392">
        <v>43100</v>
      </c>
      <c r="O1205" s="422"/>
      <c r="P1205" s="61" t="s">
        <v>588</v>
      </c>
      <c r="Q1205" s="61" t="s">
        <v>1118</v>
      </c>
      <c r="R1205" s="397" t="s">
        <v>1783</v>
      </c>
      <c r="S1205" s="316" t="s">
        <v>1176</v>
      </c>
      <c r="T1205" s="680"/>
      <c r="U1205" s="421"/>
    </row>
    <row r="1206" spans="1:21" s="377" customFormat="1" ht="20.100000000000001" customHeight="1">
      <c r="A1206" s="741" t="s">
        <v>2951</v>
      </c>
      <c r="B1206" s="445" t="s">
        <v>343</v>
      </c>
      <c r="C1206" s="445" t="s">
        <v>267</v>
      </c>
      <c r="D1206" s="536">
        <f>D450+17+25</f>
        <v>992</v>
      </c>
      <c r="E1206" s="536">
        <f>E450+34+50</f>
        <v>1634</v>
      </c>
      <c r="F1206" s="536">
        <f>F450+34+50</f>
        <v>1634</v>
      </c>
      <c r="G1206" s="217" t="s">
        <v>55</v>
      </c>
      <c r="H1206" s="401" t="s">
        <v>706</v>
      </c>
      <c r="I1206" s="426" t="s">
        <v>93</v>
      </c>
      <c r="J1206" s="681"/>
      <c r="K1206" s="386">
        <v>23</v>
      </c>
      <c r="L1206" s="379" t="s">
        <v>643</v>
      </c>
      <c r="M1206" s="392">
        <v>42962</v>
      </c>
      <c r="N1206" s="392">
        <v>43100</v>
      </c>
      <c r="O1206" s="422"/>
      <c r="P1206" s="61" t="s">
        <v>588</v>
      </c>
      <c r="Q1206" s="761" t="s">
        <v>334</v>
      </c>
      <c r="R1206" s="397" t="s">
        <v>1783</v>
      </c>
      <c r="S1206" s="316" t="s">
        <v>1176</v>
      </c>
      <c r="T1206" s="680"/>
      <c r="U1206" s="421"/>
    </row>
    <row r="1207" spans="1:21" s="377" customFormat="1" ht="20.100000000000001" customHeight="1">
      <c r="A1207" s="1184" t="s">
        <v>2951</v>
      </c>
      <c r="B1207" s="1183" t="s">
        <v>343</v>
      </c>
      <c r="C1207" s="1183" t="s">
        <v>1498</v>
      </c>
      <c r="D1207" s="536">
        <f>D759</f>
        <v>1425</v>
      </c>
      <c r="E1207" s="536">
        <f>E759</f>
        <v>2000</v>
      </c>
      <c r="F1207" s="536">
        <f>F759</f>
        <v>2000</v>
      </c>
      <c r="G1207" s="217" t="s">
        <v>19</v>
      </c>
      <c r="H1207" s="385" t="s">
        <v>742</v>
      </c>
      <c r="I1207" s="398" t="s">
        <v>93</v>
      </c>
      <c r="J1207" s="37"/>
      <c r="K1207" s="398" t="s">
        <v>680</v>
      </c>
      <c r="L1207" s="398" t="s">
        <v>639</v>
      </c>
      <c r="M1207" s="399">
        <v>43073</v>
      </c>
      <c r="N1207" s="399">
        <v>43086</v>
      </c>
      <c r="O1207" s="382" t="s">
        <v>611</v>
      </c>
      <c r="P1207" s="61" t="s">
        <v>588</v>
      </c>
      <c r="Q1207" s="61" t="s">
        <v>1661</v>
      </c>
      <c r="R1207" s="397" t="s">
        <v>187</v>
      </c>
      <c r="S1207" s="316" t="s">
        <v>2908</v>
      </c>
      <c r="T1207" s="848" t="s">
        <v>4105</v>
      </c>
      <c r="U1207" s="421"/>
    </row>
    <row r="1208" spans="1:21" s="377" customFormat="1" ht="20.100000000000001" customHeight="1">
      <c r="A1208" s="1184" t="s">
        <v>2951</v>
      </c>
      <c r="B1208" s="1183" t="s">
        <v>343</v>
      </c>
      <c r="C1208" s="1183" t="s">
        <v>1498</v>
      </c>
      <c r="D1208" s="536">
        <f>D440+50090/60</f>
        <v>1084.8333333333335</v>
      </c>
      <c r="E1208" s="536">
        <f>E440+91490/60</f>
        <v>1774.8333333333333</v>
      </c>
      <c r="F1208" s="536">
        <f>F440+91490/60</f>
        <v>1774.8333333333333</v>
      </c>
      <c r="G1208" s="656" t="s">
        <v>2328</v>
      </c>
      <c r="H1208" s="385" t="s">
        <v>725</v>
      </c>
      <c r="I1208" s="398" t="s">
        <v>93</v>
      </c>
      <c r="J1208" s="37"/>
      <c r="K1208" s="398" t="s">
        <v>2336</v>
      </c>
      <c r="L1208" s="379" t="s">
        <v>641</v>
      </c>
      <c r="M1208" s="381">
        <v>43082</v>
      </c>
      <c r="N1208" s="381">
        <v>43086</v>
      </c>
      <c r="O1208" s="394" t="s">
        <v>1949</v>
      </c>
      <c r="P1208" s="72" t="s">
        <v>2285</v>
      </c>
      <c r="Q1208" s="61" t="s">
        <v>2337</v>
      </c>
      <c r="R1208" s="397" t="s">
        <v>826</v>
      </c>
      <c r="S1208" s="336" t="s">
        <v>1176</v>
      </c>
      <c r="T1208" s="323" t="s">
        <v>2935</v>
      </c>
      <c r="U1208" s="421"/>
    </row>
    <row r="1209" spans="1:21" s="377" customFormat="1" ht="20.100000000000001" customHeight="1">
      <c r="A1209" s="1184" t="s">
        <v>2951</v>
      </c>
      <c r="B1209" s="1183" t="s">
        <v>343</v>
      </c>
      <c r="C1209" s="1183" t="s">
        <v>1498</v>
      </c>
      <c r="D1209" s="536">
        <f>D554+48470/60</f>
        <v>1182.8333333333335</v>
      </c>
      <c r="E1209" s="536">
        <f>E554+91130/60</f>
        <v>1968.8333333333333</v>
      </c>
      <c r="F1209" s="536">
        <f>F554+91130/60</f>
        <v>1968.8333333333333</v>
      </c>
      <c r="G1209" s="656" t="s">
        <v>2328</v>
      </c>
      <c r="H1209" s="385" t="s">
        <v>725</v>
      </c>
      <c r="I1209" s="398" t="s">
        <v>472</v>
      </c>
      <c r="J1209" s="681"/>
      <c r="K1209" s="386" t="s">
        <v>2341</v>
      </c>
      <c r="L1209" s="379" t="s">
        <v>641</v>
      </c>
      <c r="M1209" s="381">
        <v>43082</v>
      </c>
      <c r="N1209" s="381">
        <v>43086</v>
      </c>
      <c r="O1209" s="394" t="s">
        <v>1949</v>
      </c>
      <c r="P1209" s="61"/>
      <c r="Q1209" s="61" t="s">
        <v>2337</v>
      </c>
      <c r="R1209" s="397" t="s">
        <v>826</v>
      </c>
      <c r="S1209" s="336" t="s">
        <v>1176</v>
      </c>
      <c r="T1209" s="323" t="s">
        <v>2935</v>
      </c>
      <c r="U1209" s="421"/>
    </row>
    <row r="1210" spans="1:21" s="377" customFormat="1" ht="20.100000000000001" customHeight="1">
      <c r="A1210" s="1184" t="s">
        <v>2951</v>
      </c>
      <c r="B1210" s="1183" t="s">
        <v>343</v>
      </c>
      <c r="C1210" s="1183" t="s">
        <v>920</v>
      </c>
      <c r="D1210" s="536">
        <f>D422+23407/55</f>
        <v>625.58181818181811</v>
      </c>
      <c r="E1210" s="536">
        <f>E422+38565/55</f>
        <v>951.18181818181813</v>
      </c>
      <c r="F1210" s="536">
        <f>F422+38565/55</f>
        <v>951.18181818181813</v>
      </c>
      <c r="G1210" s="710" t="s">
        <v>87</v>
      </c>
      <c r="H1210" s="390" t="s">
        <v>729</v>
      </c>
      <c r="I1210" s="406" t="s">
        <v>93</v>
      </c>
      <c r="J1210" s="50"/>
      <c r="K1210" s="406">
        <v>22</v>
      </c>
      <c r="L1210" s="398" t="s">
        <v>649</v>
      </c>
      <c r="M1210" s="547">
        <v>43080</v>
      </c>
      <c r="N1210" s="547">
        <v>43080</v>
      </c>
      <c r="O1210" s="422"/>
      <c r="P1210" s="59" t="s">
        <v>604</v>
      </c>
      <c r="Q1210" s="61" t="s">
        <v>919</v>
      </c>
      <c r="R1210" s="397" t="s">
        <v>251</v>
      </c>
      <c r="S1210" s="322" t="s">
        <v>2861</v>
      </c>
      <c r="T1210" s="680"/>
      <c r="U1210" s="421"/>
    </row>
    <row r="1211" spans="1:21" s="377" customFormat="1" ht="20.100000000000001" customHeight="1">
      <c r="A1211" s="1184" t="s">
        <v>2951</v>
      </c>
      <c r="B1211" s="1183" t="s">
        <v>343</v>
      </c>
      <c r="C1211" s="1183" t="s">
        <v>920</v>
      </c>
      <c r="D1211" s="13">
        <f>D417+41022/55</f>
        <v>1105.8545454545456</v>
      </c>
      <c r="E1211" s="13">
        <f>E417+52246/55</f>
        <v>1334.9272727272728</v>
      </c>
      <c r="F1211" s="13">
        <f>F417+52246/55</f>
        <v>1334.9272727272728</v>
      </c>
      <c r="G1211" s="707" t="s">
        <v>156</v>
      </c>
      <c r="H1211" s="378">
        <v>1</v>
      </c>
      <c r="I1211" s="398" t="s">
        <v>93</v>
      </c>
      <c r="J1211" s="681"/>
      <c r="K1211" s="426">
        <v>21</v>
      </c>
      <c r="L1211" s="379" t="s">
        <v>636</v>
      </c>
      <c r="M1211" s="392">
        <v>43080</v>
      </c>
      <c r="N1211" s="392">
        <v>43080</v>
      </c>
      <c r="O1211" s="419"/>
      <c r="P1211" s="61" t="s">
        <v>1933</v>
      </c>
      <c r="Q1211" s="61" t="s">
        <v>928</v>
      </c>
      <c r="R1211" s="397" t="s">
        <v>192</v>
      </c>
      <c r="S1211" s="315" t="s">
        <v>2903</v>
      </c>
      <c r="T1211" s="316"/>
      <c r="U1211" s="421"/>
    </row>
    <row r="1212" spans="1:21" s="377" customFormat="1" ht="20.100000000000001" customHeight="1">
      <c r="A1212" s="1184" t="s">
        <v>2951</v>
      </c>
      <c r="B1212" s="1183" t="s">
        <v>343</v>
      </c>
      <c r="C1212" s="1183" t="s">
        <v>920</v>
      </c>
      <c r="D1212" s="13">
        <f>D435+227+25</f>
        <v>482</v>
      </c>
      <c r="E1212" s="13">
        <f>E435+448+50</f>
        <v>823</v>
      </c>
      <c r="F1212" s="13">
        <f>F435+448+50</f>
        <v>823</v>
      </c>
      <c r="G1212" s="656" t="s">
        <v>14</v>
      </c>
      <c r="H1212" s="56" t="s">
        <v>742</v>
      </c>
      <c r="I1212" s="398" t="s">
        <v>93</v>
      </c>
      <c r="J1212" s="681"/>
      <c r="K1212" s="426" t="s">
        <v>2348</v>
      </c>
      <c r="L1212" s="398" t="s">
        <v>652</v>
      </c>
      <c r="M1212" s="547">
        <v>43086</v>
      </c>
      <c r="N1212" s="547">
        <v>43092</v>
      </c>
      <c r="O1212" s="419"/>
      <c r="P1212" s="61" t="s">
        <v>605</v>
      </c>
      <c r="Q1212" s="61" t="s">
        <v>934</v>
      </c>
      <c r="R1212" s="17" t="s">
        <v>449</v>
      </c>
      <c r="S1212" s="322" t="s">
        <v>1176</v>
      </c>
      <c r="T1212" s="316"/>
      <c r="U1212" s="421"/>
    </row>
    <row r="1213" spans="1:21" s="377" customFormat="1" ht="20.100000000000001" customHeight="1">
      <c r="A1213" s="1184" t="s">
        <v>2951</v>
      </c>
      <c r="B1213" s="1183" t="s">
        <v>343</v>
      </c>
      <c r="C1213" s="1183" t="s">
        <v>920</v>
      </c>
      <c r="D1213" s="536">
        <f>D455+19400/60</f>
        <v>698.33333333333326</v>
      </c>
      <c r="E1213" s="536">
        <f>E455+32400/60</f>
        <v>940</v>
      </c>
      <c r="F1213" s="536">
        <f>F455+32400/60</f>
        <v>940</v>
      </c>
      <c r="G1213" s="707" t="s">
        <v>232</v>
      </c>
      <c r="H1213" s="425" t="s">
        <v>656</v>
      </c>
      <c r="I1213" s="398" t="s">
        <v>93</v>
      </c>
      <c r="J1213" s="37"/>
      <c r="K1213" s="398">
        <v>19</v>
      </c>
      <c r="L1213" s="386" t="s">
        <v>1871</v>
      </c>
      <c r="M1213" s="399">
        <v>43064</v>
      </c>
      <c r="N1213" s="399">
        <v>43086</v>
      </c>
      <c r="O1213" s="423" t="s">
        <v>601</v>
      </c>
      <c r="P1213" s="751" t="s">
        <v>1937</v>
      </c>
      <c r="Q1213" s="61" t="s">
        <v>934</v>
      </c>
      <c r="R1213" s="424" t="s">
        <v>1870</v>
      </c>
      <c r="S1213" s="315" t="s">
        <v>2907</v>
      </c>
      <c r="T1213" s="680"/>
      <c r="U1213" s="421"/>
    </row>
    <row r="1214" spans="1:21" s="377" customFormat="1" ht="20.100000000000001" customHeight="1">
      <c r="A1214" s="1184" t="s">
        <v>2951</v>
      </c>
      <c r="B1214" s="1183" t="s">
        <v>343</v>
      </c>
      <c r="C1214" s="1183" t="s">
        <v>920</v>
      </c>
      <c r="D1214" s="536">
        <f>D425+91+25</f>
        <v>541</v>
      </c>
      <c r="E1214" s="536">
        <f>E425+160+50</f>
        <v>760</v>
      </c>
      <c r="F1214" s="536">
        <f>F425+160+50</f>
        <v>760</v>
      </c>
      <c r="G1214" s="707" t="s">
        <v>61</v>
      </c>
      <c r="H1214" s="385" t="s">
        <v>729</v>
      </c>
      <c r="I1214" s="426" t="s">
        <v>93</v>
      </c>
      <c r="J1214" s="681"/>
      <c r="K1214" s="426" t="s">
        <v>794</v>
      </c>
      <c r="L1214" s="398" t="s">
        <v>649</v>
      </c>
      <c r="M1214" s="404">
        <v>43070</v>
      </c>
      <c r="N1214" s="404">
        <v>43100</v>
      </c>
      <c r="O1214" s="423" t="s">
        <v>601</v>
      </c>
      <c r="P1214" s="7" t="s">
        <v>1813</v>
      </c>
      <c r="Q1214" s="61" t="s">
        <v>934</v>
      </c>
      <c r="R1214" s="424" t="s">
        <v>251</v>
      </c>
      <c r="S1214" s="316" t="s">
        <v>2906</v>
      </c>
      <c r="T1214" s="680"/>
      <c r="U1214" s="421"/>
    </row>
    <row r="1215" spans="1:21" s="377" customFormat="1" ht="20.100000000000001" customHeight="1">
      <c r="A1215" s="1184" t="s">
        <v>2951</v>
      </c>
      <c r="B1215" s="1183" t="s">
        <v>343</v>
      </c>
      <c r="C1215" s="1183" t="s">
        <v>920</v>
      </c>
      <c r="D1215" s="536">
        <f>D450+347+25</f>
        <v>1322</v>
      </c>
      <c r="E1215" s="536">
        <f>E450+626+50</f>
        <v>2226</v>
      </c>
      <c r="F1215" s="536">
        <f>F450+626+50</f>
        <v>2226</v>
      </c>
      <c r="G1215" s="217" t="s">
        <v>55</v>
      </c>
      <c r="H1215" s="401" t="s">
        <v>706</v>
      </c>
      <c r="I1215" s="426" t="s">
        <v>93</v>
      </c>
      <c r="J1215" s="681"/>
      <c r="K1215" s="386">
        <v>23</v>
      </c>
      <c r="L1215" s="379" t="s">
        <v>643</v>
      </c>
      <c r="M1215" s="392">
        <v>42962</v>
      </c>
      <c r="N1215" s="392">
        <v>43100</v>
      </c>
      <c r="O1215" s="422"/>
      <c r="P1215" s="61" t="s">
        <v>588</v>
      </c>
      <c r="Q1215" s="61" t="s">
        <v>919</v>
      </c>
      <c r="R1215" s="397" t="s">
        <v>1783</v>
      </c>
      <c r="S1215" s="316" t="s">
        <v>1176</v>
      </c>
      <c r="T1215" s="680"/>
      <c r="U1215" s="421"/>
    </row>
    <row r="1216" spans="1:21" s="377" customFormat="1" ht="20.100000000000001" customHeight="1">
      <c r="A1216" s="1184" t="s">
        <v>2951</v>
      </c>
      <c r="B1216" s="1183" t="s">
        <v>343</v>
      </c>
      <c r="C1216" s="1183" t="s">
        <v>1386</v>
      </c>
      <c r="D1216" s="536"/>
      <c r="E1216" s="536"/>
      <c r="F1216" s="536"/>
      <c r="G1216" s="707" t="s">
        <v>87</v>
      </c>
      <c r="H1216" s="390" t="s">
        <v>729</v>
      </c>
      <c r="I1216" s="406" t="s">
        <v>93</v>
      </c>
      <c r="J1216" s="50"/>
      <c r="K1216" s="406">
        <v>22</v>
      </c>
      <c r="L1216" s="398" t="s">
        <v>649</v>
      </c>
      <c r="M1216" s="547">
        <v>43080</v>
      </c>
      <c r="N1216" s="547">
        <v>43080</v>
      </c>
      <c r="O1216" s="422"/>
      <c r="P1216" s="59" t="s">
        <v>604</v>
      </c>
      <c r="Q1216" s="61" t="s">
        <v>1354</v>
      </c>
      <c r="R1216" s="397" t="s">
        <v>251</v>
      </c>
      <c r="S1216" s="322" t="s">
        <v>2861</v>
      </c>
      <c r="T1216" s="680"/>
      <c r="U1216" s="421"/>
    </row>
    <row r="1217" spans="1:21" s="377" customFormat="1" ht="20.100000000000001" customHeight="1">
      <c r="A1217" s="1184" t="s">
        <v>2951</v>
      </c>
      <c r="B1217" s="1183" t="s">
        <v>343</v>
      </c>
      <c r="C1217" s="1183" t="s">
        <v>1386</v>
      </c>
      <c r="D1217" s="536">
        <f>D450+44+25</f>
        <v>1019</v>
      </c>
      <c r="E1217" s="536">
        <f>E450+88+50</f>
        <v>1688</v>
      </c>
      <c r="F1217" s="536">
        <f>F450+88+50</f>
        <v>1688</v>
      </c>
      <c r="G1217" s="217" t="s">
        <v>22</v>
      </c>
      <c r="H1217" s="401" t="s">
        <v>706</v>
      </c>
      <c r="I1217" s="426" t="s">
        <v>93</v>
      </c>
      <c r="J1217" s="681"/>
      <c r="K1217" s="386">
        <v>23</v>
      </c>
      <c r="L1217" s="379" t="s">
        <v>643</v>
      </c>
      <c r="M1217" s="392">
        <v>42962</v>
      </c>
      <c r="N1217" s="392">
        <v>43100</v>
      </c>
      <c r="O1217" s="422"/>
      <c r="P1217" s="61" t="s">
        <v>588</v>
      </c>
      <c r="Q1217" s="761" t="s">
        <v>495</v>
      </c>
      <c r="R1217" s="397" t="s">
        <v>1783</v>
      </c>
      <c r="S1217" s="316" t="s">
        <v>1176</v>
      </c>
      <c r="T1217" s="680"/>
      <c r="U1217" s="421"/>
    </row>
    <row r="1218" spans="1:21" s="377" customFormat="1" ht="20.100000000000001" customHeight="1">
      <c r="A1218" s="1184" t="s">
        <v>2951</v>
      </c>
      <c r="B1218" s="1183" t="s">
        <v>343</v>
      </c>
      <c r="C1218" s="1183" t="s">
        <v>476</v>
      </c>
      <c r="D1218" s="536"/>
      <c r="E1218" s="536"/>
      <c r="F1218" s="536"/>
      <c r="G1218" s="707" t="s">
        <v>87</v>
      </c>
      <c r="H1218" s="390" t="s">
        <v>729</v>
      </c>
      <c r="I1218" s="406" t="s">
        <v>93</v>
      </c>
      <c r="J1218" s="50"/>
      <c r="K1218" s="406">
        <v>22</v>
      </c>
      <c r="L1218" s="398" t="s">
        <v>649</v>
      </c>
      <c r="M1218" s="547">
        <v>43080</v>
      </c>
      <c r="N1218" s="547">
        <v>43080</v>
      </c>
      <c r="O1218" s="422"/>
      <c r="P1218" s="59" t="s">
        <v>604</v>
      </c>
      <c r="Q1218" s="7"/>
      <c r="R1218" s="397" t="s">
        <v>251</v>
      </c>
      <c r="S1218" s="322" t="s">
        <v>2861</v>
      </c>
      <c r="T1218" s="680"/>
      <c r="U1218" s="421"/>
    </row>
    <row r="1219" spans="1:21" s="377" customFormat="1" ht="20.100000000000001" customHeight="1">
      <c r="A1219" s="1184" t="s">
        <v>2951</v>
      </c>
      <c r="B1219" s="1183" t="s">
        <v>343</v>
      </c>
      <c r="C1219" s="1183" t="s">
        <v>476</v>
      </c>
      <c r="D1219" s="536">
        <f>D450+425+25</f>
        <v>1400</v>
      </c>
      <c r="E1219" s="536">
        <f>E450+639+50</f>
        <v>2239</v>
      </c>
      <c r="F1219" s="536">
        <f>F450+639+50</f>
        <v>2239</v>
      </c>
      <c r="G1219" s="217" t="s">
        <v>22</v>
      </c>
      <c r="H1219" s="401" t="s">
        <v>706</v>
      </c>
      <c r="I1219" s="426" t="s">
        <v>93</v>
      </c>
      <c r="J1219" s="681"/>
      <c r="K1219" s="386">
        <v>23</v>
      </c>
      <c r="L1219" s="379" t="s">
        <v>643</v>
      </c>
      <c r="M1219" s="392">
        <v>42962</v>
      </c>
      <c r="N1219" s="392">
        <v>43100</v>
      </c>
      <c r="O1219" s="422"/>
      <c r="P1219" s="61" t="s">
        <v>588</v>
      </c>
      <c r="Q1219" s="61" t="s">
        <v>1120</v>
      </c>
      <c r="R1219" s="397" t="s">
        <v>1783</v>
      </c>
      <c r="S1219" s="316" t="s">
        <v>1176</v>
      </c>
      <c r="T1219" s="680"/>
      <c r="U1219" s="421"/>
    </row>
    <row r="1220" spans="1:21" s="377" customFormat="1" ht="20.100000000000001" customHeight="1">
      <c r="A1220" s="1184" t="s">
        <v>2951</v>
      </c>
      <c r="B1220" s="1183" t="s">
        <v>343</v>
      </c>
      <c r="C1220" s="1183" t="s">
        <v>1383</v>
      </c>
      <c r="D1220" s="62">
        <f>D417+25550/55</f>
        <v>824.5454545454545</v>
      </c>
      <c r="E1220" s="528"/>
      <c r="F1220" s="62">
        <f>F417+27950/55</f>
        <v>893.18181818181824</v>
      </c>
      <c r="G1220" s="707" t="s">
        <v>37</v>
      </c>
      <c r="H1220" s="378">
        <v>1</v>
      </c>
      <c r="I1220" s="398" t="s">
        <v>93</v>
      </c>
      <c r="J1220" s="681"/>
      <c r="K1220" s="426">
        <v>22</v>
      </c>
      <c r="L1220" s="379" t="s">
        <v>636</v>
      </c>
      <c r="M1220" s="392">
        <v>43080</v>
      </c>
      <c r="N1220" s="392">
        <v>43080</v>
      </c>
      <c r="O1220" s="419"/>
      <c r="P1220" s="61" t="s">
        <v>1933</v>
      </c>
      <c r="Q1220" s="61" t="s">
        <v>927</v>
      </c>
      <c r="R1220" s="397" t="s">
        <v>192</v>
      </c>
      <c r="S1220" s="315" t="s">
        <v>2903</v>
      </c>
      <c r="T1220" s="316"/>
      <c r="U1220" s="421"/>
    </row>
    <row r="1221" spans="1:21" s="377" customFormat="1" ht="20.100000000000001" customHeight="1">
      <c r="A1221" s="1184" t="s">
        <v>2951</v>
      </c>
      <c r="B1221" s="1183" t="s">
        <v>343</v>
      </c>
      <c r="C1221" s="1183" t="s">
        <v>1383</v>
      </c>
      <c r="D1221" s="2"/>
      <c r="E1221" s="2"/>
      <c r="F1221" s="2"/>
      <c r="G1221" s="707" t="s">
        <v>87</v>
      </c>
      <c r="H1221" s="390" t="s">
        <v>729</v>
      </c>
      <c r="I1221" s="406" t="s">
        <v>93</v>
      </c>
      <c r="J1221" s="50"/>
      <c r="K1221" s="406">
        <v>22</v>
      </c>
      <c r="L1221" s="398" t="s">
        <v>649</v>
      </c>
      <c r="M1221" s="547">
        <v>43080</v>
      </c>
      <c r="N1221" s="547">
        <v>43080</v>
      </c>
      <c r="O1221" s="422"/>
      <c r="P1221" s="59" t="s">
        <v>604</v>
      </c>
      <c r="Q1221" s="7"/>
      <c r="R1221" s="397" t="s">
        <v>251</v>
      </c>
      <c r="S1221" s="322" t="s">
        <v>2861</v>
      </c>
      <c r="T1221" s="680"/>
      <c r="U1221" s="421"/>
    </row>
    <row r="1222" spans="1:21" s="377" customFormat="1" ht="20.100000000000001" customHeight="1">
      <c r="A1222" s="1184" t="s">
        <v>2951</v>
      </c>
      <c r="B1222" s="1183" t="s">
        <v>343</v>
      </c>
      <c r="C1222" s="1183" t="s">
        <v>1383</v>
      </c>
      <c r="D1222" s="62">
        <f>D450+51+25</f>
        <v>1026</v>
      </c>
      <c r="E1222" s="62">
        <f>E450+102+50</f>
        <v>1702</v>
      </c>
      <c r="F1222" s="62">
        <f>F450+102+50</f>
        <v>1702</v>
      </c>
      <c r="G1222" s="217" t="s">
        <v>85</v>
      </c>
      <c r="H1222" s="401" t="s">
        <v>706</v>
      </c>
      <c r="I1222" s="426" t="s">
        <v>93</v>
      </c>
      <c r="J1222" s="681"/>
      <c r="K1222" s="386">
        <v>23</v>
      </c>
      <c r="L1222" s="379" t="s">
        <v>643</v>
      </c>
      <c r="M1222" s="392">
        <v>42962</v>
      </c>
      <c r="N1222" s="392">
        <v>43100</v>
      </c>
      <c r="O1222" s="422"/>
      <c r="P1222" s="61" t="s">
        <v>588</v>
      </c>
      <c r="Q1222" s="761" t="s">
        <v>334</v>
      </c>
      <c r="R1222" s="397" t="s">
        <v>1783</v>
      </c>
      <c r="S1222" s="316" t="s">
        <v>1176</v>
      </c>
      <c r="T1222" s="680"/>
      <c r="U1222" s="421"/>
    </row>
    <row r="1223" spans="1:21" s="377" customFormat="1" ht="20.100000000000001" customHeight="1">
      <c r="A1223" s="741" t="s">
        <v>2951</v>
      </c>
      <c r="B1223" s="445" t="s">
        <v>343</v>
      </c>
      <c r="C1223" s="445" t="s">
        <v>325</v>
      </c>
      <c r="D1223" s="13">
        <f>D417+23572/55</f>
        <v>788.58181818181811</v>
      </c>
      <c r="E1223" s="528"/>
      <c r="F1223" s="13">
        <f>F417+40146/55</f>
        <v>1114.9272727272728</v>
      </c>
      <c r="G1223" s="707" t="s">
        <v>37</v>
      </c>
      <c r="H1223" s="378">
        <v>1</v>
      </c>
      <c r="I1223" s="398" t="s">
        <v>93</v>
      </c>
      <c r="J1223" s="681"/>
      <c r="K1223" s="426">
        <v>22</v>
      </c>
      <c r="L1223" s="379" t="s">
        <v>636</v>
      </c>
      <c r="M1223" s="392">
        <v>43080</v>
      </c>
      <c r="N1223" s="392">
        <v>43080</v>
      </c>
      <c r="O1223" s="419"/>
      <c r="P1223" s="61" t="s">
        <v>1933</v>
      </c>
      <c r="Q1223" s="61" t="s">
        <v>927</v>
      </c>
      <c r="R1223" s="397" t="s">
        <v>192</v>
      </c>
      <c r="S1223" s="315" t="s">
        <v>2903</v>
      </c>
      <c r="T1223" s="316"/>
      <c r="U1223" s="421"/>
    </row>
    <row r="1224" spans="1:21" s="377" customFormat="1" ht="20.100000000000001" customHeight="1">
      <c r="A1224" s="1184" t="s">
        <v>2951</v>
      </c>
      <c r="B1224" s="1183" t="s">
        <v>343</v>
      </c>
      <c r="C1224" s="1183" t="s">
        <v>1385</v>
      </c>
      <c r="D1224" s="536">
        <f>D425+711+25</f>
        <v>1161</v>
      </c>
      <c r="E1224" s="536">
        <f>E425+1233+50</f>
        <v>1833</v>
      </c>
      <c r="F1224" s="536">
        <f>F425+1233+50</f>
        <v>1833</v>
      </c>
      <c r="G1224" s="707" t="s">
        <v>13</v>
      </c>
      <c r="H1224" s="385" t="s">
        <v>729</v>
      </c>
      <c r="I1224" s="426" t="s">
        <v>93</v>
      </c>
      <c r="J1224" s="681"/>
      <c r="K1224" s="426" t="s">
        <v>728</v>
      </c>
      <c r="L1224" s="398" t="s">
        <v>649</v>
      </c>
      <c r="M1224" s="404">
        <v>43070</v>
      </c>
      <c r="N1224" s="404">
        <v>43100</v>
      </c>
      <c r="O1224" s="423" t="s">
        <v>601</v>
      </c>
      <c r="P1224" s="7" t="s">
        <v>1813</v>
      </c>
      <c r="Q1224" s="61" t="s">
        <v>934</v>
      </c>
      <c r="R1224" s="424" t="s">
        <v>251</v>
      </c>
      <c r="S1224" s="316" t="s">
        <v>2906</v>
      </c>
      <c r="T1224" s="680"/>
      <c r="U1224" s="421"/>
    </row>
    <row r="1225" spans="1:21" s="377" customFormat="1" ht="20.100000000000001" customHeight="1">
      <c r="A1225" s="1184" t="s">
        <v>2951</v>
      </c>
      <c r="B1225" s="1183" t="s">
        <v>343</v>
      </c>
      <c r="C1225" s="1183" t="s">
        <v>1385</v>
      </c>
      <c r="D1225" s="536">
        <f>D435+837+25</f>
        <v>1092</v>
      </c>
      <c r="E1225" s="536">
        <f>E435+1653+50</f>
        <v>2028</v>
      </c>
      <c r="F1225" s="536">
        <f>F435+1653+50</f>
        <v>2028</v>
      </c>
      <c r="G1225" s="217" t="s">
        <v>14</v>
      </c>
      <c r="H1225" s="56" t="s">
        <v>742</v>
      </c>
      <c r="I1225" s="380" t="s">
        <v>93</v>
      </c>
      <c r="J1225" s="37"/>
      <c r="K1225" s="426" t="s">
        <v>2348</v>
      </c>
      <c r="L1225" s="398" t="s">
        <v>652</v>
      </c>
      <c r="M1225" s="547">
        <v>43086</v>
      </c>
      <c r="N1225" s="547">
        <v>43092</v>
      </c>
      <c r="O1225" s="422"/>
      <c r="P1225" s="61" t="s">
        <v>605</v>
      </c>
      <c r="Q1225" s="61" t="s">
        <v>934</v>
      </c>
      <c r="R1225" s="17" t="s">
        <v>449</v>
      </c>
      <c r="S1225" s="322" t="s">
        <v>1176</v>
      </c>
      <c r="T1225" s="680"/>
      <c r="U1225" s="421"/>
    </row>
    <row r="1226" spans="1:21" s="377" customFormat="1" ht="20.100000000000001" customHeight="1">
      <c r="A1226" s="1184" t="s">
        <v>2951</v>
      </c>
      <c r="B1226" s="1183" t="s">
        <v>343</v>
      </c>
      <c r="C1226" s="1183" t="s">
        <v>1385</v>
      </c>
      <c r="D1226" s="536">
        <f>D759</f>
        <v>1425</v>
      </c>
      <c r="E1226" s="536">
        <f>E759</f>
        <v>2000</v>
      </c>
      <c r="F1226" s="536">
        <f>F759</f>
        <v>2000</v>
      </c>
      <c r="G1226" s="217" t="s">
        <v>19</v>
      </c>
      <c r="H1226" s="385" t="s">
        <v>742</v>
      </c>
      <c r="I1226" s="398" t="s">
        <v>93</v>
      </c>
      <c r="J1226" s="37"/>
      <c r="K1226" s="398" t="s">
        <v>680</v>
      </c>
      <c r="L1226" s="398" t="s">
        <v>639</v>
      </c>
      <c r="M1226" s="399">
        <v>43073</v>
      </c>
      <c r="N1226" s="399">
        <v>43086</v>
      </c>
      <c r="O1226" s="382" t="s">
        <v>611</v>
      </c>
      <c r="P1226" s="61" t="s">
        <v>588</v>
      </c>
      <c r="Q1226" s="61" t="s">
        <v>1661</v>
      </c>
      <c r="R1226" s="397" t="s">
        <v>187</v>
      </c>
      <c r="S1226" s="316" t="s">
        <v>2908</v>
      </c>
      <c r="T1226" s="848" t="s">
        <v>4105</v>
      </c>
      <c r="U1226" s="421"/>
    </row>
    <row r="1227" spans="1:21" s="377" customFormat="1" ht="20.100000000000001" customHeight="1">
      <c r="A1227" s="1184" t="s">
        <v>2951</v>
      </c>
      <c r="B1227" s="1183" t="s">
        <v>343</v>
      </c>
      <c r="C1227" s="1183" t="s">
        <v>1385</v>
      </c>
      <c r="D1227" s="536">
        <f>D440+44290/60</f>
        <v>988.16666666666663</v>
      </c>
      <c r="E1227" s="536">
        <f>E440+88945/60</f>
        <v>1732.4166666666667</v>
      </c>
      <c r="F1227" s="536">
        <f>F440+88945/60</f>
        <v>1732.4166666666667</v>
      </c>
      <c r="G1227" s="656" t="s">
        <v>2328</v>
      </c>
      <c r="H1227" s="385" t="s">
        <v>725</v>
      </c>
      <c r="I1227" s="398" t="s">
        <v>93</v>
      </c>
      <c r="J1227" s="37"/>
      <c r="K1227" s="398" t="s">
        <v>2336</v>
      </c>
      <c r="L1227" s="379" t="s">
        <v>641</v>
      </c>
      <c r="M1227" s="381">
        <v>43082</v>
      </c>
      <c r="N1227" s="381">
        <v>43086</v>
      </c>
      <c r="O1227" s="394" t="s">
        <v>1949</v>
      </c>
      <c r="P1227" s="72" t="s">
        <v>2285</v>
      </c>
      <c r="Q1227" s="61" t="s">
        <v>2337</v>
      </c>
      <c r="R1227" s="397" t="s">
        <v>826</v>
      </c>
      <c r="S1227" s="336" t="s">
        <v>1176</v>
      </c>
      <c r="T1227" s="323" t="s">
        <v>2935</v>
      </c>
      <c r="U1227" s="421"/>
    </row>
    <row r="1228" spans="1:21" s="377" customFormat="1" ht="20.100000000000001" customHeight="1">
      <c r="A1228" s="1184" t="s">
        <v>2951</v>
      </c>
      <c r="B1228" s="1183" t="s">
        <v>343</v>
      </c>
      <c r="C1228" s="1183" t="s">
        <v>1385</v>
      </c>
      <c r="D1228" s="13">
        <f>D462+51400/60</f>
        <v>1231.6666666666665</v>
      </c>
      <c r="E1228" s="13">
        <f>E462+89000/60</f>
        <v>1898.3333333333333</v>
      </c>
      <c r="F1228" s="13">
        <f>F462+89000/60</f>
        <v>1898.3333333333333</v>
      </c>
      <c r="G1228" s="707" t="s">
        <v>12</v>
      </c>
      <c r="H1228" s="417" t="s">
        <v>729</v>
      </c>
      <c r="I1228" s="398" t="s">
        <v>130</v>
      </c>
      <c r="J1228" s="37"/>
      <c r="K1228" s="426">
        <v>24</v>
      </c>
      <c r="L1228" s="379" t="s">
        <v>636</v>
      </c>
      <c r="M1228" s="551">
        <v>43084</v>
      </c>
      <c r="N1228" s="551">
        <v>43091</v>
      </c>
      <c r="O1228" s="419"/>
      <c r="P1228" s="61" t="s">
        <v>597</v>
      </c>
      <c r="Q1228" s="61" t="s">
        <v>932</v>
      </c>
      <c r="R1228" s="397" t="s">
        <v>271</v>
      </c>
      <c r="S1228" s="322" t="s">
        <v>1176</v>
      </c>
      <c r="T1228" s="688" t="s">
        <v>2840</v>
      </c>
      <c r="U1228" s="421"/>
    </row>
    <row r="1229" spans="1:21" s="377" customFormat="1" ht="20.100000000000001" customHeight="1">
      <c r="A1229" s="1184" t="s">
        <v>2951</v>
      </c>
      <c r="B1229" s="1183" t="s">
        <v>343</v>
      </c>
      <c r="C1229" s="1183" t="s">
        <v>1385</v>
      </c>
      <c r="D1229" s="13">
        <f>D467+693+25</f>
        <v>998</v>
      </c>
      <c r="E1229" s="13">
        <f>E467+1420+50</f>
        <v>1895</v>
      </c>
      <c r="F1229" s="13">
        <f>F467+1420+50</f>
        <v>1895</v>
      </c>
      <c r="G1229" s="222" t="s">
        <v>2347</v>
      </c>
      <c r="H1229" s="385" t="s">
        <v>2350</v>
      </c>
      <c r="I1229" s="398" t="s">
        <v>130</v>
      </c>
      <c r="J1229" s="37"/>
      <c r="K1229" s="380" t="s">
        <v>2346</v>
      </c>
      <c r="L1229" s="386" t="s">
        <v>639</v>
      </c>
      <c r="M1229" s="547">
        <v>43086</v>
      </c>
      <c r="N1229" s="547">
        <v>43092</v>
      </c>
      <c r="O1229" s="419"/>
      <c r="P1229" s="61"/>
      <c r="Q1229" s="61" t="s">
        <v>934</v>
      </c>
      <c r="R1229" s="397" t="s">
        <v>171</v>
      </c>
      <c r="S1229" s="322"/>
      <c r="T1229" s="688"/>
      <c r="U1229" s="421"/>
    </row>
    <row r="1230" spans="1:21" s="377" customFormat="1" ht="20.100000000000001" customHeight="1">
      <c r="A1230" s="1184" t="s">
        <v>2951</v>
      </c>
      <c r="B1230" s="1183" t="s">
        <v>343</v>
      </c>
      <c r="C1230" s="1183" t="s">
        <v>1385</v>
      </c>
      <c r="D1230" s="13">
        <f>D472+611+25</f>
        <v>636</v>
      </c>
      <c r="E1230" s="13">
        <f>E472+1066+50</f>
        <v>1116</v>
      </c>
      <c r="F1230" s="13">
        <f>F472+1066+50</f>
        <v>1116</v>
      </c>
      <c r="G1230" s="707" t="s">
        <v>13</v>
      </c>
      <c r="H1230" s="385" t="s">
        <v>721</v>
      </c>
      <c r="I1230" s="398" t="s">
        <v>130</v>
      </c>
      <c r="J1230" s="37"/>
      <c r="K1230" s="398" t="s">
        <v>663</v>
      </c>
      <c r="L1230" s="398" t="s">
        <v>639</v>
      </c>
      <c r="M1230" s="404">
        <v>43040</v>
      </c>
      <c r="N1230" s="404">
        <v>43100</v>
      </c>
      <c r="O1230" s="423" t="s">
        <v>601</v>
      </c>
      <c r="P1230" s="61"/>
      <c r="Q1230" s="61" t="s">
        <v>3035</v>
      </c>
      <c r="R1230" s="397" t="s">
        <v>173</v>
      </c>
      <c r="S1230" s="316" t="s">
        <v>2906</v>
      </c>
      <c r="T1230" s="688"/>
      <c r="U1230" s="421"/>
    </row>
    <row r="1231" spans="1:21" s="377" customFormat="1" ht="20.100000000000001" customHeight="1">
      <c r="A1231" s="1184" t="s">
        <v>2951</v>
      </c>
      <c r="B1231" s="1183" t="s">
        <v>343</v>
      </c>
      <c r="C1231" s="1183" t="s">
        <v>1385</v>
      </c>
      <c r="D1231" s="13">
        <f>D554+38100/60</f>
        <v>1010</v>
      </c>
      <c r="E1231" s="13">
        <f>E554+77852/60</f>
        <v>1747.5333333333333</v>
      </c>
      <c r="F1231" s="13">
        <f>F554+77852/60</f>
        <v>1747.5333333333333</v>
      </c>
      <c r="G1231" s="217" t="s">
        <v>2328</v>
      </c>
      <c r="H1231" s="385" t="s">
        <v>725</v>
      </c>
      <c r="I1231" s="398" t="s">
        <v>472</v>
      </c>
      <c r="J1231" s="681"/>
      <c r="K1231" s="386" t="s">
        <v>2341</v>
      </c>
      <c r="L1231" s="379" t="s">
        <v>641</v>
      </c>
      <c r="M1231" s="381">
        <v>43082</v>
      </c>
      <c r="N1231" s="381">
        <v>43086</v>
      </c>
      <c r="O1231" s="394" t="s">
        <v>1949</v>
      </c>
      <c r="P1231" s="61"/>
      <c r="Q1231" s="61" t="s">
        <v>2337</v>
      </c>
      <c r="R1231" s="397" t="s">
        <v>826</v>
      </c>
      <c r="S1231" s="336" t="s">
        <v>1176</v>
      </c>
      <c r="T1231" s="323" t="s">
        <v>2935</v>
      </c>
      <c r="U1231" s="421"/>
    </row>
    <row r="1232" spans="1:21" s="377" customFormat="1" ht="20.100000000000001" customHeight="1">
      <c r="A1232" s="1184" t="s">
        <v>2951</v>
      </c>
      <c r="B1232" s="1183" t="s">
        <v>343</v>
      </c>
      <c r="C1232" s="1183" t="s">
        <v>1385</v>
      </c>
      <c r="D1232" s="13">
        <f>D549+51325/60</f>
        <v>1205.4166666666665</v>
      </c>
      <c r="E1232" s="13">
        <f>E549+92150/60</f>
        <v>1925.8333333333333</v>
      </c>
      <c r="F1232" s="13">
        <f>F549+92150/60</f>
        <v>1925.8333333333333</v>
      </c>
      <c r="G1232" s="707" t="s">
        <v>12</v>
      </c>
      <c r="H1232" s="417" t="s">
        <v>721</v>
      </c>
      <c r="I1232" s="426" t="s">
        <v>472</v>
      </c>
      <c r="J1232" s="681"/>
      <c r="K1232" s="386">
        <v>20</v>
      </c>
      <c r="L1232" s="386" t="s">
        <v>641</v>
      </c>
      <c r="M1232" s="551">
        <v>43084</v>
      </c>
      <c r="N1232" s="551">
        <v>43091</v>
      </c>
      <c r="O1232" s="419"/>
      <c r="P1232" s="61" t="s">
        <v>597</v>
      </c>
      <c r="Q1232" s="61" t="s">
        <v>932</v>
      </c>
      <c r="R1232" s="397" t="s">
        <v>202</v>
      </c>
      <c r="S1232" s="322" t="s">
        <v>1176</v>
      </c>
      <c r="T1232" s="688" t="s">
        <v>2840</v>
      </c>
      <c r="U1232" s="421"/>
    </row>
    <row r="1233" spans="1:21" s="377" customFormat="1" ht="20.100000000000001" customHeight="1">
      <c r="A1233" s="1184" t="s">
        <v>2951</v>
      </c>
      <c r="B1233" s="1183" t="s">
        <v>343</v>
      </c>
      <c r="C1233" s="1183" t="s">
        <v>1387</v>
      </c>
      <c r="D1233" s="2">
        <f>D417+30079/55</f>
        <v>906.89090909090908</v>
      </c>
      <c r="E1233" s="2">
        <f>E417+37160/55</f>
        <v>1060.6363636363635</v>
      </c>
      <c r="F1233" s="2">
        <f>F417+37160/55</f>
        <v>1060.6363636363635</v>
      </c>
      <c r="G1233" s="707" t="s">
        <v>37</v>
      </c>
      <c r="H1233" s="378">
        <v>1</v>
      </c>
      <c r="I1233" s="398" t="s">
        <v>93</v>
      </c>
      <c r="J1233" s="681"/>
      <c r="K1233" s="426">
        <v>22</v>
      </c>
      <c r="L1233" s="379" t="s">
        <v>636</v>
      </c>
      <c r="M1233" s="392">
        <v>43080</v>
      </c>
      <c r="N1233" s="392">
        <v>43080</v>
      </c>
      <c r="O1233" s="419"/>
      <c r="P1233" s="61" t="s">
        <v>1933</v>
      </c>
      <c r="Q1233" s="61" t="s">
        <v>734</v>
      </c>
      <c r="R1233" s="397" t="s">
        <v>192</v>
      </c>
      <c r="S1233" s="315" t="s">
        <v>2903</v>
      </c>
      <c r="T1233" s="316"/>
      <c r="U1233" s="421"/>
    </row>
    <row r="1234" spans="1:21" s="377" customFormat="1" ht="20.100000000000001" customHeight="1">
      <c r="A1234" s="1184" t="s">
        <v>2951</v>
      </c>
      <c r="B1234" s="1183" t="s">
        <v>343</v>
      </c>
      <c r="C1234" s="1183" t="s">
        <v>1387</v>
      </c>
      <c r="D1234" s="13"/>
      <c r="E1234" s="13"/>
      <c r="F1234" s="13"/>
      <c r="G1234" s="707" t="s">
        <v>87</v>
      </c>
      <c r="H1234" s="390" t="s">
        <v>729</v>
      </c>
      <c r="I1234" s="406" t="s">
        <v>93</v>
      </c>
      <c r="J1234" s="50"/>
      <c r="K1234" s="406">
        <v>22</v>
      </c>
      <c r="L1234" s="398" t="s">
        <v>649</v>
      </c>
      <c r="M1234" s="547">
        <v>43080</v>
      </c>
      <c r="N1234" s="547">
        <v>43080</v>
      </c>
      <c r="O1234" s="422"/>
      <c r="P1234" s="59" t="s">
        <v>604</v>
      </c>
      <c r="Q1234" s="7"/>
      <c r="R1234" s="397" t="s">
        <v>251</v>
      </c>
      <c r="S1234" s="322" t="s">
        <v>2861</v>
      </c>
      <c r="T1234" s="680"/>
      <c r="U1234" s="421"/>
    </row>
    <row r="1235" spans="1:21" s="377" customFormat="1" ht="20.100000000000001" customHeight="1">
      <c r="A1235" s="1184" t="s">
        <v>2951</v>
      </c>
      <c r="B1235" s="1183" t="s">
        <v>343</v>
      </c>
      <c r="C1235" s="1183" t="s">
        <v>1387</v>
      </c>
      <c r="D1235" s="2">
        <f>D450+47+25</f>
        <v>1022</v>
      </c>
      <c r="E1235" s="2">
        <f>E450+77+50</f>
        <v>1677</v>
      </c>
      <c r="F1235" s="2">
        <f>F450+77+50</f>
        <v>1677</v>
      </c>
      <c r="G1235" s="217" t="s">
        <v>85</v>
      </c>
      <c r="H1235" s="401" t="s">
        <v>706</v>
      </c>
      <c r="I1235" s="426" t="s">
        <v>93</v>
      </c>
      <c r="J1235" s="681"/>
      <c r="K1235" s="386">
        <v>23</v>
      </c>
      <c r="L1235" s="379" t="s">
        <v>643</v>
      </c>
      <c r="M1235" s="392">
        <v>42962</v>
      </c>
      <c r="N1235" s="392">
        <v>43100</v>
      </c>
      <c r="O1235" s="422"/>
      <c r="P1235" s="61" t="s">
        <v>588</v>
      </c>
      <c r="Q1235" s="761" t="s">
        <v>911</v>
      </c>
      <c r="R1235" s="397" t="s">
        <v>1783</v>
      </c>
      <c r="S1235" s="316" t="s">
        <v>1176</v>
      </c>
      <c r="T1235" s="680"/>
      <c r="U1235" s="421"/>
    </row>
    <row r="1236" spans="1:21" s="377" customFormat="1" ht="20.100000000000001" customHeight="1">
      <c r="A1236" s="1184" t="s">
        <v>1111</v>
      </c>
      <c r="B1236" s="1183" t="s">
        <v>343</v>
      </c>
      <c r="C1236" s="1183" t="s">
        <v>1384</v>
      </c>
      <c r="D1236" s="2">
        <f>D435+239+25</f>
        <v>494</v>
      </c>
      <c r="E1236" s="2">
        <f>E435+496+50</f>
        <v>871</v>
      </c>
      <c r="F1236" s="2">
        <f>F435+496+50</f>
        <v>871</v>
      </c>
      <c r="G1236" s="217" t="s">
        <v>14</v>
      </c>
      <c r="H1236" s="56" t="s">
        <v>742</v>
      </c>
      <c r="I1236" s="380" t="s">
        <v>93</v>
      </c>
      <c r="J1236" s="37"/>
      <c r="K1236" s="426" t="s">
        <v>2348</v>
      </c>
      <c r="L1236" s="398" t="s">
        <v>652</v>
      </c>
      <c r="M1236" s="547">
        <v>43086</v>
      </c>
      <c r="N1236" s="547">
        <v>43092</v>
      </c>
      <c r="O1236" s="422"/>
      <c r="P1236" s="61" t="s">
        <v>605</v>
      </c>
      <c r="Q1236" s="61" t="s">
        <v>934</v>
      </c>
      <c r="R1236" s="17" t="s">
        <v>449</v>
      </c>
      <c r="S1236" s="322" t="s">
        <v>1176</v>
      </c>
      <c r="T1236" s="680"/>
      <c r="U1236" s="421"/>
    </row>
    <row r="1237" spans="1:21" s="377" customFormat="1" ht="20.100000000000001" customHeight="1">
      <c r="A1237" s="1184" t="s">
        <v>1111</v>
      </c>
      <c r="B1237" s="1183" t="s">
        <v>343</v>
      </c>
      <c r="C1237" s="1183" t="s">
        <v>1384</v>
      </c>
      <c r="D1237" s="62">
        <f>D421+16225/60</f>
        <v>500.41666666666669</v>
      </c>
      <c r="E1237" s="62">
        <f>E421+28950/60</f>
        <v>632.5</v>
      </c>
      <c r="F1237" s="62">
        <f>F421+28950/60</f>
        <v>632.5</v>
      </c>
      <c r="G1237" s="707" t="s">
        <v>12</v>
      </c>
      <c r="H1237" s="417" t="s">
        <v>651</v>
      </c>
      <c r="I1237" s="380" t="s">
        <v>93</v>
      </c>
      <c r="J1237" s="50"/>
      <c r="K1237" s="380">
        <v>20</v>
      </c>
      <c r="L1237" s="415" t="s">
        <v>637</v>
      </c>
      <c r="M1237" s="551">
        <v>43084</v>
      </c>
      <c r="N1237" s="551">
        <v>43091</v>
      </c>
      <c r="O1237" s="419"/>
      <c r="P1237" s="72" t="s">
        <v>1941</v>
      </c>
      <c r="Q1237" s="61" t="s">
        <v>902</v>
      </c>
      <c r="R1237" s="384" t="s">
        <v>1740</v>
      </c>
      <c r="S1237" s="322" t="s">
        <v>1176</v>
      </c>
      <c r="T1237" s="688" t="s">
        <v>2840</v>
      </c>
      <c r="U1237" s="421"/>
    </row>
    <row r="1238" spans="1:21" s="377" customFormat="1" ht="20.100000000000001" customHeight="1">
      <c r="A1238" s="1184" t="s">
        <v>2949</v>
      </c>
      <c r="B1238" s="1183" t="s">
        <v>1359</v>
      </c>
      <c r="C1238" s="1183" t="s">
        <v>626</v>
      </c>
      <c r="D1238" s="62">
        <f>D417+34500/55</f>
        <v>987.27272727272725</v>
      </c>
      <c r="E1238" s="528"/>
      <c r="F1238" s="62">
        <f>F417+47500/55</f>
        <v>1248.6363636363635</v>
      </c>
      <c r="G1238" s="707" t="s">
        <v>37</v>
      </c>
      <c r="H1238" s="378">
        <v>1</v>
      </c>
      <c r="I1238" s="398" t="s">
        <v>93</v>
      </c>
      <c r="J1238" s="681"/>
      <c r="K1238" s="426">
        <v>22</v>
      </c>
      <c r="L1238" s="379" t="s">
        <v>636</v>
      </c>
      <c r="M1238" s="392">
        <v>43080</v>
      </c>
      <c r="N1238" s="392">
        <v>43080</v>
      </c>
      <c r="O1238" s="419"/>
      <c r="P1238" s="61" t="s">
        <v>1933</v>
      </c>
      <c r="Q1238" s="61" t="s">
        <v>927</v>
      </c>
      <c r="R1238" s="397" t="s">
        <v>192</v>
      </c>
      <c r="S1238" s="315" t="s">
        <v>2903</v>
      </c>
      <c r="T1238" s="316"/>
      <c r="U1238" s="421"/>
    </row>
    <row r="1239" spans="1:21" s="377" customFormat="1" ht="20.100000000000001" customHeight="1">
      <c r="A1239" s="1184" t="s">
        <v>2951</v>
      </c>
      <c r="B1239" s="1183" t="s">
        <v>343</v>
      </c>
      <c r="C1239" s="1183" t="s">
        <v>626</v>
      </c>
      <c r="D1239" s="62">
        <f>D459+30500/55</f>
        <v>914.5454545454545</v>
      </c>
      <c r="E1239" s="528"/>
      <c r="F1239" s="62">
        <f>F459+40500/55</f>
        <v>1121.3636363636365</v>
      </c>
      <c r="G1239" s="705" t="s">
        <v>37</v>
      </c>
      <c r="H1239" s="378">
        <v>1</v>
      </c>
      <c r="I1239" s="398" t="s">
        <v>130</v>
      </c>
      <c r="J1239" s="37"/>
      <c r="K1239" s="426">
        <v>25</v>
      </c>
      <c r="L1239" s="379" t="s">
        <v>636</v>
      </c>
      <c r="M1239" s="392">
        <v>43080</v>
      </c>
      <c r="N1239" s="392">
        <v>43080</v>
      </c>
      <c r="O1239" s="419"/>
      <c r="P1239" s="61" t="s">
        <v>907</v>
      </c>
      <c r="Q1239" s="61" t="s">
        <v>927</v>
      </c>
      <c r="R1239" s="397" t="s">
        <v>192</v>
      </c>
      <c r="S1239" s="315" t="s">
        <v>2903</v>
      </c>
      <c r="T1239" s="316"/>
      <c r="U1239" s="421"/>
    </row>
    <row r="1240" spans="1:21" s="377" customFormat="1" ht="20.100000000000001" customHeight="1">
      <c r="A1240" s="1184" t="s">
        <v>2951</v>
      </c>
      <c r="B1240" s="1183" t="s">
        <v>343</v>
      </c>
      <c r="C1240" s="1183" t="s">
        <v>626</v>
      </c>
      <c r="D1240" s="62">
        <f>D546+30500/55</f>
        <v>989.5454545454545</v>
      </c>
      <c r="E1240" s="528"/>
      <c r="F1240" s="62">
        <f>F546+40500/55</f>
        <v>1246.3636363636365</v>
      </c>
      <c r="G1240" s="705" t="s">
        <v>37</v>
      </c>
      <c r="H1240" s="401">
        <v>5</v>
      </c>
      <c r="I1240" s="426" t="s">
        <v>472</v>
      </c>
      <c r="J1240" s="681"/>
      <c r="K1240" s="386" t="s">
        <v>872</v>
      </c>
      <c r="L1240" s="380" t="s">
        <v>649</v>
      </c>
      <c r="M1240" s="392">
        <v>43063</v>
      </c>
      <c r="N1240" s="392">
        <v>43080</v>
      </c>
      <c r="O1240" s="419"/>
      <c r="P1240" s="750"/>
      <c r="Q1240" s="61" t="s">
        <v>927</v>
      </c>
      <c r="R1240" s="397" t="s">
        <v>179</v>
      </c>
      <c r="S1240" s="315" t="s">
        <v>2903</v>
      </c>
      <c r="T1240" s="316"/>
      <c r="U1240" s="421"/>
    </row>
    <row r="1241" spans="1:21" s="377" customFormat="1" ht="20.100000000000001" customHeight="1">
      <c r="A1241" s="1198" t="s">
        <v>2951</v>
      </c>
      <c r="B1241" s="1198" t="s">
        <v>343</v>
      </c>
      <c r="C1241" s="1198" t="s">
        <v>2335</v>
      </c>
      <c r="D1241" s="62">
        <f>D421+29025/60</f>
        <v>713.75</v>
      </c>
      <c r="E1241" s="62">
        <f>E421+42325/60</f>
        <v>855.41666666666663</v>
      </c>
      <c r="F1241" s="62">
        <f>F421+42325/60</f>
        <v>855.41666666666663</v>
      </c>
      <c r="G1241" s="705" t="s">
        <v>12</v>
      </c>
      <c r="H1241" s="417" t="s">
        <v>651</v>
      </c>
      <c r="I1241" s="380" t="s">
        <v>93</v>
      </c>
      <c r="J1241" s="50"/>
      <c r="K1241" s="380">
        <v>20</v>
      </c>
      <c r="L1241" s="415" t="s">
        <v>637</v>
      </c>
      <c r="M1241" s="551">
        <v>43084</v>
      </c>
      <c r="N1241" s="551">
        <v>43091</v>
      </c>
      <c r="O1241" s="419"/>
      <c r="P1241" s="72" t="s">
        <v>1941</v>
      </c>
      <c r="Q1241" s="61" t="s">
        <v>4347</v>
      </c>
      <c r="R1241" s="384" t="s">
        <v>1740</v>
      </c>
      <c r="S1241" s="322" t="s">
        <v>1176</v>
      </c>
      <c r="T1241" s="688" t="s">
        <v>2840</v>
      </c>
      <c r="U1241" s="421"/>
    </row>
    <row r="1242" spans="1:21" s="377" customFormat="1" ht="20.100000000000001" customHeight="1">
      <c r="A1242" s="1199" t="s">
        <v>2951</v>
      </c>
      <c r="B1242" s="1199" t="s">
        <v>343</v>
      </c>
      <c r="C1242" s="1199" t="s">
        <v>2335</v>
      </c>
      <c r="D1242" s="62">
        <f>D440+21360/60</f>
        <v>606</v>
      </c>
      <c r="E1242" s="62">
        <f>E440+24510/60</f>
        <v>658.5</v>
      </c>
      <c r="F1242" s="62">
        <f>F440+24510/60</f>
        <v>658.5</v>
      </c>
      <c r="G1242" s="656" t="s">
        <v>2328</v>
      </c>
      <c r="H1242" s="385" t="s">
        <v>725</v>
      </c>
      <c r="I1242" s="398" t="s">
        <v>93</v>
      </c>
      <c r="J1242" s="37"/>
      <c r="K1242" s="398" t="s">
        <v>2336</v>
      </c>
      <c r="L1242" s="379" t="s">
        <v>641</v>
      </c>
      <c r="M1242" s="381">
        <v>43082</v>
      </c>
      <c r="N1242" s="381">
        <v>43086</v>
      </c>
      <c r="O1242" s="394" t="s">
        <v>1949</v>
      </c>
      <c r="P1242" s="72" t="s">
        <v>2285</v>
      </c>
      <c r="Q1242" s="61" t="s">
        <v>2337</v>
      </c>
      <c r="R1242" s="397" t="s">
        <v>826</v>
      </c>
      <c r="S1242" s="336" t="s">
        <v>1176</v>
      </c>
      <c r="T1242" s="323" t="s">
        <v>2935</v>
      </c>
      <c r="U1242" s="421"/>
    </row>
    <row r="1243" spans="1:21" s="377" customFormat="1" ht="20.100000000000001" customHeight="1">
      <c r="A1243" s="741" t="s">
        <v>2951</v>
      </c>
      <c r="B1243" s="445" t="s">
        <v>343</v>
      </c>
      <c r="C1243" s="445" t="s">
        <v>345</v>
      </c>
      <c r="D1243" s="62">
        <f>D450+17+25</f>
        <v>992</v>
      </c>
      <c r="E1243" s="62">
        <f>E450+34+50</f>
        <v>1634</v>
      </c>
      <c r="F1243" s="62">
        <f>F450+34+50</f>
        <v>1634</v>
      </c>
      <c r="G1243" s="217" t="s">
        <v>85</v>
      </c>
      <c r="H1243" s="401" t="s">
        <v>706</v>
      </c>
      <c r="I1243" s="426" t="s">
        <v>93</v>
      </c>
      <c r="J1243" s="681"/>
      <c r="K1243" s="386">
        <v>23</v>
      </c>
      <c r="L1243" s="379" t="s">
        <v>643</v>
      </c>
      <c r="M1243" s="392">
        <v>42962</v>
      </c>
      <c r="N1243" s="392">
        <v>43100</v>
      </c>
      <c r="O1243" s="422"/>
      <c r="P1243" s="61" t="s">
        <v>588</v>
      </c>
      <c r="Q1243" s="761" t="s">
        <v>334</v>
      </c>
      <c r="R1243" s="397" t="s">
        <v>1783</v>
      </c>
      <c r="S1243" s="316" t="s">
        <v>1176</v>
      </c>
      <c r="T1243" s="680"/>
      <c r="U1243" s="421"/>
    </row>
    <row r="1244" spans="1:21" s="377" customFormat="1" ht="20.100000000000001" customHeight="1">
      <c r="A1244" s="741" t="s">
        <v>2951</v>
      </c>
      <c r="B1244" s="445" t="s">
        <v>343</v>
      </c>
      <c r="C1244" s="445" t="s">
        <v>2593</v>
      </c>
      <c r="D1244" s="62">
        <f>D435+450+25</f>
        <v>705</v>
      </c>
      <c r="E1244" s="62">
        <f>E435+902+50</f>
        <v>1277</v>
      </c>
      <c r="F1244" s="62">
        <f>F435+902+50</f>
        <v>1277</v>
      </c>
      <c r="G1244" s="217" t="s">
        <v>14</v>
      </c>
      <c r="H1244" s="56" t="s">
        <v>742</v>
      </c>
      <c r="I1244" s="426" t="s">
        <v>93</v>
      </c>
      <c r="J1244" s="681"/>
      <c r="K1244" s="426" t="s">
        <v>2348</v>
      </c>
      <c r="L1244" s="398" t="s">
        <v>652</v>
      </c>
      <c r="M1244" s="547">
        <v>43086</v>
      </c>
      <c r="N1244" s="547">
        <v>43092</v>
      </c>
      <c r="O1244" s="422"/>
      <c r="P1244" s="61" t="s">
        <v>605</v>
      </c>
      <c r="Q1244" s="61" t="s">
        <v>934</v>
      </c>
      <c r="R1244" s="17" t="s">
        <v>449</v>
      </c>
      <c r="S1244" s="322" t="s">
        <v>1176</v>
      </c>
      <c r="T1244" s="680"/>
      <c r="U1244" s="421"/>
    </row>
    <row r="1245" spans="1:21" s="377" customFormat="1" ht="20.100000000000001" customHeight="1">
      <c r="A1245" s="1195" t="s">
        <v>2953</v>
      </c>
      <c r="B1245" s="1196" t="s">
        <v>398</v>
      </c>
      <c r="C1245" s="1195" t="s">
        <v>9</v>
      </c>
      <c r="D1245" s="11">
        <v>475</v>
      </c>
      <c r="E1245" s="11">
        <v>550</v>
      </c>
      <c r="F1245" s="11">
        <v>550</v>
      </c>
      <c r="G1245" s="219" t="s">
        <v>51</v>
      </c>
      <c r="H1245" s="390">
        <v>1</v>
      </c>
      <c r="I1245" s="386" t="s">
        <v>17</v>
      </c>
      <c r="J1245" s="37" t="s">
        <v>74</v>
      </c>
      <c r="K1245" s="398" t="s">
        <v>1720</v>
      </c>
      <c r="L1245" s="379" t="s">
        <v>639</v>
      </c>
      <c r="M1245" s="381">
        <v>43073</v>
      </c>
      <c r="N1245" s="381">
        <v>43090</v>
      </c>
      <c r="O1245" s="410"/>
      <c r="P1245" s="105" t="s">
        <v>943</v>
      </c>
      <c r="Q1245" s="7"/>
      <c r="R1245" s="397" t="s">
        <v>180</v>
      </c>
      <c r="S1245" s="316"/>
      <c r="T1245" s="689" t="s">
        <v>4528</v>
      </c>
    </row>
    <row r="1246" spans="1:21" ht="20.100000000000001" customHeight="1">
      <c r="A1246" s="1195" t="s">
        <v>2953</v>
      </c>
      <c r="B1246" s="1196" t="s">
        <v>398</v>
      </c>
      <c r="C1246" s="1196" t="s">
        <v>9</v>
      </c>
      <c r="D1246" s="32">
        <v>650</v>
      </c>
      <c r="E1246" s="32">
        <v>900</v>
      </c>
      <c r="F1246" s="32">
        <v>900</v>
      </c>
      <c r="G1246" s="685" t="s">
        <v>5</v>
      </c>
      <c r="H1246" s="35">
        <v>1</v>
      </c>
      <c r="I1246" s="38" t="s">
        <v>17</v>
      </c>
      <c r="J1246" s="37" t="s">
        <v>74</v>
      </c>
      <c r="K1246" s="37" t="s">
        <v>660</v>
      </c>
      <c r="L1246" s="51" t="s">
        <v>639</v>
      </c>
      <c r="M1246" s="6">
        <v>43080</v>
      </c>
      <c r="N1246" s="6">
        <v>43086</v>
      </c>
      <c r="O1246" s="61" t="s">
        <v>600</v>
      </c>
      <c r="P1246" s="61" t="s">
        <v>595</v>
      </c>
      <c r="Q1246" s="7"/>
      <c r="R1246" s="73" t="s">
        <v>1751</v>
      </c>
      <c r="S1246" s="315" t="s">
        <v>2894</v>
      </c>
      <c r="T1246" s="717"/>
    </row>
    <row r="1247" spans="1:21" s="377" customFormat="1" ht="20.100000000000001" customHeight="1">
      <c r="A1247" s="1195" t="s">
        <v>2953</v>
      </c>
      <c r="B1247" s="1196" t="s">
        <v>398</v>
      </c>
      <c r="C1247" s="1196" t="s">
        <v>9</v>
      </c>
      <c r="D1247" s="934">
        <v>485</v>
      </c>
      <c r="E1247" s="934">
        <v>560</v>
      </c>
      <c r="F1247" s="934">
        <v>560</v>
      </c>
      <c r="G1247" s="673" t="s">
        <v>6</v>
      </c>
      <c r="H1247" s="390">
        <v>1</v>
      </c>
      <c r="I1247" s="386" t="s">
        <v>17</v>
      </c>
      <c r="J1247" s="37" t="s">
        <v>74</v>
      </c>
      <c r="K1247" s="398" t="s">
        <v>660</v>
      </c>
      <c r="L1247" s="379" t="s">
        <v>639</v>
      </c>
      <c r="M1247" s="391">
        <v>43087</v>
      </c>
      <c r="N1247" s="391">
        <v>43093</v>
      </c>
      <c r="O1247" s="410"/>
      <c r="P1247" s="105"/>
      <c r="Q1247" s="7"/>
      <c r="R1247" s="397" t="s">
        <v>1747</v>
      </c>
      <c r="S1247" s="315" t="s">
        <v>2866</v>
      </c>
      <c r="T1247" s="650">
        <v>21</v>
      </c>
    </row>
    <row r="1248" spans="1:21" s="377" customFormat="1" ht="20.100000000000001" customHeight="1">
      <c r="A1248" s="1195" t="s">
        <v>2953</v>
      </c>
      <c r="B1248" s="1196" t="s">
        <v>398</v>
      </c>
      <c r="C1248" s="1196" t="s">
        <v>9</v>
      </c>
      <c r="D1248" s="32">
        <v>725</v>
      </c>
      <c r="E1248" s="32">
        <v>1050</v>
      </c>
      <c r="F1248" s="32">
        <v>1050</v>
      </c>
      <c r="G1248" s="685" t="s">
        <v>33</v>
      </c>
      <c r="H1248" s="385" t="s">
        <v>1704</v>
      </c>
      <c r="I1248" s="386" t="s">
        <v>17</v>
      </c>
      <c r="J1248" s="37" t="s">
        <v>74</v>
      </c>
      <c r="K1248" s="398" t="s">
        <v>1720</v>
      </c>
      <c r="L1248" s="379" t="s">
        <v>1707</v>
      </c>
      <c r="M1248" s="391">
        <v>43087</v>
      </c>
      <c r="N1248" s="391">
        <v>43093</v>
      </c>
      <c r="O1248" s="438"/>
      <c r="P1248" s="754"/>
      <c r="Q1248" s="7"/>
      <c r="R1248" s="397" t="s">
        <v>1708</v>
      </c>
      <c r="S1248" s="316" t="s">
        <v>1176</v>
      </c>
      <c r="T1248" s="689"/>
    </row>
    <row r="1249" spans="1:20" s="377" customFormat="1" ht="20.100000000000001" customHeight="1">
      <c r="A1249" s="1195" t="s">
        <v>2953</v>
      </c>
      <c r="B1249" s="1196" t="s">
        <v>398</v>
      </c>
      <c r="C1249" s="1196" t="s">
        <v>9</v>
      </c>
      <c r="D1249" s="32">
        <v>450</v>
      </c>
      <c r="E1249" s="32">
        <v>550</v>
      </c>
      <c r="F1249" s="32">
        <v>550</v>
      </c>
      <c r="G1249" s="706" t="s">
        <v>37</v>
      </c>
      <c r="H1249" s="385" t="s">
        <v>729</v>
      </c>
      <c r="I1249" s="386" t="s">
        <v>17</v>
      </c>
      <c r="J1249" s="37" t="s">
        <v>74</v>
      </c>
      <c r="K1249" s="398" t="s">
        <v>660</v>
      </c>
      <c r="L1249" s="379" t="s">
        <v>639</v>
      </c>
      <c r="M1249" s="392">
        <v>43059</v>
      </c>
      <c r="N1249" s="392">
        <v>43065</v>
      </c>
      <c r="O1249" s="388"/>
      <c r="P1249" s="61"/>
      <c r="Q1249" s="7"/>
      <c r="R1249" s="384" t="s">
        <v>1787</v>
      </c>
      <c r="S1249" s="327" t="s">
        <v>2896</v>
      </c>
      <c r="T1249" s="689"/>
    </row>
    <row r="1250" spans="1:20" s="377" customFormat="1" ht="20.100000000000001" customHeight="1">
      <c r="A1250" s="1195" t="s">
        <v>2953</v>
      </c>
      <c r="B1250" s="1196" t="s">
        <v>398</v>
      </c>
      <c r="C1250" s="1196" t="s">
        <v>9</v>
      </c>
      <c r="D1250" s="941">
        <v>700</v>
      </c>
      <c r="E1250" s="941">
        <v>1100</v>
      </c>
      <c r="F1250" s="941">
        <v>1100</v>
      </c>
      <c r="G1250" s="66" t="s">
        <v>13</v>
      </c>
      <c r="H1250" s="390">
        <v>1</v>
      </c>
      <c r="I1250" s="386" t="s">
        <v>17</v>
      </c>
      <c r="J1250" s="37" t="s">
        <v>74</v>
      </c>
      <c r="K1250" s="398" t="s">
        <v>660</v>
      </c>
      <c r="L1250" s="379" t="s">
        <v>639</v>
      </c>
      <c r="M1250" s="404">
        <v>43087</v>
      </c>
      <c r="N1250" s="404">
        <v>43093</v>
      </c>
      <c r="O1250" s="393" t="s">
        <v>601</v>
      </c>
      <c r="P1250" s="105"/>
      <c r="Q1250" s="7"/>
      <c r="R1250" s="397" t="s">
        <v>1181</v>
      </c>
      <c r="S1250" s="316" t="s">
        <v>1176</v>
      </c>
      <c r="T1250" s="689"/>
    </row>
    <row r="1251" spans="1:20" s="377" customFormat="1" ht="20.100000000000001" customHeight="1">
      <c r="A1251" s="1195" t="s">
        <v>2953</v>
      </c>
      <c r="B1251" s="1196" t="s">
        <v>398</v>
      </c>
      <c r="C1251" s="1197" t="s">
        <v>9</v>
      </c>
      <c r="D1251" s="535">
        <v>620</v>
      </c>
      <c r="E1251" s="535">
        <v>640</v>
      </c>
      <c r="F1251" s="535">
        <v>640</v>
      </c>
      <c r="G1251" s="803" t="s">
        <v>18</v>
      </c>
      <c r="H1251" s="417" t="s">
        <v>742</v>
      </c>
      <c r="I1251" s="447" t="s">
        <v>1240</v>
      </c>
      <c r="J1251" s="51"/>
      <c r="K1251" s="380" t="s">
        <v>1244</v>
      </c>
      <c r="L1251" s="386" t="s">
        <v>643</v>
      </c>
      <c r="M1251" s="381">
        <v>43080</v>
      </c>
      <c r="N1251" s="381">
        <v>43086</v>
      </c>
      <c r="O1251" s="420"/>
      <c r="P1251" s="59"/>
      <c r="Q1251" s="7"/>
      <c r="R1251" s="384" t="s">
        <v>745</v>
      </c>
      <c r="S1251" s="316" t="s">
        <v>1176</v>
      </c>
      <c r="T1251" s="717"/>
    </row>
    <row r="1252" spans="1:20" s="377" customFormat="1" ht="20.100000000000001" customHeight="1">
      <c r="A1252" s="1195" t="s">
        <v>2953</v>
      </c>
      <c r="B1252" s="1196" t="s">
        <v>398</v>
      </c>
      <c r="C1252" s="1196" t="s">
        <v>9</v>
      </c>
      <c r="D1252" s="792">
        <v>400</v>
      </c>
      <c r="E1252" s="792">
        <v>450</v>
      </c>
      <c r="F1252" s="792">
        <v>450</v>
      </c>
      <c r="G1252" s="220" t="s">
        <v>19</v>
      </c>
      <c r="H1252" s="378" t="s">
        <v>1900</v>
      </c>
      <c r="I1252" s="386" t="s">
        <v>17</v>
      </c>
      <c r="J1252" s="37" t="s">
        <v>277</v>
      </c>
      <c r="K1252" s="398" t="s">
        <v>752</v>
      </c>
      <c r="L1252" s="386" t="s">
        <v>643</v>
      </c>
      <c r="M1252" s="399">
        <v>43068</v>
      </c>
      <c r="N1252" s="399">
        <v>43088</v>
      </c>
      <c r="O1252" s="382" t="s">
        <v>611</v>
      </c>
      <c r="P1252" s="61"/>
      <c r="Q1252" s="52"/>
      <c r="R1252" s="397" t="s">
        <v>1772</v>
      </c>
      <c r="S1252" s="322"/>
      <c r="T1252" s="717"/>
    </row>
    <row r="1253" spans="1:20" s="377" customFormat="1" ht="20.100000000000001" customHeight="1">
      <c r="A1253" s="1195" t="s">
        <v>2953</v>
      </c>
      <c r="B1253" s="1196" t="s">
        <v>398</v>
      </c>
      <c r="C1253" s="1196" t="s">
        <v>9</v>
      </c>
      <c r="D1253" s="829">
        <v>550</v>
      </c>
      <c r="E1253" s="829">
        <v>750</v>
      </c>
      <c r="F1253" s="829">
        <v>750</v>
      </c>
      <c r="G1253" s="220" t="s">
        <v>22</v>
      </c>
      <c r="H1253" s="378" t="s">
        <v>1900</v>
      </c>
      <c r="I1253" s="386" t="s">
        <v>17</v>
      </c>
      <c r="J1253" s="37" t="s">
        <v>277</v>
      </c>
      <c r="K1253" s="398" t="s">
        <v>752</v>
      </c>
      <c r="L1253" s="386" t="s">
        <v>643</v>
      </c>
      <c r="M1253" s="392">
        <v>43065</v>
      </c>
      <c r="N1253" s="392">
        <v>43067</v>
      </c>
      <c r="O1253" s="382"/>
      <c r="P1253" s="61"/>
      <c r="Q1253" s="52"/>
      <c r="R1253" s="397" t="s">
        <v>1772</v>
      </c>
      <c r="S1253" s="316" t="s">
        <v>1176</v>
      </c>
      <c r="T1253" s="717"/>
    </row>
    <row r="1254" spans="1:20" s="377" customFormat="1" ht="20.100000000000001" customHeight="1">
      <c r="A1254" s="1195" t="s">
        <v>2953</v>
      </c>
      <c r="B1254" s="1196" t="s">
        <v>398</v>
      </c>
      <c r="C1254" s="1196" t="s">
        <v>9</v>
      </c>
      <c r="D1254" s="13">
        <v>660</v>
      </c>
      <c r="E1254" s="13">
        <v>910</v>
      </c>
      <c r="F1254" s="13">
        <v>910</v>
      </c>
      <c r="G1254" s="63" t="s">
        <v>28</v>
      </c>
      <c r="H1254" s="378" t="s">
        <v>1900</v>
      </c>
      <c r="I1254" s="386" t="s">
        <v>17</v>
      </c>
      <c r="J1254" s="37" t="s">
        <v>277</v>
      </c>
      <c r="K1254" s="398" t="s">
        <v>752</v>
      </c>
      <c r="L1254" s="386" t="s">
        <v>643</v>
      </c>
      <c r="M1254" s="392">
        <v>43080</v>
      </c>
      <c r="N1254" s="392">
        <v>43086</v>
      </c>
      <c r="O1254" s="393" t="s">
        <v>601</v>
      </c>
      <c r="P1254" s="61" t="s">
        <v>595</v>
      </c>
      <c r="Q1254" s="52"/>
      <c r="R1254" s="397" t="s">
        <v>1881</v>
      </c>
      <c r="S1254" s="315" t="s">
        <v>2930</v>
      </c>
      <c r="T1254" s="717"/>
    </row>
    <row r="1255" spans="1:20" s="377" customFormat="1" ht="20.100000000000001" customHeight="1">
      <c r="A1255" s="1195" t="s">
        <v>2953</v>
      </c>
      <c r="B1255" s="1196" t="s">
        <v>398</v>
      </c>
      <c r="C1255" s="1196" t="s">
        <v>9</v>
      </c>
      <c r="D1255" s="11">
        <v>475</v>
      </c>
      <c r="E1255" s="11">
        <v>550</v>
      </c>
      <c r="F1255" s="11">
        <v>550</v>
      </c>
      <c r="G1255" s="219" t="s">
        <v>51</v>
      </c>
      <c r="H1255" s="401" t="s">
        <v>1723</v>
      </c>
      <c r="I1255" s="386" t="s">
        <v>17</v>
      </c>
      <c r="J1255" s="37" t="s">
        <v>74</v>
      </c>
      <c r="K1255" s="398" t="s">
        <v>680</v>
      </c>
      <c r="L1255" s="380" t="s">
        <v>639</v>
      </c>
      <c r="M1255" s="381">
        <v>43073</v>
      </c>
      <c r="N1255" s="381">
        <v>43090</v>
      </c>
      <c r="O1255" s="439"/>
      <c r="P1255" s="105" t="s">
        <v>943</v>
      </c>
      <c r="Q1255" s="683" t="s">
        <v>5433</v>
      </c>
      <c r="R1255" s="397" t="s">
        <v>1709</v>
      </c>
      <c r="S1255" s="316"/>
      <c r="T1255" s="921" t="s">
        <v>4528</v>
      </c>
    </row>
    <row r="1256" spans="1:20" ht="20.100000000000001" customHeight="1">
      <c r="A1256" s="1195" t="s">
        <v>2953</v>
      </c>
      <c r="B1256" s="1196" t="s">
        <v>398</v>
      </c>
      <c r="C1256" s="1196" t="s">
        <v>9</v>
      </c>
      <c r="D1256" s="32">
        <v>450</v>
      </c>
      <c r="E1256" s="32">
        <v>600</v>
      </c>
      <c r="F1256" s="32">
        <v>600</v>
      </c>
      <c r="G1256" s="685" t="s">
        <v>5</v>
      </c>
      <c r="H1256" s="676" t="s">
        <v>659</v>
      </c>
      <c r="I1256" s="38" t="s">
        <v>17</v>
      </c>
      <c r="J1256" s="37" t="s">
        <v>74</v>
      </c>
      <c r="K1256" s="37" t="s">
        <v>680</v>
      </c>
      <c r="L1256" s="50" t="s">
        <v>639</v>
      </c>
      <c r="M1256" s="6">
        <v>43073</v>
      </c>
      <c r="N1256" s="6">
        <v>43086</v>
      </c>
      <c r="O1256" s="675" t="s">
        <v>600</v>
      </c>
      <c r="P1256" s="61" t="s">
        <v>595</v>
      </c>
      <c r="Q1256" s="683" t="s">
        <v>5433</v>
      </c>
      <c r="R1256" s="49" t="s">
        <v>1752</v>
      </c>
      <c r="S1256" s="315" t="s">
        <v>2894</v>
      </c>
      <c r="T1256" s="717"/>
    </row>
    <row r="1257" spans="1:20" s="377" customFormat="1" ht="20.100000000000001" customHeight="1">
      <c r="A1257" s="1195" t="s">
        <v>2953</v>
      </c>
      <c r="B1257" s="1196" t="s">
        <v>398</v>
      </c>
      <c r="C1257" s="1196" t="s">
        <v>9</v>
      </c>
      <c r="D1257" s="934">
        <v>485</v>
      </c>
      <c r="E1257" s="934">
        <v>560</v>
      </c>
      <c r="F1257" s="934">
        <v>560</v>
      </c>
      <c r="G1257" s="66" t="s">
        <v>6</v>
      </c>
      <c r="H1257" s="417" t="s">
        <v>659</v>
      </c>
      <c r="I1257" s="447" t="s">
        <v>17</v>
      </c>
      <c r="J1257" s="37" t="s">
        <v>74</v>
      </c>
      <c r="K1257" s="380" t="s">
        <v>680</v>
      </c>
      <c r="L1257" s="379" t="s">
        <v>639</v>
      </c>
      <c r="M1257" s="391">
        <v>43087</v>
      </c>
      <c r="N1257" s="391">
        <v>43093</v>
      </c>
      <c r="O1257" s="420"/>
      <c r="P1257" s="59"/>
      <c r="Q1257" s="683" t="s">
        <v>5433</v>
      </c>
      <c r="R1257" s="397" t="s">
        <v>1748</v>
      </c>
      <c r="S1257" s="315" t="s">
        <v>2866</v>
      </c>
      <c r="T1257" s="650">
        <v>21</v>
      </c>
    </row>
    <row r="1258" spans="1:20" s="377" customFormat="1" ht="20.100000000000001" customHeight="1">
      <c r="A1258" s="1195" t="s">
        <v>2953</v>
      </c>
      <c r="B1258" s="1196" t="s">
        <v>398</v>
      </c>
      <c r="C1258" s="1196" t="s">
        <v>9</v>
      </c>
      <c r="D1258" s="32">
        <v>725</v>
      </c>
      <c r="E1258" s="32">
        <v>1050</v>
      </c>
      <c r="F1258" s="32">
        <v>1050</v>
      </c>
      <c r="G1258" s="70" t="s">
        <v>33</v>
      </c>
      <c r="H1258" s="417" t="s">
        <v>1705</v>
      </c>
      <c r="I1258" s="447" t="s">
        <v>17</v>
      </c>
      <c r="J1258" s="37" t="s">
        <v>74</v>
      </c>
      <c r="K1258" s="380" t="s">
        <v>1710</v>
      </c>
      <c r="L1258" s="379" t="s">
        <v>1707</v>
      </c>
      <c r="M1258" s="391">
        <v>43087</v>
      </c>
      <c r="N1258" s="391">
        <v>43093</v>
      </c>
      <c r="O1258" s="420"/>
      <c r="P1258" s="59"/>
      <c r="Q1258" s="683" t="s">
        <v>5433</v>
      </c>
      <c r="R1258" s="384" t="s">
        <v>1709</v>
      </c>
      <c r="S1258" s="316" t="s">
        <v>1176</v>
      </c>
      <c r="T1258" s="717"/>
    </row>
    <row r="1259" spans="1:20" s="377" customFormat="1" ht="20.100000000000001" customHeight="1">
      <c r="A1259" s="1195" t="s">
        <v>2953</v>
      </c>
      <c r="B1259" s="1196" t="s">
        <v>398</v>
      </c>
      <c r="C1259" s="1196" t="s">
        <v>9</v>
      </c>
      <c r="D1259" s="32">
        <v>450</v>
      </c>
      <c r="E1259" s="32">
        <v>550</v>
      </c>
      <c r="F1259" s="32">
        <v>550</v>
      </c>
      <c r="G1259" s="70" t="s">
        <v>37</v>
      </c>
      <c r="H1259" s="417" t="s">
        <v>659</v>
      </c>
      <c r="I1259" s="447" t="s">
        <v>17</v>
      </c>
      <c r="J1259" s="37" t="s">
        <v>74</v>
      </c>
      <c r="K1259" s="380" t="s">
        <v>680</v>
      </c>
      <c r="L1259" s="379" t="s">
        <v>639</v>
      </c>
      <c r="M1259" s="392">
        <v>43059</v>
      </c>
      <c r="N1259" s="392">
        <v>43065</v>
      </c>
      <c r="O1259" s="420"/>
      <c r="P1259" s="59"/>
      <c r="Q1259" s="683" t="s">
        <v>5433</v>
      </c>
      <c r="R1259" s="384" t="s">
        <v>1844</v>
      </c>
      <c r="S1259" s="327" t="s">
        <v>2896</v>
      </c>
      <c r="T1259" s="717"/>
    </row>
    <row r="1260" spans="1:20" s="377" customFormat="1" ht="20.100000000000001" customHeight="1">
      <c r="A1260" s="1195" t="s">
        <v>2953</v>
      </c>
      <c r="B1260" s="1196" t="s">
        <v>398</v>
      </c>
      <c r="C1260" s="1196" t="s">
        <v>9</v>
      </c>
      <c r="D1260" s="941">
        <v>700</v>
      </c>
      <c r="E1260" s="941">
        <v>1100</v>
      </c>
      <c r="F1260" s="941">
        <v>1100</v>
      </c>
      <c r="G1260" s="70" t="s">
        <v>13</v>
      </c>
      <c r="H1260" s="417" t="s">
        <v>659</v>
      </c>
      <c r="I1260" s="447" t="s">
        <v>17</v>
      </c>
      <c r="J1260" s="37" t="s">
        <v>74</v>
      </c>
      <c r="K1260" s="380" t="s">
        <v>680</v>
      </c>
      <c r="L1260" s="379" t="s">
        <v>639</v>
      </c>
      <c r="M1260" s="404">
        <v>43087</v>
      </c>
      <c r="N1260" s="404">
        <v>43093</v>
      </c>
      <c r="O1260" s="393" t="s">
        <v>601</v>
      </c>
      <c r="P1260" s="59"/>
      <c r="Q1260" s="683" t="s">
        <v>5433</v>
      </c>
      <c r="R1260" s="397" t="s">
        <v>1822</v>
      </c>
      <c r="S1260" s="316" t="s">
        <v>1176</v>
      </c>
      <c r="T1260" s="717"/>
    </row>
    <row r="1261" spans="1:20" s="377" customFormat="1" ht="20.100000000000001" customHeight="1">
      <c r="A1261" s="1195" t="s">
        <v>2953</v>
      </c>
      <c r="B1261" s="1196" t="s">
        <v>398</v>
      </c>
      <c r="C1261" s="1196" t="s">
        <v>9</v>
      </c>
      <c r="D1261" s="941">
        <v>700</v>
      </c>
      <c r="E1261" s="941">
        <v>1100</v>
      </c>
      <c r="F1261" s="941">
        <v>1100</v>
      </c>
      <c r="G1261" s="63" t="s">
        <v>61</v>
      </c>
      <c r="H1261" s="425">
        <v>4</v>
      </c>
      <c r="I1261" s="386" t="s">
        <v>17</v>
      </c>
      <c r="J1261" s="37" t="s">
        <v>74</v>
      </c>
      <c r="K1261" s="398" t="s">
        <v>1106</v>
      </c>
      <c r="L1261" s="386" t="s">
        <v>650</v>
      </c>
      <c r="M1261" s="404">
        <v>43087</v>
      </c>
      <c r="N1261" s="404">
        <v>43093</v>
      </c>
      <c r="O1261" s="393" t="s">
        <v>601</v>
      </c>
      <c r="P1261" s="61"/>
      <c r="Q1261" s="7"/>
      <c r="R1261" s="397" t="s">
        <v>178</v>
      </c>
      <c r="S1261" s="316" t="s">
        <v>1176</v>
      </c>
      <c r="T1261" s="689"/>
    </row>
    <row r="1262" spans="1:20" s="377" customFormat="1" ht="20.100000000000001" customHeight="1">
      <c r="A1262" s="1195" t="s">
        <v>2953</v>
      </c>
      <c r="B1262" s="1196" t="s">
        <v>398</v>
      </c>
      <c r="C1262" s="1196" t="s">
        <v>9</v>
      </c>
      <c r="D1262" s="13">
        <v>760</v>
      </c>
      <c r="E1262" s="13">
        <v>1110</v>
      </c>
      <c r="F1262" s="13">
        <v>1110</v>
      </c>
      <c r="G1262" s="63" t="s">
        <v>137</v>
      </c>
      <c r="H1262" s="378" t="s">
        <v>1815</v>
      </c>
      <c r="I1262" s="379" t="s">
        <v>17</v>
      </c>
      <c r="J1262" s="50" t="s">
        <v>74</v>
      </c>
      <c r="K1262" s="380" t="s">
        <v>1817</v>
      </c>
      <c r="L1262" s="379" t="s">
        <v>641</v>
      </c>
      <c r="M1262" s="392">
        <v>43080</v>
      </c>
      <c r="N1262" s="392">
        <v>43086</v>
      </c>
      <c r="O1262" s="393" t="s">
        <v>601</v>
      </c>
      <c r="P1262" s="61" t="s">
        <v>621</v>
      </c>
      <c r="Q1262" s="7"/>
      <c r="R1262" s="397" t="s">
        <v>1820</v>
      </c>
      <c r="S1262" s="315" t="s">
        <v>2930</v>
      </c>
      <c r="T1262" s="680"/>
    </row>
    <row r="1263" spans="1:20" s="377" customFormat="1" ht="20.100000000000001" customHeight="1">
      <c r="A1263" s="1195" t="s">
        <v>2953</v>
      </c>
      <c r="B1263" s="1196" t="s">
        <v>398</v>
      </c>
      <c r="C1263" s="1196" t="s">
        <v>9</v>
      </c>
      <c r="D1263" s="792">
        <v>400</v>
      </c>
      <c r="E1263" s="792">
        <v>450</v>
      </c>
      <c r="F1263" s="792">
        <v>450</v>
      </c>
      <c r="G1263" s="220" t="s">
        <v>19</v>
      </c>
      <c r="H1263" s="413" t="s">
        <v>706</v>
      </c>
      <c r="I1263" s="386" t="s">
        <v>17</v>
      </c>
      <c r="J1263" s="37" t="s">
        <v>277</v>
      </c>
      <c r="K1263" s="398" t="s">
        <v>682</v>
      </c>
      <c r="L1263" s="379" t="s">
        <v>643</v>
      </c>
      <c r="M1263" s="399">
        <v>43068</v>
      </c>
      <c r="N1263" s="399">
        <v>43088</v>
      </c>
      <c r="O1263" s="382" t="s">
        <v>611</v>
      </c>
      <c r="P1263" s="61"/>
      <c r="Q1263" s="7"/>
      <c r="R1263" s="384" t="s">
        <v>1692</v>
      </c>
      <c r="S1263" s="322"/>
      <c r="T1263" s="717"/>
    </row>
    <row r="1264" spans="1:20" s="377" customFormat="1" ht="20.100000000000001" customHeight="1">
      <c r="A1264" s="1195" t="s">
        <v>2953</v>
      </c>
      <c r="B1264" s="1196" t="s">
        <v>398</v>
      </c>
      <c r="C1264" s="1196" t="s">
        <v>9</v>
      </c>
      <c r="D1264" s="829">
        <v>550</v>
      </c>
      <c r="E1264" s="829">
        <v>750</v>
      </c>
      <c r="F1264" s="829">
        <v>750</v>
      </c>
      <c r="G1264" s="699" t="s">
        <v>22</v>
      </c>
      <c r="H1264" s="385" t="s">
        <v>1773</v>
      </c>
      <c r="I1264" s="386" t="s">
        <v>17</v>
      </c>
      <c r="J1264" s="37" t="s">
        <v>277</v>
      </c>
      <c r="K1264" s="398" t="s">
        <v>682</v>
      </c>
      <c r="L1264" s="379" t="s">
        <v>643</v>
      </c>
      <c r="M1264" s="392">
        <v>43065</v>
      </c>
      <c r="N1264" s="392">
        <v>43067</v>
      </c>
      <c r="O1264" s="388"/>
      <c r="P1264" s="61"/>
      <c r="Q1264" s="7"/>
      <c r="R1264" s="384" t="s">
        <v>1692</v>
      </c>
      <c r="S1264" s="316" t="s">
        <v>1176</v>
      </c>
      <c r="T1264" s="689"/>
    </row>
    <row r="1265" spans="1:20" s="377" customFormat="1" ht="20.100000000000001" customHeight="1">
      <c r="A1265" s="1195" t="s">
        <v>2953</v>
      </c>
      <c r="B1265" s="1196" t="s">
        <v>398</v>
      </c>
      <c r="C1265" s="1196" t="s">
        <v>9</v>
      </c>
      <c r="D1265" s="13">
        <v>660</v>
      </c>
      <c r="E1265" s="13">
        <v>910</v>
      </c>
      <c r="F1265" s="13">
        <v>910</v>
      </c>
      <c r="G1265" s="63" t="s">
        <v>28</v>
      </c>
      <c r="H1265" s="385" t="s">
        <v>1773</v>
      </c>
      <c r="I1265" s="386" t="s">
        <v>17</v>
      </c>
      <c r="J1265" s="37" t="s">
        <v>277</v>
      </c>
      <c r="K1265" s="398" t="s">
        <v>682</v>
      </c>
      <c r="L1265" s="379" t="s">
        <v>643</v>
      </c>
      <c r="M1265" s="392">
        <v>43080</v>
      </c>
      <c r="N1265" s="392">
        <v>43086</v>
      </c>
      <c r="O1265" s="393" t="s">
        <v>601</v>
      </c>
      <c r="P1265" s="61" t="s">
        <v>595</v>
      </c>
      <c r="Q1265" s="7"/>
      <c r="R1265" s="384" t="s">
        <v>1786</v>
      </c>
      <c r="S1265" s="315" t="s">
        <v>2930</v>
      </c>
      <c r="T1265" s="689"/>
    </row>
    <row r="1266" spans="1:20" s="377" customFormat="1" ht="20.100000000000001" customHeight="1">
      <c r="A1266" s="737" t="s">
        <v>2953</v>
      </c>
      <c r="B1266" s="448" t="s">
        <v>398</v>
      </c>
      <c r="C1266" s="448" t="s">
        <v>1241</v>
      </c>
      <c r="D1266" s="535">
        <v>620</v>
      </c>
      <c r="E1266" s="535">
        <v>640</v>
      </c>
      <c r="F1266" s="535">
        <v>640</v>
      </c>
      <c r="G1266" s="70" t="s">
        <v>18</v>
      </c>
      <c r="H1266" s="417" t="s">
        <v>742</v>
      </c>
      <c r="I1266" s="379" t="s">
        <v>17</v>
      </c>
      <c r="J1266" s="37"/>
      <c r="K1266" s="50" t="s">
        <v>3906</v>
      </c>
      <c r="L1266" s="386" t="s">
        <v>653</v>
      </c>
      <c r="M1266" s="381">
        <v>43080</v>
      </c>
      <c r="N1266" s="381">
        <v>43086</v>
      </c>
      <c r="O1266" s="420"/>
      <c r="P1266" s="59" t="s">
        <v>617</v>
      </c>
      <c r="Q1266" s="7"/>
      <c r="R1266" s="384" t="s">
        <v>745</v>
      </c>
      <c r="S1266" s="316" t="s">
        <v>1178</v>
      </c>
      <c r="T1266" s="663"/>
    </row>
    <row r="1267" spans="1:20" s="377" customFormat="1" ht="20.100000000000001" customHeight="1">
      <c r="A1267" s="1195" t="s">
        <v>2953</v>
      </c>
      <c r="B1267" s="1196" t="s">
        <v>346</v>
      </c>
      <c r="C1267" s="1195" t="s">
        <v>3044</v>
      </c>
      <c r="D1267" s="11">
        <f>D1245+25+0</f>
        <v>500</v>
      </c>
      <c r="E1267" s="11">
        <f>E1245+50+0</f>
        <v>600</v>
      </c>
      <c r="F1267" s="11">
        <f>F1245+50+0</f>
        <v>600</v>
      </c>
      <c r="G1267" s="656" t="s">
        <v>51</v>
      </c>
      <c r="H1267" s="390">
        <v>1</v>
      </c>
      <c r="I1267" s="386" t="s">
        <v>17</v>
      </c>
      <c r="J1267" s="37"/>
      <c r="K1267" s="398" t="s">
        <v>1722</v>
      </c>
      <c r="L1267" s="379" t="s">
        <v>639</v>
      </c>
      <c r="M1267" s="381">
        <v>43073</v>
      </c>
      <c r="N1267" s="381">
        <v>43090</v>
      </c>
      <c r="O1267" s="410"/>
      <c r="P1267" s="14" t="s">
        <v>593</v>
      </c>
      <c r="Q1267" s="7"/>
      <c r="R1267" s="397" t="s">
        <v>180</v>
      </c>
      <c r="S1267" s="316"/>
      <c r="T1267" s="718"/>
    </row>
    <row r="1268" spans="1:20" ht="20.100000000000001" customHeight="1">
      <c r="A1268" s="1195" t="s">
        <v>2953</v>
      </c>
      <c r="B1268" s="1196" t="s">
        <v>346</v>
      </c>
      <c r="C1268" s="1196" t="s">
        <v>455</v>
      </c>
      <c r="D1268" s="32">
        <f>+D1246+0</f>
        <v>650</v>
      </c>
      <c r="E1268" s="32">
        <f t="shared" ref="E1268:F1268" si="5">+E1246+0</f>
        <v>900</v>
      </c>
      <c r="F1268" s="32">
        <f t="shared" si="5"/>
        <v>900</v>
      </c>
      <c r="G1268" s="12" t="s">
        <v>5</v>
      </c>
      <c r="H1268" s="35">
        <v>1</v>
      </c>
      <c r="I1268" s="38" t="s">
        <v>17</v>
      </c>
      <c r="J1268" s="37"/>
      <c r="K1268" s="37" t="s">
        <v>686</v>
      </c>
      <c r="L1268" s="51" t="s">
        <v>639</v>
      </c>
      <c r="M1268" s="6">
        <v>43080</v>
      </c>
      <c r="N1268" s="6">
        <v>43086</v>
      </c>
      <c r="O1268" s="61" t="s">
        <v>600</v>
      </c>
      <c r="P1268" s="59" t="s">
        <v>596</v>
      </c>
      <c r="Q1268" s="7"/>
      <c r="R1268" s="73" t="s">
        <v>1751</v>
      </c>
      <c r="S1268" s="315" t="s">
        <v>2894</v>
      </c>
      <c r="T1268" s="717"/>
    </row>
    <row r="1269" spans="1:20" s="377" customFormat="1" ht="20.100000000000001" customHeight="1">
      <c r="A1269" s="1195" t="s">
        <v>2953</v>
      </c>
      <c r="B1269" s="1196" t="s">
        <v>346</v>
      </c>
      <c r="C1269" s="1196" t="s">
        <v>455</v>
      </c>
      <c r="D1269" s="934">
        <v>500</v>
      </c>
      <c r="E1269" s="934">
        <v>600</v>
      </c>
      <c r="F1269" s="934">
        <v>600</v>
      </c>
      <c r="G1269" s="673" t="s">
        <v>6</v>
      </c>
      <c r="H1269" s="390">
        <v>1</v>
      </c>
      <c r="I1269" s="386" t="s">
        <v>17</v>
      </c>
      <c r="J1269" s="37"/>
      <c r="K1269" s="398" t="s">
        <v>686</v>
      </c>
      <c r="L1269" s="379" t="s">
        <v>639</v>
      </c>
      <c r="M1269" s="391">
        <v>43087</v>
      </c>
      <c r="N1269" s="391">
        <v>43093</v>
      </c>
      <c r="O1269" s="410"/>
      <c r="P1269" s="14"/>
      <c r="Q1269" s="7"/>
      <c r="R1269" s="397" t="s">
        <v>1747</v>
      </c>
      <c r="S1269" s="315" t="s">
        <v>2866</v>
      </c>
      <c r="T1269" s="650">
        <v>14</v>
      </c>
    </row>
    <row r="1270" spans="1:20" s="377" customFormat="1" ht="20.100000000000001" customHeight="1">
      <c r="A1270" s="1195" t="s">
        <v>2953</v>
      </c>
      <c r="B1270" s="1196" t="s">
        <v>346</v>
      </c>
      <c r="C1270" s="1196" t="s">
        <v>455</v>
      </c>
      <c r="D1270" s="32">
        <v>725</v>
      </c>
      <c r="E1270" s="32">
        <v>1050</v>
      </c>
      <c r="F1270" s="32">
        <v>1050</v>
      </c>
      <c r="G1270" s="685" t="s">
        <v>33</v>
      </c>
      <c r="H1270" s="390" t="s">
        <v>1704</v>
      </c>
      <c r="I1270" s="386" t="s">
        <v>17</v>
      </c>
      <c r="J1270" s="37"/>
      <c r="K1270" s="398" t="s">
        <v>1722</v>
      </c>
      <c r="L1270" s="379" t="s">
        <v>1707</v>
      </c>
      <c r="M1270" s="391">
        <v>43087</v>
      </c>
      <c r="N1270" s="391">
        <v>43093</v>
      </c>
      <c r="O1270" s="438"/>
      <c r="P1270" s="756" t="s">
        <v>620</v>
      </c>
      <c r="Q1270" s="7"/>
      <c r="R1270" s="397" t="s">
        <v>1708</v>
      </c>
      <c r="S1270" s="316" t="s">
        <v>1176</v>
      </c>
      <c r="T1270" s="717"/>
    </row>
    <row r="1271" spans="1:20" s="377" customFormat="1" ht="20.100000000000001" customHeight="1">
      <c r="A1271" s="1195" t="s">
        <v>2953</v>
      </c>
      <c r="B1271" s="1196" t="s">
        <v>346</v>
      </c>
      <c r="C1271" s="1196" t="s">
        <v>455</v>
      </c>
      <c r="D1271" s="32">
        <f>D1249+25</f>
        <v>475</v>
      </c>
      <c r="E1271" s="32">
        <f>E1249+50</f>
        <v>600</v>
      </c>
      <c r="F1271" s="32">
        <f>F1249+50</f>
        <v>600</v>
      </c>
      <c r="G1271" s="705" t="s">
        <v>37</v>
      </c>
      <c r="H1271" s="390" t="s">
        <v>729</v>
      </c>
      <c r="I1271" s="386" t="s">
        <v>17</v>
      </c>
      <c r="J1271" s="37"/>
      <c r="K1271" s="398" t="s">
        <v>686</v>
      </c>
      <c r="L1271" s="379" t="s">
        <v>639</v>
      </c>
      <c r="M1271" s="392">
        <v>43059</v>
      </c>
      <c r="N1271" s="392">
        <v>43065</v>
      </c>
      <c r="O1271" s="438"/>
      <c r="P1271" s="756"/>
      <c r="Q1271" s="7"/>
      <c r="R1271" s="384" t="s">
        <v>1787</v>
      </c>
      <c r="S1271" s="327" t="s">
        <v>2896</v>
      </c>
      <c r="T1271" s="717"/>
    </row>
    <row r="1272" spans="1:20" s="377" customFormat="1" ht="20.100000000000001" customHeight="1">
      <c r="A1272" s="1195" t="s">
        <v>2953</v>
      </c>
      <c r="B1272" s="1196" t="s">
        <v>346</v>
      </c>
      <c r="C1272" s="1196" t="s">
        <v>455</v>
      </c>
      <c r="D1272" s="941">
        <v>700</v>
      </c>
      <c r="E1272" s="941">
        <v>1100</v>
      </c>
      <c r="F1272" s="941">
        <v>1100</v>
      </c>
      <c r="G1272" s="66" t="s">
        <v>13</v>
      </c>
      <c r="H1272" s="390">
        <v>1</v>
      </c>
      <c r="I1272" s="386" t="s">
        <v>17</v>
      </c>
      <c r="J1272" s="37"/>
      <c r="K1272" s="398" t="s">
        <v>686</v>
      </c>
      <c r="L1272" s="379" t="s">
        <v>639</v>
      </c>
      <c r="M1272" s="404">
        <v>43087</v>
      </c>
      <c r="N1272" s="404">
        <v>43093</v>
      </c>
      <c r="O1272" s="393" t="s">
        <v>601</v>
      </c>
      <c r="P1272" s="756"/>
      <c r="Q1272" s="7"/>
      <c r="R1272" s="397" t="s">
        <v>1181</v>
      </c>
      <c r="S1272" s="316" t="s">
        <v>1176</v>
      </c>
      <c r="T1272" s="718"/>
    </row>
    <row r="1273" spans="1:20" s="377" customFormat="1" ht="20.100000000000001" customHeight="1">
      <c r="A1273" s="1195" t="s">
        <v>2953</v>
      </c>
      <c r="B1273" s="1196" t="s">
        <v>346</v>
      </c>
      <c r="C1273" s="1196" t="s">
        <v>455</v>
      </c>
      <c r="D1273" s="535">
        <v>620</v>
      </c>
      <c r="E1273" s="535">
        <v>700</v>
      </c>
      <c r="F1273" s="535">
        <v>700</v>
      </c>
      <c r="G1273" s="70" t="s">
        <v>18</v>
      </c>
      <c r="H1273" s="417" t="s">
        <v>742</v>
      </c>
      <c r="I1273" s="447" t="s">
        <v>1240</v>
      </c>
      <c r="J1273" s="50"/>
      <c r="K1273" s="380" t="s">
        <v>749</v>
      </c>
      <c r="L1273" s="386" t="s">
        <v>653</v>
      </c>
      <c r="M1273" s="381">
        <v>43080</v>
      </c>
      <c r="N1273" s="381">
        <v>43086</v>
      </c>
      <c r="O1273" s="420"/>
      <c r="P1273" s="59" t="s">
        <v>616</v>
      </c>
      <c r="Q1273" s="7"/>
      <c r="R1273" s="384" t="s">
        <v>745</v>
      </c>
      <c r="S1273" s="316" t="s">
        <v>1178</v>
      </c>
      <c r="T1273" s="717"/>
    </row>
    <row r="1274" spans="1:20" s="377" customFormat="1" ht="20.100000000000001" customHeight="1">
      <c r="A1274" s="1195" t="s">
        <v>2953</v>
      </c>
      <c r="B1274" s="1196" t="s">
        <v>346</v>
      </c>
      <c r="C1274" s="1196" t="s">
        <v>455</v>
      </c>
      <c r="D1274" s="535">
        <f>D1252+25</f>
        <v>425</v>
      </c>
      <c r="E1274" s="535">
        <f>E1252+50</f>
        <v>500</v>
      </c>
      <c r="F1274" s="535">
        <f>F1252+50</f>
        <v>500</v>
      </c>
      <c r="G1274" s="222" t="s">
        <v>19</v>
      </c>
      <c r="H1274" s="417" t="s">
        <v>742</v>
      </c>
      <c r="I1274" s="447" t="s">
        <v>127</v>
      </c>
      <c r="J1274" s="50"/>
      <c r="K1274" s="380" t="s">
        <v>684</v>
      </c>
      <c r="L1274" s="379" t="s">
        <v>643</v>
      </c>
      <c r="M1274" s="399">
        <v>43068</v>
      </c>
      <c r="N1274" s="399">
        <v>43088</v>
      </c>
      <c r="O1274" s="382" t="s">
        <v>611</v>
      </c>
      <c r="P1274" s="59"/>
      <c r="Q1274" s="52"/>
      <c r="R1274" s="397" t="s">
        <v>1772</v>
      </c>
      <c r="S1274" s="316"/>
      <c r="T1274" s="717"/>
    </row>
    <row r="1275" spans="1:20" s="377" customFormat="1" ht="20.100000000000001" customHeight="1">
      <c r="A1275" s="1195" t="s">
        <v>2953</v>
      </c>
      <c r="B1275" s="1196" t="s">
        <v>346</v>
      </c>
      <c r="C1275" s="1196" t="s">
        <v>455</v>
      </c>
      <c r="D1275" s="13">
        <v>710</v>
      </c>
      <c r="E1275" s="13">
        <v>1060</v>
      </c>
      <c r="F1275" s="13">
        <v>1060</v>
      </c>
      <c r="G1275" s="75" t="s">
        <v>28</v>
      </c>
      <c r="H1275" s="417" t="s">
        <v>2312</v>
      </c>
      <c r="I1275" s="447" t="s">
        <v>127</v>
      </c>
      <c r="J1275" s="50"/>
      <c r="K1275" s="380" t="s">
        <v>2313</v>
      </c>
      <c r="L1275" s="379" t="s">
        <v>643</v>
      </c>
      <c r="M1275" s="392">
        <v>43045</v>
      </c>
      <c r="N1275" s="392">
        <v>43086</v>
      </c>
      <c r="O1275" s="393" t="s">
        <v>601</v>
      </c>
      <c r="P1275" s="61" t="s">
        <v>2123</v>
      </c>
      <c r="Q1275" s="52"/>
      <c r="R1275" s="397" t="s">
        <v>1772</v>
      </c>
      <c r="S1275" s="315" t="s">
        <v>2930</v>
      </c>
      <c r="T1275" s="717"/>
    </row>
    <row r="1276" spans="1:20" s="377" customFormat="1" ht="20.100000000000001" customHeight="1">
      <c r="A1276" s="1195" t="s">
        <v>2953</v>
      </c>
      <c r="B1276" s="1196" t="s">
        <v>346</v>
      </c>
      <c r="C1276" s="1196" t="s">
        <v>455</v>
      </c>
      <c r="D1276" s="540">
        <f>D1255+25+0</f>
        <v>500</v>
      </c>
      <c r="E1276" s="540">
        <f>E1255+50+0</f>
        <v>600</v>
      </c>
      <c r="F1276" s="540">
        <f>F1255+50+0</f>
        <v>600</v>
      </c>
      <c r="G1276" s="656" t="s">
        <v>51</v>
      </c>
      <c r="H1276" s="401" t="s">
        <v>1723</v>
      </c>
      <c r="I1276" s="386" t="s">
        <v>17</v>
      </c>
      <c r="J1276" s="37"/>
      <c r="K1276" s="398" t="s">
        <v>728</v>
      </c>
      <c r="L1276" s="380" t="s">
        <v>639</v>
      </c>
      <c r="M1276" s="381">
        <v>43073</v>
      </c>
      <c r="N1276" s="381">
        <v>43090</v>
      </c>
      <c r="O1276" s="410"/>
      <c r="P1276" s="14" t="s">
        <v>593</v>
      </c>
      <c r="Q1276" s="683" t="s">
        <v>5433</v>
      </c>
      <c r="R1276" s="397" t="s">
        <v>1709</v>
      </c>
      <c r="S1276" s="316"/>
      <c r="T1276" s="53"/>
    </row>
    <row r="1277" spans="1:20" ht="20.100000000000001" customHeight="1">
      <c r="A1277" s="1195" t="s">
        <v>2953</v>
      </c>
      <c r="B1277" s="1196" t="s">
        <v>346</v>
      </c>
      <c r="C1277" s="1196" t="s">
        <v>455</v>
      </c>
      <c r="D1277" s="32">
        <f>D1256+50+150</f>
        <v>650</v>
      </c>
      <c r="E1277" s="32">
        <f>E1256+100+100</f>
        <v>800</v>
      </c>
      <c r="F1277" s="32">
        <f>F1256+100+100</f>
        <v>800</v>
      </c>
      <c r="G1277" s="12" t="s">
        <v>5</v>
      </c>
      <c r="H1277" s="676" t="s">
        <v>659</v>
      </c>
      <c r="I1277" s="38" t="s">
        <v>17</v>
      </c>
      <c r="J1277" s="37"/>
      <c r="K1277" s="37" t="s">
        <v>728</v>
      </c>
      <c r="L1277" s="50" t="s">
        <v>639</v>
      </c>
      <c r="M1277" s="6">
        <v>43073</v>
      </c>
      <c r="N1277" s="6">
        <v>43086</v>
      </c>
      <c r="O1277" s="675" t="s">
        <v>600</v>
      </c>
      <c r="P1277" s="59" t="s">
        <v>596</v>
      </c>
      <c r="Q1277" s="683" t="s">
        <v>5433</v>
      </c>
      <c r="R1277" s="49" t="s">
        <v>1752</v>
      </c>
      <c r="S1277" s="315" t="s">
        <v>2894</v>
      </c>
      <c r="T1277" s="53"/>
    </row>
    <row r="1278" spans="1:20" s="377" customFormat="1" ht="20.100000000000001" customHeight="1">
      <c r="A1278" s="1195" t="s">
        <v>2953</v>
      </c>
      <c r="B1278" s="1196" t="s">
        <v>346</v>
      </c>
      <c r="C1278" s="1196" t="s">
        <v>455</v>
      </c>
      <c r="D1278" s="934">
        <v>500</v>
      </c>
      <c r="E1278" s="934">
        <v>600</v>
      </c>
      <c r="F1278" s="934">
        <v>600</v>
      </c>
      <c r="G1278" s="66" t="s">
        <v>6</v>
      </c>
      <c r="H1278" s="417" t="s">
        <v>659</v>
      </c>
      <c r="I1278" s="447" t="s">
        <v>17</v>
      </c>
      <c r="J1278" s="50"/>
      <c r="K1278" s="380" t="s">
        <v>728</v>
      </c>
      <c r="L1278" s="379" t="s">
        <v>639</v>
      </c>
      <c r="M1278" s="391">
        <v>43087</v>
      </c>
      <c r="N1278" s="391">
        <v>43093</v>
      </c>
      <c r="O1278" s="439"/>
      <c r="P1278" s="74"/>
      <c r="Q1278" s="683" t="s">
        <v>5433</v>
      </c>
      <c r="R1278" s="397" t="s">
        <v>1748</v>
      </c>
      <c r="S1278" s="315" t="s">
        <v>2866</v>
      </c>
      <c r="T1278" s="650">
        <v>14</v>
      </c>
    </row>
    <row r="1279" spans="1:20" s="377" customFormat="1" ht="20.100000000000001" customHeight="1">
      <c r="A1279" s="1195" t="s">
        <v>2953</v>
      </c>
      <c r="B1279" s="1196" t="s">
        <v>346</v>
      </c>
      <c r="C1279" s="1196" t="s">
        <v>455</v>
      </c>
      <c r="D1279" s="32">
        <v>725</v>
      </c>
      <c r="E1279" s="32">
        <v>1050</v>
      </c>
      <c r="F1279" s="32">
        <v>1050</v>
      </c>
      <c r="G1279" s="70" t="s">
        <v>33</v>
      </c>
      <c r="H1279" s="417" t="s">
        <v>1705</v>
      </c>
      <c r="I1279" s="447" t="s">
        <v>17</v>
      </c>
      <c r="J1279" s="50"/>
      <c r="K1279" s="380" t="s">
        <v>1711</v>
      </c>
      <c r="L1279" s="379" t="s">
        <v>1707</v>
      </c>
      <c r="M1279" s="391">
        <v>43087</v>
      </c>
      <c r="N1279" s="391">
        <v>43093</v>
      </c>
      <c r="O1279" s="420"/>
      <c r="P1279" s="756" t="s">
        <v>620</v>
      </c>
      <c r="Q1279" s="683" t="s">
        <v>5433</v>
      </c>
      <c r="R1279" s="384" t="s">
        <v>1709</v>
      </c>
      <c r="S1279" s="316" t="s">
        <v>1176</v>
      </c>
      <c r="T1279" s="717"/>
    </row>
    <row r="1280" spans="1:20" s="377" customFormat="1" ht="20.100000000000001" customHeight="1">
      <c r="A1280" s="1195" t="s">
        <v>2953</v>
      </c>
      <c r="B1280" s="1196" t="s">
        <v>346</v>
      </c>
      <c r="C1280" s="1196" t="s">
        <v>455</v>
      </c>
      <c r="D1280" s="32">
        <f>D1259+25</f>
        <v>475</v>
      </c>
      <c r="E1280" s="32">
        <f>E1259+50</f>
        <v>600</v>
      </c>
      <c r="F1280" s="32">
        <f>F1259+50</f>
        <v>600</v>
      </c>
      <c r="G1280" s="67" t="s">
        <v>37</v>
      </c>
      <c r="H1280" s="417" t="s">
        <v>659</v>
      </c>
      <c r="I1280" s="447" t="s">
        <v>17</v>
      </c>
      <c r="J1280" s="50"/>
      <c r="K1280" s="380" t="s">
        <v>728</v>
      </c>
      <c r="L1280" s="379" t="s">
        <v>639</v>
      </c>
      <c r="M1280" s="392">
        <v>43059</v>
      </c>
      <c r="N1280" s="392">
        <v>43065</v>
      </c>
      <c r="O1280" s="420"/>
      <c r="P1280" s="756"/>
      <c r="Q1280" s="683" t="s">
        <v>5433</v>
      </c>
      <c r="R1280" s="384" t="s">
        <v>1844</v>
      </c>
      <c r="S1280" s="327" t="s">
        <v>2896</v>
      </c>
      <c r="T1280" s="717"/>
    </row>
    <row r="1281" spans="1:20" s="377" customFormat="1" ht="20.100000000000001" customHeight="1">
      <c r="A1281" s="1195" t="s">
        <v>2953</v>
      </c>
      <c r="B1281" s="1196" t="s">
        <v>346</v>
      </c>
      <c r="C1281" s="1196" t="s">
        <v>455</v>
      </c>
      <c r="D1281" s="941">
        <v>700</v>
      </c>
      <c r="E1281" s="941">
        <v>1100</v>
      </c>
      <c r="F1281" s="941">
        <v>1100</v>
      </c>
      <c r="G1281" s="63" t="s">
        <v>13</v>
      </c>
      <c r="H1281" s="417" t="s">
        <v>659</v>
      </c>
      <c r="I1281" s="447" t="s">
        <v>17</v>
      </c>
      <c r="J1281" s="50"/>
      <c r="K1281" s="380" t="s">
        <v>728</v>
      </c>
      <c r="L1281" s="379" t="s">
        <v>639</v>
      </c>
      <c r="M1281" s="404">
        <v>43087</v>
      </c>
      <c r="N1281" s="404">
        <v>43093</v>
      </c>
      <c r="O1281" s="393" t="s">
        <v>601</v>
      </c>
      <c r="P1281" s="756"/>
      <c r="Q1281" s="683" t="s">
        <v>5433</v>
      </c>
      <c r="R1281" s="397" t="s">
        <v>1822</v>
      </c>
      <c r="S1281" s="316" t="s">
        <v>1176</v>
      </c>
      <c r="T1281" s="717"/>
    </row>
    <row r="1282" spans="1:20" s="377" customFormat="1" ht="20.100000000000001" customHeight="1">
      <c r="A1282" s="1195" t="s">
        <v>2953</v>
      </c>
      <c r="B1282" s="1196" t="s">
        <v>346</v>
      </c>
      <c r="C1282" s="1196" t="s">
        <v>455</v>
      </c>
      <c r="D1282" s="941">
        <v>700</v>
      </c>
      <c r="E1282" s="941">
        <v>1100</v>
      </c>
      <c r="F1282" s="941">
        <v>1100</v>
      </c>
      <c r="G1282" s="63" t="s">
        <v>61</v>
      </c>
      <c r="H1282" s="425">
        <v>4</v>
      </c>
      <c r="I1282" s="386" t="s">
        <v>17</v>
      </c>
      <c r="J1282" s="37"/>
      <c r="K1282" s="380" t="s">
        <v>1107</v>
      </c>
      <c r="L1282" s="386" t="s">
        <v>650</v>
      </c>
      <c r="M1282" s="404">
        <v>43087</v>
      </c>
      <c r="N1282" s="404">
        <v>43093</v>
      </c>
      <c r="O1282" s="393" t="s">
        <v>601</v>
      </c>
      <c r="P1282" s="61"/>
      <c r="Q1282" s="7"/>
      <c r="R1282" s="397" t="s">
        <v>178</v>
      </c>
      <c r="S1282" s="316" t="s">
        <v>1176</v>
      </c>
      <c r="T1282" s="718"/>
    </row>
    <row r="1283" spans="1:20" s="377" customFormat="1" ht="20.100000000000001" customHeight="1">
      <c r="A1283" s="1195" t="s">
        <v>2953</v>
      </c>
      <c r="B1283" s="1196" t="s">
        <v>346</v>
      </c>
      <c r="C1283" s="1196" t="s">
        <v>455</v>
      </c>
      <c r="D1283" s="11">
        <f>D1262+0</f>
        <v>760</v>
      </c>
      <c r="E1283" s="11">
        <f t="shared" ref="E1283:F1283" si="6">E1262+0</f>
        <v>1110</v>
      </c>
      <c r="F1283" s="11">
        <f t="shared" si="6"/>
        <v>1110</v>
      </c>
      <c r="G1283" s="705" t="s">
        <v>137</v>
      </c>
      <c r="H1283" s="378" t="s">
        <v>1815</v>
      </c>
      <c r="I1283" s="379" t="s">
        <v>17</v>
      </c>
      <c r="J1283" s="50"/>
      <c r="K1283" s="380" t="s">
        <v>1819</v>
      </c>
      <c r="L1283" s="379" t="s">
        <v>641</v>
      </c>
      <c r="M1283" s="392">
        <v>43080</v>
      </c>
      <c r="N1283" s="392">
        <v>43086</v>
      </c>
      <c r="O1283" s="393" t="s">
        <v>601</v>
      </c>
      <c r="P1283" s="61" t="s">
        <v>2123</v>
      </c>
      <c r="Q1283" s="7"/>
      <c r="R1283" s="397" t="s">
        <v>1820</v>
      </c>
      <c r="S1283" s="315" t="s">
        <v>2930</v>
      </c>
      <c r="T1283" s="663"/>
    </row>
    <row r="1284" spans="1:20" s="377" customFormat="1" ht="20.100000000000001" customHeight="1">
      <c r="A1284" s="1195" t="s">
        <v>2953</v>
      </c>
      <c r="B1284" s="1196" t="s">
        <v>346</v>
      </c>
      <c r="C1284" s="1196" t="s">
        <v>455</v>
      </c>
      <c r="D1284" s="11">
        <f>D1263+25</f>
        <v>425</v>
      </c>
      <c r="E1284" s="11">
        <f>E1263+50</f>
        <v>500</v>
      </c>
      <c r="F1284" s="11">
        <f>F1263+50</f>
        <v>500</v>
      </c>
      <c r="G1284" s="222" t="s">
        <v>19</v>
      </c>
      <c r="H1284" s="378" t="s">
        <v>706</v>
      </c>
      <c r="I1284" s="379" t="s">
        <v>127</v>
      </c>
      <c r="J1284" s="50"/>
      <c r="K1284" s="380" t="s">
        <v>728</v>
      </c>
      <c r="L1284" s="379" t="s">
        <v>643</v>
      </c>
      <c r="M1284" s="399">
        <v>43068</v>
      </c>
      <c r="N1284" s="399">
        <v>43088</v>
      </c>
      <c r="O1284" s="382" t="s">
        <v>611</v>
      </c>
      <c r="P1284" s="61"/>
      <c r="Q1284" s="7"/>
      <c r="R1284" s="384" t="s">
        <v>1692</v>
      </c>
      <c r="S1284" s="322"/>
      <c r="T1284" s="663"/>
    </row>
    <row r="1285" spans="1:20" s="377" customFormat="1" ht="20.100000000000001" customHeight="1">
      <c r="A1285" s="1195" t="s">
        <v>2953</v>
      </c>
      <c r="B1285" s="1196" t="s">
        <v>346</v>
      </c>
      <c r="C1285" s="1196" t="s">
        <v>455</v>
      </c>
      <c r="D1285" s="13">
        <v>710</v>
      </c>
      <c r="E1285" s="13">
        <v>1060</v>
      </c>
      <c r="F1285" s="13">
        <v>1060</v>
      </c>
      <c r="G1285" s="75" t="s">
        <v>28</v>
      </c>
      <c r="H1285" s="378" t="s">
        <v>2314</v>
      </c>
      <c r="I1285" s="379" t="s">
        <v>127</v>
      </c>
      <c r="J1285" s="50"/>
      <c r="K1285" s="380" t="s">
        <v>2315</v>
      </c>
      <c r="L1285" s="379" t="s">
        <v>643</v>
      </c>
      <c r="M1285" s="392">
        <v>43045</v>
      </c>
      <c r="N1285" s="392">
        <v>43086</v>
      </c>
      <c r="O1285" s="393" t="s">
        <v>601</v>
      </c>
      <c r="P1285" s="61" t="s">
        <v>2123</v>
      </c>
      <c r="Q1285" s="7"/>
      <c r="R1285" s="384" t="s">
        <v>1692</v>
      </c>
      <c r="S1285" s="315" t="s">
        <v>2930</v>
      </c>
      <c r="T1285" s="663"/>
    </row>
    <row r="1286" spans="1:20" s="377" customFormat="1" ht="20.100000000000001" customHeight="1">
      <c r="A1286" s="1195" t="s">
        <v>2953</v>
      </c>
      <c r="B1286" s="1196" t="s">
        <v>66</v>
      </c>
      <c r="C1286" s="1196" t="s">
        <v>2410</v>
      </c>
      <c r="D1286" s="11">
        <f>D1245+25+0</f>
        <v>500</v>
      </c>
      <c r="E1286" s="11">
        <f>E1245+50+0</f>
        <v>600</v>
      </c>
      <c r="F1286" s="11">
        <f>F1245+50+0</f>
        <v>600</v>
      </c>
      <c r="G1286" s="656" t="s">
        <v>51</v>
      </c>
      <c r="H1286" s="390">
        <v>1</v>
      </c>
      <c r="I1286" s="386" t="s">
        <v>17</v>
      </c>
      <c r="J1286" s="37"/>
      <c r="K1286" s="398" t="s">
        <v>1721</v>
      </c>
      <c r="L1286" s="379" t="s">
        <v>639</v>
      </c>
      <c r="M1286" s="381">
        <v>43073</v>
      </c>
      <c r="N1286" s="381">
        <v>43090</v>
      </c>
      <c r="O1286" s="396"/>
      <c r="P1286" s="7"/>
      <c r="Q1286" s="7"/>
      <c r="R1286" s="397" t="s">
        <v>180</v>
      </c>
      <c r="S1286" s="316" t="s">
        <v>2931</v>
      </c>
      <c r="T1286" s="718"/>
    </row>
    <row r="1287" spans="1:20" ht="20.100000000000001" customHeight="1">
      <c r="A1287" s="1195" t="s">
        <v>2953</v>
      </c>
      <c r="B1287" s="1196" t="s">
        <v>66</v>
      </c>
      <c r="C1287" s="1196" t="s">
        <v>445</v>
      </c>
      <c r="D1287" s="32">
        <f>D1246+0</f>
        <v>650</v>
      </c>
      <c r="E1287" s="32">
        <f t="shared" ref="E1287:F1287" si="7">E1246+0</f>
        <v>900</v>
      </c>
      <c r="F1287" s="32">
        <f t="shared" si="7"/>
        <v>900</v>
      </c>
      <c r="G1287" s="12" t="s">
        <v>5</v>
      </c>
      <c r="H1287" s="35">
        <v>1</v>
      </c>
      <c r="I1287" s="38" t="s">
        <v>17</v>
      </c>
      <c r="J1287" s="37"/>
      <c r="K1287" s="37" t="s">
        <v>663</v>
      </c>
      <c r="L1287" s="51" t="s">
        <v>639</v>
      </c>
      <c r="M1287" s="6">
        <v>43080</v>
      </c>
      <c r="N1287" s="6">
        <v>43086</v>
      </c>
      <c r="O1287" s="61" t="s">
        <v>600</v>
      </c>
      <c r="P1287" s="59"/>
      <c r="Q1287" s="7"/>
      <c r="R1287" s="73" t="s">
        <v>1751</v>
      </c>
      <c r="S1287" s="315" t="s">
        <v>2894</v>
      </c>
      <c r="T1287" s="717" t="s">
        <v>2940</v>
      </c>
    </row>
    <row r="1288" spans="1:20" s="377" customFormat="1" ht="20.100000000000001" customHeight="1">
      <c r="A1288" s="1195" t="s">
        <v>2953</v>
      </c>
      <c r="B1288" s="1196" t="s">
        <v>66</v>
      </c>
      <c r="C1288" s="1196" t="s">
        <v>445</v>
      </c>
      <c r="D1288" s="934">
        <v>475</v>
      </c>
      <c r="E1288" s="934">
        <v>550</v>
      </c>
      <c r="F1288" s="934">
        <v>550</v>
      </c>
      <c r="G1288" s="673" t="s">
        <v>6</v>
      </c>
      <c r="H1288" s="390">
        <v>1</v>
      </c>
      <c r="I1288" s="386" t="s">
        <v>17</v>
      </c>
      <c r="J1288" s="37"/>
      <c r="K1288" s="398" t="s">
        <v>663</v>
      </c>
      <c r="L1288" s="379" t="s">
        <v>639</v>
      </c>
      <c r="M1288" s="391">
        <v>43087</v>
      </c>
      <c r="N1288" s="391">
        <v>43093</v>
      </c>
      <c r="O1288" s="396"/>
      <c r="P1288" s="7"/>
      <c r="Q1288" s="7"/>
      <c r="R1288" s="397" t="s">
        <v>1747</v>
      </c>
      <c r="S1288" s="315" t="s">
        <v>2866</v>
      </c>
      <c r="T1288" s="650" t="s">
        <v>2941</v>
      </c>
    </row>
    <row r="1289" spans="1:20" s="377" customFormat="1" ht="20.100000000000001" customHeight="1">
      <c r="A1289" s="1195" t="s">
        <v>2953</v>
      </c>
      <c r="B1289" s="1196" t="s">
        <v>66</v>
      </c>
      <c r="C1289" s="1196" t="s">
        <v>445</v>
      </c>
      <c r="D1289" s="32">
        <v>725</v>
      </c>
      <c r="E1289" s="32">
        <v>1050</v>
      </c>
      <c r="F1289" s="32">
        <v>1050</v>
      </c>
      <c r="G1289" s="685" t="s">
        <v>33</v>
      </c>
      <c r="H1289" s="390" t="s">
        <v>1704</v>
      </c>
      <c r="I1289" s="386" t="s">
        <v>17</v>
      </c>
      <c r="J1289" s="37"/>
      <c r="K1289" s="398" t="s">
        <v>1712</v>
      </c>
      <c r="L1289" s="379" t="s">
        <v>1707</v>
      </c>
      <c r="M1289" s="391">
        <v>43087</v>
      </c>
      <c r="N1289" s="391">
        <v>43093</v>
      </c>
      <c r="O1289" s="438"/>
      <c r="P1289" s="754"/>
      <c r="Q1289" s="7"/>
      <c r="R1289" s="397" t="s">
        <v>1708</v>
      </c>
      <c r="S1289" s="316" t="s">
        <v>1176</v>
      </c>
      <c r="T1289" s="717" t="s">
        <v>2942</v>
      </c>
    </row>
    <row r="1290" spans="1:20" s="377" customFormat="1" ht="20.100000000000001" customHeight="1">
      <c r="A1290" s="1195" t="s">
        <v>2953</v>
      </c>
      <c r="B1290" s="1196" t="s">
        <v>66</v>
      </c>
      <c r="C1290" s="1196" t="s">
        <v>445</v>
      </c>
      <c r="D1290" s="32">
        <f>D1249+25</f>
        <v>475</v>
      </c>
      <c r="E1290" s="32">
        <f>E1249+50</f>
        <v>600</v>
      </c>
      <c r="F1290" s="32">
        <f>F1249+50</f>
        <v>600</v>
      </c>
      <c r="G1290" s="705" t="s">
        <v>37</v>
      </c>
      <c r="H1290" s="390" t="s">
        <v>729</v>
      </c>
      <c r="I1290" s="386" t="s">
        <v>17</v>
      </c>
      <c r="J1290" s="37"/>
      <c r="K1290" s="398" t="s">
        <v>663</v>
      </c>
      <c r="L1290" s="379" t="s">
        <v>639</v>
      </c>
      <c r="M1290" s="392">
        <v>43059</v>
      </c>
      <c r="N1290" s="392">
        <v>43065</v>
      </c>
      <c r="O1290" s="438"/>
      <c r="P1290" s="754"/>
      <c r="Q1290" s="7"/>
      <c r="R1290" s="384" t="s">
        <v>1787</v>
      </c>
      <c r="S1290" s="327" t="s">
        <v>2896</v>
      </c>
      <c r="T1290" s="717"/>
    </row>
    <row r="1291" spans="1:20" s="377" customFormat="1" ht="20.100000000000001" customHeight="1">
      <c r="A1291" s="1195" t="s">
        <v>2953</v>
      </c>
      <c r="B1291" s="1196" t="s">
        <v>66</v>
      </c>
      <c r="C1291" s="1196" t="s">
        <v>445</v>
      </c>
      <c r="D1291" s="941">
        <v>700</v>
      </c>
      <c r="E1291" s="941">
        <v>1100</v>
      </c>
      <c r="F1291" s="941">
        <v>1100</v>
      </c>
      <c r="G1291" s="66" t="s">
        <v>13</v>
      </c>
      <c r="H1291" s="390">
        <v>1</v>
      </c>
      <c r="I1291" s="386" t="s">
        <v>17</v>
      </c>
      <c r="J1291" s="37"/>
      <c r="K1291" s="398" t="s">
        <v>663</v>
      </c>
      <c r="L1291" s="379" t="s">
        <v>639</v>
      </c>
      <c r="M1291" s="404">
        <v>43087</v>
      </c>
      <c r="N1291" s="404">
        <v>43093</v>
      </c>
      <c r="O1291" s="393" t="s">
        <v>601</v>
      </c>
      <c r="P1291" s="677"/>
      <c r="Q1291" s="7"/>
      <c r="R1291" s="397" t="s">
        <v>1181</v>
      </c>
      <c r="S1291" s="316" t="s">
        <v>1176</v>
      </c>
      <c r="T1291" s="718"/>
    </row>
    <row r="1292" spans="1:20" s="377" customFormat="1" ht="20.100000000000001" customHeight="1">
      <c r="A1292" s="1195" t="s">
        <v>2953</v>
      </c>
      <c r="B1292" s="1196" t="s">
        <v>66</v>
      </c>
      <c r="C1292" s="1196" t="s">
        <v>445</v>
      </c>
      <c r="D1292" s="13">
        <v>710</v>
      </c>
      <c r="E1292" s="13">
        <v>1060</v>
      </c>
      <c r="F1292" s="13">
        <v>1060</v>
      </c>
      <c r="G1292" s="75" t="s">
        <v>28</v>
      </c>
      <c r="H1292" s="417" t="s">
        <v>2312</v>
      </c>
      <c r="I1292" s="447" t="s">
        <v>127</v>
      </c>
      <c r="J1292" s="50"/>
      <c r="K1292" s="380" t="s">
        <v>2313</v>
      </c>
      <c r="L1292" s="379" t="s">
        <v>643</v>
      </c>
      <c r="M1292" s="392">
        <v>43074</v>
      </c>
      <c r="N1292" s="392">
        <v>43086</v>
      </c>
      <c r="O1292" s="393" t="s">
        <v>601</v>
      </c>
      <c r="P1292" s="61"/>
      <c r="Q1292" s="52"/>
      <c r="R1292" s="397" t="s">
        <v>1772</v>
      </c>
      <c r="S1292" s="315" t="s">
        <v>2930</v>
      </c>
      <c r="T1292" s="717"/>
    </row>
    <row r="1293" spans="1:20" s="377" customFormat="1" ht="20.100000000000001" customHeight="1">
      <c r="A1293" s="1195" t="s">
        <v>2953</v>
      </c>
      <c r="B1293" s="1196" t="s">
        <v>66</v>
      </c>
      <c r="C1293" s="1196" t="s">
        <v>445</v>
      </c>
      <c r="D1293" s="11">
        <f>D1262+0</f>
        <v>760</v>
      </c>
      <c r="E1293" s="11">
        <f t="shared" ref="E1293:F1293" si="8">E1262+0</f>
        <v>1110</v>
      </c>
      <c r="F1293" s="11">
        <f t="shared" si="8"/>
        <v>1110</v>
      </c>
      <c r="G1293" s="705" t="s">
        <v>137</v>
      </c>
      <c r="H1293" s="378" t="s">
        <v>1815</v>
      </c>
      <c r="I1293" s="379" t="s">
        <v>17</v>
      </c>
      <c r="J1293" s="50"/>
      <c r="K1293" s="380" t="s">
        <v>1818</v>
      </c>
      <c r="L1293" s="379" t="s">
        <v>641</v>
      </c>
      <c r="M1293" s="392">
        <v>43080</v>
      </c>
      <c r="N1293" s="392">
        <v>43086</v>
      </c>
      <c r="O1293" s="393" t="s">
        <v>601</v>
      </c>
      <c r="P1293" s="61"/>
      <c r="Q1293" s="7"/>
      <c r="R1293" s="397" t="s">
        <v>1820</v>
      </c>
      <c r="S1293" s="315" t="s">
        <v>2930</v>
      </c>
      <c r="T1293" s="663"/>
    </row>
    <row r="1294" spans="1:20" s="377" customFormat="1" ht="20.100000000000001" customHeight="1">
      <c r="A1294" s="1195" t="s">
        <v>2953</v>
      </c>
      <c r="B1294" s="1196" t="s">
        <v>66</v>
      </c>
      <c r="C1294" s="1196" t="s">
        <v>445</v>
      </c>
      <c r="D1294" s="941">
        <v>700</v>
      </c>
      <c r="E1294" s="941">
        <v>1100</v>
      </c>
      <c r="F1294" s="941">
        <v>1100</v>
      </c>
      <c r="G1294" s="63" t="s">
        <v>61</v>
      </c>
      <c r="H1294" s="425">
        <v>4</v>
      </c>
      <c r="I1294" s="386" t="s">
        <v>17</v>
      </c>
      <c r="J1294" s="37"/>
      <c r="K1294" s="380" t="s">
        <v>1108</v>
      </c>
      <c r="L1294" s="386" t="s">
        <v>650</v>
      </c>
      <c r="M1294" s="404">
        <v>43087</v>
      </c>
      <c r="N1294" s="404">
        <v>43093</v>
      </c>
      <c r="O1294" s="393" t="s">
        <v>601</v>
      </c>
      <c r="P1294" s="61"/>
      <c r="Q1294" s="7"/>
      <c r="R1294" s="397" t="s">
        <v>178</v>
      </c>
      <c r="S1294" s="316" t="s">
        <v>1176</v>
      </c>
      <c r="T1294" s="718"/>
    </row>
    <row r="1295" spans="1:20" s="377" customFormat="1" ht="20.100000000000001" customHeight="1">
      <c r="A1295" s="1195" t="s">
        <v>2953</v>
      </c>
      <c r="B1295" s="1196" t="s">
        <v>66</v>
      </c>
      <c r="C1295" s="1196" t="s">
        <v>445</v>
      </c>
      <c r="D1295" s="32">
        <v>875</v>
      </c>
      <c r="E1295" s="32">
        <v>1200</v>
      </c>
      <c r="F1295" s="32">
        <v>1200</v>
      </c>
      <c r="G1295" s="220" t="s">
        <v>19</v>
      </c>
      <c r="H1295" s="22" t="s">
        <v>3485</v>
      </c>
      <c r="I1295" s="379" t="s">
        <v>127</v>
      </c>
      <c r="J1295" s="30"/>
      <c r="K1295" s="414">
        <v>24</v>
      </c>
      <c r="L1295" s="449" t="s">
        <v>643</v>
      </c>
      <c r="M1295" s="399">
        <v>43073</v>
      </c>
      <c r="N1295" s="399">
        <v>43100</v>
      </c>
      <c r="O1295" s="382" t="s">
        <v>611</v>
      </c>
      <c r="P1295" s="74"/>
      <c r="Q1295" s="7"/>
      <c r="R1295" s="384" t="s">
        <v>2591</v>
      </c>
      <c r="S1295" s="327" t="s">
        <v>2932</v>
      </c>
      <c r="T1295" s="605"/>
    </row>
    <row r="1296" spans="1:20" s="377" customFormat="1" ht="20.100000000000001" customHeight="1">
      <c r="A1296" s="1195" t="s">
        <v>2953</v>
      </c>
      <c r="B1296" s="1196" t="s">
        <v>66</v>
      </c>
      <c r="C1296" s="1196" t="s">
        <v>445</v>
      </c>
      <c r="D1296" s="13">
        <v>710</v>
      </c>
      <c r="E1296" s="13">
        <v>1060</v>
      </c>
      <c r="F1296" s="13">
        <v>1060</v>
      </c>
      <c r="G1296" s="75" t="s">
        <v>28</v>
      </c>
      <c r="H1296" s="378" t="s">
        <v>2314</v>
      </c>
      <c r="I1296" s="379" t="s">
        <v>127</v>
      </c>
      <c r="J1296" s="50"/>
      <c r="K1296" s="380" t="s">
        <v>2315</v>
      </c>
      <c r="L1296" s="379" t="s">
        <v>643</v>
      </c>
      <c r="M1296" s="392">
        <v>43079</v>
      </c>
      <c r="N1296" s="392">
        <v>43086</v>
      </c>
      <c r="O1296" s="393" t="s">
        <v>601</v>
      </c>
      <c r="P1296" s="61"/>
      <c r="Q1296" s="7"/>
      <c r="R1296" s="384" t="s">
        <v>1692</v>
      </c>
      <c r="S1296" s="315" t="s">
        <v>2930</v>
      </c>
      <c r="T1296" s="718"/>
    </row>
    <row r="1297" spans="1:20" s="377" customFormat="1" ht="20.100000000000001" customHeight="1">
      <c r="A1297" s="1195" t="s">
        <v>2953</v>
      </c>
      <c r="B1297" s="1196" t="s">
        <v>66</v>
      </c>
      <c r="C1297" s="1196" t="s">
        <v>2374</v>
      </c>
      <c r="D1297" s="532"/>
      <c r="E1297" s="532"/>
      <c r="F1297" s="532"/>
      <c r="G1297" s="656" t="s">
        <v>51</v>
      </c>
      <c r="H1297" s="390">
        <v>1</v>
      </c>
      <c r="I1297" s="386" t="s">
        <v>131</v>
      </c>
      <c r="J1297" s="37"/>
      <c r="K1297" s="398" t="s">
        <v>1724</v>
      </c>
      <c r="L1297" s="379" t="s">
        <v>639</v>
      </c>
      <c r="M1297" s="381">
        <v>43073</v>
      </c>
      <c r="N1297" s="381">
        <v>43090</v>
      </c>
      <c r="O1297" s="396"/>
      <c r="P1297" s="7"/>
      <c r="Q1297" s="745" t="s">
        <v>3026</v>
      </c>
      <c r="R1297" s="397" t="s">
        <v>180</v>
      </c>
      <c r="S1297" s="316" t="s">
        <v>2931</v>
      </c>
      <c r="T1297" s="689"/>
    </row>
    <row r="1298" spans="1:20" ht="20.100000000000001" customHeight="1">
      <c r="A1298" s="1195" t="s">
        <v>2953</v>
      </c>
      <c r="B1298" s="1196" t="s">
        <v>66</v>
      </c>
      <c r="C1298" s="1196" t="s">
        <v>326</v>
      </c>
      <c r="D1298" s="532">
        <f>D1287+500</f>
        <v>1150</v>
      </c>
      <c r="E1298" s="532">
        <f>E1287+500</f>
        <v>1400</v>
      </c>
      <c r="F1298" s="532">
        <f>F1287+500</f>
        <v>1400</v>
      </c>
      <c r="G1298" s="12" t="s">
        <v>5</v>
      </c>
      <c r="H1298" s="35">
        <v>1</v>
      </c>
      <c r="I1298" s="38" t="s">
        <v>131</v>
      </c>
      <c r="J1298" s="37"/>
      <c r="K1298" s="37" t="s">
        <v>685</v>
      </c>
      <c r="L1298" s="51" t="s">
        <v>639</v>
      </c>
      <c r="M1298" s="6">
        <v>43080</v>
      </c>
      <c r="N1298" s="6">
        <v>43086</v>
      </c>
      <c r="O1298" s="61" t="s">
        <v>600</v>
      </c>
      <c r="P1298" s="677"/>
      <c r="Q1298" s="7"/>
      <c r="R1298" s="73" t="s">
        <v>1751</v>
      </c>
      <c r="S1298" s="315" t="s">
        <v>2894</v>
      </c>
      <c r="T1298" s="689"/>
    </row>
    <row r="1299" spans="1:20" ht="20.100000000000001" customHeight="1">
      <c r="A1299" s="737" t="s">
        <v>2953</v>
      </c>
      <c r="B1299" s="604" t="s">
        <v>66</v>
      </c>
      <c r="C1299" s="604" t="s">
        <v>823</v>
      </c>
      <c r="D1299" s="532">
        <f>D1287+500</f>
        <v>1150</v>
      </c>
      <c r="E1299" s="532">
        <f>E1287+500</f>
        <v>1400</v>
      </c>
      <c r="F1299" s="532">
        <f>F1287+500</f>
        <v>1400</v>
      </c>
      <c r="G1299" s="12" t="s">
        <v>5</v>
      </c>
      <c r="H1299" s="35">
        <v>1</v>
      </c>
      <c r="I1299" s="38" t="s">
        <v>131</v>
      </c>
      <c r="J1299" s="37"/>
      <c r="K1299" s="37" t="s">
        <v>685</v>
      </c>
      <c r="L1299" s="51" t="s">
        <v>639</v>
      </c>
      <c r="M1299" s="6">
        <v>43080</v>
      </c>
      <c r="N1299" s="6">
        <v>43086</v>
      </c>
      <c r="O1299" s="61" t="s">
        <v>600</v>
      </c>
      <c r="P1299" s="677"/>
      <c r="Q1299" s="7"/>
      <c r="R1299" s="73" t="s">
        <v>1751</v>
      </c>
      <c r="S1299" s="315" t="s">
        <v>2894</v>
      </c>
      <c r="T1299" s="689"/>
    </row>
    <row r="1300" spans="1:20" ht="20.100000000000001" customHeight="1">
      <c r="A1300" s="737" t="s">
        <v>2953</v>
      </c>
      <c r="B1300" s="604" t="s">
        <v>66</v>
      </c>
      <c r="C1300" s="604" t="s">
        <v>7</v>
      </c>
      <c r="D1300" s="532">
        <f>D1287+600</f>
        <v>1250</v>
      </c>
      <c r="E1300" s="532">
        <f>E1287+600</f>
        <v>1500</v>
      </c>
      <c r="F1300" s="532">
        <f>F1287+600</f>
        <v>1500</v>
      </c>
      <c r="G1300" s="12" t="s">
        <v>5</v>
      </c>
      <c r="H1300" s="35">
        <v>1</v>
      </c>
      <c r="I1300" s="38" t="s">
        <v>131</v>
      </c>
      <c r="J1300" s="37"/>
      <c r="K1300" s="37" t="s">
        <v>685</v>
      </c>
      <c r="L1300" s="51" t="s">
        <v>639</v>
      </c>
      <c r="M1300" s="6">
        <v>43080</v>
      </c>
      <c r="N1300" s="6">
        <v>43086</v>
      </c>
      <c r="O1300" s="61" t="s">
        <v>600</v>
      </c>
      <c r="P1300" s="677"/>
      <c r="Q1300" s="7"/>
      <c r="R1300" s="73" t="s">
        <v>1751</v>
      </c>
      <c r="S1300" s="315" t="s">
        <v>2894</v>
      </c>
      <c r="T1300" s="689"/>
    </row>
    <row r="1301" spans="1:20" ht="20.100000000000001" customHeight="1">
      <c r="A1301" s="737" t="s">
        <v>2953</v>
      </c>
      <c r="B1301" s="604" t="s">
        <v>66</v>
      </c>
      <c r="C1301" s="604" t="s">
        <v>487</v>
      </c>
      <c r="D1301" s="540">
        <f>D1287+600</f>
        <v>1250</v>
      </c>
      <c r="E1301" s="540">
        <f>E1287+600</f>
        <v>1500</v>
      </c>
      <c r="F1301" s="540">
        <f>F1287+600</f>
        <v>1500</v>
      </c>
      <c r="G1301" s="12" t="s">
        <v>5</v>
      </c>
      <c r="H1301" s="35">
        <v>1</v>
      </c>
      <c r="I1301" s="38" t="s">
        <v>131</v>
      </c>
      <c r="J1301" s="37"/>
      <c r="K1301" s="37" t="s">
        <v>685</v>
      </c>
      <c r="L1301" s="51" t="s">
        <v>639</v>
      </c>
      <c r="M1301" s="6">
        <v>43080</v>
      </c>
      <c r="N1301" s="6">
        <v>43086</v>
      </c>
      <c r="O1301" s="61" t="s">
        <v>600</v>
      </c>
      <c r="P1301" s="60"/>
      <c r="Q1301" s="7"/>
      <c r="R1301" s="73" t="s">
        <v>1751</v>
      </c>
      <c r="S1301" s="315" t="s">
        <v>2894</v>
      </c>
      <c r="T1301" s="689"/>
    </row>
    <row r="1302" spans="1:20" ht="20.100000000000001" customHeight="1">
      <c r="A1302" s="737" t="s">
        <v>2953</v>
      </c>
      <c r="B1302" s="604" t="s">
        <v>66</v>
      </c>
      <c r="C1302" s="604" t="s">
        <v>8</v>
      </c>
      <c r="D1302" s="11">
        <f>D1287+550</f>
        <v>1200</v>
      </c>
      <c r="E1302" s="11">
        <f>E1287+550</f>
        <v>1450</v>
      </c>
      <c r="F1302" s="11">
        <f>F1287+550</f>
        <v>1450</v>
      </c>
      <c r="G1302" s="12" t="s">
        <v>5</v>
      </c>
      <c r="H1302" s="35">
        <v>1</v>
      </c>
      <c r="I1302" s="38" t="s">
        <v>131</v>
      </c>
      <c r="J1302" s="37"/>
      <c r="K1302" s="37" t="s">
        <v>685</v>
      </c>
      <c r="L1302" s="51" t="s">
        <v>639</v>
      </c>
      <c r="M1302" s="6">
        <v>43080</v>
      </c>
      <c r="N1302" s="6">
        <v>43086</v>
      </c>
      <c r="O1302" s="61" t="s">
        <v>600</v>
      </c>
      <c r="P1302" s="61"/>
      <c r="Q1302" s="7"/>
      <c r="R1302" s="73" t="s">
        <v>1751</v>
      </c>
      <c r="S1302" s="315" t="s">
        <v>2894</v>
      </c>
      <c r="T1302" s="689"/>
    </row>
    <row r="1303" spans="1:20" ht="20.100000000000001" customHeight="1">
      <c r="A1303" s="1200" t="s">
        <v>2953</v>
      </c>
      <c r="B1303" s="1203" t="s">
        <v>414</v>
      </c>
      <c r="C1303" s="1203" t="s">
        <v>2582</v>
      </c>
      <c r="D1303" s="11">
        <v>1150</v>
      </c>
      <c r="E1303" s="11">
        <v>1700</v>
      </c>
      <c r="F1303" s="11">
        <v>1700</v>
      </c>
      <c r="G1303" s="70" t="s">
        <v>5</v>
      </c>
      <c r="H1303" s="35">
        <v>1</v>
      </c>
      <c r="I1303" s="114" t="s">
        <v>127</v>
      </c>
      <c r="J1303" s="51"/>
      <c r="K1303" s="50" t="s">
        <v>688</v>
      </c>
      <c r="L1303" s="50" t="s">
        <v>639</v>
      </c>
      <c r="M1303" s="6">
        <v>43066</v>
      </c>
      <c r="N1303" s="6">
        <v>43086</v>
      </c>
      <c r="O1303" s="61" t="s">
        <v>600</v>
      </c>
      <c r="P1303" s="61" t="s">
        <v>605</v>
      </c>
      <c r="Q1303" s="7"/>
      <c r="R1303" s="73" t="s">
        <v>1751</v>
      </c>
      <c r="S1303" s="315" t="s">
        <v>2894</v>
      </c>
      <c r="T1303" s="689"/>
    </row>
    <row r="1304" spans="1:20" s="377" customFormat="1" ht="20.100000000000001" customHeight="1">
      <c r="A1304" s="1201" t="s">
        <v>2953</v>
      </c>
      <c r="B1304" s="1204" t="s">
        <v>414</v>
      </c>
      <c r="C1304" s="1204" t="s">
        <v>498</v>
      </c>
      <c r="D1304" s="536">
        <v>1050</v>
      </c>
      <c r="E1304" s="536">
        <v>1750</v>
      </c>
      <c r="F1304" s="536">
        <v>1750</v>
      </c>
      <c r="G1304" s="70" t="s">
        <v>37</v>
      </c>
      <c r="H1304" s="390">
        <v>1</v>
      </c>
      <c r="I1304" s="447" t="s">
        <v>127</v>
      </c>
      <c r="J1304" s="51"/>
      <c r="K1304" s="380" t="s">
        <v>688</v>
      </c>
      <c r="L1304" s="380" t="s">
        <v>639</v>
      </c>
      <c r="M1304" s="392">
        <v>43059</v>
      </c>
      <c r="N1304" s="392">
        <v>43065</v>
      </c>
      <c r="O1304" s="388"/>
      <c r="P1304" s="53" t="s">
        <v>3004</v>
      </c>
      <c r="Q1304" s="7"/>
      <c r="R1304" s="384" t="s">
        <v>1787</v>
      </c>
      <c r="S1304" s="327" t="s">
        <v>2896</v>
      </c>
      <c r="T1304" s="689"/>
    </row>
    <row r="1305" spans="1:20" s="377" customFormat="1" ht="20.100000000000001" customHeight="1">
      <c r="A1305" s="1201" t="s">
        <v>2953</v>
      </c>
      <c r="B1305" s="1204" t="s">
        <v>414</v>
      </c>
      <c r="C1305" s="1204" t="s">
        <v>498</v>
      </c>
      <c r="D1305" s="934">
        <v>950</v>
      </c>
      <c r="E1305" s="934">
        <v>1600</v>
      </c>
      <c r="F1305" s="934">
        <v>1600</v>
      </c>
      <c r="G1305" s="63" t="s">
        <v>13</v>
      </c>
      <c r="H1305" s="390">
        <v>1</v>
      </c>
      <c r="I1305" s="386" t="s">
        <v>127</v>
      </c>
      <c r="J1305" s="37"/>
      <c r="K1305" s="398" t="s">
        <v>688</v>
      </c>
      <c r="L1305" s="379" t="s">
        <v>639</v>
      </c>
      <c r="M1305" s="404">
        <v>43087</v>
      </c>
      <c r="N1305" s="404">
        <v>43093</v>
      </c>
      <c r="O1305" s="393" t="s">
        <v>601</v>
      </c>
      <c r="P1305" s="105"/>
      <c r="Q1305" s="7"/>
      <c r="R1305" s="397" t="s">
        <v>1181</v>
      </c>
      <c r="S1305" s="316" t="s">
        <v>1176</v>
      </c>
      <c r="T1305" s="689"/>
    </row>
    <row r="1306" spans="1:20" s="377" customFormat="1" ht="20.100000000000001" customHeight="1">
      <c r="A1306" s="1201" t="s">
        <v>2953</v>
      </c>
      <c r="B1306" s="1204" t="s">
        <v>414</v>
      </c>
      <c r="C1306" s="1204" t="s">
        <v>498</v>
      </c>
      <c r="D1306" s="536">
        <f>D1252+250</f>
        <v>650</v>
      </c>
      <c r="E1306" s="536">
        <f>E1252+500</f>
        <v>950</v>
      </c>
      <c r="F1306" s="536">
        <f>F1252+500</f>
        <v>950</v>
      </c>
      <c r="G1306" s="222" t="s">
        <v>19</v>
      </c>
      <c r="H1306" s="378" t="s">
        <v>742</v>
      </c>
      <c r="I1306" s="380" t="s">
        <v>127</v>
      </c>
      <c r="J1306" s="24"/>
      <c r="K1306" s="398" t="s">
        <v>663</v>
      </c>
      <c r="L1306" s="386" t="s">
        <v>643</v>
      </c>
      <c r="M1306" s="399">
        <v>43068</v>
      </c>
      <c r="N1306" s="399">
        <v>43088</v>
      </c>
      <c r="O1306" s="382" t="s">
        <v>611</v>
      </c>
      <c r="P1306" s="105"/>
      <c r="Q1306" s="52"/>
      <c r="R1306" s="397" t="s">
        <v>1772</v>
      </c>
      <c r="S1306" s="316"/>
      <c r="T1306" s="689"/>
    </row>
    <row r="1307" spans="1:20" s="377" customFormat="1" ht="20.100000000000001" customHeight="1">
      <c r="A1307" s="1201" t="s">
        <v>2953</v>
      </c>
      <c r="B1307" s="1204" t="s">
        <v>414</v>
      </c>
      <c r="C1307" s="1204" t="s">
        <v>498</v>
      </c>
      <c r="D1307" s="11">
        <v>1160</v>
      </c>
      <c r="E1307" s="11">
        <v>1810</v>
      </c>
      <c r="F1307" s="11">
        <v>1810</v>
      </c>
      <c r="G1307" s="75" t="s">
        <v>28</v>
      </c>
      <c r="H1307" s="378" t="s">
        <v>1900</v>
      </c>
      <c r="I1307" s="380" t="s">
        <v>127</v>
      </c>
      <c r="J1307" s="24"/>
      <c r="K1307" s="398" t="s">
        <v>663</v>
      </c>
      <c r="L1307" s="386" t="s">
        <v>643</v>
      </c>
      <c r="M1307" s="392">
        <v>43039</v>
      </c>
      <c r="N1307" s="392">
        <v>43086</v>
      </c>
      <c r="O1307" s="393" t="s">
        <v>601</v>
      </c>
      <c r="P1307" s="61" t="s">
        <v>1527</v>
      </c>
      <c r="Q1307" s="52"/>
      <c r="R1307" s="397" t="s">
        <v>1881</v>
      </c>
      <c r="S1307" s="315" t="s">
        <v>2930</v>
      </c>
      <c r="T1307" s="689"/>
    </row>
    <row r="1308" spans="1:20" s="377" customFormat="1" ht="20.100000000000001" customHeight="1">
      <c r="A1308" s="1201" t="s">
        <v>2953</v>
      </c>
      <c r="B1308" s="1204" t="s">
        <v>414</v>
      </c>
      <c r="C1308" s="1204" t="s">
        <v>498</v>
      </c>
      <c r="D1308" s="11"/>
      <c r="E1308" s="11"/>
      <c r="F1308" s="11"/>
      <c r="G1308" s="673" t="s">
        <v>6</v>
      </c>
      <c r="H1308" s="401" t="s">
        <v>659</v>
      </c>
      <c r="I1308" s="380" t="s">
        <v>127</v>
      </c>
      <c r="J1308" s="37"/>
      <c r="K1308" s="398" t="s">
        <v>686</v>
      </c>
      <c r="L1308" s="398" t="s">
        <v>639</v>
      </c>
      <c r="M1308" s="391">
        <v>43059</v>
      </c>
      <c r="N1308" s="391">
        <v>43093</v>
      </c>
      <c r="O1308" s="393"/>
      <c r="P1308" s="61"/>
      <c r="Q1308" s="683" t="s">
        <v>5433</v>
      </c>
      <c r="R1308" s="397" t="s">
        <v>1748</v>
      </c>
      <c r="S1308" s="315" t="s">
        <v>2866</v>
      </c>
      <c r="T1308" s="689"/>
    </row>
    <row r="1309" spans="1:20" s="377" customFormat="1" ht="20.100000000000001" customHeight="1">
      <c r="A1309" s="1201" t="s">
        <v>2953</v>
      </c>
      <c r="B1309" s="1204" t="s">
        <v>414</v>
      </c>
      <c r="C1309" s="1204" t="s">
        <v>2495</v>
      </c>
      <c r="D1309" s="540">
        <f>D1255+600-150</f>
        <v>925</v>
      </c>
      <c r="E1309" s="540">
        <f>E1255+1200-500</f>
        <v>1250</v>
      </c>
      <c r="F1309" s="540">
        <f>F1255+1200-500</f>
        <v>1250</v>
      </c>
      <c r="G1309" s="656" t="s">
        <v>51</v>
      </c>
      <c r="H1309" s="401" t="s">
        <v>1723</v>
      </c>
      <c r="I1309" s="380" t="s">
        <v>127</v>
      </c>
      <c r="J1309" s="37"/>
      <c r="K1309" s="398" t="s">
        <v>686</v>
      </c>
      <c r="L1309" s="380" t="s">
        <v>639</v>
      </c>
      <c r="M1309" s="381">
        <v>43073</v>
      </c>
      <c r="N1309" s="381">
        <v>43090</v>
      </c>
      <c r="O1309" s="393"/>
      <c r="P1309" s="61"/>
      <c r="Q1309" s="683" t="s">
        <v>5433</v>
      </c>
      <c r="R1309" s="397" t="s">
        <v>1709</v>
      </c>
      <c r="S1309" s="316"/>
      <c r="T1309" s="689"/>
    </row>
    <row r="1310" spans="1:20" ht="20.100000000000001" customHeight="1">
      <c r="A1310" s="1201" t="s">
        <v>2953</v>
      </c>
      <c r="B1310" s="1204" t="s">
        <v>414</v>
      </c>
      <c r="C1310" s="1204" t="s">
        <v>498</v>
      </c>
      <c r="D1310" s="11">
        <v>1150</v>
      </c>
      <c r="E1310" s="11">
        <v>1700</v>
      </c>
      <c r="F1310" s="11">
        <v>1700</v>
      </c>
      <c r="G1310" s="70" t="s">
        <v>214</v>
      </c>
      <c r="H1310" s="676" t="s">
        <v>659</v>
      </c>
      <c r="I1310" s="114" t="s">
        <v>127</v>
      </c>
      <c r="J1310" s="37"/>
      <c r="K1310" s="37" t="s">
        <v>686</v>
      </c>
      <c r="L1310" s="50" t="s">
        <v>639</v>
      </c>
      <c r="M1310" s="6">
        <v>43073</v>
      </c>
      <c r="N1310" s="6">
        <v>43086</v>
      </c>
      <c r="O1310" s="61" t="s">
        <v>600</v>
      </c>
      <c r="P1310" s="61" t="s">
        <v>605</v>
      </c>
      <c r="Q1310" s="683" t="s">
        <v>5433</v>
      </c>
      <c r="R1310" s="49" t="s">
        <v>1752</v>
      </c>
      <c r="S1310" s="315" t="s">
        <v>2894</v>
      </c>
      <c r="T1310" s="689"/>
    </row>
    <row r="1311" spans="1:20" s="377" customFormat="1" ht="20.100000000000001" customHeight="1">
      <c r="A1311" s="1201" t="s">
        <v>2953</v>
      </c>
      <c r="B1311" s="1204" t="s">
        <v>414</v>
      </c>
      <c r="C1311" s="1204" t="s">
        <v>2495</v>
      </c>
      <c r="D1311" s="536">
        <v>1125</v>
      </c>
      <c r="E1311" s="536">
        <v>1750</v>
      </c>
      <c r="F1311" s="536">
        <v>1750</v>
      </c>
      <c r="G1311" s="685" t="s">
        <v>33</v>
      </c>
      <c r="H1311" s="390" t="s">
        <v>1705</v>
      </c>
      <c r="I1311" s="447" t="s">
        <v>127</v>
      </c>
      <c r="J1311" s="50"/>
      <c r="K1311" s="380" t="s">
        <v>1713</v>
      </c>
      <c r="L1311" s="379" t="s">
        <v>1707</v>
      </c>
      <c r="M1311" s="391">
        <v>43087</v>
      </c>
      <c r="N1311" s="391">
        <v>43093</v>
      </c>
      <c r="O1311" s="420"/>
      <c r="P1311" s="59"/>
      <c r="Q1311" s="683" t="s">
        <v>5433</v>
      </c>
      <c r="R1311" s="384" t="s">
        <v>1709</v>
      </c>
      <c r="S1311" s="316" t="s">
        <v>1176</v>
      </c>
      <c r="T1311" s="689"/>
    </row>
    <row r="1312" spans="1:20" s="377" customFormat="1" ht="20.100000000000001" customHeight="1">
      <c r="A1312" s="1201" t="s">
        <v>2953</v>
      </c>
      <c r="B1312" s="1204" t="s">
        <v>414</v>
      </c>
      <c r="C1312" s="1204" t="s">
        <v>2495</v>
      </c>
      <c r="D1312" s="536">
        <v>1050</v>
      </c>
      <c r="E1312" s="536">
        <v>1750</v>
      </c>
      <c r="F1312" s="536">
        <v>1750</v>
      </c>
      <c r="G1312" s="70" t="s">
        <v>37</v>
      </c>
      <c r="H1312" s="390" t="s">
        <v>659</v>
      </c>
      <c r="I1312" s="447" t="s">
        <v>127</v>
      </c>
      <c r="J1312" s="50"/>
      <c r="K1312" s="380" t="s">
        <v>686</v>
      </c>
      <c r="L1312" s="379" t="s">
        <v>639</v>
      </c>
      <c r="M1312" s="392">
        <v>43059</v>
      </c>
      <c r="N1312" s="392">
        <v>43065</v>
      </c>
      <c r="O1312" s="420"/>
      <c r="P1312" s="53" t="s">
        <v>3004</v>
      </c>
      <c r="Q1312" s="683" t="s">
        <v>5433</v>
      </c>
      <c r="R1312" s="384" t="s">
        <v>1844</v>
      </c>
      <c r="S1312" s="327" t="s">
        <v>2896</v>
      </c>
      <c r="T1312" s="689"/>
    </row>
    <row r="1313" spans="1:20" s="377" customFormat="1" ht="20.100000000000001" customHeight="1">
      <c r="A1313" s="1201" t="s">
        <v>2953</v>
      </c>
      <c r="B1313" s="1204" t="s">
        <v>414</v>
      </c>
      <c r="C1313" s="1204" t="s">
        <v>2495</v>
      </c>
      <c r="D1313" s="934">
        <v>950</v>
      </c>
      <c r="E1313" s="934">
        <v>1600</v>
      </c>
      <c r="F1313" s="934">
        <v>1600</v>
      </c>
      <c r="G1313" s="63" t="s">
        <v>61</v>
      </c>
      <c r="H1313" s="390" t="s">
        <v>659</v>
      </c>
      <c r="I1313" s="386" t="s">
        <v>127</v>
      </c>
      <c r="J1313" s="50"/>
      <c r="K1313" s="380" t="s">
        <v>686</v>
      </c>
      <c r="L1313" s="379" t="s">
        <v>639</v>
      </c>
      <c r="M1313" s="404">
        <v>43087</v>
      </c>
      <c r="N1313" s="404">
        <v>43093</v>
      </c>
      <c r="O1313" s="393" t="s">
        <v>601</v>
      </c>
      <c r="P1313" s="61"/>
      <c r="Q1313" s="683" t="s">
        <v>5433</v>
      </c>
      <c r="R1313" s="397" t="s">
        <v>1822</v>
      </c>
      <c r="S1313" s="316" t="s">
        <v>1176</v>
      </c>
      <c r="T1313" s="689"/>
    </row>
    <row r="1314" spans="1:20" s="377" customFormat="1" ht="20.100000000000001" customHeight="1">
      <c r="A1314" s="1201" t="s">
        <v>2953</v>
      </c>
      <c r="B1314" s="1204" t="s">
        <v>414</v>
      </c>
      <c r="C1314" s="1204" t="s">
        <v>498</v>
      </c>
      <c r="D1314" s="535">
        <f>675*1.3</f>
        <v>877.5</v>
      </c>
      <c r="E1314" s="535">
        <f>1050*1.3</f>
        <v>1365</v>
      </c>
      <c r="F1314" s="535">
        <f>1050*1.3</f>
        <v>1365</v>
      </c>
      <c r="G1314" s="70" t="s">
        <v>18</v>
      </c>
      <c r="H1314" s="417" t="s">
        <v>1271</v>
      </c>
      <c r="I1314" s="379" t="s">
        <v>1</v>
      </c>
      <c r="J1314" s="50"/>
      <c r="K1314" s="380" t="s">
        <v>1272</v>
      </c>
      <c r="L1314" s="386" t="s">
        <v>653</v>
      </c>
      <c r="M1314" s="381">
        <v>43080</v>
      </c>
      <c r="N1314" s="381">
        <v>43100</v>
      </c>
      <c r="O1314" s="420"/>
      <c r="P1314" s="59"/>
      <c r="Q1314" s="762"/>
      <c r="R1314" s="442" t="s">
        <v>1274</v>
      </c>
      <c r="S1314" s="316" t="s">
        <v>1178</v>
      </c>
      <c r="T1314" s="689"/>
    </row>
    <row r="1315" spans="1:20" s="377" customFormat="1" ht="20.100000000000001" customHeight="1">
      <c r="A1315" s="1201" t="s">
        <v>2953</v>
      </c>
      <c r="B1315" s="1204" t="s">
        <v>414</v>
      </c>
      <c r="C1315" s="1204" t="s">
        <v>498</v>
      </c>
      <c r="D1315" s="536">
        <f>D1263+250</f>
        <v>650</v>
      </c>
      <c r="E1315" s="536">
        <f>E1263+500</f>
        <v>950</v>
      </c>
      <c r="F1315" s="536">
        <f>F1263+500</f>
        <v>950</v>
      </c>
      <c r="G1315" s="222" t="s">
        <v>19</v>
      </c>
      <c r="H1315" s="425" t="s">
        <v>706</v>
      </c>
      <c r="I1315" s="398" t="s">
        <v>127</v>
      </c>
      <c r="J1315" s="37"/>
      <c r="K1315" s="398" t="s">
        <v>680</v>
      </c>
      <c r="L1315" s="386" t="s">
        <v>643</v>
      </c>
      <c r="M1315" s="399">
        <v>43068</v>
      </c>
      <c r="N1315" s="399">
        <v>43088</v>
      </c>
      <c r="O1315" s="382" t="s">
        <v>611</v>
      </c>
      <c r="P1315" s="61"/>
      <c r="Q1315" s="7"/>
      <c r="R1315" s="384" t="s">
        <v>1692</v>
      </c>
      <c r="S1315" s="322"/>
      <c r="T1315" s="689"/>
    </row>
    <row r="1316" spans="1:20" s="377" customFormat="1" ht="20.100000000000001" customHeight="1">
      <c r="A1316" s="1202" t="s">
        <v>2953</v>
      </c>
      <c r="B1316" s="1205" t="s">
        <v>414</v>
      </c>
      <c r="C1316" s="1205" t="s">
        <v>498</v>
      </c>
      <c r="D1316" s="11">
        <v>1160</v>
      </c>
      <c r="E1316" s="11">
        <v>1810</v>
      </c>
      <c r="F1316" s="11">
        <v>1810</v>
      </c>
      <c r="G1316" s="75" t="s">
        <v>28</v>
      </c>
      <c r="H1316" s="425" t="s">
        <v>1773</v>
      </c>
      <c r="I1316" s="398" t="s">
        <v>127</v>
      </c>
      <c r="J1316" s="37"/>
      <c r="K1316" s="398" t="s">
        <v>1784</v>
      </c>
      <c r="L1316" s="386" t="s">
        <v>643</v>
      </c>
      <c r="M1316" s="392">
        <v>43039</v>
      </c>
      <c r="N1316" s="392">
        <v>43086</v>
      </c>
      <c r="O1316" s="393" t="s">
        <v>601</v>
      </c>
      <c r="P1316" s="61" t="s">
        <v>1527</v>
      </c>
      <c r="Q1316" s="7"/>
      <c r="R1316" s="384" t="s">
        <v>1786</v>
      </c>
      <c r="S1316" s="315" t="s">
        <v>2930</v>
      </c>
      <c r="T1316" s="689"/>
    </row>
    <row r="1317" spans="1:20" s="377" customFormat="1" ht="20.100000000000001" customHeight="1">
      <c r="A1317" s="1200" t="s">
        <v>2953</v>
      </c>
      <c r="B1317" s="1203" t="s">
        <v>415</v>
      </c>
      <c r="C1317" s="1200" t="s">
        <v>3045</v>
      </c>
      <c r="D1317" s="893">
        <v>1435</v>
      </c>
      <c r="E1317" s="893">
        <v>2560</v>
      </c>
      <c r="F1317" s="893">
        <v>2560</v>
      </c>
      <c r="G1317" s="685" t="s">
        <v>6</v>
      </c>
      <c r="H1317" s="390">
        <v>1</v>
      </c>
      <c r="I1317" s="447" t="s">
        <v>127</v>
      </c>
      <c r="J1317" s="51"/>
      <c r="K1317" s="380" t="s">
        <v>685</v>
      </c>
      <c r="L1317" s="398" t="s">
        <v>639</v>
      </c>
      <c r="M1317" s="391">
        <v>43087</v>
      </c>
      <c r="N1317" s="391">
        <v>43093</v>
      </c>
      <c r="O1317" s="393"/>
      <c r="P1317" s="61"/>
      <c r="Q1317" s="167" t="s">
        <v>3319</v>
      </c>
      <c r="R1317" s="397" t="s">
        <v>1747</v>
      </c>
      <c r="S1317" s="315" t="s">
        <v>2866</v>
      </c>
      <c r="T1317" s="650">
        <v>14</v>
      </c>
    </row>
    <row r="1318" spans="1:20" ht="20.100000000000001" customHeight="1">
      <c r="A1318" s="1201" t="s">
        <v>2953</v>
      </c>
      <c r="B1318" s="1204" t="s">
        <v>415</v>
      </c>
      <c r="C1318" s="1204" t="s">
        <v>446</v>
      </c>
      <c r="D1318" s="535">
        <v>1650</v>
      </c>
      <c r="E1318" s="535">
        <v>2700</v>
      </c>
      <c r="F1318" s="535">
        <v>2700</v>
      </c>
      <c r="G1318" s="685" t="s">
        <v>5</v>
      </c>
      <c r="H1318" s="35">
        <v>1</v>
      </c>
      <c r="I1318" s="114" t="s">
        <v>127</v>
      </c>
      <c r="J1318" s="51"/>
      <c r="K1318" s="50" t="s">
        <v>685</v>
      </c>
      <c r="L1318" s="50" t="s">
        <v>639</v>
      </c>
      <c r="M1318" s="6">
        <v>43073</v>
      </c>
      <c r="N1318" s="6">
        <v>43086</v>
      </c>
      <c r="O1318" s="61" t="s">
        <v>600</v>
      </c>
      <c r="P1318" s="59"/>
      <c r="Q1318" s="167"/>
      <c r="R1318" s="73" t="s">
        <v>1751</v>
      </c>
      <c r="S1318" s="315" t="s">
        <v>2894</v>
      </c>
      <c r="T1318" s="650"/>
    </row>
    <row r="1319" spans="1:20" s="377" customFormat="1" ht="20.100000000000001" customHeight="1">
      <c r="A1319" s="1201" t="s">
        <v>2953</v>
      </c>
      <c r="B1319" s="1204" t="s">
        <v>415</v>
      </c>
      <c r="C1319" s="1204" t="s">
        <v>446</v>
      </c>
      <c r="D1319" s="535">
        <v>1350</v>
      </c>
      <c r="E1319" s="535">
        <v>2300</v>
      </c>
      <c r="F1319" s="535">
        <v>2300</v>
      </c>
      <c r="G1319" s="219" t="s">
        <v>51</v>
      </c>
      <c r="H1319" s="390">
        <v>1</v>
      </c>
      <c r="I1319" s="447" t="s">
        <v>127</v>
      </c>
      <c r="J1319" s="51"/>
      <c r="K1319" s="380" t="s">
        <v>685</v>
      </c>
      <c r="L1319" s="398" t="s">
        <v>639</v>
      </c>
      <c r="M1319" s="381">
        <v>43067</v>
      </c>
      <c r="N1319" s="381">
        <v>43090</v>
      </c>
      <c r="O1319" s="388"/>
      <c r="P1319" s="61"/>
      <c r="Q1319" s="167" t="s">
        <v>3319</v>
      </c>
      <c r="R1319" s="397" t="s">
        <v>180</v>
      </c>
      <c r="S1319" s="316"/>
      <c r="T1319" s="680"/>
    </row>
    <row r="1320" spans="1:20" s="377" customFormat="1" ht="20.100000000000001" customHeight="1">
      <c r="A1320" s="1201" t="s">
        <v>2953</v>
      </c>
      <c r="B1320" s="1204" t="s">
        <v>415</v>
      </c>
      <c r="C1320" s="1204" t="s">
        <v>446</v>
      </c>
      <c r="D1320" s="535"/>
      <c r="E1320" s="535"/>
      <c r="F1320" s="535"/>
      <c r="G1320" s="685" t="s">
        <v>33</v>
      </c>
      <c r="H1320" s="390" t="s">
        <v>1704</v>
      </c>
      <c r="I1320" s="447" t="s">
        <v>127</v>
      </c>
      <c r="J1320" s="51"/>
      <c r="K1320" s="380" t="s">
        <v>685</v>
      </c>
      <c r="L1320" s="398" t="s">
        <v>639</v>
      </c>
      <c r="M1320" s="391">
        <v>43045</v>
      </c>
      <c r="N1320" s="391">
        <v>43093</v>
      </c>
      <c r="O1320" s="438"/>
      <c r="P1320" s="754"/>
      <c r="Q1320" s="7"/>
      <c r="R1320" s="397" t="s">
        <v>1708</v>
      </c>
      <c r="S1320" s="316" t="s">
        <v>1176</v>
      </c>
      <c r="T1320" s="680"/>
    </row>
    <row r="1321" spans="1:20" s="377" customFormat="1" ht="20.100000000000001" customHeight="1">
      <c r="A1321" s="1201" t="s">
        <v>2953</v>
      </c>
      <c r="B1321" s="1204" t="s">
        <v>415</v>
      </c>
      <c r="C1321" s="1204" t="s">
        <v>446</v>
      </c>
      <c r="D1321" s="535">
        <f>D1252+350+300+154.4</f>
        <v>1204.4000000000001</v>
      </c>
      <c r="E1321" s="535">
        <f>E1252+700+600+205.9</f>
        <v>1955.9</v>
      </c>
      <c r="F1321" s="535">
        <f>F1252+700+600+205.9</f>
        <v>1955.9</v>
      </c>
      <c r="G1321" s="222" t="s">
        <v>19</v>
      </c>
      <c r="H1321" s="378" t="s">
        <v>742</v>
      </c>
      <c r="I1321" s="380" t="s">
        <v>127</v>
      </c>
      <c r="J1321" s="24"/>
      <c r="K1321" s="398" t="s">
        <v>685</v>
      </c>
      <c r="L1321" s="386" t="s">
        <v>643</v>
      </c>
      <c r="M1321" s="399">
        <v>43068</v>
      </c>
      <c r="N1321" s="399">
        <v>43088</v>
      </c>
      <c r="O1321" s="382" t="s">
        <v>611</v>
      </c>
      <c r="P1321" s="7" t="s">
        <v>4073</v>
      </c>
      <c r="Q1321" s="171"/>
      <c r="R1321" s="397" t="s">
        <v>1772</v>
      </c>
      <c r="S1321" s="316"/>
      <c r="T1321" s="680"/>
    </row>
    <row r="1322" spans="1:20" s="377" customFormat="1" ht="20.100000000000001" customHeight="1">
      <c r="A1322" s="1201" t="s">
        <v>2953</v>
      </c>
      <c r="B1322" s="1204" t="s">
        <v>415</v>
      </c>
      <c r="C1322" s="1204" t="s">
        <v>446</v>
      </c>
      <c r="D1322" s="535">
        <v>1625</v>
      </c>
      <c r="E1322" s="535">
        <v>2815</v>
      </c>
      <c r="F1322" s="535">
        <v>2815</v>
      </c>
      <c r="G1322" s="70" t="s">
        <v>18</v>
      </c>
      <c r="H1322" s="390" t="s">
        <v>1239</v>
      </c>
      <c r="I1322" s="447" t="s">
        <v>1240</v>
      </c>
      <c r="J1322" s="51"/>
      <c r="K1322" s="380" t="s">
        <v>1242</v>
      </c>
      <c r="L1322" s="386" t="s">
        <v>643</v>
      </c>
      <c r="M1322" s="381">
        <v>43080</v>
      </c>
      <c r="N1322" s="381">
        <v>43086</v>
      </c>
      <c r="O1322" s="420"/>
      <c r="P1322" s="59"/>
      <c r="Q1322" s="7"/>
      <c r="R1322" s="384" t="s">
        <v>745</v>
      </c>
      <c r="S1322" s="316" t="s">
        <v>1176</v>
      </c>
      <c r="T1322" s="680"/>
    </row>
    <row r="1323" spans="1:20" s="377" customFormat="1" ht="20.100000000000001" customHeight="1">
      <c r="A1323" s="1201" t="s">
        <v>2953</v>
      </c>
      <c r="B1323" s="1204" t="s">
        <v>415</v>
      </c>
      <c r="C1323" s="1204" t="s">
        <v>446</v>
      </c>
      <c r="D1323" s="535">
        <v>1350</v>
      </c>
      <c r="E1323" s="535">
        <v>2300</v>
      </c>
      <c r="F1323" s="535">
        <v>2300</v>
      </c>
      <c r="G1323" s="219" t="s">
        <v>51</v>
      </c>
      <c r="H1323" s="401" t="s">
        <v>1723</v>
      </c>
      <c r="I1323" s="386" t="s">
        <v>127</v>
      </c>
      <c r="J1323" s="37"/>
      <c r="K1323" s="398" t="s">
        <v>665</v>
      </c>
      <c r="L1323" s="398" t="s">
        <v>639</v>
      </c>
      <c r="M1323" s="381">
        <v>43067</v>
      </c>
      <c r="N1323" s="381">
        <v>43090</v>
      </c>
      <c r="O1323" s="388"/>
      <c r="P1323" s="677"/>
      <c r="Q1323" s="167" t="s">
        <v>3319</v>
      </c>
      <c r="R1323" s="397" t="s">
        <v>1709</v>
      </c>
      <c r="S1323" s="316"/>
      <c r="T1323" s="689"/>
    </row>
    <row r="1324" spans="1:20" ht="20.100000000000001" customHeight="1">
      <c r="A1324" s="1201" t="s">
        <v>2953</v>
      </c>
      <c r="B1324" s="1204" t="s">
        <v>415</v>
      </c>
      <c r="C1324" s="1204" t="s">
        <v>446</v>
      </c>
      <c r="D1324" s="535">
        <v>1650</v>
      </c>
      <c r="E1324" s="535">
        <v>2700</v>
      </c>
      <c r="F1324" s="535">
        <v>2700</v>
      </c>
      <c r="G1324" s="70" t="s">
        <v>908</v>
      </c>
      <c r="H1324" s="674" t="s">
        <v>659</v>
      </c>
      <c r="I1324" s="114" t="s">
        <v>127</v>
      </c>
      <c r="J1324" s="51"/>
      <c r="K1324" s="50" t="s">
        <v>685</v>
      </c>
      <c r="L1324" s="50" t="s">
        <v>639</v>
      </c>
      <c r="M1324" s="6">
        <v>43073</v>
      </c>
      <c r="N1324" s="6">
        <v>43086</v>
      </c>
      <c r="O1324" s="61" t="s">
        <v>600</v>
      </c>
      <c r="P1324" s="61"/>
      <c r="Q1324" s="683" t="s">
        <v>5433</v>
      </c>
      <c r="R1324" s="49" t="s">
        <v>1752</v>
      </c>
      <c r="S1324" s="315" t="s">
        <v>2894</v>
      </c>
      <c r="T1324" s="680"/>
    </row>
    <row r="1325" spans="1:20" s="377" customFormat="1" ht="20.100000000000001" customHeight="1">
      <c r="A1325" s="1201" t="s">
        <v>2953</v>
      </c>
      <c r="B1325" s="1204" t="s">
        <v>415</v>
      </c>
      <c r="C1325" s="1204" t="s">
        <v>446</v>
      </c>
      <c r="D1325" s="893">
        <v>1435</v>
      </c>
      <c r="E1325" s="893">
        <v>2560</v>
      </c>
      <c r="F1325" s="893">
        <v>2560</v>
      </c>
      <c r="G1325" s="66" t="s">
        <v>6</v>
      </c>
      <c r="H1325" s="390" t="s">
        <v>659</v>
      </c>
      <c r="I1325" s="447" t="s">
        <v>127</v>
      </c>
      <c r="J1325" s="51"/>
      <c r="K1325" s="380" t="s">
        <v>665</v>
      </c>
      <c r="L1325" s="379" t="s">
        <v>639</v>
      </c>
      <c r="M1325" s="391">
        <v>43087</v>
      </c>
      <c r="N1325" s="391">
        <v>43093</v>
      </c>
      <c r="O1325" s="420"/>
      <c r="P1325" s="59"/>
      <c r="Q1325" s="167" t="s">
        <v>3319</v>
      </c>
      <c r="R1325" s="397" t="s">
        <v>1748</v>
      </c>
      <c r="S1325" s="315" t="s">
        <v>2866</v>
      </c>
      <c r="T1325" s="650">
        <v>14</v>
      </c>
    </row>
    <row r="1326" spans="1:20" s="377" customFormat="1" ht="20.100000000000001" customHeight="1">
      <c r="A1326" s="1201" t="s">
        <v>2953</v>
      </c>
      <c r="B1326" s="1204" t="s">
        <v>415</v>
      </c>
      <c r="C1326" s="1204" t="s">
        <v>446</v>
      </c>
      <c r="D1326" s="535"/>
      <c r="E1326" s="535"/>
      <c r="F1326" s="535"/>
      <c r="G1326" s="685" t="s">
        <v>33</v>
      </c>
      <c r="H1326" s="390" t="s">
        <v>1705</v>
      </c>
      <c r="I1326" s="447" t="s">
        <v>127</v>
      </c>
      <c r="J1326" s="51"/>
      <c r="K1326" s="380" t="s">
        <v>1706</v>
      </c>
      <c r="L1326" s="379" t="s">
        <v>1707</v>
      </c>
      <c r="M1326" s="391">
        <v>43045</v>
      </c>
      <c r="N1326" s="391">
        <v>43093</v>
      </c>
      <c r="O1326" s="420"/>
      <c r="P1326" s="59"/>
      <c r="Q1326" s="683" t="s">
        <v>5433</v>
      </c>
      <c r="R1326" s="384" t="s">
        <v>1709</v>
      </c>
      <c r="S1326" s="316" t="s">
        <v>1176</v>
      </c>
      <c r="T1326" s="680"/>
    </row>
    <row r="1327" spans="1:20" s="377" customFormat="1" ht="20.100000000000001" customHeight="1">
      <c r="A1327" s="1201" t="s">
        <v>2953</v>
      </c>
      <c r="B1327" s="1204" t="s">
        <v>415</v>
      </c>
      <c r="C1327" s="1204" t="s">
        <v>446</v>
      </c>
      <c r="D1327" s="893">
        <v>1550</v>
      </c>
      <c r="E1327" s="893">
        <v>2700</v>
      </c>
      <c r="F1327" s="893">
        <v>2700</v>
      </c>
      <c r="G1327" s="63" t="s">
        <v>61</v>
      </c>
      <c r="H1327" s="425">
        <v>4</v>
      </c>
      <c r="I1327" s="386" t="s">
        <v>17</v>
      </c>
      <c r="J1327" s="37"/>
      <c r="K1327" s="398">
        <v>22</v>
      </c>
      <c r="L1327" s="386" t="s">
        <v>650</v>
      </c>
      <c r="M1327" s="404">
        <v>43087</v>
      </c>
      <c r="N1327" s="404">
        <v>43093</v>
      </c>
      <c r="O1327" s="393" t="s">
        <v>601</v>
      </c>
      <c r="P1327" s="61"/>
      <c r="Q1327" s="7"/>
      <c r="R1327" s="397" t="s">
        <v>178</v>
      </c>
      <c r="S1327" s="316" t="s">
        <v>1176</v>
      </c>
      <c r="T1327" s="689"/>
    </row>
    <row r="1328" spans="1:20" s="377" customFormat="1" ht="20.100000000000001" customHeight="1">
      <c r="A1328" s="1202" t="s">
        <v>2953</v>
      </c>
      <c r="B1328" s="1205" t="s">
        <v>415</v>
      </c>
      <c r="C1328" s="1205" t="s">
        <v>446</v>
      </c>
      <c r="D1328" s="540">
        <f>D1263+350+300+154.4</f>
        <v>1204.4000000000001</v>
      </c>
      <c r="E1328" s="540">
        <f>E1263+700+600+205.9</f>
        <v>1955.9</v>
      </c>
      <c r="F1328" s="540">
        <f>F1263+700+600+205.9</f>
        <v>1955.9</v>
      </c>
      <c r="G1328" s="222" t="s">
        <v>19</v>
      </c>
      <c r="H1328" s="425" t="s">
        <v>706</v>
      </c>
      <c r="I1328" s="398" t="s">
        <v>127</v>
      </c>
      <c r="J1328" s="37"/>
      <c r="K1328" s="398" t="s">
        <v>684</v>
      </c>
      <c r="L1328" s="386" t="s">
        <v>643</v>
      </c>
      <c r="M1328" s="399">
        <v>43068</v>
      </c>
      <c r="N1328" s="399">
        <v>43088</v>
      </c>
      <c r="O1328" s="382" t="s">
        <v>611</v>
      </c>
      <c r="P1328" s="7" t="s">
        <v>4073</v>
      </c>
      <c r="Q1328" s="171"/>
      <c r="R1328" s="384" t="s">
        <v>1692</v>
      </c>
      <c r="S1328" s="316"/>
      <c r="T1328" s="689"/>
    </row>
    <row r="1329" spans="1:20" s="377" customFormat="1" ht="20.100000000000001" customHeight="1">
      <c r="A1329" s="1195" t="s">
        <v>2953</v>
      </c>
      <c r="B1329" s="1196" t="s">
        <v>415</v>
      </c>
      <c r="C1329" s="1195" t="s">
        <v>3046</v>
      </c>
      <c r="D1329" s="535"/>
      <c r="E1329" s="535"/>
      <c r="F1329" s="535"/>
      <c r="G1329" s="219" t="s">
        <v>51</v>
      </c>
      <c r="H1329" s="390">
        <v>1</v>
      </c>
      <c r="I1329" s="447" t="s">
        <v>127</v>
      </c>
      <c r="J1329" s="51"/>
      <c r="K1329" s="380" t="s">
        <v>685</v>
      </c>
      <c r="L1329" s="398" t="s">
        <v>639</v>
      </c>
      <c r="M1329" s="381">
        <v>43040</v>
      </c>
      <c r="N1329" s="381">
        <v>43090</v>
      </c>
      <c r="O1329" s="388"/>
      <c r="P1329" s="61"/>
      <c r="Q1329" s="7"/>
      <c r="R1329" s="397" t="s">
        <v>180</v>
      </c>
      <c r="S1329" s="316"/>
      <c r="T1329" s="689"/>
    </row>
    <row r="1330" spans="1:20" ht="20.100000000000001" customHeight="1">
      <c r="A1330" s="1195" t="s">
        <v>2953</v>
      </c>
      <c r="B1330" s="1196" t="s">
        <v>415</v>
      </c>
      <c r="C1330" s="1196" t="s">
        <v>499</v>
      </c>
      <c r="D1330" s="535"/>
      <c r="E1330" s="535"/>
      <c r="F1330" s="535"/>
      <c r="G1330" s="70" t="s">
        <v>5</v>
      </c>
      <c r="H1330" s="35">
        <v>1</v>
      </c>
      <c r="I1330" s="114" t="s">
        <v>127</v>
      </c>
      <c r="J1330" s="51"/>
      <c r="K1330" s="50" t="s">
        <v>685</v>
      </c>
      <c r="L1330" s="50" t="s">
        <v>639</v>
      </c>
      <c r="M1330" s="6">
        <v>43059</v>
      </c>
      <c r="N1330" s="6">
        <v>43086</v>
      </c>
      <c r="O1330" s="61" t="s">
        <v>600</v>
      </c>
      <c r="P1330" s="59"/>
      <c r="Q1330" s="167" t="s">
        <v>3389</v>
      </c>
      <c r="R1330" s="73" t="s">
        <v>1751</v>
      </c>
      <c r="S1330" s="315" t="s">
        <v>2894</v>
      </c>
      <c r="T1330" s="689"/>
    </row>
    <row r="1331" spans="1:20" s="377" customFormat="1" ht="20.100000000000001" customHeight="1">
      <c r="A1331" s="1195" t="s">
        <v>2953</v>
      </c>
      <c r="B1331" s="1196" t="s">
        <v>415</v>
      </c>
      <c r="C1331" s="1196" t="s">
        <v>499</v>
      </c>
      <c r="D1331" s="540"/>
      <c r="E1331" s="540"/>
      <c r="F1331" s="540"/>
      <c r="G1331" s="685" t="s">
        <v>33</v>
      </c>
      <c r="H1331" s="390" t="s">
        <v>1704</v>
      </c>
      <c r="I1331" s="447" t="s">
        <v>127</v>
      </c>
      <c r="J1331" s="51"/>
      <c r="K1331" s="380" t="s">
        <v>685</v>
      </c>
      <c r="L1331" s="379" t="s">
        <v>1707</v>
      </c>
      <c r="M1331" s="391">
        <v>43045</v>
      </c>
      <c r="N1331" s="391">
        <v>43093</v>
      </c>
      <c r="O1331" s="438"/>
      <c r="P1331" s="754"/>
      <c r="Q1331" s="7"/>
      <c r="R1331" s="397" t="s">
        <v>1708</v>
      </c>
      <c r="S1331" s="316" t="s">
        <v>1176</v>
      </c>
      <c r="T1331" s="689"/>
    </row>
    <row r="1332" spans="1:20" s="377" customFormat="1" ht="20.100000000000001" customHeight="1">
      <c r="A1332" s="1195" t="s">
        <v>2953</v>
      </c>
      <c r="B1332" s="1196" t="s">
        <v>415</v>
      </c>
      <c r="C1332" s="1196" t="s">
        <v>499</v>
      </c>
      <c r="D1332" s="535"/>
      <c r="E1332" s="535"/>
      <c r="F1332" s="535"/>
      <c r="G1332" s="70" t="s">
        <v>18</v>
      </c>
      <c r="H1332" s="390" t="s">
        <v>1239</v>
      </c>
      <c r="I1332" s="447" t="s">
        <v>1240</v>
      </c>
      <c r="J1332" s="51"/>
      <c r="K1332" s="380" t="s">
        <v>1243</v>
      </c>
      <c r="L1332" s="386" t="s">
        <v>643</v>
      </c>
      <c r="M1332" s="381">
        <v>43059</v>
      </c>
      <c r="N1332" s="381">
        <v>43086</v>
      </c>
      <c r="O1332" s="420"/>
      <c r="P1332" s="59"/>
      <c r="Q1332" s="7"/>
      <c r="R1332" s="384" t="s">
        <v>745</v>
      </c>
      <c r="S1332" s="316" t="s">
        <v>1176</v>
      </c>
      <c r="T1332" s="689"/>
    </row>
    <row r="1333" spans="1:20" s="377" customFormat="1" ht="20.100000000000001" customHeight="1">
      <c r="A1333" s="1195" t="s">
        <v>2953</v>
      </c>
      <c r="B1333" s="1196" t="s">
        <v>415</v>
      </c>
      <c r="C1333" s="1196" t="s">
        <v>499</v>
      </c>
      <c r="D1333" s="535"/>
      <c r="E1333" s="535"/>
      <c r="F1333" s="535"/>
      <c r="G1333" s="219" t="s">
        <v>51</v>
      </c>
      <c r="H1333" s="385" t="s">
        <v>1723</v>
      </c>
      <c r="I1333" s="386" t="s">
        <v>127</v>
      </c>
      <c r="J1333" s="37"/>
      <c r="K1333" s="398" t="s">
        <v>665</v>
      </c>
      <c r="L1333" s="398" t="s">
        <v>639</v>
      </c>
      <c r="M1333" s="381">
        <v>43040</v>
      </c>
      <c r="N1333" s="381">
        <v>43090</v>
      </c>
      <c r="O1333" s="388"/>
      <c r="P1333" s="677"/>
      <c r="Q1333" s="683"/>
      <c r="R1333" s="397" t="s">
        <v>1709</v>
      </c>
      <c r="S1333" s="316"/>
      <c r="T1333" s="689"/>
    </row>
    <row r="1334" spans="1:20" ht="20.100000000000001" customHeight="1">
      <c r="A1334" s="1195" t="s">
        <v>2953</v>
      </c>
      <c r="B1334" s="1196" t="s">
        <v>415</v>
      </c>
      <c r="C1334" s="1196" t="s">
        <v>499</v>
      </c>
      <c r="D1334" s="535"/>
      <c r="E1334" s="535"/>
      <c r="F1334" s="535"/>
      <c r="G1334" s="70" t="s">
        <v>5</v>
      </c>
      <c r="H1334" s="674" t="s">
        <v>659</v>
      </c>
      <c r="I1334" s="114" t="s">
        <v>127</v>
      </c>
      <c r="J1334" s="51"/>
      <c r="K1334" s="50" t="s">
        <v>685</v>
      </c>
      <c r="L1334" s="37" t="s">
        <v>639</v>
      </c>
      <c r="M1334" s="6">
        <v>43054</v>
      </c>
      <c r="N1334" s="6">
        <v>43086</v>
      </c>
      <c r="O1334" s="61" t="s">
        <v>600</v>
      </c>
      <c r="P1334" s="61"/>
      <c r="Q1334" s="167" t="s">
        <v>3389</v>
      </c>
      <c r="R1334" s="49" t="s">
        <v>1752</v>
      </c>
      <c r="S1334" s="315" t="s">
        <v>2894</v>
      </c>
      <c r="T1334" s="689"/>
    </row>
    <row r="1335" spans="1:20" s="377" customFormat="1" ht="20.100000000000001" customHeight="1">
      <c r="A1335" s="1195" t="s">
        <v>2953</v>
      </c>
      <c r="B1335" s="1196" t="s">
        <v>415</v>
      </c>
      <c r="C1335" s="1196" t="s">
        <v>499</v>
      </c>
      <c r="D1335" s="540"/>
      <c r="E1335" s="540"/>
      <c r="F1335" s="540"/>
      <c r="G1335" s="70" t="s">
        <v>33</v>
      </c>
      <c r="H1335" s="390" t="s">
        <v>1705</v>
      </c>
      <c r="I1335" s="447" t="s">
        <v>127</v>
      </c>
      <c r="J1335" s="51"/>
      <c r="K1335" s="380" t="s">
        <v>1706</v>
      </c>
      <c r="L1335" s="379" t="s">
        <v>1707</v>
      </c>
      <c r="M1335" s="391">
        <v>43045</v>
      </c>
      <c r="N1335" s="391">
        <v>43093</v>
      </c>
      <c r="O1335" s="420"/>
      <c r="P1335" s="59"/>
      <c r="Q1335" s="683" t="s">
        <v>5433</v>
      </c>
      <c r="R1335" s="384" t="s">
        <v>1709</v>
      </c>
      <c r="S1335" s="316" t="s">
        <v>1176</v>
      </c>
      <c r="T1335" s="689"/>
    </row>
    <row r="1336" spans="1:20" s="377" customFormat="1" ht="20.100000000000001" customHeight="1">
      <c r="A1336" s="1195" t="s">
        <v>2953</v>
      </c>
      <c r="B1336" s="1196" t="s">
        <v>415</v>
      </c>
      <c r="C1336" s="1196" t="s">
        <v>499</v>
      </c>
      <c r="D1336" s="32"/>
      <c r="E1336" s="32"/>
      <c r="F1336" s="32"/>
      <c r="G1336" s="70" t="s">
        <v>13</v>
      </c>
      <c r="H1336" s="425">
        <v>4</v>
      </c>
      <c r="I1336" s="386" t="s">
        <v>127</v>
      </c>
      <c r="J1336" s="37"/>
      <c r="K1336" s="398" t="s">
        <v>1014</v>
      </c>
      <c r="L1336" s="386" t="s">
        <v>641</v>
      </c>
      <c r="M1336" s="404">
        <v>43052</v>
      </c>
      <c r="N1336" s="404">
        <v>43093</v>
      </c>
      <c r="O1336" s="423" t="s">
        <v>1497</v>
      </c>
      <c r="P1336" s="61"/>
      <c r="Q1336" s="7"/>
      <c r="R1336" s="397" t="s">
        <v>178</v>
      </c>
      <c r="S1336" s="316" t="s">
        <v>1176</v>
      </c>
      <c r="T1336" s="689"/>
    </row>
    <row r="1337" spans="1:20" s="377" customFormat="1" ht="20.100000000000001" customHeight="1">
      <c r="A1337" s="1200" t="s">
        <v>2953</v>
      </c>
      <c r="B1337" s="1203" t="s">
        <v>416</v>
      </c>
      <c r="C1337" s="1200" t="s">
        <v>4205</v>
      </c>
      <c r="D1337" s="32">
        <f>D1252+250</f>
        <v>650</v>
      </c>
      <c r="E1337" s="32">
        <f>E1252+500</f>
        <v>950</v>
      </c>
      <c r="F1337" s="32">
        <f>F1252+500</f>
        <v>950</v>
      </c>
      <c r="G1337" s="222" t="s">
        <v>19</v>
      </c>
      <c r="H1337" s="378" t="s">
        <v>742</v>
      </c>
      <c r="I1337" s="380" t="s">
        <v>127</v>
      </c>
      <c r="J1337" s="24"/>
      <c r="K1337" s="398" t="s">
        <v>663</v>
      </c>
      <c r="L1337" s="386" t="s">
        <v>643</v>
      </c>
      <c r="M1337" s="399">
        <v>43068</v>
      </c>
      <c r="N1337" s="399">
        <v>43088</v>
      </c>
      <c r="O1337" s="382" t="s">
        <v>611</v>
      </c>
      <c r="P1337" s="105"/>
      <c r="Q1337" s="52"/>
      <c r="R1337" s="397" t="s">
        <v>1772</v>
      </c>
      <c r="S1337" s="316"/>
      <c r="T1337" s="689"/>
    </row>
    <row r="1338" spans="1:20" s="377" customFormat="1" ht="20.100000000000001" customHeight="1">
      <c r="A1338" s="1201" t="s">
        <v>2953</v>
      </c>
      <c r="B1338" s="1204" t="s">
        <v>416</v>
      </c>
      <c r="C1338" s="1204" t="s">
        <v>2583</v>
      </c>
      <c r="D1338" s="32">
        <f>D1255+100+0</f>
        <v>575</v>
      </c>
      <c r="E1338" s="32">
        <f>E1255+200+0</f>
        <v>750</v>
      </c>
      <c r="F1338" s="32">
        <f>F1255+200+0</f>
        <v>750</v>
      </c>
      <c r="G1338" s="656" t="s">
        <v>51</v>
      </c>
      <c r="H1338" s="401" t="s">
        <v>1723</v>
      </c>
      <c r="I1338" s="386" t="s">
        <v>17</v>
      </c>
      <c r="J1338" s="37"/>
      <c r="K1338" s="398" t="s">
        <v>682</v>
      </c>
      <c r="L1338" s="398" t="s">
        <v>639</v>
      </c>
      <c r="M1338" s="381">
        <v>43073</v>
      </c>
      <c r="N1338" s="381">
        <v>43090</v>
      </c>
      <c r="O1338" s="388"/>
      <c r="P1338" s="677"/>
      <c r="Q1338" s="683" t="s">
        <v>5433</v>
      </c>
      <c r="R1338" s="397" t="s">
        <v>1709</v>
      </c>
      <c r="S1338" s="316"/>
      <c r="T1338" s="78"/>
    </row>
    <row r="1339" spans="1:20" ht="20.100000000000001" customHeight="1">
      <c r="A1339" s="1201" t="s">
        <v>2953</v>
      </c>
      <c r="B1339" s="1204" t="s">
        <v>416</v>
      </c>
      <c r="C1339" s="1204" t="s">
        <v>416</v>
      </c>
      <c r="D1339" s="11">
        <v>900</v>
      </c>
      <c r="E1339" s="11">
        <v>1200</v>
      </c>
      <c r="F1339" s="11">
        <v>1200</v>
      </c>
      <c r="G1339" s="64" t="s">
        <v>5</v>
      </c>
      <c r="H1339" s="676" t="s">
        <v>659</v>
      </c>
      <c r="I1339" s="38" t="s">
        <v>17</v>
      </c>
      <c r="J1339" s="37"/>
      <c r="K1339" s="37" t="s">
        <v>682</v>
      </c>
      <c r="L1339" s="37" t="s">
        <v>639</v>
      </c>
      <c r="M1339" s="6">
        <v>43073</v>
      </c>
      <c r="N1339" s="6">
        <v>43086</v>
      </c>
      <c r="O1339" s="61" t="s">
        <v>600</v>
      </c>
      <c r="P1339" s="677"/>
      <c r="Q1339" s="683" t="s">
        <v>5433</v>
      </c>
      <c r="R1339" s="49" t="s">
        <v>1752</v>
      </c>
      <c r="S1339" s="315" t="s">
        <v>2894</v>
      </c>
      <c r="T1339" s="78"/>
    </row>
    <row r="1340" spans="1:20" s="377" customFormat="1" ht="20.100000000000001" customHeight="1">
      <c r="A1340" s="1201" t="s">
        <v>2953</v>
      </c>
      <c r="B1340" s="1204" t="s">
        <v>416</v>
      </c>
      <c r="C1340" s="1204" t="s">
        <v>416</v>
      </c>
      <c r="D1340" s="935">
        <v>675</v>
      </c>
      <c r="E1340" s="935">
        <v>850</v>
      </c>
      <c r="F1340" s="935">
        <v>850</v>
      </c>
      <c r="G1340" s="66" t="s">
        <v>158</v>
      </c>
      <c r="H1340" s="390" t="s">
        <v>659</v>
      </c>
      <c r="I1340" s="447" t="s">
        <v>17</v>
      </c>
      <c r="J1340" s="50"/>
      <c r="K1340" s="380" t="s">
        <v>682</v>
      </c>
      <c r="L1340" s="379" t="s">
        <v>639</v>
      </c>
      <c r="M1340" s="391">
        <v>43087</v>
      </c>
      <c r="N1340" s="391">
        <v>43093</v>
      </c>
      <c r="O1340" s="52"/>
      <c r="P1340" s="59"/>
      <c r="Q1340" s="683" t="s">
        <v>5433</v>
      </c>
      <c r="R1340" s="397" t="s">
        <v>1748</v>
      </c>
      <c r="S1340" s="315" t="s">
        <v>2866</v>
      </c>
      <c r="T1340" s="137"/>
    </row>
    <row r="1341" spans="1:20" s="377" customFormat="1" ht="20.100000000000001" customHeight="1">
      <c r="A1341" s="1201" t="s">
        <v>2953</v>
      </c>
      <c r="B1341" s="1204" t="s">
        <v>416</v>
      </c>
      <c r="C1341" s="1204" t="s">
        <v>416</v>
      </c>
      <c r="D1341" s="536">
        <v>875</v>
      </c>
      <c r="E1341" s="536">
        <v>1300</v>
      </c>
      <c r="F1341" s="536">
        <v>1300</v>
      </c>
      <c r="G1341" s="70" t="s">
        <v>33</v>
      </c>
      <c r="H1341" s="390" t="s">
        <v>1705</v>
      </c>
      <c r="I1341" s="447" t="s">
        <v>17</v>
      </c>
      <c r="J1341" s="50"/>
      <c r="K1341" s="380" t="s">
        <v>1714</v>
      </c>
      <c r="L1341" s="379" t="s">
        <v>1707</v>
      </c>
      <c r="M1341" s="391">
        <v>43087</v>
      </c>
      <c r="N1341" s="391">
        <v>43093</v>
      </c>
      <c r="O1341" s="420"/>
      <c r="P1341" s="59"/>
      <c r="Q1341" s="683" t="s">
        <v>5433</v>
      </c>
      <c r="R1341" s="384" t="s">
        <v>1709</v>
      </c>
      <c r="S1341" s="316" t="s">
        <v>1176</v>
      </c>
      <c r="T1341" s="78"/>
    </row>
    <row r="1342" spans="1:20" s="377" customFormat="1" ht="20.100000000000001" customHeight="1">
      <c r="A1342" s="1201" t="s">
        <v>2953</v>
      </c>
      <c r="B1342" s="1204" t="s">
        <v>416</v>
      </c>
      <c r="C1342" s="1204" t="s">
        <v>416</v>
      </c>
      <c r="D1342" s="536">
        <f>D1259+150-50</f>
        <v>550</v>
      </c>
      <c r="E1342" s="536">
        <f>E1259+300-100</f>
        <v>750</v>
      </c>
      <c r="F1342" s="536">
        <f>F1259+300-100</f>
        <v>750</v>
      </c>
      <c r="G1342" s="67" t="s">
        <v>37</v>
      </c>
      <c r="H1342" s="390" t="s">
        <v>659</v>
      </c>
      <c r="I1342" s="447" t="s">
        <v>17</v>
      </c>
      <c r="J1342" s="50"/>
      <c r="K1342" s="380" t="s">
        <v>682</v>
      </c>
      <c r="L1342" s="379" t="s">
        <v>639</v>
      </c>
      <c r="M1342" s="392">
        <v>43059</v>
      </c>
      <c r="N1342" s="392">
        <v>43065</v>
      </c>
      <c r="O1342" s="420"/>
      <c r="P1342" s="59"/>
      <c r="Q1342" s="683" t="s">
        <v>5433</v>
      </c>
      <c r="R1342" s="384" t="s">
        <v>1844</v>
      </c>
      <c r="S1342" s="327" t="s">
        <v>2896</v>
      </c>
      <c r="T1342" s="78"/>
    </row>
    <row r="1343" spans="1:20" s="377" customFormat="1" ht="20.100000000000001" customHeight="1">
      <c r="A1343" s="1201" t="s">
        <v>2953</v>
      </c>
      <c r="B1343" s="1204" t="s">
        <v>416</v>
      </c>
      <c r="C1343" s="1204" t="s">
        <v>416</v>
      </c>
      <c r="D1343" s="934">
        <v>800</v>
      </c>
      <c r="E1343" s="934">
        <v>1300</v>
      </c>
      <c r="F1343" s="934">
        <v>1300</v>
      </c>
      <c r="G1343" s="63" t="s">
        <v>13</v>
      </c>
      <c r="H1343" s="390" t="s">
        <v>659</v>
      </c>
      <c r="I1343" s="447" t="s">
        <v>17</v>
      </c>
      <c r="J1343" s="50"/>
      <c r="K1343" s="380" t="s">
        <v>682</v>
      </c>
      <c r="L1343" s="379" t="s">
        <v>639</v>
      </c>
      <c r="M1343" s="404">
        <v>43087</v>
      </c>
      <c r="N1343" s="404">
        <v>43093</v>
      </c>
      <c r="O1343" s="393" t="s">
        <v>601</v>
      </c>
      <c r="P1343" s="59"/>
      <c r="Q1343" s="683" t="s">
        <v>5433</v>
      </c>
      <c r="R1343" s="397" t="s">
        <v>1822</v>
      </c>
      <c r="S1343" s="316" t="s">
        <v>1176</v>
      </c>
      <c r="T1343" s="78"/>
    </row>
    <row r="1344" spans="1:20" s="377" customFormat="1" ht="20.100000000000001" customHeight="1">
      <c r="A1344" s="1201" t="s">
        <v>2953</v>
      </c>
      <c r="B1344" s="1204" t="s">
        <v>416</v>
      </c>
      <c r="C1344" s="1204" t="s">
        <v>416</v>
      </c>
      <c r="D1344" s="535">
        <v>1025</v>
      </c>
      <c r="E1344" s="535">
        <v>1650</v>
      </c>
      <c r="F1344" s="535">
        <v>1650</v>
      </c>
      <c r="G1344" s="64" t="s">
        <v>18</v>
      </c>
      <c r="H1344" s="417" t="s">
        <v>1271</v>
      </c>
      <c r="I1344" s="379" t="s">
        <v>1</v>
      </c>
      <c r="J1344" s="51"/>
      <c r="K1344" s="398" t="s">
        <v>1273</v>
      </c>
      <c r="L1344" s="386" t="s">
        <v>653</v>
      </c>
      <c r="M1344" s="381">
        <v>43070</v>
      </c>
      <c r="N1344" s="381">
        <v>43100</v>
      </c>
      <c r="O1344" s="393"/>
      <c r="P1344" s="106"/>
      <c r="Q1344" s="762"/>
      <c r="R1344" s="442" t="s">
        <v>1274</v>
      </c>
      <c r="S1344" s="316" t="s">
        <v>1178</v>
      </c>
      <c r="T1344" s="78"/>
    </row>
    <row r="1345" spans="1:20" s="377" customFormat="1" ht="20.100000000000001" customHeight="1">
      <c r="A1345" s="1201" t="s">
        <v>2953</v>
      </c>
      <c r="B1345" s="1204" t="s">
        <v>416</v>
      </c>
      <c r="C1345" s="1204" t="s">
        <v>416</v>
      </c>
      <c r="D1345" s="934">
        <v>800</v>
      </c>
      <c r="E1345" s="934">
        <v>1300</v>
      </c>
      <c r="F1345" s="934">
        <v>1300</v>
      </c>
      <c r="G1345" s="63" t="s">
        <v>61</v>
      </c>
      <c r="H1345" s="425">
        <v>4</v>
      </c>
      <c r="I1345" s="386" t="s">
        <v>17</v>
      </c>
      <c r="J1345" s="37"/>
      <c r="K1345" s="398" t="s">
        <v>1109</v>
      </c>
      <c r="L1345" s="386" t="s">
        <v>650</v>
      </c>
      <c r="M1345" s="404">
        <v>43087</v>
      </c>
      <c r="N1345" s="404">
        <v>43093</v>
      </c>
      <c r="O1345" s="393" t="s">
        <v>601</v>
      </c>
      <c r="P1345" s="61"/>
      <c r="Q1345" s="7"/>
      <c r="R1345" s="397" t="s">
        <v>178</v>
      </c>
      <c r="S1345" s="316" t="s">
        <v>1176</v>
      </c>
      <c r="T1345" s="78"/>
    </row>
    <row r="1346" spans="1:20" s="377" customFormat="1" ht="20.100000000000001" customHeight="1">
      <c r="A1346" s="1201" t="s">
        <v>2953</v>
      </c>
      <c r="B1346" s="1204" t="s">
        <v>416</v>
      </c>
      <c r="C1346" s="1204" t="s">
        <v>416</v>
      </c>
      <c r="D1346" s="11">
        <f>D1262+50</f>
        <v>810</v>
      </c>
      <c r="E1346" s="11">
        <f>E1262+100</f>
        <v>1210</v>
      </c>
      <c r="F1346" s="11">
        <f>F1262+100</f>
        <v>1210</v>
      </c>
      <c r="G1346" s="705" t="s">
        <v>28</v>
      </c>
      <c r="H1346" s="378" t="s">
        <v>1815</v>
      </c>
      <c r="I1346" s="379" t="s">
        <v>17</v>
      </c>
      <c r="J1346" s="50"/>
      <c r="K1346" s="380" t="s">
        <v>1816</v>
      </c>
      <c r="L1346" s="379" t="s">
        <v>641</v>
      </c>
      <c r="M1346" s="392">
        <v>43080</v>
      </c>
      <c r="N1346" s="392">
        <v>43086</v>
      </c>
      <c r="O1346" s="393" t="s">
        <v>601</v>
      </c>
      <c r="P1346" s="61"/>
      <c r="Q1346" s="7"/>
      <c r="R1346" s="397" t="s">
        <v>1820</v>
      </c>
      <c r="S1346" s="315" t="s">
        <v>2930</v>
      </c>
      <c r="T1346" s="78"/>
    </row>
    <row r="1347" spans="1:20" s="377" customFormat="1" ht="20.100000000000001" customHeight="1">
      <c r="A1347" s="1202" t="s">
        <v>2953</v>
      </c>
      <c r="B1347" s="1205" t="s">
        <v>416</v>
      </c>
      <c r="C1347" s="1205" t="s">
        <v>416</v>
      </c>
      <c r="D1347" s="11">
        <f>D1263+250</f>
        <v>650</v>
      </c>
      <c r="E1347" s="11">
        <f>E1263+500</f>
        <v>950</v>
      </c>
      <c r="F1347" s="11">
        <f>F1263+500</f>
        <v>950</v>
      </c>
      <c r="G1347" s="222" t="s">
        <v>19</v>
      </c>
      <c r="H1347" s="425" t="s">
        <v>706</v>
      </c>
      <c r="I1347" s="398" t="s">
        <v>127</v>
      </c>
      <c r="J1347" s="37"/>
      <c r="K1347" s="398" t="s">
        <v>680</v>
      </c>
      <c r="L1347" s="386" t="s">
        <v>643</v>
      </c>
      <c r="M1347" s="399">
        <v>43068</v>
      </c>
      <c r="N1347" s="399">
        <v>43088</v>
      </c>
      <c r="O1347" s="382" t="s">
        <v>611</v>
      </c>
      <c r="P1347" s="61"/>
      <c r="Q1347" s="7"/>
      <c r="R1347" s="384" t="s">
        <v>1692</v>
      </c>
      <c r="S1347" s="322"/>
      <c r="T1347" s="78"/>
    </row>
    <row r="1348" spans="1:20" ht="20.100000000000001" customHeight="1">
      <c r="A1348" s="1200" t="s">
        <v>1420</v>
      </c>
      <c r="B1348" s="1203" t="s">
        <v>1584</v>
      </c>
      <c r="C1348" s="1203" t="s">
        <v>1583</v>
      </c>
      <c r="D1348" s="11">
        <v>2600</v>
      </c>
      <c r="E1348" s="11">
        <v>4700</v>
      </c>
      <c r="F1348" s="11">
        <v>4700</v>
      </c>
      <c r="G1348" s="64" t="s">
        <v>5</v>
      </c>
      <c r="H1348" s="35">
        <v>1</v>
      </c>
      <c r="I1348" s="114" t="s">
        <v>127</v>
      </c>
      <c r="J1348" s="51"/>
      <c r="K1348" s="50" t="s">
        <v>685</v>
      </c>
      <c r="L1348" s="50" t="s">
        <v>639</v>
      </c>
      <c r="M1348" s="6">
        <v>43031</v>
      </c>
      <c r="N1348" s="6">
        <v>43086</v>
      </c>
      <c r="O1348" s="61" t="s">
        <v>600</v>
      </c>
      <c r="P1348" s="59"/>
      <c r="Q1348" s="7"/>
      <c r="R1348" s="73" t="s">
        <v>1751</v>
      </c>
      <c r="S1348" s="315" t="s">
        <v>2894</v>
      </c>
      <c r="T1348" s="78"/>
    </row>
    <row r="1349" spans="1:20" ht="20.100000000000001" customHeight="1">
      <c r="A1349" s="1201" t="s">
        <v>1420</v>
      </c>
      <c r="B1349" s="1204" t="s">
        <v>1584</v>
      </c>
      <c r="C1349" s="1204" t="s">
        <v>1583</v>
      </c>
      <c r="D1349" s="11">
        <v>2600</v>
      </c>
      <c r="E1349" s="11">
        <v>4700</v>
      </c>
      <c r="F1349" s="11">
        <v>4700</v>
      </c>
      <c r="G1349" s="64" t="s">
        <v>5</v>
      </c>
      <c r="H1349" s="674" t="s">
        <v>659</v>
      </c>
      <c r="I1349" s="114" t="s">
        <v>127</v>
      </c>
      <c r="J1349" s="51"/>
      <c r="K1349" s="50" t="s">
        <v>685</v>
      </c>
      <c r="L1349" s="37" t="s">
        <v>639</v>
      </c>
      <c r="M1349" s="6">
        <v>43031</v>
      </c>
      <c r="N1349" s="6">
        <v>43086</v>
      </c>
      <c r="O1349" s="61" t="s">
        <v>600</v>
      </c>
      <c r="P1349" s="61"/>
      <c r="Q1349" s="683" t="s">
        <v>5433</v>
      </c>
      <c r="R1349" s="49" t="s">
        <v>1752</v>
      </c>
      <c r="S1349" s="315" t="s">
        <v>2894</v>
      </c>
      <c r="T1349" s="78"/>
    </row>
    <row r="1350" spans="1:20" s="377" customFormat="1" ht="20.100000000000001" customHeight="1">
      <c r="A1350" s="1201" t="s">
        <v>1420</v>
      </c>
      <c r="B1350" s="1204" t="s">
        <v>1584</v>
      </c>
      <c r="C1350" s="1204" t="s">
        <v>1583</v>
      </c>
      <c r="D1350" s="13">
        <v>2600</v>
      </c>
      <c r="E1350" s="13">
        <v>4700</v>
      </c>
      <c r="F1350" s="13">
        <v>4700</v>
      </c>
      <c r="G1350" s="63" t="s">
        <v>13</v>
      </c>
      <c r="H1350" s="378" t="s">
        <v>1821</v>
      </c>
      <c r="I1350" s="398" t="s">
        <v>1415</v>
      </c>
      <c r="J1350" s="50"/>
      <c r="K1350" s="380" t="s">
        <v>1823</v>
      </c>
      <c r="L1350" s="379" t="s">
        <v>639</v>
      </c>
      <c r="M1350" s="404">
        <v>43052</v>
      </c>
      <c r="N1350" s="404">
        <v>43093</v>
      </c>
      <c r="O1350" s="393" t="s">
        <v>601</v>
      </c>
      <c r="P1350" s="61"/>
      <c r="Q1350" s="683" t="s">
        <v>5433</v>
      </c>
      <c r="R1350" s="397" t="s">
        <v>1822</v>
      </c>
      <c r="S1350" s="316" t="s">
        <v>1176</v>
      </c>
      <c r="T1350" s="78"/>
    </row>
    <row r="1351" spans="1:20" s="377" customFormat="1" ht="20.100000000000001" customHeight="1">
      <c r="A1351" s="1202" t="s">
        <v>1420</v>
      </c>
      <c r="B1351" s="1205" t="s">
        <v>1584</v>
      </c>
      <c r="C1351" s="1205" t="s">
        <v>1583</v>
      </c>
      <c r="D1351" s="13">
        <v>2600</v>
      </c>
      <c r="E1351" s="13">
        <v>4700</v>
      </c>
      <c r="F1351" s="13">
        <v>4700</v>
      </c>
      <c r="G1351" s="63" t="s">
        <v>13</v>
      </c>
      <c r="H1351" s="425">
        <v>4</v>
      </c>
      <c r="I1351" s="398" t="s">
        <v>1415</v>
      </c>
      <c r="J1351" s="37"/>
      <c r="K1351" s="398">
        <v>27</v>
      </c>
      <c r="L1351" s="386" t="s">
        <v>641</v>
      </c>
      <c r="M1351" s="404">
        <v>43052</v>
      </c>
      <c r="N1351" s="404">
        <v>43093</v>
      </c>
      <c r="O1351" s="393" t="s">
        <v>601</v>
      </c>
      <c r="P1351" s="61"/>
      <c r="Q1351" s="7"/>
      <c r="R1351" s="397" t="s">
        <v>178</v>
      </c>
      <c r="S1351" s="319" t="s">
        <v>1176</v>
      </c>
      <c r="T1351" s="78"/>
    </row>
    <row r="1352" spans="1:20" s="377" customFormat="1" ht="20.100000000000001" customHeight="1">
      <c r="A1352" s="1195" t="s">
        <v>1420</v>
      </c>
      <c r="B1352" s="1196" t="s">
        <v>1612</v>
      </c>
      <c r="C1352" s="448" t="s">
        <v>1422</v>
      </c>
      <c r="D1352" s="529">
        <f>D1345+2110</f>
        <v>2910</v>
      </c>
      <c r="E1352" s="529">
        <f>E1345+4000</f>
        <v>5300</v>
      </c>
      <c r="F1352" s="529">
        <f>F1345+4000</f>
        <v>5300</v>
      </c>
      <c r="G1352" s="705" t="s">
        <v>13</v>
      </c>
      <c r="H1352" s="425">
        <v>4</v>
      </c>
      <c r="I1352" s="386" t="s">
        <v>1415</v>
      </c>
      <c r="J1352" s="37"/>
      <c r="K1352" s="398" t="s">
        <v>663</v>
      </c>
      <c r="L1352" s="386" t="s">
        <v>641</v>
      </c>
      <c r="M1352" s="404">
        <v>43087</v>
      </c>
      <c r="N1352" s="404">
        <v>43093</v>
      </c>
      <c r="O1352" s="393" t="s">
        <v>601</v>
      </c>
      <c r="P1352" s="61"/>
      <c r="Q1352" s="61" t="s">
        <v>1431</v>
      </c>
      <c r="R1352" s="397" t="s">
        <v>178</v>
      </c>
      <c r="S1352" s="316" t="s">
        <v>1176</v>
      </c>
      <c r="T1352" s="689"/>
    </row>
    <row r="1353" spans="1:20" s="377" customFormat="1" ht="20.100000000000001" customHeight="1">
      <c r="A1353" s="1195" t="s">
        <v>1420</v>
      </c>
      <c r="B1353" s="1196" t="s">
        <v>1421</v>
      </c>
      <c r="C1353" s="448" t="s">
        <v>1423</v>
      </c>
      <c r="D1353" s="529">
        <f>D1345+2410</f>
        <v>3210</v>
      </c>
      <c r="E1353" s="529">
        <f>E1345+4500</f>
        <v>5800</v>
      </c>
      <c r="F1353" s="529">
        <f>F1345+4500</f>
        <v>5800</v>
      </c>
      <c r="G1353" s="705" t="s">
        <v>13</v>
      </c>
      <c r="H1353" s="425">
        <v>4</v>
      </c>
      <c r="I1353" s="386" t="s">
        <v>1415</v>
      </c>
      <c r="J1353" s="37"/>
      <c r="K1353" s="398" t="s">
        <v>663</v>
      </c>
      <c r="L1353" s="386" t="s">
        <v>641</v>
      </c>
      <c r="M1353" s="404">
        <v>43087</v>
      </c>
      <c r="N1353" s="404">
        <v>43093</v>
      </c>
      <c r="O1353" s="393" t="s">
        <v>601</v>
      </c>
      <c r="P1353" s="61"/>
      <c r="Q1353" s="61" t="s">
        <v>1431</v>
      </c>
      <c r="R1353" s="397" t="s">
        <v>178</v>
      </c>
      <c r="S1353" s="316" t="s">
        <v>1176</v>
      </c>
      <c r="T1353" s="689"/>
    </row>
    <row r="1354" spans="1:20" s="377" customFormat="1" ht="20.100000000000001" customHeight="1">
      <c r="A1354" s="1195" t="s">
        <v>1420</v>
      </c>
      <c r="B1354" s="1196" t="s">
        <v>1421</v>
      </c>
      <c r="C1354" s="448" t="s">
        <v>1424</v>
      </c>
      <c r="D1354" s="529">
        <f>D1345+2760</f>
        <v>3560</v>
      </c>
      <c r="E1354" s="529">
        <f>E1345+5000</f>
        <v>6300</v>
      </c>
      <c r="F1354" s="529">
        <f>F1345+5000</f>
        <v>6300</v>
      </c>
      <c r="G1354" s="705" t="s">
        <v>13</v>
      </c>
      <c r="H1354" s="425">
        <v>4</v>
      </c>
      <c r="I1354" s="386" t="s">
        <v>1415</v>
      </c>
      <c r="J1354" s="37"/>
      <c r="K1354" s="398" t="s">
        <v>663</v>
      </c>
      <c r="L1354" s="386" t="s">
        <v>641</v>
      </c>
      <c r="M1354" s="404">
        <v>43087</v>
      </c>
      <c r="N1354" s="404">
        <v>43093</v>
      </c>
      <c r="O1354" s="393" t="s">
        <v>601</v>
      </c>
      <c r="P1354" s="61"/>
      <c r="Q1354" s="61" t="s">
        <v>1431</v>
      </c>
      <c r="R1354" s="397" t="s">
        <v>178</v>
      </c>
      <c r="S1354" s="316" t="s">
        <v>1176</v>
      </c>
      <c r="T1354" s="689"/>
    </row>
    <row r="1355" spans="1:20" s="377" customFormat="1" ht="20.100000000000001" customHeight="1">
      <c r="A1355" s="1195" t="s">
        <v>1420</v>
      </c>
      <c r="B1355" s="1196" t="s">
        <v>1421</v>
      </c>
      <c r="C1355" s="448" t="s">
        <v>1425</v>
      </c>
      <c r="D1355" s="529">
        <f>D1345+2100</f>
        <v>2900</v>
      </c>
      <c r="E1355" s="529">
        <f>E1345+4000</f>
        <v>5300</v>
      </c>
      <c r="F1355" s="529">
        <f>F1345+4000</f>
        <v>5300</v>
      </c>
      <c r="G1355" s="705" t="s">
        <v>13</v>
      </c>
      <c r="H1355" s="425">
        <v>4</v>
      </c>
      <c r="I1355" s="386" t="s">
        <v>1415</v>
      </c>
      <c r="J1355" s="37"/>
      <c r="K1355" s="398" t="s">
        <v>663</v>
      </c>
      <c r="L1355" s="386" t="s">
        <v>641</v>
      </c>
      <c r="M1355" s="404">
        <v>43087</v>
      </c>
      <c r="N1355" s="404">
        <v>43093</v>
      </c>
      <c r="O1355" s="393" t="s">
        <v>601</v>
      </c>
      <c r="P1355" s="61"/>
      <c r="Q1355" s="61" t="s">
        <v>1431</v>
      </c>
      <c r="R1355" s="397" t="s">
        <v>178</v>
      </c>
      <c r="S1355" s="316" t="s">
        <v>1176</v>
      </c>
      <c r="T1355" s="689"/>
    </row>
    <row r="1356" spans="1:20" s="377" customFormat="1" ht="20.100000000000001" customHeight="1">
      <c r="A1356" s="1195" t="s">
        <v>1420</v>
      </c>
      <c r="B1356" s="1196" t="s">
        <v>1421</v>
      </c>
      <c r="C1356" s="448" t="s">
        <v>1426</v>
      </c>
      <c r="D1356" s="529">
        <f>D1345+2110</f>
        <v>2910</v>
      </c>
      <c r="E1356" s="529">
        <f>E1345+4000</f>
        <v>5300</v>
      </c>
      <c r="F1356" s="529">
        <f>F1345+4000</f>
        <v>5300</v>
      </c>
      <c r="G1356" s="705" t="s">
        <v>13</v>
      </c>
      <c r="H1356" s="425">
        <v>4</v>
      </c>
      <c r="I1356" s="386" t="s">
        <v>1415</v>
      </c>
      <c r="J1356" s="37"/>
      <c r="K1356" s="398" t="s">
        <v>663</v>
      </c>
      <c r="L1356" s="386" t="s">
        <v>641</v>
      </c>
      <c r="M1356" s="404">
        <v>43087</v>
      </c>
      <c r="N1356" s="404">
        <v>43093</v>
      </c>
      <c r="O1356" s="393" t="s">
        <v>601</v>
      </c>
      <c r="P1356" s="61"/>
      <c r="Q1356" s="61" t="s">
        <v>1431</v>
      </c>
      <c r="R1356" s="397" t="s">
        <v>178</v>
      </c>
      <c r="S1356" s="316" t="s">
        <v>1176</v>
      </c>
      <c r="T1356" s="689"/>
    </row>
    <row r="1357" spans="1:20" s="377" customFormat="1" ht="20.100000000000001" customHeight="1">
      <c r="A1357" s="1195" t="s">
        <v>1420</v>
      </c>
      <c r="B1357" s="1196" t="s">
        <v>1421</v>
      </c>
      <c r="C1357" s="448" t="s">
        <v>1427</v>
      </c>
      <c r="D1357" s="529">
        <f>D1345+2110</f>
        <v>2910</v>
      </c>
      <c r="E1357" s="529">
        <f>E1345+4000</f>
        <v>5300</v>
      </c>
      <c r="F1357" s="529">
        <f>F1345+4000</f>
        <v>5300</v>
      </c>
      <c r="G1357" s="705" t="s">
        <v>13</v>
      </c>
      <c r="H1357" s="425">
        <v>4</v>
      </c>
      <c r="I1357" s="386" t="s">
        <v>1415</v>
      </c>
      <c r="J1357" s="37"/>
      <c r="K1357" s="398" t="s">
        <v>663</v>
      </c>
      <c r="L1357" s="386" t="s">
        <v>641</v>
      </c>
      <c r="M1357" s="404">
        <v>43087</v>
      </c>
      <c r="N1357" s="404">
        <v>43093</v>
      </c>
      <c r="O1357" s="393" t="s">
        <v>601</v>
      </c>
      <c r="P1357" s="61"/>
      <c r="Q1357" s="61" t="s">
        <v>1431</v>
      </c>
      <c r="R1357" s="397" t="s">
        <v>178</v>
      </c>
      <c r="S1357" s="316" t="s">
        <v>1176</v>
      </c>
      <c r="T1357" s="689"/>
    </row>
    <row r="1358" spans="1:20" s="377" customFormat="1" ht="20.100000000000001" customHeight="1">
      <c r="A1358" s="1195" t="s">
        <v>1420</v>
      </c>
      <c r="B1358" s="1196" t="s">
        <v>1421</v>
      </c>
      <c r="C1358" s="448" t="s">
        <v>1428</v>
      </c>
      <c r="D1358" s="529">
        <f>D1345+2360</f>
        <v>3160</v>
      </c>
      <c r="E1358" s="529">
        <f>E1345+4400</f>
        <v>5700</v>
      </c>
      <c r="F1358" s="529">
        <f>F1345+4400</f>
        <v>5700</v>
      </c>
      <c r="G1358" s="705" t="s">
        <v>13</v>
      </c>
      <c r="H1358" s="425">
        <v>4</v>
      </c>
      <c r="I1358" s="386" t="s">
        <v>1415</v>
      </c>
      <c r="J1358" s="37"/>
      <c r="K1358" s="398" t="s">
        <v>663</v>
      </c>
      <c r="L1358" s="386" t="s">
        <v>641</v>
      </c>
      <c r="M1358" s="404">
        <v>43087</v>
      </c>
      <c r="N1358" s="404">
        <v>43093</v>
      </c>
      <c r="O1358" s="393" t="s">
        <v>601</v>
      </c>
      <c r="P1358" s="61"/>
      <c r="Q1358" s="61" t="s">
        <v>1431</v>
      </c>
      <c r="R1358" s="397" t="s">
        <v>178</v>
      </c>
      <c r="S1358" s="316" t="s">
        <v>1176</v>
      </c>
      <c r="T1358" s="689"/>
    </row>
    <row r="1359" spans="1:20" s="377" customFormat="1" ht="20.100000000000001" customHeight="1">
      <c r="A1359" s="1195" t="s">
        <v>1420</v>
      </c>
      <c r="B1359" s="1196" t="s">
        <v>1421</v>
      </c>
      <c r="C1359" s="448" t="s">
        <v>1429</v>
      </c>
      <c r="D1359" s="529">
        <f>D1345+2110</f>
        <v>2910</v>
      </c>
      <c r="E1359" s="529">
        <f>E1345+3900</f>
        <v>5200</v>
      </c>
      <c r="F1359" s="529">
        <f>F1345+3900</f>
        <v>5200</v>
      </c>
      <c r="G1359" s="705" t="s">
        <v>13</v>
      </c>
      <c r="H1359" s="425">
        <v>4</v>
      </c>
      <c r="I1359" s="386" t="s">
        <v>1415</v>
      </c>
      <c r="J1359" s="37"/>
      <c r="K1359" s="398" t="s">
        <v>663</v>
      </c>
      <c r="L1359" s="386" t="s">
        <v>641</v>
      </c>
      <c r="M1359" s="404">
        <v>43087</v>
      </c>
      <c r="N1359" s="404">
        <v>43093</v>
      </c>
      <c r="O1359" s="393" t="s">
        <v>601</v>
      </c>
      <c r="P1359" s="61"/>
      <c r="Q1359" s="61" t="s">
        <v>1431</v>
      </c>
      <c r="R1359" s="397" t="s">
        <v>178</v>
      </c>
      <c r="S1359" s="316" t="s">
        <v>1176</v>
      </c>
      <c r="T1359" s="689"/>
    </row>
    <row r="1360" spans="1:20" s="377" customFormat="1" ht="20.100000000000001" customHeight="1">
      <c r="A1360" s="1195" t="s">
        <v>1420</v>
      </c>
      <c r="B1360" s="1196" t="s">
        <v>1421</v>
      </c>
      <c r="C1360" s="448" t="s">
        <v>1430</v>
      </c>
      <c r="D1360" s="529">
        <f>D1345+1910</f>
        <v>2710</v>
      </c>
      <c r="E1360" s="529">
        <f>E1345+3500</f>
        <v>4800</v>
      </c>
      <c r="F1360" s="529">
        <f>F1345+3500</f>
        <v>4800</v>
      </c>
      <c r="G1360" s="705" t="s">
        <v>13</v>
      </c>
      <c r="H1360" s="425">
        <v>4</v>
      </c>
      <c r="I1360" s="386" t="s">
        <v>1415</v>
      </c>
      <c r="J1360" s="37"/>
      <c r="K1360" s="398" t="s">
        <v>663</v>
      </c>
      <c r="L1360" s="386" t="s">
        <v>641</v>
      </c>
      <c r="M1360" s="404">
        <v>43087</v>
      </c>
      <c r="N1360" s="404">
        <v>43093</v>
      </c>
      <c r="O1360" s="393" t="s">
        <v>601</v>
      </c>
      <c r="P1360" s="61"/>
      <c r="Q1360" s="61" t="s">
        <v>1431</v>
      </c>
      <c r="R1360" s="397" t="s">
        <v>178</v>
      </c>
      <c r="S1360" s="316" t="s">
        <v>1176</v>
      </c>
      <c r="T1360" s="689"/>
    </row>
    <row r="1361" spans="1:20" ht="20.100000000000001" customHeight="1">
      <c r="A1361" s="44"/>
      <c r="B1361" s="1"/>
      <c r="C1361" s="1"/>
      <c r="I1361" s="1"/>
      <c r="K1361" s="1"/>
      <c r="O1361" s="1"/>
      <c r="R1361" s="1"/>
      <c r="T1361" s="719"/>
    </row>
    <row r="1362" spans="1:20" ht="20.100000000000001" customHeight="1">
      <c r="G1362" s="711"/>
    </row>
    <row r="1363" spans="1:20" ht="20.100000000000001" customHeight="1">
      <c r="A1363" s="44"/>
      <c r="B1363" s="1"/>
      <c r="C1363" s="1"/>
      <c r="I1363" s="1"/>
      <c r="K1363" s="1"/>
      <c r="O1363" s="1"/>
      <c r="R1363" s="1"/>
    </row>
    <row r="1364" spans="1:20" ht="20.100000000000001" customHeight="1">
      <c r="A1364" s="44"/>
      <c r="B1364" s="1"/>
      <c r="C1364" s="1"/>
      <c r="I1364" s="1"/>
      <c r="K1364" s="1"/>
      <c r="O1364" s="1"/>
      <c r="R1364" s="1"/>
    </row>
    <row r="1365" spans="1:20" ht="20.100000000000001" customHeight="1">
      <c r="A1365" s="44"/>
      <c r="B1365" s="1"/>
      <c r="C1365" s="1"/>
      <c r="I1365" s="1"/>
      <c r="K1365" s="1"/>
      <c r="O1365" s="1"/>
      <c r="R1365" s="1"/>
    </row>
    <row r="1366" spans="1:20" ht="20.100000000000001" customHeight="1">
      <c r="A1366" s="44"/>
      <c r="B1366" s="1"/>
      <c r="C1366" s="1"/>
      <c r="I1366" s="1"/>
      <c r="K1366" s="1"/>
      <c r="O1366" s="1"/>
      <c r="R1366" s="1"/>
    </row>
    <row r="1367" spans="1:20" ht="20.100000000000001" customHeight="1">
      <c r="A1367" s="44"/>
      <c r="B1367" s="1"/>
      <c r="C1367" s="1"/>
      <c r="I1367" s="1"/>
      <c r="K1367" s="1"/>
      <c r="O1367" s="1"/>
      <c r="R1367" s="1"/>
    </row>
    <row r="1368" spans="1:20" ht="20.100000000000001" customHeight="1">
      <c r="A1368" s="44"/>
      <c r="B1368" s="1"/>
      <c r="C1368" s="1"/>
      <c r="I1368" s="1"/>
      <c r="K1368" s="1"/>
      <c r="O1368" s="1"/>
      <c r="R1368" s="1"/>
    </row>
    <row r="1369" spans="1:20" ht="20.100000000000001" customHeight="1">
      <c r="A1369" s="44"/>
      <c r="B1369" s="1"/>
      <c r="C1369" s="1"/>
      <c r="I1369" s="1"/>
      <c r="K1369" s="1"/>
      <c r="O1369" s="1"/>
      <c r="R1369" s="1"/>
    </row>
    <row r="1370" spans="1:20" ht="20.100000000000001" customHeight="1">
      <c r="A1370" s="44"/>
      <c r="B1370" s="1"/>
      <c r="C1370" s="1"/>
      <c r="I1370" s="1"/>
      <c r="K1370" s="1"/>
      <c r="O1370" s="1"/>
      <c r="R1370" s="1"/>
    </row>
    <row r="1371" spans="1:20" ht="20.100000000000001" customHeight="1">
      <c r="A1371" s="44"/>
      <c r="B1371" s="1"/>
      <c r="C1371" s="1"/>
      <c r="I1371" s="1"/>
      <c r="K1371" s="1"/>
      <c r="O1371" s="1"/>
      <c r="R1371" s="1"/>
    </row>
    <row r="1372" spans="1:20" ht="20.100000000000001" customHeight="1">
      <c r="A1372" s="44"/>
      <c r="B1372" s="1"/>
      <c r="C1372" s="1"/>
      <c r="I1372" s="1"/>
      <c r="K1372" s="1"/>
      <c r="O1372" s="1"/>
      <c r="R1372" s="1"/>
    </row>
    <row r="1373" spans="1:20" ht="20.100000000000001" customHeight="1">
      <c r="A1373" s="44"/>
      <c r="B1373" s="1"/>
      <c r="C1373" s="1"/>
      <c r="I1373" s="1"/>
      <c r="K1373" s="1"/>
      <c r="O1373" s="1"/>
      <c r="R1373" s="1"/>
    </row>
    <row r="1374" spans="1:20" ht="20.100000000000001" customHeight="1">
      <c r="A1374" s="44"/>
      <c r="B1374" s="1"/>
      <c r="C1374" s="1"/>
      <c r="I1374" s="1"/>
      <c r="K1374" s="1"/>
      <c r="O1374" s="1"/>
      <c r="R1374" s="1"/>
    </row>
    <row r="1375" spans="1:20" ht="20.100000000000001" customHeight="1">
      <c r="A1375" s="44"/>
      <c r="B1375" s="1"/>
      <c r="C1375" s="1"/>
      <c r="I1375" s="1"/>
      <c r="K1375" s="1"/>
      <c r="O1375" s="1"/>
      <c r="R1375" s="1"/>
    </row>
    <row r="1376" spans="1:20" ht="20.100000000000001" customHeight="1">
      <c r="A1376" s="44"/>
      <c r="B1376" s="1"/>
      <c r="C1376" s="1"/>
      <c r="I1376" s="1"/>
      <c r="K1376" s="1"/>
      <c r="O1376" s="1"/>
      <c r="R1376" s="1"/>
    </row>
    <row r="1377" spans="1:18" ht="20.100000000000001" customHeight="1">
      <c r="A1377" s="44"/>
      <c r="B1377" s="1"/>
      <c r="C1377" s="1"/>
      <c r="I1377" s="1"/>
      <c r="K1377" s="1"/>
      <c r="O1377" s="1"/>
      <c r="R1377" s="1"/>
    </row>
    <row r="1378" spans="1:18" ht="20.100000000000001" customHeight="1">
      <c r="A1378" s="44"/>
      <c r="B1378" s="1"/>
      <c r="C1378" s="1"/>
      <c r="I1378" s="1"/>
      <c r="K1378" s="1"/>
      <c r="O1378" s="1"/>
      <c r="R1378" s="1"/>
    </row>
    <row r="1379" spans="1:18" ht="20.100000000000001" customHeight="1">
      <c r="A1379" s="44"/>
      <c r="B1379" s="1"/>
      <c r="C1379" s="1"/>
      <c r="I1379" s="1"/>
      <c r="K1379" s="1"/>
      <c r="O1379" s="1"/>
      <c r="R1379" s="1"/>
    </row>
    <row r="1380" spans="1:18" ht="20.100000000000001" customHeight="1">
      <c r="A1380" s="44"/>
      <c r="B1380" s="1"/>
      <c r="C1380" s="1"/>
      <c r="I1380" s="1"/>
      <c r="K1380" s="1"/>
      <c r="O1380" s="1"/>
      <c r="R1380" s="1"/>
    </row>
    <row r="1381" spans="1:18" ht="20.100000000000001" customHeight="1">
      <c r="A1381" s="44"/>
      <c r="B1381" s="1"/>
      <c r="C1381" s="1"/>
      <c r="I1381" s="1"/>
      <c r="K1381" s="1"/>
      <c r="O1381" s="1"/>
      <c r="R1381" s="1"/>
    </row>
    <row r="1382" spans="1:18" ht="20.100000000000001" customHeight="1">
      <c r="A1382" s="44"/>
      <c r="B1382" s="1"/>
      <c r="C1382" s="1"/>
      <c r="I1382" s="1"/>
      <c r="K1382" s="1"/>
      <c r="O1382" s="1"/>
      <c r="R1382" s="1"/>
    </row>
    <row r="1383" spans="1:18" ht="20.100000000000001" customHeight="1">
      <c r="A1383" s="44"/>
      <c r="B1383" s="1"/>
      <c r="C1383" s="1"/>
      <c r="I1383" s="1"/>
      <c r="K1383" s="1"/>
      <c r="O1383" s="1"/>
      <c r="R1383" s="1"/>
    </row>
    <row r="1384" spans="1:18" ht="20.100000000000001" customHeight="1">
      <c r="A1384" s="44"/>
      <c r="B1384" s="1"/>
      <c r="C1384" s="1"/>
      <c r="I1384" s="1"/>
      <c r="K1384" s="1"/>
      <c r="O1384" s="1"/>
      <c r="R1384" s="1"/>
    </row>
    <row r="1385" spans="1:18" ht="20.100000000000001" customHeight="1">
      <c r="A1385" s="44"/>
      <c r="B1385" s="1"/>
      <c r="C1385" s="1"/>
      <c r="I1385" s="1"/>
      <c r="K1385" s="1"/>
      <c r="O1385" s="1"/>
      <c r="R1385" s="1"/>
    </row>
    <row r="1386" spans="1:18" ht="20.100000000000001" customHeight="1">
      <c r="A1386" s="44"/>
      <c r="B1386" s="1"/>
      <c r="C1386" s="1"/>
      <c r="I1386" s="1"/>
      <c r="K1386" s="1"/>
      <c r="O1386" s="1"/>
      <c r="R1386" s="1"/>
    </row>
    <row r="1387" spans="1:18" ht="20.100000000000001" customHeight="1">
      <c r="A1387" s="44"/>
      <c r="B1387" s="1"/>
      <c r="C1387" s="1"/>
      <c r="I1387" s="1"/>
      <c r="K1387" s="1"/>
      <c r="O1387" s="1"/>
      <c r="R1387" s="1"/>
    </row>
    <row r="1388" spans="1:18" ht="20.100000000000001" customHeight="1">
      <c r="A1388" s="44"/>
      <c r="B1388" s="1"/>
      <c r="C1388" s="1"/>
      <c r="I1388" s="1"/>
      <c r="K1388" s="1"/>
      <c r="O1388" s="1"/>
      <c r="R1388" s="1"/>
    </row>
    <row r="1389" spans="1:18" ht="20.100000000000001" customHeight="1">
      <c r="A1389" s="44"/>
      <c r="B1389" s="1"/>
      <c r="C1389" s="1"/>
      <c r="I1389" s="1"/>
      <c r="K1389" s="1"/>
      <c r="O1389" s="1"/>
      <c r="R1389" s="1"/>
    </row>
    <row r="1390" spans="1:18" ht="20.100000000000001" customHeight="1">
      <c r="A1390" s="44"/>
      <c r="B1390" s="1"/>
      <c r="C1390" s="1"/>
      <c r="I1390" s="1"/>
      <c r="K1390" s="1"/>
      <c r="O1390" s="1"/>
      <c r="R1390" s="1"/>
    </row>
    <row r="1391" spans="1:18" ht="20.100000000000001" customHeight="1">
      <c r="A1391" s="44"/>
      <c r="B1391" s="1"/>
      <c r="C1391" s="1"/>
      <c r="I1391" s="1"/>
      <c r="K1391" s="1"/>
      <c r="O1391" s="1"/>
      <c r="R1391" s="1"/>
    </row>
    <row r="1392" spans="1:18" ht="20.100000000000001" customHeight="1">
      <c r="A1392" s="44"/>
      <c r="B1392" s="1"/>
      <c r="C1392" s="1"/>
      <c r="I1392" s="1"/>
      <c r="K1392" s="1"/>
      <c r="O1392" s="1"/>
      <c r="R1392" s="1"/>
    </row>
    <row r="1393" spans="1:18" ht="20.100000000000001" customHeight="1">
      <c r="A1393" s="44"/>
      <c r="B1393" s="1"/>
      <c r="C1393" s="1"/>
      <c r="I1393" s="1"/>
      <c r="K1393" s="1"/>
      <c r="O1393" s="1"/>
      <c r="R1393" s="1"/>
    </row>
    <row r="1394" spans="1:18" ht="20.100000000000001" customHeight="1">
      <c r="A1394" s="44"/>
      <c r="B1394" s="1"/>
      <c r="C1394" s="1"/>
      <c r="I1394" s="1"/>
      <c r="K1394" s="1"/>
      <c r="O1394" s="1"/>
      <c r="R1394" s="1"/>
    </row>
    <row r="1395" spans="1:18" ht="20.100000000000001" customHeight="1">
      <c r="A1395" s="44"/>
      <c r="B1395" s="1"/>
      <c r="C1395" s="1"/>
      <c r="I1395" s="1"/>
      <c r="K1395" s="1"/>
      <c r="O1395" s="1"/>
      <c r="R1395" s="1"/>
    </row>
    <row r="1396" spans="1:18" ht="20.100000000000001" customHeight="1">
      <c r="A1396" s="44"/>
      <c r="B1396" s="1"/>
      <c r="C1396" s="1"/>
      <c r="I1396" s="1"/>
      <c r="K1396" s="1"/>
      <c r="O1396" s="1"/>
      <c r="R1396" s="1"/>
    </row>
    <row r="1397" spans="1:18" ht="20.100000000000001" customHeight="1">
      <c r="A1397" s="44"/>
      <c r="B1397" s="1"/>
      <c r="C1397" s="1"/>
      <c r="I1397" s="1"/>
      <c r="K1397" s="1"/>
      <c r="O1397" s="1"/>
      <c r="R1397" s="1"/>
    </row>
    <row r="1398" spans="1:18" ht="20.100000000000001" customHeight="1">
      <c r="A1398" s="44"/>
      <c r="B1398" s="1"/>
      <c r="C1398" s="1"/>
      <c r="I1398" s="1"/>
      <c r="K1398" s="1"/>
      <c r="O1398" s="1"/>
      <c r="R1398" s="1"/>
    </row>
    <row r="1399" spans="1:18" ht="20.100000000000001" customHeight="1">
      <c r="A1399" s="44"/>
      <c r="B1399" s="1"/>
      <c r="C1399" s="1"/>
      <c r="I1399" s="1"/>
      <c r="K1399" s="1"/>
      <c r="O1399" s="1"/>
      <c r="R1399" s="1"/>
    </row>
    <row r="1400" spans="1:18" ht="20.100000000000001" customHeight="1">
      <c r="A1400" s="44"/>
      <c r="B1400" s="1"/>
      <c r="C1400" s="1"/>
      <c r="I1400" s="1"/>
      <c r="K1400" s="1"/>
      <c r="O1400" s="1"/>
      <c r="R1400" s="1"/>
    </row>
    <row r="1401" spans="1:18" ht="20.100000000000001" customHeight="1">
      <c r="A1401" s="44"/>
      <c r="B1401" s="1"/>
      <c r="C1401" s="1"/>
      <c r="I1401" s="1"/>
      <c r="K1401" s="1"/>
      <c r="O1401" s="1"/>
      <c r="R1401" s="1"/>
    </row>
    <row r="1402" spans="1:18" ht="20.100000000000001" customHeight="1">
      <c r="A1402" s="44"/>
      <c r="B1402" s="1"/>
      <c r="C1402" s="1"/>
      <c r="I1402" s="1"/>
      <c r="K1402" s="1"/>
      <c r="O1402" s="1"/>
      <c r="R1402" s="1"/>
    </row>
    <row r="1403" spans="1:18" ht="20.100000000000001" customHeight="1">
      <c r="A1403" s="44"/>
      <c r="B1403" s="1"/>
      <c r="C1403" s="1"/>
      <c r="I1403" s="1"/>
      <c r="K1403" s="1"/>
      <c r="O1403" s="1"/>
      <c r="R1403" s="1"/>
    </row>
    <row r="1404" spans="1:18" ht="20.100000000000001" customHeight="1">
      <c r="A1404" s="44"/>
      <c r="B1404" s="1"/>
      <c r="C1404" s="1"/>
      <c r="I1404" s="1"/>
      <c r="K1404" s="1"/>
      <c r="O1404" s="1"/>
      <c r="R1404" s="1"/>
    </row>
    <row r="1405" spans="1:18" ht="20.100000000000001" customHeight="1">
      <c r="A1405" s="44"/>
      <c r="B1405" s="1"/>
      <c r="C1405" s="1"/>
      <c r="I1405" s="1"/>
      <c r="K1405" s="1"/>
      <c r="O1405" s="1"/>
      <c r="R1405" s="1"/>
    </row>
    <row r="1406" spans="1:18" ht="20.100000000000001" customHeight="1">
      <c r="A1406" s="44"/>
      <c r="B1406" s="1"/>
      <c r="C1406" s="1"/>
      <c r="I1406" s="1"/>
      <c r="K1406" s="1"/>
      <c r="O1406" s="1"/>
      <c r="R1406" s="1"/>
    </row>
    <row r="1407" spans="1:18" ht="20.100000000000001" customHeight="1">
      <c r="A1407" s="44"/>
      <c r="B1407" s="1"/>
      <c r="C1407" s="1"/>
      <c r="I1407" s="1"/>
      <c r="K1407" s="1"/>
      <c r="O1407" s="1"/>
      <c r="R1407" s="1"/>
    </row>
    <row r="1408" spans="1:18" ht="20.100000000000001" customHeight="1">
      <c r="A1408" s="44"/>
      <c r="B1408" s="1"/>
      <c r="C1408" s="1"/>
      <c r="I1408" s="1"/>
      <c r="K1408" s="1"/>
      <c r="O1408" s="1"/>
      <c r="R1408" s="1"/>
    </row>
    <row r="1409" spans="1:18" ht="20.100000000000001" customHeight="1">
      <c r="A1409" s="44"/>
      <c r="B1409" s="1"/>
      <c r="C1409" s="1"/>
      <c r="I1409" s="1"/>
      <c r="K1409" s="1"/>
      <c r="O1409" s="1"/>
      <c r="R1409" s="1"/>
    </row>
    <row r="1410" spans="1:18" ht="20.100000000000001" customHeight="1">
      <c r="A1410" s="44"/>
      <c r="B1410" s="1"/>
      <c r="C1410" s="1"/>
      <c r="I1410" s="1"/>
      <c r="K1410" s="1"/>
      <c r="O1410" s="1"/>
      <c r="R1410" s="1"/>
    </row>
    <row r="1411" spans="1:18" ht="20.100000000000001" customHeight="1">
      <c r="A1411" s="44"/>
      <c r="B1411" s="1"/>
      <c r="C1411" s="1"/>
      <c r="I1411" s="1"/>
      <c r="K1411" s="1"/>
      <c r="O1411" s="1"/>
      <c r="R1411" s="1"/>
    </row>
    <row r="1412" spans="1:18" ht="20.100000000000001" customHeight="1">
      <c r="A1412" s="44"/>
      <c r="B1412" s="1"/>
      <c r="C1412" s="1"/>
      <c r="I1412" s="1"/>
      <c r="K1412" s="1"/>
      <c r="O1412" s="1"/>
      <c r="R1412" s="1"/>
    </row>
    <row r="1413" spans="1:18" ht="20.100000000000001" customHeight="1">
      <c r="A1413" s="44"/>
      <c r="B1413" s="1"/>
      <c r="C1413" s="1"/>
      <c r="I1413" s="1"/>
      <c r="K1413" s="1"/>
      <c r="O1413" s="1"/>
      <c r="R1413" s="1"/>
    </row>
    <row r="1414" spans="1:18" ht="20.100000000000001" customHeight="1">
      <c r="A1414" s="44"/>
      <c r="B1414" s="1"/>
      <c r="C1414" s="1"/>
      <c r="I1414" s="1"/>
      <c r="K1414" s="1"/>
      <c r="O1414" s="1"/>
      <c r="R1414" s="1"/>
    </row>
    <row r="1415" spans="1:18" ht="20.100000000000001" customHeight="1">
      <c r="A1415" s="44"/>
      <c r="B1415" s="1"/>
      <c r="C1415" s="1"/>
      <c r="I1415" s="1"/>
      <c r="K1415" s="1"/>
      <c r="O1415" s="1"/>
      <c r="R1415" s="1"/>
    </row>
    <row r="1416" spans="1:18" ht="20.100000000000001" customHeight="1">
      <c r="A1416" s="44"/>
      <c r="B1416" s="1"/>
      <c r="C1416" s="1"/>
      <c r="I1416" s="1"/>
      <c r="K1416" s="1"/>
      <c r="O1416" s="1"/>
      <c r="R1416" s="1"/>
    </row>
    <row r="1417" spans="1:18" ht="20.100000000000001" customHeight="1">
      <c r="A1417" s="44"/>
      <c r="B1417" s="1"/>
      <c r="C1417" s="1"/>
      <c r="I1417" s="1"/>
      <c r="K1417" s="1"/>
      <c r="O1417" s="1"/>
      <c r="R1417" s="1"/>
    </row>
    <row r="1418" spans="1:18" ht="20.100000000000001" customHeight="1">
      <c r="A1418" s="44"/>
      <c r="B1418" s="1"/>
      <c r="C1418" s="1"/>
      <c r="I1418" s="1"/>
      <c r="K1418" s="1"/>
      <c r="O1418" s="1"/>
      <c r="R1418" s="1"/>
    </row>
    <row r="1419" spans="1:18" ht="20.100000000000001" customHeight="1">
      <c r="A1419" s="44"/>
      <c r="B1419" s="1"/>
      <c r="C1419" s="1"/>
      <c r="I1419" s="1"/>
      <c r="K1419" s="1"/>
      <c r="O1419" s="1"/>
      <c r="R1419" s="1"/>
    </row>
    <row r="1420" spans="1:18" ht="20.100000000000001" customHeight="1">
      <c r="A1420" s="44"/>
      <c r="B1420" s="1"/>
      <c r="C1420" s="1"/>
      <c r="I1420" s="1"/>
      <c r="K1420" s="1"/>
      <c r="O1420" s="1"/>
      <c r="R1420" s="1"/>
    </row>
    <row r="1421" spans="1:18" ht="20.100000000000001" customHeight="1">
      <c r="A1421" s="44"/>
      <c r="B1421" s="1"/>
      <c r="C1421" s="1"/>
      <c r="I1421" s="1"/>
      <c r="K1421" s="1"/>
      <c r="O1421" s="1"/>
      <c r="R1421" s="1"/>
    </row>
    <row r="1422" spans="1:18" ht="20.100000000000001" customHeight="1">
      <c r="A1422" s="44"/>
      <c r="B1422" s="1"/>
      <c r="C1422" s="1"/>
      <c r="I1422" s="1"/>
      <c r="K1422" s="1"/>
      <c r="O1422" s="1"/>
      <c r="R1422" s="1"/>
    </row>
    <row r="1423" spans="1:18" ht="20.100000000000001" customHeight="1">
      <c r="A1423" s="44"/>
      <c r="B1423" s="1"/>
      <c r="C1423" s="1"/>
      <c r="I1423" s="1"/>
      <c r="K1423" s="1"/>
      <c r="O1423" s="1"/>
      <c r="R1423" s="1"/>
    </row>
    <row r="1424" spans="1:18" ht="20.100000000000001" customHeight="1">
      <c r="A1424" s="44"/>
      <c r="B1424" s="1"/>
      <c r="C1424" s="1"/>
      <c r="I1424" s="1"/>
      <c r="K1424" s="1"/>
      <c r="O1424" s="1"/>
      <c r="R1424" s="1"/>
    </row>
    <row r="1425" spans="1:18" ht="20.100000000000001" customHeight="1">
      <c r="A1425" s="44"/>
      <c r="B1425" s="1"/>
      <c r="C1425" s="1"/>
      <c r="I1425" s="1"/>
      <c r="K1425" s="1"/>
      <c r="O1425" s="1"/>
      <c r="R1425" s="1"/>
    </row>
    <row r="1426" spans="1:18" ht="20.100000000000001" customHeight="1">
      <c r="A1426" s="44"/>
      <c r="B1426" s="1"/>
      <c r="C1426" s="1"/>
      <c r="I1426" s="1"/>
      <c r="K1426" s="1"/>
      <c r="O1426" s="1"/>
      <c r="R1426" s="1"/>
    </row>
    <row r="1427" spans="1:18" ht="20.100000000000001" customHeight="1">
      <c r="A1427" s="44"/>
      <c r="B1427" s="1"/>
      <c r="C1427" s="1"/>
      <c r="I1427" s="1"/>
      <c r="K1427" s="1"/>
      <c r="O1427" s="1"/>
      <c r="R1427" s="1"/>
    </row>
    <row r="1428" spans="1:18" ht="20.100000000000001" customHeight="1">
      <c r="A1428" s="44"/>
      <c r="B1428" s="1"/>
      <c r="C1428" s="1"/>
      <c r="I1428" s="1"/>
      <c r="K1428" s="1"/>
      <c r="O1428" s="1"/>
      <c r="R1428" s="1"/>
    </row>
    <row r="1429" spans="1:18" ht="20.100000000000001" customHeight="1">
      <c r="A1429" s="44"/>
      <c r="B1429" s="1"/>
      <c r="C1429" s="1"/>
      <c r="I1429" s="1"/>
      <c r="K1429" s="1"/>
      <c r="O1429" s="1"/>
      <c r="R1429" s="1"/>
    </row>
    <row r="1430" spans="1:18" ht="20.100000000000001" customHeight="1">
      <c r="A1430" s="44"/>
      <c r="B1430" s="1"/>
      <c r="C1430" s="1"/>
      <c r="I1430" s="1"/>
      <c r="K1430" s="1"/>
      <c r="O1430" s="1"/>
      <c r="R1430" s="1"/>
    </row>
    <row r="1431" spans="1:18" ht="20.100000000000001" customHeight="1">
      <c r="A1431" s="44"/>
      <c r="B1431" s="1"/>
      <c r="C1431" s="1"/>
      <c r="I1431" s="1"/>
      <c r="K1431" s="1"/>
      <c r="O1431" s="1"/>
      <c r="R1431" s="1"/>
    </row>
    <row r="1432" spans="1:18" ht="20.100000000000001" customHeight="1">
      <c r="A1432" s="44"/>
      <c r="B1432" s="1"/>
      <c r="C1432" s="1"/>
      <c r="I1432" s="1"/>
      <c r="K1432" s="1"/>
      <c r="O1432" s="1"/>
      <c r="R1432" s="1"/>
    </row>
    <row r="1433" spans="1:18" ht="20.100000000000001" customHeight="1">
      <c r="A1433" s="44"/>
      <c r="B1433" s="1"/>
      <c r="C1433" s="1"/>
      <c r="I1433" s="1"/>
      <c r="K1433" s="1"/>
      <c r="O1433" s="1"/>
      <c r="R1433" s="1"/>
    </row>
    <row r="1434" spans="1:18" ht="20.100000000000001" customHeight="1">
      <c r="A1434" s="44"/>
      <c r="B1434" s="1"/>
      <c r="C1434" s="1"/>
      <c r="I1434" s="1"/>
      <c r="K1434" s="1"/>
      <c r="O1434" s="1"/>
      <c r="R1434" s="1"/>
    </row>
    <row r="1435" spans="1:18" ht="20.100000000000001" customHeight="1">
      <c r="A1435" s="44"/>
      <c r="B1435" s="1"/>
      <c r="C1435" s="1"/>
      <c r="I1435" s="1"/>
      <c r="K1435" s="1"/>
      <c r="O1435" s="1"/>
      <c r="R1435" s="1"/>
    </row>
    <row r="1436" spans="1:18" ht="20.100000000000001" customHeight="1">
      <c r="A1436" s="44"/>
      <c r="B1436" s="1"/>
      <c r="C1436" s="1"/>
      <c r="I1436" s="1"/>
      <c r="K1436" s="1"/>
      <c r="O1436" s="1"/>
      <c r="R1436" s="1"/>
    </row>
    <row r="1437" spans="1:18" ht="20.100000000000001" customHeight="1">
      <c r="A1437" s="44"/>
      <c r="B1437" s="1"/>
      <c r="C1437" s="1"/>
      <c r="I1437" s="1"/>
      <c r="K1437" s="1"/>
      <c r="O1437" s="1"/>
      <c r="R1437" s="1"/>
    </row>
    <row r="1438" spans="1:18" ht="20.100000000000001" customHeight="1">
      <c r="A1438" s="44"/>
      <c r="B1438" s="1"/>
      <c r="C1438" s="1"/>
      <c r="I1438" s="1"/>
      <c r="K1438" s="1"/>
      <c r="O1438" s="1"/>
      <c r="R1438" s="1"/>
    </row>
    <row r="1439" spans="1:18" ht="20.100000000000001" customHeight="1">
      <c r="A1439" s="44"/>
      <c r="B1439" s="1"/>
      <c r="C1439" s="1"/>
      <c r="I1439" s="1"/>
      <c r="K1439" s="1"/>
      <c r="O1439" s="1"/>
      <c r="R1439" s="1"/>
    </row>
    <row r="1440" spans="1:18" ht="20.100000000000001" customHeight="1">
      <c r="A1440" s="44"/>
      <c r="B1440" s="1"/>
      <c r="C1440" s="1"/>
      <c r="I1440" s="1"/>
      <c r="K1440" s="1"/>
      <c r="O1440" s="1"/>
      <c r="R1440" s="1"/>
    </row>
    <row r="1441" spans="1:18" ht="20.100000000000001" customHeight="1">
      <c r="A1441" s="44"/>
      <c r="B1441" s="1"/>
      <c r="C1441" s="1"/>
      <c r="I1441" s="1"/>
      <c r="K1441" s="1"/>
      <c r="O1441" s="1"/>
      <c r="R1441" s="1"/>
    </row>
    <row r="1442" spans="1:18" ht="20.100000000000001" customHeight="1">
      <c r="A1442" s="44"/>
      <c r="B1442" s="1"/>
      <c r="C1442" s="1"/>
      <c r="I1442" s="1"/>
      <c r="K1442" s="1"/>
      <c r="O1442" s="1"/>
      <c r="R1442" s="1"/>
    </row>
    <row r="1443" spans="1:18" ht="20.100000000000001" customHeight="1">
      <c r="A1443" s="44"/>
      <c r="B1443" s="1"/>
      <c r="C1443" s="1"/>
      <c r="I1443" s="1"/>
      <c r="K1443" s="1"/>
      <c r="O1443" s="1"/>
      <c r="R1443" s="1"/>
    </row>
    <row r="1444" spans="1:18" ht="20.100000000000001" customHeight="1">
      <c r="A1444" s="44"/>
      <c r="B1444" s="1"/>
      <c r="C1444" s="1"/>
      <c r="I1444" s="1"/>
      <c r="K1444" s="1"/>
      <c r="O1444" s="1"/>
      <c r="R1444" s="1"/>
    </row>
    <row r="1445" spans="1:18" ht="20.100000000000001" customHeight="1">
      <c r="A1445" s="44"/>
      <c r="B1445" s="1"/>
      <c r="C1445" s="1"/>
      <c r="I1445" s="1"/>
      <c r="K1445" s="1"/>
      <c r="O1445" s="1"/>
      <c r="R1445" s="1"/>
    </row>
    <row r="1446" spans="1:18" ht="20.100000000000001" customHeight="1">
      <c r="A1446" s="44"/>
      <c r="B1446" s="1"/>
      <c r="C1446" s="1"/>
      <c r="I1446" s="1"/>
      <c r="K1446" s="1"/>
      <c r="O1446" s="1"/>
      <c r="R1446" s="1"/>
    </row>
    <row r="1447" spans="1:18" ht="20.100000000000001" customHeight="1">
      <c r="A1447" s="44"/>
      <c r="B1447" s="1"/>
      <c r="C1447" s="1"/>
      <c r="I1447" s="1"/>
      <c r="K1447" s="1"/>
      <c r="O1447" s="1"/>
      <c r="R1447" s="1"/>
    </row>
  </sheetData>
  <sheetProtection selectLockedCells="1" autoFilter="0" selectUnlockedCells="1"/>
  <autoFilter ref="A2:T1360">
    <filterColumn colId="3" showButton="0"/>
    <filterColumn colId="4" showButton="0"/>
  </autoFilter>
  <mergeCells count="432">
    <mergeCell ref="C634:C642"/>
    <mergeCell ref="A497:A501"/>
    <mergeCell ref="B497:B501"/>
    <mergeCell ref="C497:C501"/>
    <mergeCell ref="B630:B633"/>
    <mergeCell ref="A634:A642"/>
    <mergeCell ref="B634:B642"/>
    <mergeCell ref="C561:C569"/>
    <mergeCell ref="C506:C523"/>
    <mergeCell ref="C524:C529"/>
    <mergeCell ref="C502:C505"/>
    <mergeCell ref="B502:B505"/>
    <mergeCell ref="C570:C591"/>
    <mergeCell ref="B561:B569"/>
    <mergeCell ref="A1348:A1351"/>
    <mergeCell ref="B1348:B1351"/>
    <mergeCell ref="C1348:C1351"/>
    <mergeCell ref="C1238:C1240"/>
    <mergeCell ref="B690:B713"/>
    <mergeCell ref="C682:C689"/>
    <mergeCell ref="A614:A625"/>
    <mergeCell ref="B811:B820"/>
    <mergeCell ref="B821:B827"/>
    <mergeCell ref="C821:C827"/>
    <mergeCell ref="B749:B762"/>
    <mergeCell ref="B828:B838"/>
    <mergeCell ref="A763:A773"/>
    <mergeCell ref="C798:C810"/>
    <mergeCell ref="C811:C820"/>
    <mergeCell ref="C774:C781"/>
    <mergeCell ref="C828:C838"/>
    <mergeCell ref="C763:C773"/>
    <mergeCell ref="A782:A788"/>
    <mergeCell ref="B763:B773"/>
    <mergeCell ref="A690:A713"/>
    <mergeCell ref="A1142:A1155"/>
    <mergeCell ref="C868:C874"/>
    <mergeCell ref="C886:C890"/>
    <mergeCell ref="A310:A320"/>
    <mergeCell ref="B310:B320"/>
    <mergeCell ref="A322:A345"/>
    <mergeCell ref="B322:B345"/>
    <mergeCell ref="C322:C345"/>
    <mergeCell ref="C794:C797"/>
    <mergeCell ref="C789:C793"/>
    <mergeCell ref="C839:C846"/>
    <mergeCell ref="C749:C762"/>
    <mergeCell ref="B782:B788"/>
    <mergeCell ref="B682:B689"/>
    <mergeCell ref="A654:A673"/>
    <mergeCell ref="B654:B673"/>
    <mergeCell ref="C654:C673"/>
    <mergeCell ref="A720:A747"/>
    <mergeCell ref="B720:B747"/>
    <mergeCell ref="C720:C747"/>
    <mergeCell ref="C404:C406"/>
    <mergeCell ref="A404:A406"/>
    <mergeCell ref="B404:B406"/>
    <mergeCell ref="A556:A560"/>
    <mergeCell ref="B556:B560"/>
    <mergeCell ref="C556:C560"/>
    <mergeCell ref="C456:C472"/>
    <mergeCell ref="A380:A383"/>
    <mergeCell ref="B380:B383"/>
    <mergeCell ref="C380:C383"/>
    <mergeCell ref="A346:A374"/>
    <mergeCell ref="B346:B374"/>
    <mergeCell ref="C346:C374"/>
    <mergeCell ref="A375:A379"/>
    <mergeCell ref="B375:B379"/>
    <mergeCell ref="C375:C379"/>
    <mergeCell ref="A183:A199"/>
    <mergeCell ref="C221:C235"/>
    <mergeCell ref="B236:B237"/>
    <mergeCell ref="A256:A283"/>
    <mergeCell ref="B256:B283"/>
    <mergeCell ref="B284:B309"/>
    <mergeCell ref="A236:A237"/>
    <mergeCell ref="C284:C309"/>
    <mergeCell ref="C256:C283"/>
    <mergeCell ref="B200:B220"/>
    <mergeCell ref="C200:C220"/>
    <mergeCell ref="A245:A255"/>
    <mergeCell ref="A239:A242"/>
    <mergeCell ref="B239:B242"/>
    <mergeCell ref="C239:C242"/>
    <mergeCell ref="C245:C255"/>
    <mergeCell ref="C236:C237"/>
    <mergeCell ref="B245:B255"/>
    <mergeCell ref="A175:A182"/>
    <mergeCell ref="B175:B182"/>
    <mergeCell ref="C175:C182"/>
    <mergeCell ref="A561:A569"/>
    <mergeCell ref="B602:B613"/>
    <mergeCell ref="A409:A414"/>
    <mergeCell ref="B409:B414"/>
    <mergeCell ref="C409:C414"/>
    <mergeCell ref="C389:C403"/>
    <mergeCell ref="B451:B455"/>
    <mergeCell ref="A389:A403"/>
    <mergeCell ref="B473:B478"/>
    <mergeCell ref="A479:A496"/>
    <mergeCell ref="B554:B555"/>
    <mergeCell ref="A502:A505"/>
    <mergeCell ref="A535:A553"/>
    <mergeCell ref="A524:A529"/>
    <mergeCell ref="B183:B199"/>
    <mergeCell ref="B506:B523"/>
    <mergeCell ref="A221:A235"/>
    <mergeCell ref="B221:B235"/>
    <mergeCell ref="C183:C199"/>
    <mergeCell ref="A284:A309"/>
    <mergeCell ref="A200:A220"/>
    <mergeCell ref="B133:B153"/>
    <mergeCell ref="C133:C153"/>
    <mergeCell ref="O2:O3"/>
    <mergeCell ref="B2:B3"/>
    <mergeCell ref="M2:M3"/>
    <mergeCell ref="A154:A174"/>
    <mergeCell ref="B154:B174"/>
    <mergeCell ref="C154:C174"/>
    <mergeCell ref="A133:A153"/>
    <mergeCell ref="B124:B126"/>
    <mergeCell ref="C124:C126"/>
    <mergeCell ref="A45:A49"/>
    <mergeCell ref="B45:B49"/>
    <mergeCell ref="C97:C123"/>
    <mergeCell ref="A97:A123"/>
    <mergeCell ref="B97:B123"/>
    <mergeCell ref="A124:A126"/>
    <mergeCell ref="C45:C49"/>
    <mergeCell ref="C4:C43"/>
    <mergeCell ref="A127:A132"/>
    <mergeCell ref="B127:B132"/>
    <mergeCell ref="C127:C132"/>
    <mergeCell ref="A1:T1"/>
    <mergeCell ref="A4:A43"/>
    <mergeCell ref="B4:B43"/>
    <mergeCell ref="N2:N3"/>
    <mergeCell ref="A50:A70"/>
    <mergeCell ref="B50:B70"/>
    <mergeCell ref="C50:C70"/>
    <mergeCell ref="A71:A95"/>
    <mergeCell ref="B71:B95"/>
    <mergeCell ref="T2:T3"/>
    <mergeCell ref="S2:S3"/>
    <mergeCell ref="R2:R3"/>
    <mergeCell ref="A2:A3"/>
    <mergeCell ref="D2:F2"/>
    <mergeCell ref="Q2:Q3"/>
    <mergeCell ref="L2:L3"/>
    <mergeCell ref="I2:I3"/>
    <mergeCell ref="J2:J3"/>
    <mergeCell ref="G2:G3"/>
    <mergeCell ref="K2:K3"/>
    <mergeCell ref="C71:C95"/>
    <mergeCell ref="P2:P3"/>
    <mergeCell ref="H2:H3"/>
    <mergeCell ref="C2:C3"/>
    <mergeCell ref="A1267:A1285"/>
    <mergeCell ref="B1267:B1285"/>
    <mergeCell ref="C1267:C1285"/>
    <mergeCell ref="C530:C534"/>
    <mergeCell ref="C626:C629"/>
    <mergeCell ref="A592:A600"/>
    <mergeCell ref="B674:B679"/>
    <mergeCell ref="C674:C679"/>
    <mergeCell ref="A602:A613"/>
    <mergeCell ref="C891:C903"/>
    <mergeCell ref="C875:C879"/>
    <mergeCell ref="C858:C867"/>
    <mergeCell ref="B891:B903"/>
    <mergeCell ref="C915:C922"/>
    <mergeCell ref="A1122:A1124"/>
    <mergeCell ref="A875:A879"/>
    <mergeCell ref="B875:B879"/>
    <mergeCell ref="A1073:A1080"/>
    <mergeCell ref="B1026:B1038"/>
    <mergeCell ref="C1026:C1038"/>
    <mergeCell ref="C923:C932"/>
    <mergeCell ref="C880:C885"/>
    <mergeCell ref="A952:A962"/>
    <mergeCell ref="B990:B992"/>
    <mergeCell ref="A1352:A1360"/>
    <mergeCell ref="B1352:B1360"/>
    <mergeCell ref="C1233:C1235"/>
    <mergeCell ref="B1238:B1240"/>
    <mergeCell ref="C1231:C1232"/>
    <mergeCell ref="A1337:A1347"/>
    <mergeCell ref="B1337:B1347"/>
    <mergeCell ref="C1337:C1347"/>
    <mergeCell ref="A1210:A1215"/>
    <mergeCell ref="C1210:C1215"/>
    <mergeCell ref="A1286:A1296"/>
    <mergeCell ref="B1286:B1296"/>
    <mergeCell ref="C1286:C1296"/>
    <mergeCell ref="A1303:A1316"/>
    <mergeCell ref="B1303:B1316"/>
    <mergeCell ref="C1303:C1316"/>
    <mergeCell ref="B1224:B1227"/>
    <mergeCell ref="C1224:C1227"/>
    <mergeCell ref="A1224:A1227"/>
    <mergeCell ref="A1231:A1232"/>
    <mergeCell ref="B1231:B1232"/>
    <mergeCell ref="A1228:A1230"/>
    <mergeCell ref="A1233:A1235"/>
    <mergeCell ref="B1228:B1230"/>
    <mergeCell ref="A1329:A1336"/>
    <mergeCell ref="B1329:B1336"/>
    <mergeCell ref="C1329:C1336"/>
    <mergeCell ref="B1210:B1215"/>
    <mergeCell ref="A1218:A1219"/>
    <mergeCell ref="A1216:A1217"/>
    <mergeCell ref="B1220:B1222"/>
    <mergeCell ref="A1207:A1209"/>
    <mergeCell ref="B1207:B1209"/>
    <mergeCell ref="C1207:C1209"/>
    <mergeCell ref="C1216:C1217"/>
    <mergeCell ref="A1317:A1328"/>
    <mergeCell ref="B1317:B1328"/>
    <mergeCell ref="C1220:C1222"/>
    <mergeCell ref="A1220:A1222"/>
    <mergeCell ref="A1297:A1298"/>
    <mergeCell ref="B1297:B1298"/>
    <mergeCell ref="C1317:C1328"/>
    <mergeCell ref="A1236:A1237"/>
    <mergeCell ref="B1236:B1237"/>
    <mergeCell ref="C1236:C1237"/>
    <mergeCell ref="C1228:C1230"/>
    <mergeCell ref="B1233:B1235"/>
    <mergeCell ref="C1297:C1298"/>
    <mergeCell ref="A1245:A1265"/>
    <mergeCell ref="B1245:B1265"/>
    <mergeCell ref="C1245:C1265"/>
    <mergeCell ref="C1218:C1219"/>
    <mergeCell ref="B1216:B1217"/>
    <mergeCell ref="A1183:A1184"/>
    <mergeCell ref="B1180:B1182"/>
    <mergeCell ref="C1180:C1182"/>
    <mergeCell ref="A1171:A1179"/>
    <mergeCell ref="A1238:A1240"/>
    <mergeCell ref="B1218:B1219"/>
    <mergeCell ref="A1241:A1242"/>
    <mergeCell ref="B1241:B1242"/>
    <mergeCell ref="C1241:C1242"/>
    <mergeCell ref="C1196:C1205"/>
    <mergeCell ref="C1171:C1179"/>
    <mergeCell ref="B1196:B1205"/>
    <mergeCell ref="B1171:B1179"/>
    <mergeCell ref="A1196:A1205"/>
    <mergeCell ref="A1185:A1195"/>
    <mergeCell ref="B1185:B1195"/>
    <mergeCell ref="C1185:C1195"/>
    <mergeCell ref="B1183:B1184"/>
    <mergeCell ref="C1183:C1184"/>
    <mergeCell ref="C993:C994"/>
    <mergeCell ref="A850:A857"/>
    <mergeCell ref="A847:A849"/>
    <mergeCell ref="A904:A914"/>
    <mergeCell ref="B993:B994"/>
    <mergeCell ref="C1100:C1103"/>
    <mergeCell ref="A1100:A1103"/>
    <mergeCell ref="B1100:B1103"/>
    <mergeCell ref="B1081:B1087"/>
    <mergeCell ref="A1062:A1072"/>
    <mergeCell ref="B1062:B1072"/>
    <mergeCell ref="A997:A1007"/>
    <mergeCell ref="C990:C992"/>
    <mergeCell ref="A1053:A1061"/>
    <mergeCell ref="B1039:B1044"/>
    <mergeCell ref="A993:A994"/>
    <mergeCell ref="C1053:C1061"/>
    <mergeCell ref="C963:C965"/>
    <mergeCell ref="A1039:A1044"/>
    <mergeCell ref="C1046:C1050"/>
    <mergeCell ref="C1018:C1024"/>
    <mergeCell ref="B1018:B1024"/>
    <mergeCell ref="C966:C979"/>
    <mergeCell ref="A990:A992"/>
    <mergeCell ref="C643:C653"/>
    <mergeCell ref="B794:B797"/>
    <mergeCell ref="C680:C681"/>
    <mergeCell ref="B643:B653"/>
    <mergeCell ref="A789:A793"/>
    <mergeCell ref="A794:A797"/>
    <mergeCell ref="A858:A867"/>
    <mergeCell ref="B952:B962"/>
    <mergeCell ref="B850:B857"/>
    <mergeCell ref="B789:B793"/>
    <mergeCell ref="A839:A846"/>
    <mergeCell ref="B839:B846"/>
    <mergeCell ref="B798:B810"/>
    <mergeCell ref="A811:A820"/>
    <mergeCell ref="A828:A838"/>
    <mergeCell ref="B858:B867"/>
    <mergeCell ref="C690:C713"/>
    <mergeCell ref="B847:B849"/>
    <mergeCell ref="A891:A903"/>
    <mergeCell ref="A886:A890"/>
    <mergeCell ref="B886:B890"/>
    <mergeCell ref="B868:B874"/>
    <mergeCell ref="C952:C962"/>
    <mergeCell ref="A868:A874"/>
    <mergeCell ref="C384:C388"/>
    <mergeCell ref="B384:B388"/>
    <mergeCell ref="B389:B403"/>
    <mergeCell ref="A630:A633"/>
    <mergeCell ref="B535:B553"/>
    <mergeCell ref="A456:A472"/>
    <mergeCell ref="B614:B625"/>
    <mergeCell ref="A554:A555"/>
    <mergeCell ref="C535:C553"/>
    <mergeCell ref="C614:C625"/>
    <mergeCell ref="B530:B534"/>
    <mergeCell ref="A530:A534"/>
    <mergeCell ref="A473:A478"/>
    <mergeCell ref="B592:B600"/>
    <mergeCell ref="C592:C600"/>
    <mergeCell ref="C451:C455"/>
    <mergeCell ref="A451:A455"/>
    <mergeCell ref="C554:C555"/>
    <mergeCell ref="C479:C496"/>
    <mergeCell ref="B456:B472"/>
    <mergeCell ref="C602:C613"/>
    <mergeCell ref="C473:C478"/>
    <mergeCell ref="B415:B450"/>
    <mergeCell ref="A415:A450"/>
    <mergeCell ref="C310:C320"/>
    <mergeCell ref="C945:C947"/>
    <mergeCell ref="C948:C950"/>
    <mergeCell ref="A923:A932"/>
    <mergeCell ref="A934:A943"/>
    <mergeCell ref="C782:C788"/>
    <mergeCell ref="C904:C914"/>
    <mergeCell ref="B904:B914"/>
    <mergeCell ref="B948:B950"/>
    <mergeCell ref="B934:B943"/>
    <mergeCell ref="B945:B947"/>
    <mergeCell ref="B915:B922"/>
    <mergeCell ref="B923:B932"/>
    <mergeCell ref="C847:C849"/>
    <mergeCell ref="C850:C857"/>
    <mergeCell ref="C934:C943"/>
    <mergeCell ref="A915:A922"/>
    <mergeCell ref="C714:C718"/>
    <mergeCell ref="A384:A388"/>
    <mergeCell ref="B407:B408"/>
    <mergeCell ref="A407:A408"/>
    <mergeCell ref="C630:C633"/>
    <mergeCell ref="C407:C408"/>
    <mergeCell ref="A821:A827"/>
    <mergeCell ref="B880:B885"/>
    <mergeCell ref="A880:A885"/>
    <mergeCell ref="A983:A984"/>
    <mergeCell ref="A945:A947"/>
    <mergeCell ref="A948:A950"/>
    <mergeCell ref="B479:B496"/>
    <mergeCell ref="B524:B529"/>
    <mergeCell ref="B626:B629"/>
    <mergeCell ref="A506:A523"/>
    <mergeCell ref="A570:A591"/>
    <mergeCell ref="B570:B591"/>
    <mergeCell ref="B714:B718"/>
    <mergeCell ref="A749:A762"/>
    <mergeCell ref="A798:A810"/>
    <mergeCell ref="A714:A718"/>
    <mergeCell ref="A680:A681"/>
    <mergeCell ref="A674:A679"/>
    <mergeCell ref="B680:B681"/>
    <mergeCell ref="A682:A689"/>
    <mergeCell ref="A626:A629"/>
    <mergeCell ref="A643:A653"/>
    <mergeCell ref="B774:B781"/>
    <mergeCell ref="A774:A781"/>
    <mergeCell ref="B997:B1007"/>
    <mergeCell ref="A1046:A1050"/>
    <mergeCell ref="B1053:B1061"/>
    <mergeCell ref="A1095:A1099"/>
    <mergeCell ref="A1104:A1105"/>
    <mergeCell ref="B1104:B1105"/>
    <mergeCell ref="C1095:C1099"/>
    <mergeCell ref="C1104:C1105"/>
    <mergeCell ref="B1167:B1170"/>
    <mergeCell ref="A1167:A1170"/>
    <mergeCell ref="A1081:A1087"/>
    <mergeCell ref="B1073:B1080"/>
    <mergeCell ref="C1088:C1094"/>
    <mergeCell ref="C1081:C1087"/>
    <mergeCell ref="B1046:B1050"/>
    <mergeCell ref="A1008:A1017"/>
    <mergeCell ref="C1039:C1044"/>
    <mergeCell ref="A1026:A1038"/>
    <mergeCell ref="A1018:A1024"/>
    <mergeCell ref="C997:C1007"/>
    <mergeCell ref="B1008:B1017"/>
    <mergeCell ref="C1008:C1017"/>
    <mergeCell ref="A1156:A1166"/>
    <mergeCell ref="B1156:B1166"/>
    <mergeCell ref="C415:C450"/>
    <mergeCell ref="B1095:B1099"/>
    <mergeCell ref="C1142:C1155"/>
    <mergeCell ref="B1122:B1124"/>
    <mergeCell ref="A1107:A1116"/>
    <mergeCell ref="A1120:A1121"/>
    <mergeCell ref="B1120:B1121"/>
    <mergeCell ref="C1120:C1121"/>
    <mergeCell ref="C980:C982"/>
    <mergeCell ref="A980:A982"/>
    <mergeCell ref="B980:B982"/>
    <mergeCell ref="A966:A979"/>
    <mergeCell ref="B1142:B1155"/>
    <mergeCell ref="A1126:A1141"/>
    <mergeCell ref="B1126:B1141"/>
    <mergeCell ref="C1126:C1141"/>
    <mergeCell ref="B983:B984"/>
    <mergeCell ref="C985:C989"/>
    <mergeCell ref="B985:B989"/>
    <mergeCell ref="C983:C984"/>
    <mergeCell ref="B966:B979"/>
    <mergeCell ref="A963:A965"/>
    <mergeCell ref="B963:B965"/>
    <mergeCell ref="A985:A989"/>
    <mergeCell ref="C1156:C1166"/>
    <mergeCell ref="C1167:C1170"/>
    <mergeCell ref="A1180:A1182"/>
    <mergeCell ref="C1107:C1116"/>
    <mergeCell ref="B1107:B1116"/>
    <mergeCell ref="C1122:C1124"/>
    <mergeCell ref="C1062:C1072"/>
    <mergeCell ref="A1088:A1094"/>
    <mergeCell ref="B1088:B1094"/>
    <mergeCell ref="C1073:C1080"/>
  </mergeCells>
  <phoneticPr fontId="3" type="noConversion"/>
  <pageMargins left="0.75" right="0.75" top="1" bottom="0.15" header="0.5" footer="0.15"/>
  <pageSetup paperSize="9" orientation="landscape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00FF"/>
  </sheetPr>
  <dimension ref="A1:BP1618"/>
  <sheetViews>
    <sheetView showGridLines="0" zoomScale="95" zoomScaleNormal="95" workbookViewId="0">
      <pane ySplit="3" topLeftCell="A19" activePane="bottomLeft" state="frozen"/>
      <selection pane="bottomLeft" sqref="A1:T1"/>
    </sheetView>
  </sheetViews>
  <sheetFormatPr defaultColWidth="9" defaultRowHeight="20.100000000000001" customHeight="1"/>
  <cols>
    <col min="1" max="1" width="2.375" style="43" customWidth="1"/>
    <col min="2" max="2" width="9.875" style="43" customWidth="1"/>
    <col min="3" max="3" width="17.125" style="43" customWidth="1"/>
    <col min="4" max="6" width="6.125" style="1" customWidth="1"/>
    <col min="7" max="7" width="7.875" style="41" customWidth="1"/>
    <col min="8" max="8" width="9.375" style="1" customWidth="1"/>
    <col min="9" max="9" width="6.625" style="44" customWidth="1"/>
    <col min="10" max="10" width="8.125" style="44" customWidth="1"/>
    <col min="11" max="11" width="8.75" style="45" customWidth="1"/>
    <col min="12" max="12" width="7.25" style="1" customWidth="1"/>
    <col min="13" max="14" width="10.5" style="1" customWidth="1"/>
    <col min="15" max="15" width="15.625" style="44" customWidth="1"/>
    <col min="16" max="16" width="10.75" style="44" customWidth="1"/>
    <col min="17" max="17" width="15.375" style="44" customWidth="1"/>
    <col min="18" max="18" width="11.5" style="242" customWidth="1"/>
    <col min="19" max="19" width="20.375" style="44" customWidth="1"/>
    <col min="20" max="20" width="9" style="44"/>
    <col min="21" max="16384" width="9" style="1"/>
  </cols>
  <sheetData>
    <row r="1" spans="1:20" ht="20.100000000000001" customHeight="1">
      <c r="A1" s="1226"/>
      <c r="B1" s="1226"/>
      <c r="C1" s="1226"/>
      <c r="D1" s="1226"/>
      <c r="E1" s="1226"/>
      <c r="F1" s="1226"/>
      <c r="G1" s="1226"/>
      <c r="H1" s="1226"/>
      <c r="I1" s="1226"/>
      <c r="J1" s="1226"/>
      <c r="K1" s="1226"/>
      <c r="L1" s="1226"/>
      <c r="M1" s="1226"/>
      <c r="N1" s="1226"/>
      <c r="O1" s="1226"/>
      <c r="P1" s="1226"/>
      <c r="Q1" s="1226"/>
      <c r="R1" s="1226"/>
      <c r="S1" s="1227"/>
      <c r="T1" s="1226"/>
    </row>
    <row r="2" spans="1:20" s="40" customFormat="1" ht="20.100000000000001" customHeight="1">
      <c r="A2" s="1129" t="s">
        <v>5308</v>
      </c>
      <c r="B2" s="1129" t="s">
        <v>5307</v>
      </c>
      <c r="C2" s="1129" t="s">
        <v>5306</v>
      </c>
      <c r="D2" s="1222" t="s">
        <v>5305</v>
      </c>
      <c r="E2" s="1223"/>
      <c r="F2" s="1224"/>
      <c r="G2" s="1129" t="s">
        <v>5304</v>
      </c>
      <c r="H2" s="1129" t="s">
        <v>5303</v>
      </c>
      <c r="I2" s="1129" t="s">
        <v>5302</v>
      </c>
      <c r="J2" s="1129" t="s">
        <v>5301</v>
      </c>
      <c r="K2" s="1173" t="s">
        <v>5300</v>
      </c>
      <c r="L2" s="1129" t="s">
        <v>5299</v>
      </c>
      <c r="M2" s="1132" t="s">
        <v>5298</v>
      </c>
      <c r="N2" s="1129" t="s">
        <v>5297</v>
      </c>
      <c r="O2" s="1129" t="s">
        <v>5296</v>
      </c>
      <c r="P2" s="1129" t="s">
        <v>5295</v>
      </c>
      <c r="Q2" s="1129" t="s">
        <v>5294</v>
      </c>
      <c r="R2" s="1129" t="s">
        <v>5293</v>
      </c>
      <c r="S2" s="1129" t="s">
        <v>5292</v>
      </c>
      <c r="T2" s="1129" t="s">
        <v>5291</v>
      </c>
    </row>
    <row r="3" spans="1:20" s="40" customFormat="1" ht="20.100000000000001" customHeight="1">
      <c r="A3" s="1129"/>
      <c r="B3" s="1129"/>
      <c r="C3" s="1129"/>
      <c r="D3" s="896" t="s">
        <v>5290</v>
      </c>
      <c r="E3" s="896" t="s">
        <v>5289</v>
      </c>
      <c r="F3" s="896" t="s">
        <v>5288</v>
      </c>
      <c r="G3" s="1129"/>
      <c r="H3" s="1129"/>
      <c r="I3" s="1129"/>
      <c r="J3" s="1129"/>
      <c r="K3" s="1173"/>
      <c r="L3" s="1129"/>
      <c r="M3" s="1129"/>
      <c r="N3" s="1129"/>
      <c r="O3" s="1129"/>
      <c r="P3" s="1129"/>
      <c r="Q3" s="1129"/>
      <c r="R3" s="1129"/>
      <c r="S3" s="1129"/>
      <c r="T3" s="1129"/>
    </row>
    <row r="4" spans="1:20" s="40" customFormat="1" ht="20.100000000000001" customHeight="1">
      <c r="A4" s="1190" t="s">
        <v>5239</v>
      </c>
      <c r="B4" s="1190" t="s">
        <v>4592</v>
      </c>
      <c r="C4" s="1190" t="s">
        <v>5287</v>
      </c>
      <c r="D4" s="961">
        <v>850</v>
      </c>
      <c r="E4" s="961">
        <v>1600</v>
      </c>
      <c r="F4" s="961">
        <v>1650</v>
      </c>
      <c r="G4" s="293" t="s">
        <v>4572</v>
      </c>
      <c r="H4" s="36" t="s">
        <v>4649</v>
      </c>
      <c r="I4" s="51" t="s">
        <v>4725</v>
      </c>
      <c r="J4" s="34"/>
      <c r="K4" s="50" t="s">
        <v>4601</v>
      </c>
      <c r="L4" s="118" t="s">
        <v>4539</v>
      </c>
      <c r="M4" s="15">
        <v>43070</v>
      </c>
      <c r="N4" s="15">
        <v>43100</v>
      </c>
      <c r="O4" s="59" t="s">
        <v>4571</v>
      </c>
      <c r="P4" s="59"/>
      <c r="Q4" s="173"/>
      <c r="R4" s="21" t="s">
        <v>5256</v>
      </c>
      <c r="S4" s="327" t="s">
        <v>4570</v>
      </c>
      <c r="T4" s="137"/>
    </row>
    <row r="5" spans="1:20" s="40" customFormat="1" ht="20.100000000000001" customHeight="1">
      <c r="A5" s="1190" t="s">
        <v>5239</v>
      </c>
      <c r="B5" s="1190" t="s">
        <v>4592</v>
      </c>
      <c r="C5" s="1190" t="s">
        <v>5287</v>
      </c>
      <c r="D5" s="320">
        <v>875</v>
      </c>
      <c r="E5" s="320">
        <f>D5*2-200</f>
        <v>1550</v>
      </c>
      <c r="F5" s="320">
        <f>D5*2-150</f>
        <v>1600</v>
      </c>
      <c r="G5" s="293" t="s">
        <v>4575</v>
      </c>
      <c r="H5" s="194" t="s">
        <v>4649</v>
      </c>
      <c r="I5" s="51" t="s">
        <v>4725</v>
      </c>
      <c r="J5" s="34"/>
      <c r="K5" s="50" t="s">
        <v>4601</v>
      </c>
      <c r="L5" s="118" t="s">
        <v>4539</v>
      </c>
      <c r="M5" s="15">
        <v>43084</v>
      </c>
      <c r="N5" s="15">
        <v>43100</v>
      </c>
      <c r="O5" s="59" t="s">
        <v>5243</v>
      </c>
      <c r="P5" s="59"/>
      <c r="Q5" s="173"/>
      <c r="R5" s="21" t="s">
        <v>5123</v>
      </c>
      <c r="S5" s="328" t="s">
        <v>4543</v>
      </c>
      <c r="T5" s="137"/>
    </row>
    <row r="6" spans="1:20" s="40" customFormat="1" ht="20.100000000000001" customHeight="1">
      <c r="A6" s="1190" t="s">
        <v>5239</v>
      </c>
      <c r="B6" s="1190" t="s">
        <v>4592</v>
      </c>
      <c r="C6" s="1190" t="s">
        <v>5287</v>
      </c>
      <c r="D6" s="248">
        <v>800</v>
      </c>
      <c r="E6" s="248">
        <v>1500</v>
      </c>
      <c r="F6" s="248">
        <v>1500</v>
      </c>
      <c r="G6" s="234" t="s">
        <v>4904</v>
      </c>
      <c r="H6" s="36" t="s">
        <v>4649</v>
      </c>
      <c r="I6" s="20" t="s">
        <v>4725</v>
      </c>
      <c r="J6" s="34"/>
      <c r="K6" s="50" t="s">
        <v>4601</v>
      </c>
      <c r="L6" s="118" t="s">
        <v>4539</v>
      </c>
      <c r="M6" s="15">
        <v>43084</v>
      </c>
      <c r="N6" s="15">
        <v>43100</v>
      </c>
      <c r="O6" s="59" t="s">
        <v>5241</v>
      </c>
      <c r="P6" s="59"/>
      <c r="Q6" s="173"/>
      <c r="R6" s="21" t="s">
        <v>5121</v>
      </c>
      <c r="S6" s="336" t="s">
        <v>1952</v>
      </c>
      <c r="T6" s="137"/>
    </row>
    <row r="7" spans="1:20" s="40" customFormat="1" ht="20.100000000000001" customHeight="1">
      <c r="A7" s="1190" t="s">
        <v>5239</v>
      </c>
      <c r="B7" s="1190" t="s">
        <v>4592</v>
      </c>
      <c r="C7" s="1190" t="s">
        <v>5287</v>
      </c>
      <c r="D7" s="247">
        <v>775</v>
      </c>
      <c r="E7" s="247">
        <v>1450</v>
      </c>
      <c r="F7" s="247">
        <v>1500</v>
      </c>
      <c r="G7" s="29" t="s">
        <v>4542</v>
      </c>
      <c r="H7" s="36" t="s">
        <v>4649</v>
      </c>
      <c r="I7" s="51" t="s">
        <v>4725</v>
      </c>
      <c r="J7" s="34"/>
      <c r="K7" s="50" t="s">
        <v>4601</v>
      </c>
      <c r="L7" s="118" t="s">
        <v>4539</v>
      </c>
      <c r="M7" s="15">
        <v>43084</v>
      </c>
      <c r="N7" s="15">
        <v>43100</v>
      </c>
      <c r="O7" s="59" t="s">
        <v>5238</v>
      </c>
      <c r="P7" s="59"/>
      <c r="Q7" s="173"/>
      <c r="R7" s="21" t="s">
        <v>5122</v>
      </c>
      <c r="S7" s="326" t="s">
        <v>4537</v>
      </c>
      <c r="T7" s="137"/>
    </row>
    <row r="8" spans="1:20" s="40" customFormat="1" ht="20.100000000000001" customHeight="1">
      <c r="A8" s="1190" t="s">
        <v>5239</v>
      </c>
      <c r="B8" s="1190" t="s">
        <v>4592</v>
      </c>
      <c r="C8" s="1190" t="s">
        <v>5287</v>
      </c>
      <c r="D8" s="953" ph="1">
        <v>750</v>
      </c>
      <c r="E8" s="953" ph="1">
        <v>1400</v>
      </c>
      <c r="F8" s="953" ph="1">
        <v>1450</v>
      </c>
      <c r="G8" s="70" t="s">
        <v>5281</v>
      </c>
      <c r="H8" s="36" t="s">
        <v>4649</v>
      </c>
      <c r="I8" s="51" t="s">
        <v>4725</v>
      </c>
      <c r="J8" s="50"/>
      <c r="K8" s="50" t="s">
        <v>4601</v>
      </c>
      <c r="L8" s="118" t="s">
        <v>4539</v>
      </c>
      <c r="M8" s="108">
        <v>43082</v>
      </c>
      <c r="N8" s="108">
        <v>43088</v>
      </c>
      <c r="O8" s="59" t="s">
        <v>5243</v>
      </c>
      <c r="P8" s="126"/>
      <c r="Q8" s="173"/>
      <c r="R8" s="21" t="s">
        <v>5280</v>
      </c>
      <c r="S8" s="326" t="s">
        <v>5279</v>
      </c>
      <c r="T8" s="137"/>
    </row>
    <row r="9" spans="1:20" s="40" customFormat="1" ht="20.100000000000001" customHeight="1">
      <c r="A9" s="1190" t="s">
        <v>5239</v>
      </c>
      <c r="B9" s="1190" t="s">
        <v>4592</v>
      </c>
      <c r="C9" s="1190" t="s">
        <v>5287</v>
      </c>
      <c r="D9" s="247" ph="1">
        <v>725</v>
      </c>
      <c r="E9" s="247" ph="1">
        <v>1350</v>
      </c>
      <c r="F9" s="247" ph="1">
        <v>1400</v>
      </c>
      <c r="G9" s="70" t="s">
        <v>4566</v>
      </c>
      <c r="H9" s="36" t="s">
        <v>4649</v>
      </c>
      <c r="I9" s="51" t="s">
        <v>4725</v>
      </c>
      <c r="J9" s="34"/>
      <c r="K9" s="118" t="s">
        <v>4940</v>
      </c>
      <c r="L9" s="118" t="s">
        <v>4539</v>
      </c>
      <c r="M9" s="15">
        <v>43084</v>
      </c>
      <c r="N9" s="15">
        <v>43100</v>
      </c>
      <c r="O9" s="59" t="s">
        <v>4638</v>
      </c>
      <c r="P9" s="59"/>
      <c r="Q9" s="173"/>
      <c r="R9" s="21" t="s">
        <v>4969</v>
      </c>
      <c r="S9" s="327" t="s">
        <v>4561</v>
      </c>
      <c r="T9" s="904"/>
    </row>
    <row r="10" spans="1:20" s="40" customFormat="1" ht="20.100000000000001" customHeight="1">
      <c r="A10" s="1190" t="s">
        <v>5239</v>
      </c>
      <c r="B10" s="1190" t="s">
        <v>4592</v>
      </c>
      <c r="C10" s="1190" t="s">
        <v>5287</v>
      </c>
      <c r="D10" s="953" ph="1">
        <v>765</v>
      </c>
      <c r="E10" s="953" ph="1">
        <v>1430</v>
      </c>
      <c r="F10" s="953" ph="1">
        <v>1480</v>
      </c>
      <c r="G10" s="70" t="s">
        <v>4560</v>
      </c>
      <c r="H10" s="36" t="s">
        <v>4649</v>
      </c>
      <c r="I10" s="51" t="s">
        <v>4725</v>
      </c>
      <c r="J10" s="50"/>
      <c r="K10" s="20">
        <v>34</v>
      </c>
      <c r="L10" s="118" t="s">
        <v>4539</v>
      </c>
      <c r="M10" s="15">
        <v>43084</v>
      </c>
      <c r="N10" s="15">
        <v>43100</v>
      </c>
      <c r="O10" s="59" t="s">
        <v>4559</v>
      </c>
      <c r="P10" s="59"/>
      <c r="Q10" s="173"/>
      <c r="R10" s="58" t="s">
        <v>4969</v>
      </c>
      <c r="S10" s="326" t="s">
        <v>5251</v>
      </c>
      <c r="T10" s="904"/>
    </row>
    <row r="11" spans="1:20" s="40" customFormat="1" ht="20.100000000000001" customHeight="1">
      <c r="A11" s="1190" t="s">
        <v>5239</v>
      </c>
      <c r="B11" s="1190" t="s">
        <v>4592</v>
      </c>
      <c r="C11" s="1190" t="s">
        <v>5287</v>
      </c>
      <c r="D11" s="247" ph="1">
        <v>750</v>
      </c>
      <c r="E11" s="247" ph="1">
        <v>1400</v>
      </c>
      <c r="F11" s="247" ph="1">
        <v>1400</v>
      </c>
      <c r="G11" s="293" t="s">
        <v>4557</v>
      </c>
      <c r="H11" s="36" t="s">
        <v>4649</v>
      </c>
      <c r="I11" s="51" t="s">
        <v>4725</v>
      </c>
      <c r="J11" s="34"/>
      <c r="K11" s="118" t="s">
        <v>4940</v>
      </c>
      <c r="L11" s="118" t="s">
        <v>4539</v>
      </c>
      <c r="M11" s="6">
        <v>43084</v>
      </c>
      <c r="N11" s="6">
        <v>43100</v>
      </c>
      <c r="O11" s="59" t="s">
        <v>4555</v>
      </c>
      <c r="P11" s="52"/>
      <c r="Q11" s="173"/>
      <c r="R11" s="21" t="s">
        <v>4969</v>
      </c>
      <c r="S11" s="326" t="s">
        <v>4543</v>
      </c>
      <c r="T11" s="904"/>
    </row>
    <row r="12" spans="1:20" s="40" customFormat="1" ht="20.100000000000001" customHeight="1">
      <c r="A12" s="1190" t="s">
        <v>5239</v>
      </c>
      <c r="B12" s="1190" t="s">
        <v>4592</v>
      </c>
      <c r="C12" s="1190" t="s">
        <v>5287</v>
      </c>
      <c r="D12" s="247" ph="1">
        <v>800</v>
      </c>
      <c r="E12" s="247" ph="1">
        <v>1500</v>
      </c>
      <c r="F12" s="247" ph="1">
        <v>1550</v>
      </c>
      <c r="G12" s="109" t="s">
        <v>4645</v>
      </c>
      <c r="H12" s="69" t="s">
        <v>4649</v>
      </c>
      <c r="I12" s="38" t="s">
        <v>4725</v>
      </c>
      <c r="J12" s="37"/>
      <c r="K12" s="50">
        <v>34</v>
      </c>
      <c r="L12" s="116" t="s">
        <v>4539</v>
      </c>
      <c r="M12" s="6">
        <v>43084</v>
      </c>
      <c r="N12" s="6">
        <v>43100</v>
      </c>
      <c r="O12" s="61" t="s">
        <v>5249</v>
      </c>
      <c r="P12" s="7"/>
      <c r="Q12" s="173"/>
      <c r="R12" s="240" t="s">
        <v>4969</v>
      </c>
      <c r="S12" s="326" t="s">
        <v>4641</v>
      </c>
      <c r="T12" s="904"/>
    </row>
    <row r="13" spans="1:20" s="40" customFormat="1" ht="20.100000000000001" customHeight="1">
      <c r="A13" s="1190" t="s">
        <v>5239</v>
      </c>
      <c r="B13" s="1190" t="s">
        <v>4592</v>
      </c>
      <c r="C13" s="1190" t="s">
        <v>5287</v>
      </c>
      <c r="D13" s="885">
        <v>750</v>
      </c>
      <c r="E13" s="885">
        <v>1400</v>
      </c>
      <c r="F13" s="885">
        <v>1450</v>
      </c>
      <c r="G13" s="63" t="s">
        <v>4636</v>
      </c>
      <c r="H13" s="36" t="s">
        <v>4635</v>
      </c>
      <c r="I13" s="38" t="s">
        <v>4725</v>
      </c>
      <c r="J13" s="30"/>
      <c r="K13" s="118" t="s">
        <v>5025</v>
      </c>
      <c r="L13" s="116" t="s">
        <v>4539</v>
      </c>
      <c r="M13" s="6">
        <v>43084</v>
      </c>
      <c r="N13" s="6">
        <v>43100</v>
      </c>
      <c r="O13" s="61" t="s">
        <v>4555</v>
      </c>
      <c r="P13" s="7"/>
      <c r="Q13" s="171"/>
      <c r="R13" s="239" t="s">
        <v>5246</v>
      </c>
      <c r="S13" s="327" t="s">
        <v>4632</v>
      </c>
      <c r="T13" s="904"/>
    </row>
    <row r="14" spans="1:20" s="40" customFormat="1" ht="20.100000000000001" customHeight="1">
      <c r="A14" s="1190" t="s">
        <v>5239</v>
      </c>
      <c r="B14" s="1190" t="s">
        <v>4592</v>
      </c>
      <c r="C14" s="1190" t="s">
        <v>5287</v>
      </c>
      <c r="D14" s="950">
        <v>780</v>
      </c>
      <c r="E14" s="950">
        <v>1457</v>
      </c>
      <c r="F14" s="950">
        <v>1457</v>
      </c>
      <c r="G14" s="224" t="s">
        <v>4569</v>
      </c>
      <c r="H14" s="194" t="s">
        <v>4635</v>
      </c>
      <c r="I14" s="38" t="s">
        <v>4725</v>
      </c>
      <c r="J14" s="37"/>
      <c r="K14" s="118" t="s">
        <v>5025</v>
      </c>
      <c r="L14" s="116" t="s">
        <v>4539</v>
      </c>
      <c r="M14" s="6">
        <v>43074</v>
      </c>
      <c r="N14" s="6">
        <v>43084</v>
      </c>
      <c r="O14" s="61" t="s">
        <v>4567</v>
      </c>
      <c r="P14" s="74"/>
      <c r="Q14" s="171"/>
      <c r="R14" s="239" t="s">
        <v>4972</v>
      </c>
      <c r="S14" s="328" t="s">
        <v>4543</v>
      </c>
      <c r="T14" s="904"/>
    </row>
    <row r="15" spans="1:20" s="40" customFormat="1" ht="20.100000000000001" customHeight="1">
      <c r="A15" s="1190" t="s">
        <v>5239</v>
      </c>
      <c r="B15" s="1190" t="s">
        <v>4592</v>
      </c>
      <c r="C15" s="1190" t="s">
        <v>5287</v>
      </c>
      <c r="D15" s="960" ph="1">
        <v>900</v>
      </c>
      <c r="E15" s="960" ph="1">
        <v>1600</v>
      </c>
      <c r="F15" s="960" ph="1">
        <v>1650</v>
      </c>
      <c r="G15" s="65" t="s">
        <v>4553</v>
      </c>
      <c r="H15" s="69" t="s">
        <v>4635</v>
      </c>
      <c r="I15" s="38" t="s">
        <v>4725</v>
      </c>
      <c r="J15" s="37"/>
      <c r="K15" s="118" t="s">
        <v>5025</v>
      </c>
      <c r="L15" s="116" t="s">
        <v>4539</v>
      </c>
      <c r="M15" s="6">
        <v>43085</v>
      </c>
      <c r="N15" s="6">
        <v>43100</v>
      </c>
      <c r="O15" s="61" t="s">
        <v>4663</v>
      </c>
      <c r="P15" s="61"/>
      <c r="Q15" s="171"/>
      <c r="R15" s="239" t="s">
        <v>5234</v>
      </c>
      <c r="S15" s="328" t="s">
        <v>4543</v>
      </c>
      <c r="T15" s="904"/>
    </row>
    <row r="16" spans="1:20" s="40" customFormat="1" ht="20.100000000000001" customHeight="1">
      <c r="A16" s="1190" t="s">
        <v>5239</v>
      </c>
      <c r="B16" s="1190" t="s">
        <v>4592</v>
      </c>
      <c r="C16" s="1190" t="s">
        <v>5287</v>
      </c>
      <c r="D16" s="961">
        <v>850</v>
      </c>
      <c r="E16" s="961">
        <v>1600</v>
      </c>
      <c r="F16" s="961">
        <v>1650</v>
      </c>
      <c r="G16" s="234" t="s">
        <v>4572</v>
      </c>
      <c r="H16" s="69" t="s">
        <v>4635</v>
      </c>
      <c r="I16" s="38" t="s">
        <v>4725</v>
      </c>
      <c r="J16" s="30"/>
      <c r="K16" s="50" t="s">
        <v>4739</v>
      </c>
      <c r="L16" s="116" t="s">
        <v>4539</v>
      </c>
      <c r="M16" s="15">
        <v>43070</v>
      </c>
      <c r="N16" s="15">
        <v>43100</v>
      </c>
      <c r="O16" s="59" t="s">
        <v>4571</v>
      </c>
      <c r="P16" s="61"/>
      <c r="Q16" s="167"/>
      <c r="R16" s="239" t="s">
        <v>5267</v>
      </c>
      <c r="S16" s="327" t="s">
        <v>4570</v>
      </c>
      <c r="T16" s="904"/>
    </row>
    <row r="17" spans="1:20" s="40" customFormat="1" ht="20.100000000000001" customHeight="1">
      <c r="A17" s="1190" t="s">
        <v>5239</v>
      </c>
      <c r="B17" s="1190" t="s">
        <v>4592</v>
      </c>
      <c r="C17" s="1190" t="s">
        <v>5287</v>
      </c>
      <c r="D17" s="320">
        <v>875</v>
      </c>
      <c r="E17" s="320">
        <f>D17*2-200</f>
        <v>1550</v>
      </c>
      <c r="F17" s="320">
        <f>D17*2-150</f>
        <v>1600</v>
      </c>
      <c r="G17" s="293" t="s">
        <v>4575</v>
      </c>
      <c r="H17" s="236" t="s">
        <v>4635</v>
      </c>
      <c r="I17" s="10" t="s">
        <v>4725</v>
      </c>
      <c r="J17" s="117"/>
      <c r="K17" s="10" t="s">
        <v>4739</v>
      </c>
      <c r="L17" s="116" t="s">
        <v>4539</v>
      </c>
      <c r="M17" s="15">
        <v>43084</v>
      </c>
      <c r="N17" s="15">
        <v>43100</v>
      </c>
      <c r="O17" s="61" t="s">
        <v>5243</v>
      </c>
      <c r="P17" s="14"/>
      <c r="Q17" s="167"/>
      <c r="R17" s="240" t="s">
        <v>5266</v>
      </c>
      <c r="S17" s="328" t="s">
        <v>4543</v>
      </c>
      <c r="T17" s="904"/>
    </row>
    <row r="18" spans="1:20" s="40" customFormat="1" ht="20.100000000000001" customHeight="1">
      <c r="A18" s="1190" t="s">
        <v>5239</v>
      </c>
      <c r="B18" s="1190" t="s">
        <v>4592</v>
      </c>
      <c r="C18" s="1190" t="s">
        <v>5287</v>
      </c>
      <c r="D18" s="248">
        <v>800</v>
      </c>
      <c r="E18" s="248">
        <v>1500</v>
      </c>
      <c r="F18" s="248">
        <v>1500</v>
      </c>
      <c r="G18" s="234" t="s">
        <v>4904</v>
      </c>
      <c r="H18" s="54" t="s">
        <v>4635</v>
      </c>
      <c r="I18" s="10" t="s">
        <v>4725</v>
      </c>
      <c r="J18" s="117"/>
      <c r="K18" s="10" t="s">
        <v>4739</v>
      </c>
      <c r="L18" s="116" t="s">
        <v>4539</v>
      </c>
      <c r="M18" s="15">
        <v>43084</v>
      </c>
      <c r="N18" s="15">
        <v>43100</v>
      </c>
      <c r="O18" s="61" t="s">
        <v>5241</v>
      </c>
      <c r="P18" s="14"/>
      <c r="Q18" s="171"/>
      <c r="R18" s="239" t="s">
        <v>5265</v>
      </c>
      <c r="S18" s="336" t="s">
        <v>1952</v>
      </c>
      <c r="T18" s="904"/>
    </row>
    <row r="19" spans="1:20" s="40" customFormat="1" ht="20.100000000000001" customHeight="1">
      <c r="A19" s="1190" t="s">
        <v>5239</v>
      </c>
      <c r="B19" s="1190" t="s">
        <v>4592</v>
      </c>
      <c r="C19" s="1190" t="s">
        <v>5287</v>
      </c>
      <c r="D19" s="247">
        <v>775</v>
      </c>
      <c r="E19" s="247">
        <v>1450</v>
      </c>
      <c r="F19" s="247">
        <v>1500</v>
      </c>
      <c r="G19" s="29" t="s">
        <v>4542</v>
      </c>
      <c r="H19" s="69" t="s">
        <v>4635</v>
      </c>
      <c r="I19" s="38" t="s">
        <v>4725</v>
      </c>
      <c r="J19" s="30"/>
      <c r="K19" s="50" t="s">
        <v>4739</v>
      </c>
      <c r="L19" s="116" t="s">
        <v>4539</v>
      </c>
      <c r="M19" s="15">
        <v>43084</v>
      </c>
      <c r="N19" s="15">
        <v>43100</v>
      </c>
      <c r="O19" s="61" t="s">
        <v>5238</v>
      </c>
      <c r="P19" s="61"/>
      <c r="Q19" s="171"/>
      <c r="R19" s="239" t="s">
        <v>5264</v>
      </c>
      <c r="S19" s="326" t="s">
        <v>4537</v>
      </c>
      <c r="T19" s="904"/>
    </row>
    <row r="20" spans="1:20" s="40" customFormat="1" ht="20.100000000000001" customHeight="1">
      <c r="A20" s="1190" t="s">
        <v>5239</v>
      </c>
      <c r="B20" s="1190" t="s">
        <v>4592</v>
      </c>
      <c r="C20" s="1190" t="s">
        <v>5287</v>
      </c>
      <c r="D20" s="961">
        <v>850</v>
      </c>
      <c r="E20" s="961">
        <v>1600</v>
      </c>
      <c r="F20" s="961">
        <v>1650</v>
      </c>
      <c r="G20" s="234" t="s">
        <v>4572</v>
      </c>
      <c r="H20" s="56" t="s">
        <v>5150</v>
      </c>
      <c r="I20" s="51" t="s">
        <v>4725</v>
      </c>
      <c r="J20" s="34"/>
      <c r="K20" s="50" t="s">
        <v>4940</v>
      </c>
      <c r="L20" s="116" t="s">
        <v>4539</v>
      </c>
      <c r="M20" s="15">
        <v>43070</v>
      </c>
      <c r="N20" s="15">
        <v>43100</v>
      </c>
      <c r="O20" s="59" t="s">
        <v>4571</v>
      </c>
      <c r="P20" s="61"/>
      <c r="Q20" s="167"/>
      <c r="R20" s="239" t="s">
        <v>5272</v>
      </c>
      <c r="S20" s="327" t="s">
        <v>4570</v>
      </c>
      <c r="T20" s="904"/>
    </row>
    <row r="21" spans="1:20" s="40" customFormat="1" ht="20.100000000000001" customHeight="1">
      <c r="A21" s="1190" t="s">
        <v>5239</v>
      </c>
      <c r="B21" s="1190" t="s">
        <v>4592</v>
      </c>
      <c r="C21" s="1190" t="s">
        <v>5287</v>
      </c>
      <c r="D21" s="320">
        <v>875</v>
      </c>
      <c r="E21" s="320">
        <f>D21*2-200</f>
        <v>1550</v>
      </c>
      <c r="F21" s="320">
        <f>D21*2-150</f>
        <v>1600</v>
      </c>
      <c r="G21" s="293" t="s">
        <v>4575</v>
      </c>
      <c r="H21" s="210" t="s">
        <v>5150</v>
      </c>
      <c r="I21" s="51" t="s">
        <v>4725</v>
      </c>
      <c r="J21" s="34"/>
      <c r="K21" s="50" t="s">
        <v>4940</v>
      </c>
      <c r="L21" s="116" t="s">
        <v>4539</v>
      </c>
      <c r="M21" s="15">
        <v>43084</v>
      </c>
      <c r="N21" s="15">
        <v>43100</v>
      </c>
      <c r="O21" s="61" t="s">
        <v>5243</v>
      </c>
      <c r="P21" s="61"/>
      <c r="Q21" s="167"/>
      <c r="R21" s="239" t="s">
        <v>5271</v>
      </c>
      <c r="S21" s="328" t="s">
        <v>4543</v>
      </c>
      <c r="T21" s="904"/>
    </row>
    <row r="22" spans="1:20" s="40" customFormat="1" ht="20.100000000000001" customHeight="1">
      <c r="A22" s="1190" t="s">
        <v>5239</v>
      </c>
      <c r="B22" s="1190" t="s">
        <v>4592</v>
      </c>
      <c r="C22" s="1190" t="s">
        <v>5287</v>
      </c>
      <c r="D22" s="248">
        <v>800</v>
      </c>
      <c r="E22" s="248">
        <v>1500</v>
      </c>
      <c r="F22" s="248">
        <v>1500</v>
      </c>
      <c r="G22" s="234" t="s">
        <v>4904</v>
      </c>
      <c r="H22" s="56" t="s">
        <v>5150</v>
      </c>
      <c r="I22" s="51" t="s">
        <v>4725</v>
      </c>
      <c r="J22" s="34"/>
      <c r="K22" s="50" t="s">
        <v>4940</v>
      </c>
      <c r="L22" s="118" t="s">
        <v>4539</v>
      </c>
      <c r="M22" s="15">
        <v>43084</v>
      </c>
      <c r="N22" s="15">
        <v>43100</v>
      </c>
      <c r="O22" s="59" t="s">
        <v>5241</v>
      </c>
      <c r="P22" s="59"/>
      <c r="Q22" s="167"/>
      <c r="R22" s="21" t="s">
        <v>5148</v>
      </c>
      <c r="S22" s="336" t="s">
        <v>1952</v>
      </c>
      <c r="T22" s="904"/>
    </row>
    <row r="23" spans="1:20" s="40" customFormat="1" ht="20.100000000000001" customHeight="1">
      <c r="A23" s="1190" t="s">
        <v>5239</v>
      </c>
      <c r="B23" s="1190" t="s">
        <v>4592</v>
      </c>
      <c r="C23" s="1190" t="s">
        <v>5287</v>
      </c>
      <c r="D23" s="247">
        <v>775</v>
      </c>
      <c r="E23" s="247">
        <v>1450</v>
      </c>
      <c r="F23" s="247">
        <v>1500</v>
      </c>
      <c r="G23" s="29" t="s">
        <v>4542</v>
      </c>
      <c r="H23" s="56" t="s">
        <v>5150</v>
      </c>
      <c r="I23" s="38" t="s">
        <v>4725</v>
      </c>
      <c r="J23" s="30"/>
      <c r="K23" s="50" t="s">
        <v>4940</v>
      </c>
      <c r="L23" s="116" t="s">
        <v>4539</v>
      </c>
      <c r="M23" s="15">
        <v>43084</v>
      </c>
      <c r="N23" s="15">
        <v>43100</v>
      </c>
      <c r="O23" s="61" t="s">
        <v>5238</v>
      </c>
      <c r="P23" s="14"/>
      <c r="Q23" s="167"/>
      <c r="R23" s="240" t="s">
        <v>5270</v>
      </c>
      <c r="S23" s="326" t="s">
        <v>4537</v>
      </c>
      <c r="T23" s="904"/>
    </row>
    <row r="24" spans="1:20" s="40" customFormat="1" ht="20.100000000000001" customHeight="1">
      <c r="A24" s="1190" t="s">
        <v>5239</v>
      </c>
      <c r="B24" s="1190" t="s">
        <v>4592</v>
      </c>
      <c r="C24" s="1190" t="s">
        <v>5287</v>
      </c>
      <c r="D24" s="247" ph="1">
        <v>725</v>
      </c>
      <c r="E24" s="247" ph="1">
        <v>1150</v>
      </c>
      <c r="F24" s="247" ph="1">
        <v>1150</v>
      </c>
      <c r="G24" s="220" t="s">
        <v>5255</v>
      </c>
      <c r="H24" s="22" t="s">
        <v>4548</v>
      </c>
      <c r="I24" s="10" t="s">
        <v>4725</v>
      </c>
      <c r="J24" s="34"/>
      <c r="K24" s="50" t="s">
        <v>4739</v>
      </c>
      <c r="L24" s="116" t="s">
        <v>4539</v>
      </c>
      <c r="M24" s="15">
        <v>43073</v>
      </c>
      <c r="N24" s="15">
        <v>43093</v>
      </c>
      <c r="O24" s="59" t="s">
        <v>5254</v>
      </c>
      <c r="P24" s="14"/>
      <c r="Q24" s="167"/>
      <c r="R24" s="240" t="s">
        <v>4736</v>
      </c>
      <c r="S24" s="327" t="s">
        <v>5253</v>
      </c>
      <c r="T24" s="904"/>
    </row>
    <row r="25" spans="1:20" s="40" customFormat="1" ht="20.100000000000001" customHeight="1">
      <c r="A25" s="1190" t="s">
        <v>5239</v>
      </c>
      <c r="B25" s="1190" t="s">
        <v>4592</v>
      </c>
      <c r="C25" s="1190" t="s">
        <v>5287</v>
      </c>
      <c r="D25" s="961">
        <v>850</v>
      </c>
      <c r="E25" s="961">
        <v>1600</v>
      </c>
      <c r="F25" s="961">
        <v>1650</v>
      </c>
      <c r="G25" s="234" t="s">
        <v>4572</v>
      </c>
      <c r="H25" s="22" t="s">
        <v>4548</v>
      </c>
      <c r="I25" s="10" t="s">
        <v>4725</v>
      </c>
      <c r="J25" s="34"/>
      <c r="K25" s="50" t="s">
        <v>4739</v>
      </c>
      <c r="L25" s="116" t="s">
        <v>4539</v>
      </c>
      <c r="M25" s="15">
        <v>43070</v>
      </c>
      <c r="N25" s="15">
        <v>43100</v>
      </c>
      <c r="O25" s="59" t="s">
        <v>4571</v>
      </c>
      <c r="P25" s="61"/>
      <c r="Q25" s="167"/>
      <c r="R25" s="239" t="s">
        <v>4736</v>
      </c>
      <c r="S25" s="327" t="s">
        <v>4570</v>
      </c>
      <c r="T25" s="904"/>
    </row>
    <row r="26" spans="1:20" s="40" customFormat="1" ht="20.100000000000001" customHeight="1">
      <c r="A26" s="1190" t="s">
        <v>5239</v>
      </c>
      <c r="B26" s="1190" t="s">
        <v>4592</v>
      </c>
      <c r="C26" s="1190" t="s">
        <v>5287</v>
      </c>
      <c r="D26" s="320">
        <v>875</v>
      </c>
      <c r="E26" s="320">
        <f>D26*2-200</f>
        <v>1550</v>
      </c>
      <c r="F26" s="320">
        <f>D26*2-150</f>
        <v>1600</v>
      </c>
      <c r="G26" s="293" t="s">
        <v>4575</v>
      </c>
      <c r="H26" s="194" t="s">
        <v>4548</v>
      </c>
      <c r="I26" s="51" t="s">
        <v>4725</v>
      </c>
      <c r="J26" s="34"/>
      <c r="K26" s="50" t="s">
        <v>4739</v>
      </c>
      <c r="L26" s="116" t="s">
        <v>4539</v>
      </c>
      <c r="M26" s="15">
        <v>43084</v>
      </c>
      <c r="N26" s="15">
        <v>43100</v>
      </c>
      <c r="O26" s="61" t="s">
        <v>5243</v>
      </c>
      <c r="P26" s="61"/>
      <c r="Q26" s="167"/>
      <c r="R26" s="239" t="s">
        <v>4577</v>
      </c>
      <c r="S26" s="328" t="s">
        <v>4543</v>
      </c>
      <c r="T26" s="904"/>
    </row>
    <row r="27" spans="1:20" s="40" customFormat="1" ht="20.100000000000001" customHeight="1">
      <c r="A27" s="1190" t="s">
        <v>5239</v>
      </c>
      <c r="B27" s="1190" t="s">
        <v>4592</v>
      </c>
      <c r="C27" s="1190" t="s">
        <v>5287</v>
      </c>
      <c r="D27" s="248">
        <v>800</v>
      </c>
      <c r="E27" s="248">
        <v>1500</v>
      </c>
      <c r="F27" s="248">
        <v>1500</v>
      </c>
      <c r="G27" s="234" t="s">
        <v>4904</v>
      </c>
      <c r="H27" s="304" t="s">
        <v>4548</v>
      </c>
      <c r="I27" s="10" t="s">
        <v>4725</v>
      </c>
      <c r="J27" s="34"/>
      <c r="K27" s="50" t="s">
        <v>4739</v>
      </c>
      <c r="L27" s="116" t="s">
        <v>4539</v>
      </c>
      <c r="M27" s="15">
        <v>43084</v>
      </c>
      <c r="N27" s="15">
        <v>43100</v>
      </c>
      <c r="O27" s="61" t="s">
        <v>5241</v>
      </c>
      <c r="P27" s="61"/>
      <c r="Q27" s="167"/>
      <c r="R27" s="239" t="s">
        <v>5223</v>
      </c>
      <c r="S27" s="336" t="s">
        <v>1952</v>
      </c>
      <c r="T27" s="904"/>
    </row>
    <row r="28" spans="1:20" s="40" customFormat="1" ht="20.100000000000001" customHeight="1">
      <c r="A28" s="1190" t="s">
        <v>5239</v>
      </c>
      <c r="B28" s="1190" t="s">
        <v>4592</v>
      </c>
      <c r="C28" s="1190" t="s">
        <v>5287</v>
      </c>
      <c r="D28" s="247">
        <v>775</v>
      </c>
      <c r="E28" s="247">
        <v>1450</v>
      </c>
      <c r="F28" s="247">
        <v>1500</v>
      </c>
      <c r="G28" s="70" t="s">
        <v>4542</v>
      </c>
      <c r="H28" s="69" t="s">
        <v>4548</v>
      </c>
      <c r="I28" s="38" t="s">
        <v>4725</v>
      </c>
      <c r="J28" s="30"/>
      <c r="K28" s="50" t="s">
        <v>4739</v>
      </c>
      <c r="L28" s="116" t="s">
        <v>4539</v>
      </c>
      <c r="M28" s="15">
        <v>43084</v>
      </c>
      <c r="N28" s="15">
        <v>43100</v>
      </c>
      <c r="O28" s="61" t="s">
        <v>5238</v>
      </c>
      <c r="P28" s="61"/>
      <c r="Q28" s="167"/>
      <c r="R28" s="239" t="s">
        <v>5252</v>
      </c>
      <c r="S28" s="326" t="s">
        <v>4537</v>
      </c>
      <c r="T28" s="904"/>
    </row>
    <row r="29" spans="1:20" s="40" customFormat="1" ht="20.100000000000001" customHeight="1">
      <c r="A29" s="1190" t="s">
        <v>5239</v>
      </c>
      <c r="B29" s="1190" t="s">
        <v>4592</v>
      </c>
      <c r="C29" s="1190" t="s">
        <v>5287</v>
      </c>
      <c r="D29" s="247" ph="1">
        <v>725</v>
      </c>
      <c r="E29" s="247" ph="1">
        <v>1350</v>
      </c>
      <c r="F29" s="247" ph="1">
        <v>1400</v>
      </c>
      <c r="G29" s="63" t="s">
        <v>4566</v>
      </c>
      <c r="H29" s="69" t="s">
        <v>4548</v>
      </c>
      <c r="I29" s="38" t="s">
        <v>4725</v>
      </c>
      <c r="J29" s="30"/>
      <c r="K29" s="118" t="s">
        <v>4968</v>
      </c>
      <c r="L29" s="116" t="s">
        <v>4539</v>
      </c>
      <c r="M29" s="15">
        <v>43084</v>
      </c>
      <c r="N29" s="15">
        <v>43100</v>
      </c>
      <c r="O29" s="61" t="s">
        <v>4638</v>
      </c>
      <c r="P29" s="61"/>
      <c r="Q29" s="171"/>
      <c r="R29" s="239" t="s">
        <v>5248</v>
      </c>
      <c r="S29" s="327" t="s">
        <v>4561</v>
      </c>
      <c r="T29" s="904"/>
    </row>
    <row r="30" spans="1:20" s="40" customFormat="1" ht="20.100000000000001" customHeight="1">
      <c r="A30" s="1190" t="s">
        <v>5239</v>
      </c>
      <c r="B30" s="1190" t="s">
        <v>4592</v>
      </c>
      <c r="C30" s="1190" t="s">
        <v>5287</v>
      </c>
      <c r="D30" s="953" ph="1">
        <v>765</v>
      </c>
      <c r="E30" s="953" ph="1">
        <v>1430</v>
      </c>
      <c r="F30" s="953" ph="1">
        <v>1480</v>
      </c>
      <c r="G30" s="63" t="s">
        <v>4560</v>
      </c>
      <c r="H30" s="69" t="s">
        <v>4548</v>
      </c>
      <c r="I30" s="51" t="s">
        <v>4725</v>
      </c>
      <c r="J30" s="34"/>
      <c r="K30" s="118" t="s">
        <v>4968</v>
      </c>
      <c r="L30" s="116" t="s">
        <v>4539</v>
      </c>
      <c r="M30" s="15">
        <v>43084</v>
      </c>
      <c r="N30" s="15">
        <v>43100</v>
      </c>
      <c r="O30" s="59" t="s">
        <v>4559</v>
      </c>
      <c r="P30" s="61"/>
      <c r="Q30" s="171"/>
      <c r="R30" s="239" t="s">
        <v>5248</v>
      </c>
      <c r="S30" s="326" t="s">
        <v>5251</v>
      </c>
      <c r="T30" s="904"/>
    </row>
    <row r="31" spans="1:20" s="40" customFormat="1" ht="20.100000000000001" customHeight="1">
      <c r="A31" s="1190" t="s">
        <v>5239</v>
      </c>
      <c r="B31" s="1190" t="s">
        <v>4592</v>
      </c>
      <c r="C31" s="1190" t="s">
        <v>5287</v>
      </c>
      <c r="D31" s="247" ph="1">
        <v>750</v>
      </c>
      <c r="E31" s="247" ph="1">
        <v>1400</v>
      </c>
      <c r="F31" s="247" ph="1">
        <v>1400</v>
      </c>
      <c r="G31" s="293" t="s">
        <v>4557</v>
      </c>
      <c r="H31" s="69" t="s">
        <v>4548</v>
      </c>
      <c r="I31" s="38" t="s">
        <v>4725</v>
      </c>
      <c r="J31" s="30"/>
      <c r="K31" s="118" t="s">
        <v>4968</v>
      </c>
      <c r="L31" s="116" t="s">
        <v>4539</v>
      </c>
      <c r="M31" s="6">
        <v>43084</v>
      </c>
      <c r="N31" s="6">
        <v>43100</v>
      </c>
      <c r="O31" s="61" t="s">
        <v>4555</v>
      </c>
      <c r="P31" s="61"/>
      <c r="Q31" s="171"/>
      <c r="R31" s="239" t="s">
        <v>5248</v>
      </c>
      <c r="S31" s="326" t="s">
        <v>4543</v>
      </c>
      <c r="T31" s="904"/>
    </row>
    <row r="32" spans="1:20" s="40" customFormat="1" ht="20.100000000000001" customHeight="1">
      <c r="A32" s="1190" t="s">
        <v>5239</v>
      </c>
      <c r="B32" s="1190" t="s">
        <v>4592</v>
      </c>
      <c r="C32" s="1190" t="s">
        <v>5287</v>
      </c>
      <c r="D32" s="247" ph="1">
        <v>800</v>
      </c>
      <c r="E32" s="247" ph="1">
        <v>1500</v>
      </c>
      <c r="F32" s="247" ph="1">
        <v>1550</v>
      </c>
      <c r="G32" s="70" t="s">
        <v>4645</v>
      </c>
      <c r="H32" s="69" t="s">
        <v>4548</v>
      </c>
      <c r="I32" s="38" t="s">
        <v>4725</v>
      </c>
      <c r="J32" s="37"/>
      <c r="K32" s="118" t="s">
        <v>4968</v>
      </c>
      <c r="L32" s="116" t="s">
        <v>4539</v>
      </c>
      <c r="M32" s="6">
        <v>43084</v>
      </c>
      <c r="N32" s="6">
        <v>43100</v>
      </c>
      <c r="O32" s="61" t="s">
        <v>5249</v>
      </c>
      <c r="P32" s="61"/>
      <c r="Q32" s="171"/>
      <c r="R32" s="240" t="s">
        <v>5248</v>
      </c>
      <c r="S32" s="326" t="s">
        <v>4641</v>
      </c>
      <c r="T32" s="904"/>
    </row>
    <row r="33" spans="1:20" s="40" customFormat="1" ht="20.100000000000001" customHeight="1">
      <c r="A33" s="1190" t="s">
        <v>5239</v>
      </c>
      <c r="B33" s="1190" t="s">
        <v>4592</v>
      </c>
      <c r="C33" s="1190" t="s">
        <v>5287</v>
      </c>
      <c r="D33" s="950">
        <v>780</v>
      </c>
      <c r="E33" s="950">
        <v>1457</v>
      </c>
      <c r="F33" s="950">
        <v>1457</v>
      </c>
      <c r="G33" s="224" t="s">
        <v>4569</v>
      </c>
      <c r="H33" s="69" t="s">
        <v>4992</v>
      </c>
      <c r="I33" s="38" t="s">
        <v>4725</v>
      </c>
      <c r="J33" s="37"/>
      <c r="K33" s="50" t="s">
        <v>4968</v>
      </c>
      <c r="L33" s="116" t="s">
        <v>4539</v>
      </c>
      <c r="M33" s="6">
        <v>43074</v>
      </c>
      <c r="N33" s="6">
        <v>43084</v>
      </c>
      <c r="O33" s="61" t="s">
        <v>4567</v>
      </c>
      <c r="P33" s="74"/>
      <c r="Q33" s="7"/>
      <c r="R33" s="239" t="s">
        <v>5261</v>
      </c>
      <c r="S33" s="328" t="s">
        <v>4543</v>
      </c>
      <c r="T33" s="904"/>
    </row>
    <row r="34" spans="1:20" s="40" customFormat="1" ht="20.100000000000001" customHeight="1">
      <c r="A34" s="1190" t="s">
        <v>5239</v>
      </c>
      <c r="B34" s="1190" t="s">
        <v>4592</v>
      </c>
      <c r="C34" s="1190" t="s">
        <v>5287</v>
      </c>
      <c r="D34" s="960" ph="1">
        <v>900</v>
      </c>
      <c r="E34" s="960" ph="1">
        <v>1600</v>
      </c>
      <c r="F34" s="960" ph="1">
        <v>1650</v>
      </c>
      <c r="G34" s="65" t="s">
        <v>4553</v>
      </c>
      <c r="H34" s="69" t="s">
        <v>4992</v>
      </c>
      <c r="I34" s="38" t="s">
        <v>4725</v>
      </c>
      <c r="J34" s="37"/>
      <c r="K34" s="50" t="s">
        <v>4968</v>
      </c>
      <c r="L34" s="116" t="s">
        <v>4539</v>
      </c>
      <c r="M34" s="6">
        <v>43085</v>
      </c>
      <c r="N34" s="6">
        <v>43100</v>
      </c>
      <c r="O34" s="61" t="s">
        <v>4663</v>
      </c>
      <c r="P34" s="74"/>
      <c r="Q34" s="7"/>
      <c r="R34" s="239" t="s">
        <v>5226</v>
      </c>
      <c r="S34" s="328" t="s">
        <v>4543</v>
      </c>
      <c r="T34" s="904"/>
    </row>
    <row r="35" spans="1:20" s="40" customFormat="1" ht="20.100000000000001" customHeight="1">
      <c r="A35" s="1190" t="s">
        <v>5239</v>
      </c>
      <c r="B35" s="1190" t="s">
        <v>4592</v>
      </c>
      <c r="C35" s="1190" t="s">
        <v>5287</v>
      </c>
      <c r="D35" s="961">
        <v>850</v>
      </c>
      <c r="E35" s="961">
        <v>1600</v>
      </c>
      <c r="F35" s="961">
        <v>1650</v>
      </c>
      <c r="G35" s="234" t="s">
        <v>4572</v>
      </c>
      <c r="H35" s="36" t="s">
        <v>4992</v>
      </c>
      <c r="I35" s="10" t="s">
        <v>4725</v>
      </c>
      <c r="J35" s="34"/>
      <c r="K35" s="50" t="s">
        <v>4739</v>
      </c>
      <c r="L35" s="116" t="s">
        <v>4539</v>
      </c>
      <c r="M35" s="15">
        <v>43070</v>
      </c>
      <c r="N35" s="15">
        <v>43100</v>
      </c>
      <c r="O35" s="59" t="s">
        <v>4571</v>
      </c>
      <c r="P35" s="14"/>
      <c r="Q35" s="167"/>
      <c r="R35" s="240" t="s">
        <v>5278</v>
      </c>
      <c r="S35" s="327" t="s">
        <v>4570</v>
      </c>
      <c r="T35" s="904"/>
    </row>
    <row r="36" spans="1:20" s="40" customFormat="1" ht="20.100000000000001" customHeight="1">
      <c r="A36" s="1190" t="s">
        <v>5239</v>
      </c>
      <c r="B36" s="1190" t="s">
        <v>4592</v>
      </c>
      <c r="C36" s="1190" t="s">
        <v>5287</v>
      </c>
      <c r="D36" s="320">
        <v>875</v>
      </c>
      <c r="E36" s="320">
        <f>D36*2-200</f>
        <v>1550</v>
      </c>
      <c r="F36" s="320">
        <f>D36*2-150</f>
        <v>1600</v>
      </c>
      <c r="G36" s="293" t="s">
        <v>4575</v>
      </c>
      <c r="H36" s="18" t="s">
        <v>4992</v>
      </c>
      <c r="I36" s="10" t="s">
        <v>4725</v>
      </c>
      <c r="J36" s="117"/>
      <c r="K36" s="10">
        <v>33</v>
      </c>
      <c r="L36" s="116" t="s">
        <v>4539</v>
      </c>
      <c r="M36" s="15">
        <v>43084</v>
      </c>
      <c r="N36" s="15">
        <v>43100</v>
      </c>
      <c r="O36" s="61" t="s">
        <v>5243</v>
      </c>
      <c r="P36" s="14"/>
      <c r="Q36" s="171"/>
      <c r="R36" s="240" t="s">
        <v>5115</v>
      </c>
      <c r="S36" s="328" t="s">
        <v>4543</v>
      </c>
      <c r="T36" s="904"/>
    </row>
    <row r="37" spans="1:20" s="40" customFormat="1" ht="20.100000000000001" customHeight="1">
      <c r="A37" s="1190" t="s">
        <v>5239</v>
      </c>
      <c r="B37" s="1190" t="s">
        <v>4592</v>
      </c>
      <c r="C37" s="1190" t="s">
        <v>5287</v>
      </c>
      <c r="D37" s="248">
        <v>800</v>
      </c>
      <c r="E37" s="248">
        <v>1500</v>
      </c>
      <c r="F37" s="248">
        <v>1500</v>
      </c>
      <c r="G37" s="234" t="s">
        <v>4904</v>
      </c>
      <c r="H37" s="36" t="s">
        <v>4992</v>
      </c>
      <c r="I37" s="10" t="s">
        <v>4725</v>
      </c>
      <c r="J37" s="34"/>
      <c r="K37" s="10">
        <v>33</v>
      </c>
      <c r="L37" s="116" t="s">
        <v>4539</v>
      </c>
      <c r="M37" s="15">
        <v>43084</v>
      </c>
      <c r="N37" s="15">
        <v>43100</v>
      </c>
      <c r="O37" s="61" t="s">
        <v>5241</v>
      </c>
      <c r="P37" s="14"/>
      <c r="Q37" s="171"/>
      <c r="R37" s="240" t="s">
        <v>5277</v>
      </c>
      <c r="S37" s="336" t="s">
        <v>1952</v>
      </c>
      <c r="T37" s="904"/>
    </row>
    <row r="38" spans="1:20" s="40" customFormat="1" ht="20.100000000000001" customHeight="1">
      <c r="A38" s="1190" t="s">
        <v>5239</v>
      </c>
      <c r="B38" s="1190" t="s">
        <v>4592</v>
      </c>
      <c r="C38" s="1190" t="s">
        <v>5287</v>
      </c>
      <c r="D38" s="247">
        <v>775</v>
      </c>
      <c r="E38" s="247">
        <v>1450</v>
      </c>
      <c r="F38" s="247">
        <v>1500</v>
      </c>
      <c r="G38" s="70" t="s">
        <v>4542</v>
      </c>
      <c r="H38" s="69" t="s">
        <v>4992</v>
      </c>
      <c r="I38" s="38" t="s">
        <v>4725</v>
      </c>
      <c r="J38" s="30"/>
      <c r="K38" s="50" t="s">
        <v>4739</v>
      </c>
      <c r="L38" s="116" t="s">
        <v>4539</v>
      </c>
      <c r="M38" s="15">
        <v>43084</v>
      </c>
      <c r="N38" s="15">
        <v>43100</v>
      </c>
      <c r="O38" s="61" t="s">
        <v>5238</v>
      </c>
      <c r="P38" s="14"/>
      <c r="Q38" s="171"/>
      <c r="R38" s="240" t="s">
        <v>5276</v>
      </c>
      <c r="S38" s="326" t="s">
        <v>4537</v>
      </c>
      <c r="T38" s="904"/>
    </row>
    <row r="39" spans="1:20" s="40" customFormat="1" ht="20.100000000000001" customHeight="1">
      <c r="A39" s="1190" t="s">
        <v>5239</v>
      </c>
      <c r="B39" s="1190" t="s">
        <v>4592</v>
      </c>
      <c r="C39" s="1190" t="s">
        <v>4637</v>
      </c>
      <c r="D39" s="960" ph="1">
        <v>900</v>
      </c>
      <c r="E39" s="960" ph="1">
        <v>1600</v>
      </c>
      <c r="F39" s="960" ph="1">
        <v>1650</v>
      </c>
      <c r="G39" s="65" t="s">
        <v>4553</v>
      </c>
      <c r="H39" s="36" t="s">
        <v>4552</v>
      </c>
      <c r="I39" s="20" t="s">
        <v>4725</v>
      </c>
      <c r="J39" s="20"/>
      <c r="K39" s="20" t="s">
        <v>4546</v>
      </c>
      <c r="L39" s="118" t="s">
        <v>4539</v>
      </c>
      <c r="M39" s="6">
        <v>43085</v>
      </c>
      <c r="N39" s="6">
        <v>43100</v>
      </c>
      <c r="O39" s="59" t="s">
        <v>4663</v>
      </c>
      <c r="P39" s="59"/>
      <c r="Q39" s="167"/>
      <c r="R39" s="239" t="s">
        <v>5257</v>
      </c>
      <c r="S39" s="328" t="s">
        <v>4543</v>
      </c>
      <c r="T39" s="137"/>
    </row>
    <row r="40" spans="1:20" s="40" customFormat="1" ht="20.100000000000001" customHeight="1">
      <c r="A40" s="1190" t="s">
        <v>5239</v>
      </c>
      <c r="B40" s="1190" t="s">
        <v>4592</v>
      </c>
      <c r="C40" s="1190" t="s">
        <v>4637</v>
      </c>
      <c r="D40" s="885">
        <v>750</v>
      </c>
      <c r="E40" s="885">
        <v>1400</v>
      </c>
      <c r="F40" s="885">
        <v>1450</v>
      </c>
      <c r="G40" s="63" t="s">
        <v>4636</v>
      </c>
      <c r="H40" s="36" t="s">
        <v>4552</v>
      </c>
      <c r="I40" s="38" t="s">
        <v>4725</v>
      </c>
      <c r="J40" s="30"/>
      <c r="K40" s="118" t="s">
        <v>4546</v>
      </c>
      <c r="L40" s="116" t="s">
        <v>4539</v>
      </c>
      <c r="M40" s="6">
        <v>43084</v>
      </c>
      <c r="N40" s="6">
        <v>43100</v>
      </c>
      <c r="O40" s="61" t="s">
        <v>4555</v>
      </c>
      <c r="P40" s="14"/>
      <c r="Q40" s="167"/>
      <c r="R40" s="240" t="s">
        <v>5259</v>
      </c>
      <c r="S40" s="327" t="s">
        <v>4632</v>
      </c>
      <c r="T40" s="137"/>
    </row>
    <row r="41" spans="1:20" s="40" customFormat="1" ht="20.100000000000001" customHeight="1">
      <c r="A41" s="1190" t="s">
        <v>5239</v>
      </c>
      <c r="B41" s="1190" t="s">
        <v>4592</v>
      </c>
      <c r="C41" s="1190" t="s">
        <v>4637</v>
      </c>
      <c r="D41" s="950">
        <v>780</v>
      </c>
      <c r="E41" s="950">
        <v>1457</v>
      </c>
      <c r="F41" s="950">
        <v>1457</v>
      </c>
      <c r="G41" s="224" t="s">
        <v>4569</v>
      </c>
      <c r="H41" s="194" t="s">
        <v>4552</v>
      </c>
      <c r="I41" s="38" t="s">
        <v>4725</v>
      </c>
      <c r="J41" s="37"/>
      <c r="K41" s="37" t="s">
        <v>4546</v>
      </c>
      <c r="L41" s="116" t="s">
        <v>4539</v>
      </c>
      <c r="M41" s="6">
        <v>43074</v>
      </c>
      <c r="N41" s="6">
        <v>43084</v>
      </c>
      <c r="O41" s="61" t="s">
        <v>4567</v>
      </c>
      <c r="P41" s="14"/>
      <c r="Q41" s="167"/>
      <c r="R41" s="239" t="s">
        <v>5258</v>
      </c>
      <c r="S41" s="328" t="s">
        <v>4543</v>
      </c>
      <c r="T41" s="137"/>
    </row>
    <row r="42" spans="1:20" s="40" customFormat="1" ht="20.100000000000001" customHeight="1">
      <c r="A42" s="1190" t="s">
        <v>5239</v>
      </c>
      <c r="B42" s="1190" t="s">
        <v>4592</v>
      </c>
      <c r="C42" s="1190" t="s">
        <v>4637</v>
      </c>
      <c r="D42" s="960" ph="1">
        <v>900</v>
      </c>
      <c r="E42" s="960" ph="1">
        <v>1600</v>
      </c>
      <c r="F42" s="960" ph="1">
        <v>1650</v>
      </c>
      <c r="G42" s="65" t="s">
        <v>4553</v>
      </c>
      <c r="H42" s="55" t="s">
        <v>4635</v>
      </c>
      <c r="I42" s="20" t="s">
        <v>4725</v>
      </c>
      <c r="J42" s="20"/>
      <c r="K42" s="20" t="s">
        <v>4968</v>
      </c>
      <c r="L42" s="116" t="s">
        <v>4539</v>
      </c>
      <c r="M42" s="6">
        <v>43085</v>
      </c>
      <c r="N42" s="6">
        <v>43100</v>
      </c>
      <c r="O42" s="61" t="s">
        <v>4663</v>
      </c>
      <c r="P42" s="61"/>
      <c r="Q42" s="171"/>
      <c r="R42" s="239" t="s">
        <v>5234</v>
      </c>
      <c r="S42" s="328" t="s">
        <v>4543</v>
      </c>
      <c r="T42" s="904"/>
    </row>
    <row r="43" spans="1:20" s="40" customFormat="1" ht="20.100000000000001" customHeight="1">
      <c r="A43" s="1190" t="s">
        <v>5239</v>
      </c>
      <c r="B43" s="1190" t="s">
        <v>4592</v>
      </c>
      <c r="C43" s="1190" t="s">
        <v>4637</v>
      </c>
      <c r="D43" s="885">
        <v>750</v>
      </c>
      <c r="E43" s="885">
        <v>1400</v>
      </c>
      <c r="F43" s="885">
        <v>1450</v>
      </c>
      <c r="G43" s="63" t="s">
        <v>4636</v>
      </c>
      <c r="H43" s="69" t="s">
        <v>4635</v>
      </c>
      <c r="I43" s="38" t="s">
        <v>4725</v>
      </c>
      <c r="J43" s="30"/>
      <c r="K43" s="118" t="s">
        <v>4968</v>
      </c>
      <c r="L43" s="116" t="s">
        <v>4539</v>
      </c>
      <c r="M43" s="6">
        <v>43084</v>
      </c>
      <c r="N43" s="6">
        <v>43100</v>
      </c>
      <c r="O43" s="61" t="s">
        <v>4555</v>
      </c>
      <c r="P43" s="14"/>
      <c r="Q43" s="171"/>
      <c r="R43" s="240" t="s">
        <v>5246</v>
      </c>
      <c r="S43" s="327" t="s">
        <v>4632</v>
      </c>
      <c r="T43" s="137"/>
    </row>
    <row r="44" spans="1:20" s="40" customFormat="1" ht="20.100000000000001" customHeight="1">
      <c r="A44" s="1190" t="s">
        <v>5239</v>
      </c>
      <c r="B44" s="1190" t="s">
        <v>4592</v>
      </c>
      <c r="C44" s="1190" t="s">
        <v>4637</v>
      </c>
      <c r="D44" s="950">
        <v>780</v>
      </c>
      <c r="E44" s="950">
        <v>1457</v>
      </c>
      <c r="F44" s="950">
        <v>1457</v>
      </c>
      <c r="G44" s="224" t="s">
        <v>4569</v>
      </c>
      <c r="H44" s="236" t="s">
        <v>4635</v>
      </c>
      <c r="I44" s="38" t="s">
        <v>4725</v>
      </c>
      <c r="J44" s="37"/>
      <c r="K44" s="118" t="s">
        <v>4968</v>
      </c>
      <c r="L44" s="116" t="s">
        <v>4539</v>
      </c>
      <c r="M44" s="6">
        <v>43074</v>
      </c>
      <c r="N44" s="6">
        <v>43084</v>
      </c>
      <c r="O44" s="61" t="s">
        <v>4567</v>
      </c>
      <c r="P44" s="14"/>
      <c r="Q44" s="171"/>
      <c r="R44" s="239" t="s">
        <v>4972</v>
      </c>
      <c r="S44" s="328" t="s">
        <v>4543</v>
      </c>
      <c r="T44" s="137"/>
    </row>
    <row r="45" spans="1:20" s="40" customFormat="1" ht="20.100000000000001" customHeight="1">
      <c r="A45" s="1190" t="s">
        <v>5239</v>
      </c>
      <c r="B45" s="1190" t="s">
        <v>4592</v>
      </c>
      <c r="C45" s="1190" t="s">
        <v>4637</v>
      </c>
      <c r="D45" s="885">
        <v>750</v>
      </c>
      <c r="E45" s="885">
        <v>1400</v>
      </c>
      <c r="F45" s="885">
        <v>1450</v>
      </c>
      <c r="G45" s="63" t="s">
        <v>4636</v>
      </c>
      <c r="H45" s="55" t="s">
        <v>4992</v>
      </c>
      <c r="I45" s="38" t="s">
        <v>4725</v>
      </c>
      <c r="J45" s="30"/>
      <c r="K45" s="20" t="s">
        <v>5055</v>
      </c>
      <c r="L45" s="116" t="s">
        <v>4539</v>
      </c>
      <c r="M45" s="6">
        <v>43084</v>
      </c>
      <c r="N45" s="6">
        <v>43100</v>
      </c>
      <c r="O45" s="61" t="s">
        <v>4555</v>
      </c>
      <c r="P45" s="14"/>
      <c r="Q45" s="7"/>
      <c r="R45" s="240" t="s">
        <v>1767</v>
      </c>
      <c r="S45" s="327" t="s">
        <v>4632</v>
      </c>
      <c r="T45" s="137"/>
    </row>
    <row r="46" spans="1:20" s="40" customFormat="1" ht="20.100000000000001" customHeight="1">
      <c r="A46" s="1190" t="s">
        <v>5239</v>
      </c>
      <c r="B46" s="1190" t="s">
        <v>4592</v>
      </c>
      <c r="C46" s="1190" t="s">
        <v>4637</v>
      </c>
      <c r="D46" s="950">
        <v>780</v>
      </c>
      <c r="E46" s="950">
        <v>1457</v>
      </c>
      <c r="F46" s="950">
        <v>1457</v>
      </c>
      <c r="G46" s="224" t="s">
        <v>4569</v>
      </c>
      <c r="H46" s="55" t="s">
        <v>4992</v>
      </c>
      <c r="I46" s="38" t="s">
        <v>4725</v>
      </c>
      <c r="J46" s="37"/>
      <c r="K46" s="20" t="s">
        <v>5055</v>
      </c>
      <c r="L46" s="116" t="s">
        <v>4539</v>
      </c>
      <c r="M46" s="6">
        <v>43074</v>
      </c>
      <c r="N46" s="6">
        <v>43084</v>
      </c>
      <c r="O46" s="61" t="s">
        <v>4567</v>
      </c>
      <c r="P46" s="14"/>
      <c r="Q46" s="7"/>
      <c r="R46" s="239" t="s">
        <v>5261</v>
      </c>
      <c r="S46" s="328" t="s">
        <v>4543</v>
      </c>
      <c r="T46" s="137"/>
    </row>
    <row r="47" spans="1:20" s="40" customFormat="1" ht="20.100000000000001" customHeight="1">
      <c r="A47" s="1190" t="s">
        <v>5239</v>
      </c>
      <c r="B47" s="1190" t="s">
        <v>4592</v>
      </c>
      <c r="C47" s="1190" t="s">
        <v>4637</v>
      </c>
      <c r="D47" s="960" ph="1">
        <v>900</v>
      </c>
      <c r="E47" s="960" ph="1">
        <v>1600</v>
      </c>
      <c r="F47" s="960" ph="1">
        <v>1650</v>
      </c>
      <c r="G47" s="65" t="s">
        <v>4553</v>
      </c>
      <c r="H47" s="55" t="s">
        <v>4992</v>
      </c>
      <c r="I47" s="38" t="s">
        <v>4725</v>
      </c>
      <c r="J47" s="37"/>
      <c r="K47" s="20" t="s">
        <v>5055</v>
      </c>
      <c r="L47" s="116" t="s">
        <v>4539</v>
      </c>
      <c r="M47" s="6">
        <v>43085</v>
      </c>
      <c r="N47" s="6">
        <v>43100</v>
      </c>
      <c r="O47" s="59" t="s">
        <v>4663</v>
      </c>
      <c r="P47" s="14"/>
      <c r="Q47" s="7"/>
      <c r="R47" s="239" t="s">
        <v>5226</v>
      </c>
      <c r="S47" s="328" t="s">
        <v>4543</v>
      </c>
      <c r="T47" s="137"/>
    </row>
    <row r="48" spans="1:20" s="40" customFormat="1" ht="20.100000000000001" customHeight="1">
      <c r="A48" s="1190" t="s">
        <v>5239</v>
      </c>
      <c r="B48" s="1190" t="s">
        <v>4592</v>
      </c>
      <c r="C48" s="1190" t="s">
        <v>5286</v>
      </c>
      <c r="D48" s="961">
        <v>850</v>
      </c>
      <c r="E48" s="961">
        <v>1600</v>
      </c>
      <c r="F48" s="961">
        <v>1650</v>
      </c>
      <c r="G48" s="293" t="s">
        <v>4572</v>
      </c>
      <c r="H48" s="36">
        <v>2</v>
      </c>
      <c r="I48" s="10" t="s">
        <v>4725</v>
      </c>
      <c r="J48" s="30"/>
      <c r="K48" s="37" t="s">
        <v>4735</v>
      </c>
      <c r="L48" s="116" t="s">
        <v>4539</v>
      </c>
      <c r="M48" s="15">
        <v>43070</v>
      </c>
      <c r="N48" s="15">
        <v>43100</v>
      </c>
      <c r="O48" s="59" t="s">
        <v>4571</v>
      </c>
      <c r="P48" s="59"/>
      <c r="Q48" s="167"/>
      <c r="R48" s="239" t="s">
        <v>5244</v>
      </c>
      <c r="S48" s="327" t="s">
        <v>4570</v>
      </c>
      <c r="T48" s="137"/>
    </row>
    <row r="49" spans="1:20" s="40" customFormat="1" ht="20.100000000000001" customHeight="1">
      <c r="A49" s="1190" t="s">
        <v>5239</v>
      </c>
      <c r="B49" s="1190" t="s">
        <v>4592</v>
      </c>
      <c r="C49" s="1190" t="s">
        <v>5286</v>
      </c>
      <c r="D49" s="320">
        <v>875</v>
      </c>
      <c r="E49" s="320">
        <f>D49*2-200</f>
        <v>1550</v>
      </c>
      <c r="F49" s="320">
        <f>D49*2-150</f>
        <v>1600</v>
      </c>
      <c r="G49" s="293" t="s">
        <v>4575</v>
      </c>
      <c r="H49" s="69" t="s">
        <v>4649</v>
      </c>
      <c r="I49" s="38" t="s">
        <v>4725</v>
      </c>
      <c r="J49" s="38"/>
      <c r="K49" s="38" t="s">
        <v>4735</v>
      </c>
      <c r="L49" s="116" t="s">
        <v>4539</v>
      </c>
      <c r="M49" s="15">
        <v>43084</v>
      </c>
      <c r="N49" s="15">
        <v>43100</v>
      </c>
      <c r="O49" s="61" t="s">
        <v>5243</v>
      </c>
      <c r="P49" s="59"/>
      <c r="Q49" s="167"/>
      <c r="R49" s="239" t="s">
        <v>5242</v>
      </c>
      <c r="S49" s="328" t="s">
        <v>4543</v>
      </c>
      <c r="T49" s="137"/>
    </row>
    <row r="50" spans="1:20" s="40" customFormat="1" ht="20.100000000000001" customHeight="1">
      <c r="A50" s="1190" t="s">
        <v>5239</v>
      </c>
      <c r="B50" s="1190" t="s">
        <v>4592</v>
      </c>
      <c r="C50" s="1190" t="s">
        <v>5286</v>
      </c>
      <c r="D50" s="248">
        <v>800</v>
      </c>
      <c r="E50" s="248">
        <v>1500</v>
      </c>
      <c r="F50" s="248">
        <v>1500</v>
      </c>
      <c r="G50" s="234" t="s">
        <v>4904</v>
      </c>
      <c r="H50" s="36" t="s">
        <v>4649</v>
      </c>
      <c r="I50" s="10" t="s">
        <v>4725</v>
      </c>
      <c r="J50" s="34"/>
      <c r="K50" s="50" t="s">
        <v>4735</v>
      </c>
      <c r="L50" s="116" t="s">
        <v>4539</v>
      </c>
      <c r="M50" s="15">
        <v>43084</v>
      </c>
      <c r="N50" s="15">
        <v>43100</v>
      </c>
      <c r="O50" s="61" t="s">
        <v>5241</v>
      </c>
      <c r="P50" s="59"/>
      <c r="Q50" s="167"/>
      <c r="R50" s="239" t="s">
        <v>5240</v>
      </c>
      <c r="S50" s="336" t="s">
        <v>1952</v>
      </c>
      <c r="T50" s="137"/>
    </row>
    <row r="51" spans="1:20" s="40" customFormat="1" ht="20.100000000000001" customHeight="1">
      <c r="A51" s="1190" t="s">
        <v>5239</v>
      </c>
      <c r="B51" s="1190" t="s">
        <v>4592</v>
      </c>
      <c r="C51" s="1190" t="s">
        <v>5286</v>
      </c>
      <c r="D51" s="885">
        <v>750</v>
      </c>
      <c r="E51" s="885">
        <v>1400</v>
      </c>
      <c r="F51" s="885">
        <v>1450</v>
      </c>
      <c r="G51" s="63" t="s">
        <v>4636</v>
      </c>
      <c r="H51" s="69" t="s">
        <v>4635</v>
      </c>
      <c r="I51" s="38" t="s">
        <v>4725</v>
      </c>
      <c r="J51" s="30"/>
      <c r="K51" s="118" t="s">
        <v>5065</v>
      </c>
      <c r="L51" s="116" t="s">
        <v>4539</v>
      </c>
      <c r="M51" s="6">
        <v>43084</v>
      </c>
      <c r="N51" s="6">
        <v>43100</v>
      </c>
      <c r="O51" s="61" t="s">
        <v>4555</v>
      </c>
      <c r="P51" s="59"/>
      <c r="Q51" s="171"/>
      <c r="R51" s="239" t="s">
        <v>5246</v>
      </c>
      <c r="S51" s="327" t="s">
        <v>4632</v>
      </c>
      <c r="T51" s="137"/>
    </row>
    <row r="52" spans="1:20" s="40" customFormat="1" ht="20.100000000000001" customHeight="1">
      <c r="A52" s="1190" t="s">
        <v>5239</v>
      </c>
      <c r="B52" s="1190" t="s">
        <v>4592</v>
      </c>
      <c r="C52" s="1190" t="s">
        <v>5286</v>
      </c>
      <c r="D52" s="950">
        <v>780</v>
      </c>
      <c r="E52" s="950">
        <v>1457</v>
      </c>
      <c r="F52" s="950">
        <v>1457</v>
      </c>
      <c r="G52" s="224" t="s">
        <v>4569</v>
      </c>
      <c r="H52" s="236" t="s">
        <v>4635</v>
      </c>
      <c r="I52" s="38" t="s">
        <v>4725</v>
      </c>
      <c r="J52" s="37"/>
      <c r="K52" s="37" t="s">
        <v>5065</v>
      </c>
      <c r="L52" s="116" t="s">
        <v>4539</v>
      </c>
      <c r="M52" s="6">
        <v>43074</v>
      </c>
      <c r="N52" s="6">
        <v>43084</v>
      </c>
      <c r="O52" s="61" t="s">
        <v>4567</v>
      </c>
      <c r="P52" s="59"/>
      <c r="Q52" s="171"/>
      <c r="R52" s="239" t="s">
        <v>4972</v>
      </c>
      <c r="S52" s="328" t="s">
        <v>4543</v>
      </c>
      <c r="T52" s="137"/>
    </row>
    <row r="53" spans="1:20" s="40" customFormat="1" ht="20.100000000000001" customHeight="1">
      <c r="A53" s="1190" t="s">
        <v>5239</v>
      </c>
      <c r="B53" s="1190" t="s">
        <v>4592</v>
      </c>
      <c r="C53" s="1190" t="s">
        <v>5286</v>
      </c>
      <c r="D53" s="960" ph="1">
        <v>900</v>
      </c>
      <c r="E53" s="960" ph="1">
        <v>1600</v>
      </c>
      <c r="F53" s="960" ph="1">
        <v>1650</v>
      </c>
      <c r="G53" s="65" t="s">
        <v>4553</v>
      </c>
      <c r="H53" s="69" t="s">
        <v>4992</v>
      </c>
      <c r="I53" s="20" t="s">
        <v>4725</v>
      </c>
      <c r="J53" s="20"/>
      <c r="K53" s="50" t="s">
        <v>4772</v>
      </c>
      <c r="L53" s="116" t="s">
        <v>4539</v>
      </c>
      <c r="M53" s="6">
        <v>43085</v>
      </c>
      <c r="N53" s="6">
        <v>43100</v>
      </c>
      <c r="O53" s="61" t="s">
        <v>4663</v>
      </c>
      <c r="P53" s="59"/>
      <c r="Q53" s="7"/>
      <c r="R53" s="239" t="s">
        <v>5226</v>
      </c>
      <c r="S53" s="328" t="s">
        <v>4543</v>
      </c>
      <c r="T53" s="137"/>
    </row>
    <row r="54" spans="1:20" s="40" customFormat="1" ht="20.100000000000001" customHeight="1">
      <c r="A54" s="1190" t="s">
        <v>5239</v>
      </c>
      <c r="B54" s="1190" t="s">
        <v>4592</v>
      </c>
      <c r="C54" s="1190" t="s">
        <v>5286</v>
      </c>
      <c r="D54" s="950">
        <v>780</v>
      </c>
      <c r="E54" s="950">
        <v>1457</v>
      </c>
      <c r="F54" s="950">
        <v>1457</v>
      </c>
      <c r="G54" s="224" t="s">
        <v>4569</v>
      </c>
      <c r="H54" s="69" t="s">
        <v>4992</v>
      </c>
      <c r="I54" s="38" t="s">
        <v>4725</v>
      </c>
      <c r="J54" s="37"/>
      <c r="K54" s="50" t="s">
        <v>4772</v>
      </c>
      <c r="L54" s="116" t="s">
        <v>4539</v>
      </c>
      <c r="M54" s="6">
        <v>43074</v>
      </c>
      <c r="N54" s="6">
        <v>43084</v>
      </c>
      <c r="O54" s="61" t="s">
        <v>4567</v>
      </c>
      <c r="P54" s="59"/>
      <c r="Q54" s="7"/>
      <c r="R54" s="239" t="s">
        <v>5261</v>
      </c>
      <c r="S54" s="328" t="s">
        <v>4543</v>
      </c>
      <c r="T54" s="137"/>
    </row>
    <row r="55" spans="1:20" s="40" customFormat="1" ht="20.100000000000001" customHeight="1">
      <c r="A55" s="1190" t="s">
        <v>5239</v>
      </c>
      <c r="B55" s="1190" t="s">
        <v>5284</v>
      </c>
      <c r="C55" s="1190" t="s">
        <v>5283</v>
      </c>
      <c r="D55" s="885">
        <v>750</v>
      </c>
      <c r="E55" s="885">
        <v>1400</v>
      </c>
      <c r="F55" s="885">
        <v>1450</v>
      </c>
      <c r="G55" s="63" t="s">
        <v>4636</v>
      </c>
      <c r="H55" s="36" t="s">
        <v>4552</v>
      </c>
      <c r="I55" s="38" t="s">
        <v>4725</v>
      </c>
      <c r="J55" s="30"/>
      <c r="K55" s="118" t="s">
        <v>4772</v>
      </c>
      <c r="L55" s="116" t="s">
        <v>4539</v>
      </c>
      <c r="M55" s="6">
        <v>43084</v>
      </c>
      <c r="N55" s="6">
        <v>43100</v>
      </c>
      <c r="O55" s="61" t="s">
        <v>4555</v>
      </c>
      <c r="P55" s="59"/>
      <c r="Q55" s="167"/>
      <c r="R55" s="239" t="s">
        <v>5259</v>
      </c>
      <c r="S55" s="327" t="s">
        <v>4632</v>
      </c>
      <c r="T55" s="137"/>
    </row>
    <row r="56" spans="1:20" s="40" customFormat="1" ht="20.100000000000001" customHeight="1">
      <c r="A56" s="1190" t="s">
        <v>5239</v>
      </c>
      <c r="B56" s="1190" t="s">
        <v>5284</v>
      </c>
      <c r="C56" s="1190" t="s">
        <v>5283</v>
      </c>
      <c r="D56" s="960" ph="1">
        <v>900</v>
      </c>
      <c r="E56" s="960" ph="1">
        <v>1600</v>
      </c>
      <c r="F56" s="960" ph="1">
        <v>1650</v>
      </c>
      <c r="G56" s="65" t="s">
        <v>4553</v>
      </c>
      <c r="H56" s="36" t="s">
        <v>4552</v>
      </c>
      <c r="I56" s="20" t="s">
        <v>4725</v>
      </c>
      <c r="J56" s="20"/>
      <c r="K56" s="118" t="s">
        <v>4772</v>
      </c>
      <c r="L56" s="118" t="s">
        <v>4539</v>
      </c>
      <c r="M56" s="6">
        <v>43085</v>
      </c>
      <c r="N56" s="6">
        <v>43100</v>
      </c>
      <c r="O56" s="59" t="s">
        <v>4663</v>
      </c>
      <c r="P56" s="59"/>
      <c r="Q56" s="167"/>
      <c r="R56" s="239" t="s">
        <v>5257</v>
      </c>
      <c r="S56" s="328" t="s">
        <v>4543</v>
      </c>
      <c r="T56" s="137"/>
    </row>
    <row r="57" spans="1:20" s="40" customFormat="1" ht="20.100000000000001" customHeight="1">
      <c r="A57" s="1190" t="s">
        <v>5239</v>
      </c>
      <c r="B57" s="1190" t="s">
        <v>5284</v>
      </c>
      <c r="C57" s="1190" t="s">
        <v>5283</v>
      </c>
      <c r="D57" s="950">
        <v>780</v>
      </c>
      <c r="E57" s="950">
        <v>1457</v>
      </c>
      <c r="F57" s="950">
        <v>1457</v>
      </c>
      <c r="G57" s="224" t="s">
        <v>4569</v>
      </c>
      <c r="H57" s="194" t="s">
        <v>4552</v>
      </c>
      <c r="I57" s="38" t="s">
        <v>4725</v>
      </c>
      <c r="J57" s="37"/>
      <c r="K57" s="118" t="s">
        <v>4772</v>
      </c>
      <c r="L57" s="116" t="s">
        <v>4539</v>
      </c>
      <c r="M57" s="6">
        <v>43074</v>
      </c>
      <c r="N57" s="6">
        <v>43084</v>
      </c>
      <c r="O57" s="61" t="s">
        <v>4567</v>
      </c>
      <c r="P57" s="74"/>
      <c r="Q57" s="167"/>
      <c r="R57" s="239" t="s">
        <v>5258</v>
      </c>
      <c r="S57" s="328" t="s">
        <v>4543</v>
      </c>
      <c r="T57" s="137"/>
    </row>
    <row r="58" spans="1:20" s="40" customFormat="1" ht="20.100000000000001" customHeight="1">
      <c r="A58" s="1190" t="s">
        <v>5239</v>
      </c>
      <c r="B58" s="1190" t="s">
        <v>5284</v>
      </c>
      <c r="C58" s="1190" t="s">
        <v>5283</v>
      </c>
      <c r="D58" s="961">
        <v>850</v>
      </c>
      <c r="E58" s="961">
        <v>1600</v>
      </c>
      <c r="F58" s="961">
        <v>1650</v>
      </c>
      <c r="G58" s="234" t="s">
        <v>4572</v>
      </c>
      <c r="H58" s="36">
        <v>2</v>
      </c>
      <c r="I58" s="10" t="s">
        <v>4725</v>
      </c>
      <c r="J58" s="30"/>
      <c r="K58" s="37" t="s">
        <v>5025</v>
      </c>
      <c r="L58" s="116" t="s">
        <v>4539</v>
      </c>
      <c r="M58" s="15">
        <v>43070</v>
      </c>
      <c r="N58" s="15">
        <v>43100</v>
      </c>
      <c r="O58" s="59" t="s">
        <v>4571</v>
      </c>
      <c r="P58" s="61"/>
      <c r="Q58" s="167"/>
      <c r="R58" s="239" t="s">
        <v>5244</v>
      </c>
      <c r="S58" s="327" t="s">
        <v>4570</v>
      </c>
      <c r="T58" s="137"/>
    </row>
    <row r="59" spans="1:20" s="40" customFormat="1" ht="20.100000000000001" customHeight="1">
      <c r="A59" s="1190" t="s">
        <v>5239</v>
      </c>
      <c r="B59" s="1190" t="s">
        <v>5284</v>
      </c>
      <c r="C59" s="1190" t="s">
        <v>5283</v>
      </c>
      <c r="D59" s="320">
        <v>875</v>
      </c>
      <c r="E59" s="320">
        <f>D59*2-200</f>
        <v>1550</v>
      </c>
      <c r="F59" s="320">
        <f>D59*2-150</f>
        <v>1600</v>
      </c>
      <c r="G59" s="293" t="s">
        <v>4575</v>
      </c>
      <c r="H59" s="69" t="s">
        <v>4649</v>
      </c>
      <c r="I59" s="38" t="s">
        <v>4725</v>
      </c>
      <c r="J59" s="38"/>
      <c r="K59" s="38" t="s">
        <v>5025</v>
      </c>
      <c r="L59" s="116" t="s">
        <v>4539</v>
      </c>
      <c r="M59" s="15">
        <v>43084</v>
      </c>
      <c r="N59" s="15">
        <v>43100</v>
      </c>
      <c r="O59" s="61" t="s">
        <v>5243</v>
      </c>
      <c r="P59" s="7"/>
      <c r="Q59" s="167"/>
      <c r="R59" s="239" t="s">
        <v>5242</v>
      </c>
      <c r="S59" s="328" t="s">
        <v>4543</v>
      </c>
      <c r="T59" s="137"/>
    </row>
    <row r="60" spans="1:20" s="40" customFormat="1" ht="20.100000000000001" customHeight="1">
      <c r="A60" s="1190" t="s">
        <v>5239</v>
      </c>
      <c r="B60" s="1190" t="s">
        <v>5284</v>
      </c>
      <c r="C60" s="1190" t="s">
        <v>5283</v>
      </c>
      <c r="D60" s="248">
        <v>800</v>
      </c>
      <c r="E60" s="248">
        <v>1500</v>
      </c>
      <c r="F60" s="248">
        <v>1500</v>
      </c>
      <c r="G60" s="234" t="s">
        <v>4904</v>
      </c>
      <c r="H60" s="36" t="s">
        <v>4649</v>
      </c>
      <c r="I60" s="10" t="s">
        <v>4725</v>
      </c>
      <c r="J60" s="117"/>
      <c r="K60" s="20" t="s">
        <v>5025</v>
      </c>
      <c r="L60" s="116" t="s">
        <v>4539</v>
      </c>
      <c r="M60" s="15">
        <v>43084</v>
      </c>
      <c r="N60" s="15">
        <v>43100</v>
      </c>
      <c r="O60" s="61" t="s">
        <v>5241</v>
      </c>
      <c r="P60" s="7"/>
      <c r="Q60" s="167"/>
      <c r="R60" s="239" t="s">
        <v>5240</v>
      </c>
      <c r="S60" s="336" t="s">
        <v>1952</v>
      </c>
      <c r="T60" s="137"/>
    </row>
    <row r="61" spans="1:20" s="40" customFormat="1" ht="20.100000000000001" customHeight="1">
      <c r="A61" s="1190" t="s">
        <v>5239</v>
      </c>
      <c r="B61" s="1190" t="s">
        <v>5284</v>
      </c>
      <c r="C61" s="1190" t="s">
        <v>5283</v>
      </c>
      <c r="D61" s="247">
        <v>775</v>
      </c>
      <c r="E61" s="247">
        <v>1450</v>
      </c>
      <c r="F61" s="247">
        <v>1500</v>
      </c>
      <c r="G61" s="70" t="s">
        <v>4542</v>
      </c>
      <c r="H61" s="69" t="s">
        <v>4649</v>
      </c>
      <c r="I61" s="38" t="s">
        <v>4725</v>
      </c>
      <c r="J61" s="30"/>
      <c r="K61" s="50" t="s">
        <v>5025</v>
      </c>
      <c r="L61" s="116" t="s">
        <v>4539</v>
      </c>
      <c r="M61" s="15">
        <v>43084</v>
      </c>
      <c r="N61" s="15">
        <v>43100</v>
      </c>
      <c r="O61" s="61" t="s">
        <v>5238</v>
      </c>
      <c r="P61" s="61"/>
      <c r="Q61" s="167"/>
      <c r="R61" s="239" t="s">
        <v>5237</v>
      </c>
      <c r="S61" s="326" t="s">
        <v>4537</v>
      </c>
      <c r="T61" s="137"/>
    </row>
    <row r="62" spans="1:20" s="40" customFormat="1" ht="20.100000000000001" customHeight="1">
      <c r="A62" s="1190" t="s">
        <v>5239</v>
      </c>
      <c r="B62" s="1190" t="s">
        <v>5284</v>
      </c>
      <c r="C62" s="1190" t="s">
        <v>5283</v>
      </c>
      <c r="D62" s="247" ph="1">
        <v>725</v>
      </c>
      <c r="E62" s="247" ph="1">
        <v>1350</v>
      </c>
      <c r="F62" s="247" ph="1">
        <v>1400</v>
      </c>
      <c r="G62" s="63" t="s">
        <v>4566</v>
      </c>
      <c r="H62" s="69" t="s">
        <v>4649</v>
      </c>
      <c r="I62" s="38" t="s">
        <v>4725</v>
      </c>
      <c r="J62" s="30"/>
      <c r="K62" s="118" t="s">
        <v>5065</v>
      </c>
      <c r="L62" s="116" t="s">
        <v>4539</v>
      </c>
      <c r="M62" s="15">
        <v>43084</v>
      </c>
      <c r="N62" s="15">
        <v>43100</v>
      </c>
      <c r="O62" s="61" t="s">
        <v>4638</v>
      </c>
      <c r="P62" s="61"/>
      <c r="Q62" s="173"/>
      <c r="R62" s="239" t="s">
        <v>4969</v>
      </c>
      <c r="S62" s="327" t="s">
        <v>4561</v>
      </c>
      <c r="T62" s="137"/>
    </row>
    <row r="63" spans="1:20" s="40" customFormat="1" ht="20.100000000000001" customHeight="1">
      <c r="A63" s="1190" t="s">
        <v>5239</v>
      </c>
      <c r="B63" s="1190" t="s">
        <v>5284</v>
      </c>
      <c r="C63" s="1190" t="s">
        <v>5283</v>
      </c>
      <c r="D63" s="953" ph="1">
        <v>765</v>
      </c>
      <c r="E63" s="953" ph="1">
        <v>1430</v>
      </c>
      <c r="F63" s="953" ph="1">
        <v>1480</v>
      </c>
      <c r="G63" s="70" t="s">
        <v>4560</v>
      </c>
      <c r="H63" s="69" t="s">
        <v>4649</v>
      </c>
      <c r="I63" s="38" t="s">
        <v>4725</v>
      </c>
      <c r="J63" s="37"/>
      <c r="K63" s="118" t="s">
        <v>5065</v>
      </c>
      <c r="L63" s="116" t="s">
        <v>4539</v>
      </c>
      <c r="M63" s="15">
        <v>43084</v>
      </c>
      <c r="N63" s="15">
        <v>43100</v>
      </c>
      <c r="O63" s="59" t="s">
        <v>4559</v>
      </c>
      <c r="P63" s="61"/>
      <c r="Q63" s="173"/>
      <c r="R63" s="240" t="s">
        <v>4969</v>
      </c>
      <c r="S63" s="326" t="s">
        <v>5251</v>
      </c>
      <c r="T63" s="137"/>
    </row>
    <row r="64" spans="1:20" s="40" customFormat="1" ht="20.100000000000001" customHeight="1">
      <c r="A64" s="1190" t="s">
        <v>5239</v>
      </c>
      <c r="B64" s="1190" t="s">
        <v>5284</v>
      </c>
      <c r="C64" s="1190" t="s">
        <v>5283</v>
      </c>
      <c r="D64" s="247" ph="1">
        <v>750</v>
      </c>
      <c r="E64" s="247" ph="1">
        <v>1400</v>
      </c>
      <c r="F64" s="247" ph="1">
        <v>1400</v>
      </c>
      <c r="G64" s="293" t="s">
        <v>4557</v>
      </c>
      <c r="H64" s="69" t="s">
        <v>4649</v>
      </c>
      <c r="I64" s="38" t="s">
        <v>4725</v>
      </c>
      <c r="J64" s="30"/>
      <c r="K64" s="118" t="s">
        <v>5065</v>
      </c>
      <c r="L64" s="116" t="s">
        <v>4539</v>
      </c>
      <c r="M64" s="6">
        <v>43084</v>
      </c>
      <c r="N64" s="6">
        <v>43100</v>
      </c>
      <c r="O64" s="61" t="s">
        <v>4555</v>
      </c>
      <c r="P64" s="7"/>
      <c r="Q64" s="173"/>
      <c r="R64" s="239" t="s">
        <v>4969</v>
      </c>
      <c r="S64" s="326" t="s">
        <v>4543</v>
      </c>
      <c r="T64" s="137"/>
    </row>
    <row r="65" spans="1:20" s="40" customFormat="1" ht="20.100000000000001" customHeight="1">
      <c r="A65" s="1190" t="s">
        <v>5239</v>
      </c>
      <c r="B65" s="1190" t="s">
        <v>5284</v>
      </c>
      <c r="C65" s="1190" t="s">
        <v>5283</v>
      </c>
      <c r="D65" s="247" ph="1">
        <v>800</v>
      </c>
      <c r="E65" s="247" ph="1">
        <v>1500</v>
      </c>
      <c r="F65" s="247" ph="1">
        <v>1550</v>
      </c>
      <c r="G65" s="70" t="s">
        <v>4645</v>
      </c>
      <c r="H65" s="69" t="s">
        <v>4649</v>
      </c>
      <c r="I65" s="38" t="s">
        <v>4725</v>
      </c>
      <c r="J65" s="37"/>
      <c r="K65" s="118" t="s">
        <v>5065</v>
      </c>
      <c r="L65" s="116" t="s">
        <v>4539</v>
      </c>
      <c r="M65" s="6">
        <v>43084</v>
      </c>
      <c r="N65" s="6">
        <v>43100</v>
      </c>
      <c r="O65" s="61" t="s">
        <v>5249</v>
      </c>
      <c r="P65" s="61"/>
      <c r="Q65" s="173"/>
      <c r="R65" s="240" t="s">
        <v>4969</v>
      </c>
      <c r="S65" s="326" t="s">
        <v>4641</v>
      </c>
      <c r="T65" s="137"/>
    </row>
    <row r="66" spans="1:20" s="40" customFormat="1" ht="20.100000000000001" customHeight="1">
      <c r="A66" s="1190" t="s">
        <v>5239</v>
      </c>
      <c r="B66" s="1190" t="s">
        <v>5284</v>
      </c>
      <c r="C66" s="1190" t="s">
        <v>5283</v>
      </c>
      <c r="D66" s="961">
        <v>850</v>
      </c>
      <c r="E66" s="961">
        <v>1600</v>
      </c>
      <c r="F66" s="961">
        <v>1650</v>
      </c>
      <c r="G66" s="234" t="s">
        <v>4572</v>
      </c>
      <c r="H66" s="69" t="s">
        <v>4649</v>
      </c>
      <c r="I66" s="10" t="s">
        <v>4725</v>
      </c>
      <c r="J66" s="50"/>
      <c r="K66" s="118" t="s">
        <v>5065</v>
      </c>
      <c r="L66" s="116" t="s">
        <v>4539</v>
      </c>
      <c r="M66" s="15">
        <v>43070</v>
      </c>
      <c r="N66" s="15">
        <v>43100</v>
      </c>
      <c r="O66" s="59" t="s">
        <v>4571</v>
      </c>
      <c r="P66" s="7"/>
      <c r="Q66" s="173"/>
      <c r="R66" s="240" t="s">
        <v>5256</v>
      </c>
      <c r="S66" s="327" t="s">
        <v>4570</v>
      </c>
      <c r="T66" s="137"/>
    </row>
    <row r="67" spans="1:20" s="40" customFormat="1" ht="20.100000000000001" customHeight="1">
      <c r="A67" s="1190" t="s">
        <v>5239</v>
      </c>
      <c r="B67" s="1190" t="s">
        <v>5284</v>
      </c>
      <c r="C67" s="1190" t="s">
        <v>5283</v>
      </c>
      <c r="D67" s="320">
        <v>875</v>
      </c>
      <c r="E67" s="320">
        <f>D67*2-200</f>
        <v>1550</v>
      </c>
      <c r="F67" s="320">
        <f>D67*2-150</f>
        <v>1600</v>
      </c>
      <c r="G67" s="293" t="s">
        <v>4575</v>
      </c>
      <c r="H67" s="210" t="s">
        <v>4649</v>
      </c>
      <c r="I67" s="20" t="s">
        <v>4725</v>
      </c>
      <c r="J67" s="34"/>
      <c r="K67" s="118" t="s">
        <v>5065</v>
      </c>
      <c r="L67" s="116" t="s">
        <v>4539</v>
      </c>
      <c r="M67" s="15">
        <v>43084</v>
      </c>
      <c r="N67" s="15">
        <v>43100</v>
      </c>
      <c r="O67" s="61" t="s">
        <v>5243</v>
      </c>
      <c r="P67" s="61"/>
      <c r="Q67" s="173"/>
      <c r="R67" s="239" t="s">
        <v>5123</v>
      </c>
      <c r="S67" s="328" t="s">
        <v>4543</v>
      </c>
      <c r="T67" s="137"/>
    </row>
    <row r="68" spans="1:20" s="40" customFormat="1" ht="20.100000000000001" customHeight="1">
      <c r="A68" s="1190" t="s">
        <v>5239</v>
      </c>
      <c r="B68" s="1190" t="s">
        <v>5284</v>
      </c>
      <c r="C68" s="1190" t="s">
        <v>5283</v>
      </c>
      <c r="D68" s="248">
        <v>800</v>
      </c>
      <c r="E68" s="248">
        <v>1500</v>
      </c>
      <c r="F68" s="248">
        <v>1500</v>
      </c>
      <c r="G68" s="234" t="s">
        <v>4904</v>
      </c>
      <c r="H68" s="22" t="s">
        <v>4649</v>
      </c>
      <c r="I68" s="10" t="s">
        <v>4725</v>
      </c>
      <c r="J68" s="34"/>
      <c r="K68" s="118" t="s">
        <v>5065</v>
      </c>
      <c r="L68" s="116" t="s">
        <v>4539</v>
      </c>
      <c r="M68" s="15">
        <v>43084</v>
      </c>
      <c r="N68" s="15">
        <v>43100</v>
      </c>
      <c r="O68" s="61" t="s">
        <v>5241</v>
      </c>
      <c r="P68" s="61"/>
      <c r="Q68" s="173"/>
      <c r="R68" s="21" t="s">
        <v>5121</v>
      </c>
      <c r="S68" s="336" t="s">
        <v>1952</v>
      </c>
      <c r="T68" s="137"/>
    </row>
    <row r="69" spans="1:20" s="40" customFormat="1" ht="20.100000000000001" customHeight="1">
      <c r="A69" s="1190" t="s">
        <v>5239</v>
      </c>
      <c r="B69" s="1190" t="s">
        <v>5284</v>
      </c>
      <c r="C69" s="1190" t="s">
        <v>5283</v>
      </c>
      <c r="D69" s="247">
        <v>775</v>
      </c>
      <c r="E69" s="247">
        <v>1450</v>
      </c>
      <c r="F69" s="247">
        <v>1500</v>
      </c>
      <c r="G69" s="70" t="s">
        <v>4542</v>
      </c>
      <c r="H69" s="69" t="s">
        <v>4649</v>
      </c>
      <c r="I69" s="38" t="s">
        <v>4725</v>
      </c>
      <c r="J69" s="30"/>
      <c r="K69" s="118" t="s">
        <v>5065</v>
      </c>
      <c r="L69" s="116" t="s">
        <v>4539</v>
      </c>
      <c r="M69" s="15">
        <v>43084</v>
      </c>
      <c r="N69" s="15">
        <v>43100</v>
      </c>
      <c r="O69" s="61" t="s">
        <v>5238</v>
      </c>
      <c r="P69" s="7"/>
      <c r="Q69" s="173"/>
      <c r="R69" s="240" t="s">
        <v>5122</v>
      </c>
      <c r="S69" s="326" t="s">
        <v>4537</v>
      </c>
      <c r="T69" s="137"/>
    </row>
    <row r="70" spans="1:20" s="40" customFormat="1" ht="20.100000000000001" customHeight="1">
      <c r="A70" s="1190" t="s">
        <v>5239</v>
      </c>
      <c r="B70" s="1190" t="s">
        <v>5284</v>
      </c>
      <c r="C70" s="1190" t="s">
        <v>5283</v>
      </c>
      <c r="D70" s="953" ph="1">
        <v>750</v>
      </c>
      <c r="E70" s="953" ph="1">
        <v>1400</v>
      </c>
      <c r="F70" s="953" ph="1">
        <v>1450</v>
      </c>
      <c r="G70" s="63" t="s">
        <v>5281</v>
      </c>
      <c r="H70" s="69" t="s">
        <v>4649</v>
      </c>
      <c r="I70" s="38" t="s">
        <v>4725</v>
      </c>
      <c r="J70" s="37"/>
      <c r="K70" s="118" t="s">
        <v>5065</v>
      </c>
      <c r="L70" s="116" t="s">
        <v>4539</v>
      </c>
      <c r="M70" s="108">
        <v>43082</v>
      </c>
      <c r="N70" s="108">
        <v>43088</v>
      </c>
      <c r="O70" s="61" t="s">
        <v>5243</v>
      </c>
      <c r="P70" s="74"/>
      <c r="Q70" s="173"/>
      <c r="R70" s="239" t="s">
        <v>5280</v>
      </c>
      <c r="S70" s="326" t="s">
        <v>5279</v>
      </c>
      <c r="T70" s="137"/>
    </row>
    <row r="71" spans="1:20" s="40" customFormat="1" ht="20.100000000000001" customHeight="1">
      <c r="A71" s="1190" t="s">
        <v>5239</v>
      </c>
      <c r="B71" s="1190" t="s">
        <v>5284</v>
      </c>
      <c r="C71" s="1190" t="s">
        <v>5283</v>
      </c>
      <c r="D71" s="885">
        <v>750</v>
      </c>
      <c r="E71" s="885">
        <v>1400</v>
      </c>
      <c r="F71" s="885">
        <v>1450</v>
      </c>
      <c r="G71" s="63" t="s">
        <v>4636</v>
      </c>
      <c r="H71" s="69" t="s">
        <v>4635</v>
      </c>
      <c r="I71" s="38" t="s">
        <v>4725</v>
      </c>
      <c r="J71" s="30"/>
      <c r="K71" s="50" t="s">
        <v>4951</v>
      </c>
      <c r="L71" s="116" t="s">
        <v>4539</v>
      </c>
      <c r="M71" s="6">
        <v>43084</v>
      </c>
      <c r="N71" s="6">
        <v>43100</v>
      </c>
      <c r="O71" s="61" t="s">
        <v>4555</v>
      </c>
      <c r="P71" s="59"/>
      <c r="Q71" s="171"/>
      <c r="R71" s="239" t="s">
        <v>5246</v>
      </c>
      <c r="S71" s="327" t="s">
        <v>4632</v>
      </c>
      <c r="T71" s="137"/>
    </row>
    <row r="72" spans="1:20" s="40" customFormat="1" ht="20.100000000000001" customHeight="1">
      <c r="A72" s="1190" t="s">
        <v>5239</v>
      </c>
      <c r="B72" s="1190" t="s">
        <v>5284</v>
      </c>
      <c r="C72" s="1190" t="s">
        <v>5283</v>
      </c>
      <c r="D72" s="950">
        <v>780</v>
      </c>
      <c r="E72" s="950">
        <v>1457</v>
      </c>
      <c r="F72" s="950">
        <v>1457</v>
      </c>
      <c r="G72" s="224" t="s">
        <v>4569</v>
      </c>
      <c r="H72" s="236" t="s">
        <v>4635</v>
      </c>
      <c r="I72" s="38" t="s">
        <v>4725</v>
      </c>
      <c r="J72" s="37"/>
      <c r="K72" s="50" t="s">
        <v>4951</v>
      </c>
      <c r="L72" s="116" t="s">
        <v>4539</v>
      </c>
      <c r="M72" s="6">
        <v>43074</v>
      </c>
      <c r="N72" s="6">
        <v>43084</v>
      </c>
      <c r="O72" s="61" t="s">
        <v>4567</v>
      </c>
      <c r="P72" s="74"/>
      <c r="Q72" s="171"/>
      <c r="R72" s="239" t="s">
        <v>5285</v>
      </c>
      <c r="S72" s="328" t="s">
        <v>4543</v>
      </c>
      <c r="T72" s="904"/>
    </row>
    <row r="73" spans="1:20" s="40" customFormat="1" ht="20.100000000000001" customHeight="1">
      <c r="A73" s="1190" t="s">
        <v>5239</v>
      </c>
      <c r="B73" s="1190" t="s">
        <v>5284</v>
      </c>
      <c r="C73" s="1190" t="s">
        <v>5283</v>
      </c>
      <c r="D73" s="961">
        <v>850</v>
      </c>
      <c r="E73" s="961">
        <v>1600</v>
      </c>
      <c r="F73" s="961">
        <v>1650</v>
      </c>
      <c r="G73" s="234" t="s">
        <v>4572</v>
      </c>
      <c r="H73" s="236" t="s">
        <v>4635</v>
      </c>
      <c r="I73" s="10" t="s">
        <v>4725</v>
      </c>
      <c r="J73" s="117"/>
      <c r="K73" s="20" t="s">
        <v>4975</v>
      </c>
      <c r="L73" s="116" t="s">
        <v>4539</v>
      </c>
      <c r="M73" s="15">
        <v>43070</v>
      </c>
      <c r="N73" s="15">
        <v>43100</v>
      </c>
      <c r="O73" s="59" t="s">
        <v>4571</v>
      </c>
      <c r="P73" s="14"/>
      <c r="Q73" s="167"/>
      <c r="R73" s="239" t="s">
        <v>5267</v>
      </c>
      <c r="S73" s="327" t="s">
        <v>4570</v>
      </c>
      <c r="T73" s="904"/>
    </row>
    <row r="74" spans="1:20" s="40" customFormat="1" ht="20.100000000000001" customHeight="1">
      <c r="A74" s="1190" t="s">
        <v>5239</v>
      </c>
      <c r="B74" s="1190" t="s">
        <v>5284</v>
      </c>
      <c r="C74" s="1190" t="s">
        <v>5283</v>
      </c>
      <c r="D74" s="320">
        <v>875</v>
      </c>
      <c r="E74" s="320">
        <f>D74*2-200</f>
        <v>1550</v>
      </c>
      <c r="F74" s="320">
        <f>D74*2-150</f>
        <v>1600</v>
      </c>
      <c r="G74" s="293" t="s">
        <v>4575</v>
      </c>
      <c r="H74" s="54" t="s">
        <v>4635</v>
      </c>
      <c r="I74" s="10" t="s">
        <v>4725</v>
      </c>
      <c r="J74" s="117"/>
      <c r="K74" s="20" t="s">
        <v>4975</v>
      </c>
      <c r="L74" s="116" t="s">
        <v>4539</v>
      </c>
      <c r="M74" s="15">
        <v>43084</v>
      </c>
      <c r="N74" s="15">
        <v>43100</v>
      </c>
      <c r="O74" s="61" t="s">
        <v>5243</v>
      </c>
      <c r="P74" s="14"/>
      <c r="Q74" s="167"/>
      <c r="R74" s="240" t="s">
        <v>5266</v>
      </c>
      <c r="S74" s="328" t="s">
        <v>4543</v>
      </c>
      <c r="T74" s="904"/>
    </row>
    <row r="75" spans="1:20" s="40" customFormat="1" ht="20.100000000000001" customHeight="1">
      <c r="A75" s="1190" t="s">
        <v>5239</v>
      </c>
      <c r="B75" s="1190" t="s">
        <v>5284</v>
      </c>
      <c r="C75" s="1190" t="s">
        <v>5283</v>
      </c>
      <c r="D75" s="248">
        <v>800</v>
      </c>
      <c r="E75" s="248">
        <v>1500</v>
      </c>
      <c r="F75" s="248">
        <v>1500</v>
      </c>
      <c r="G75" s="234" t="s">
        <v>4904</v>
      </c>
      <c r="H75" s="54" t="s">
        <v>4635</v>
      </c>
      <c r="I75" s="10" t="s">
        <v>4725</v>
      </c>
      <c r="J75" s="117"/>
      <c r="K75" s="20" t="s">
        <v>4975</v>
      </c>
      <c r="L75" s="116" t="s">
        <v>4539</v>
      </c>
      <c r="M75" s="15">
        <v>43084</v>
      </c>
      <c r="N75" s="15">
        <v>43100</v>
      </c>
      <c r="O75" s="61" t="s">
        <v>5241</v>
      </c>
      <c r="P75" s="14"/>
      <c r="Q75" s="171"/>
      <c r="R75" s="239" t="s">
        <v>5265</v>
      </c>
      <c r="S75" s="336" t="s">
        <v>1952</v>
      </c>
      <c r="T75" s="904"/>
    </row>
    <row r="76" spans="1:20" s="40" customFormat="1" ht="20.100000000000001" customHeight="1">
      <c r="A76" s="1190" t="s">
        <v>5239</v>
      </c>
      <c r="B76" s="1190" t="s">
        <v>5284</v>
      </c>
      <c r="C76" s="1190" t="s">
        <v>5283</v>
      </c>
      <c r="D76" s="247">
        <v>775</v>
      </c>
      <c r="E76" s="247">
        <v>1450</v>
      </c>
      <c r="F76" s="247">
        <v>1500</v>
      </c>
      <c r="G76" s="70" t="s">
        <v>4542</v>
      </c>
      <c r="H76" s="69" t="s">
        <v>4635</v>
      </c>
      <c r="I76" s="38" t="s">
        <v>4725</v>
      </c>
      <c r="J76" s="30"/>
      <c r="K76" s="50" t="s">
        <v>4546</v>
      </c>
      <c r="L76" s="116" t="s">
        <v>4539</v>
      </c>
      <c r="M76" s="15">
        <v>43084</v>
      </c>
      <c r="N76" s="15">
        <v>43100</v>
      </c>
      <c r="O76" s="61" t="s">
        <v>5238</v>
      </c>
      <c r="P76" s="14"/>
      <c r="Q76" s="171"/>
      <c r="R76" s="239" t="s">
        <v>5264</v>
      </c>
      <c r="S76" s="326" t="s">
        <v>4537</v>
      </c>
      <c r="T76" s="904"/>
    </row>
    <row r="77" spans="1:20" s="40" customFormat="1" ht="20.100000000000001" customHeight="1">
      <c r="A77" s="1190" t="s">
        <v>5239</v>
      </c>
      <c r="B77" s="1190" t="s">
        <v>5284</v>
      </c>
      <c r="C77" s="1190" t="s">
        <v>5283</v>
      </c>
      <c r="D77" s="961">
        <v>850</v>
      </c>
      <c r="E77" s="961">
        <v>1600</v>
      </c>
      <c r="F77" s="961">
        <v>1650</v>
      </c>
      <c r="G77" s="234" t="s">
        <v>4572</v>
      </c>
      <c r="H77" s="56" t="s">
        <v>5150</v>
      </c>
      <c r="I77" s="10" t="s">
        <v>4725</v>
      </c>
      <c r="J77" s="34"/>
      <c r="K77" s="50" t="s">
        <v>5025</v>
      </c>
      <c r="L77" s="116" t="s">
        <v>4539</v>
      </c>
      <c r="M77" s="15">
        <v>43070</v>
      </c>
      <c r="N77" s="15">
        <v>43100</v>
      </c>
      <c r="O77" s="59" t="s">
        <v>4571</v>
      </c>
      <c r="P77" s="61"/>
      <c r="Q77" s="167"/>
      <c r="R77" s="239" t="s">
        <v>5272</v>
      </c>
      <c r="S77" s="327" t="s">
        <v>4570</v>
      </c>
      <c r="T77" s="904"/>
    </row>
    <row r="78" spans="1:20" s="40" customFormat="1" ht="20.100000000000001" customHeight="1">
      <c r="A78" s="1190" t="s">
        <v>5239</v>
      </c>
      <c r="B78" s="1190" t="s">
        <v>5284</v>
      </c>
      <c r="C78" s="1190" t="s">
        <v>5283</v>
      </c>
      <c r="D78" s="320">
        <v>875</v>
      </c>
      <c r="E78" s="320">
        <f>D78*2-200</f>
        <v>1550</v>
      </c>
      <c r="F78" s="320">
        <f>D78*2-150</f>
        <v>1600</v>
      </c>
      <c r="G78" s="293" t="s">
        <v>4575</v>
      </c>
      <c r="H78" s="244" t="s">
        <v>5150</v>
      </c>
      <c r="I78" s="51" t="s">
        <v>4725</v>
      </c>
      <c r="J78" s="34"/>
      <c r="K78" s="50" t="s">
        <v>5025</v>
      </c>
      <c r="L78" s="116" t="s">
        <v>4539</v>
      </c>
      <c r="M78" s="15">
        <v>43084</v>
      </c>
      <c r="N78" s="15">
        <v>43100</v>
      </c>
      <c r="O78" s="61" t="s">
        <v>5243</v>
      </c>
      <c r="P78" s="61"/>
      <c r="Q78" s="167"/>
      <c r="R78" s="239" t="s">
        <v>5271</v>
      </c>
      <c r="S78" s="328" t="s">
        <v>4543</v>
      </c>
      <c r="T78" s="137"/>
    </row>
    <row r="79" spans="1:20" s="40" customFormat="1" ht="20.100000000000001" customHeight="1">
      <c r="A79" s="1190" t="s">
        <v>5239</v>
      </c>
      <c r="B79" s="1190" t="s">
        <v>5284</v>
      </c>
      <c r="C79" s="1190" t="s">
        <v>5283</v>
      </c>
      <c r="D79" s="247">
        <v>775</v>
      </c>
      <c r="E79" s="247">
        <v>1450</v>
      </c>
      <c r="F79" s="247">
        <v>1500</v>
      </c>
      <c r="G79" s="70" t="s">
        <v>4542</v>
      </c>
      <c r="H79" s="69" t="s">
        <v>5150</v>
      </c>
      <c r="I79" s="38" t="s">
        <v>4725</v>
      </c>
      <c r="J79" s="30"/>
      <c r="K79" s="50" t="s">
        <v>5025</v>
      </c>
      <c r="L79" s="116" t="s">
        <v>4539</v>
      </c>
      <c r="M79" s="15">
        <v>43084</v>
      </c>
      <c r="N79" s="15">
        <v>43100</v>
      </c>
      <c r="O79" s="61" t="s">
        <v>5238</v>
      </c>
      <c r="P79" s="61"/>
      <c r="Q79" s="167"/>
      <c r="R79" s="239" t="s">
        <v>5270</v>
      </c>
      <c r="S79" s="326" t="s">
        <v>4537</v>
      </c>
      <c r="T79" s="137"/>
    </row>
    <row r="80" spans="1:20" s="40" customFormat="1" ht="20.100000000000001" customHeight="1">
      <c r="A80" s="1190" t="s">
        <v>5239</v>
      </c>
      <c r="B80" s="1190" t="s">
        <v>5284</v>
      </c>
      <c r="C80" s="1190" t="s">
        <v>5283</v>
      </c>
      <c r="D80" s="248">
        <v>800</v>
      </c>
      <c r="E80" s="248">
        <v>1500</v>
      </c>
      <c r="F80" s="248">
        <v>1500</v>
      </c>
      <c r="G80" s="234" t="s">
        <v>4904</v>
      </c>
      <c r="H80" s="56" t="s">
        <v>5150</v>
      </c>
      <c r="I80" s="10" t="s">
        <v>4725</v>
      </c>
      <c r="J80" s="34"/>
      <c r="K80" s="50" t="s">
        <v>5025</v>
      </c>
      <c r="L80" s="116" t="s">
        <v>4539</v>
      </c>
      <c r="M80" s="15">
        <v>43084</v>
      </c>
      <c r="N80" s="15">
        <v>43100</v>
      </c>
      <c r="O80" s="61" t="s">
        <v>5241</v>
      </c>
      <c r="P80" s="61"/>
      <c r="Q80" s="167"/>
      <c r="R80" s="21" t="s">
        <v>5148</v>
      </c>
      <c r="S80" s="336" t="s">
        <v>1952</v>
      </c>
      <c r="T80" s="137"/>
    </row>
    <row r="81" spans="1:20" s="40" customFormat="1" ht="20.100000000000001" customHeight="1">
      <c r="A81" s="1190" t="s">
        <v>5239</v>
      </c>
      <c r="B81" s="1190" t="s">
        <v>5284</v>
      </c>
      <c r="C81" s="1190" t="s">
        <v>5283</v>
      </c>
      <c r="D81" s="885">
        <v>750</v>
      </c>
      <c r="E81" s="885">
        <v>1400</v>
      </c>
      <c r="F81" s="885">
        <v>1450</v>
      </c>
      <c r="G81" s="63" t="s">
        <v>4636</v>
      </c>
      <c r="H81" s="69" t="s">
        <v>4548</v>
      </c>
      <c r="I81" s="38" t="s">
        <v>4725</v>
      </c>
      <c r="J81" s="30"/>
      <c r="K81" s="118" t="s">
        <v>4601</v>
      </c>
      <c r="L81" s="116" t="s">
        <v>4539</v>
      </c>
      <c r="M81" s="6">
        <v>43084</v>
      </c>
      <c r="N81" s="6">
        <v>43100</v>
      </c>
      <c r="O81" s="61" t="s">
        <v>4555</v>
      </c>
      <c r="P81" s="59"/>
      <c r="Q81" s="167"/>
      <c r="R81" s="239" t="s">
        <v>5228</v>
      </c>
      <c r="S81" s="327" t="s">
        <v>4632</v>
      </c>
      <c r="T81" s="137"/>
    </row>
    <row r="82" spans="1:20" s="40" customFormat="1" ht="20.100000000000001" customHeight="1">
      <c r="A82" s="1190" t="s">
        <v>5239</v>
      </c>
      <c r="B82" s="1190" t="s">
        <v>5284</v>
      </c>
      <c r="C82" s="1190" t="s">
        <v>5283</v>
      </c>
      <c r="D82" s="961" ph="1"/>
      <c r="E82" s="961" ph="1"/>
      <c r="F82" s="961" ph="1"/>
      <c r="G82" s="65" t="s">
        <v>4553</v>
      </c>
      <c r="H82" s="55" t="s">
        <v>4548</v>
      </c>
      <c r="I82" s="20" t="s">
        <v>4725</v>
      </c>
      <c r="J82" s="50"/>
      <c r="K82" s="118" t="s">
        <v>4601</v>
      </c>
      <c r="L82" s="118" t="s">
        <v>4539</v>
      </c>
      <c r="M82" s="6">
        <v>43085</v>
      </c>
      <c r="N82" s="6">
        <v>43100</v>
      </c>
      <c r="O82" s="59" t="s">
        <v>4663</v>
      </c>
      <c r="P82" s="52"/>
      <c r="Q82" s="167" t="s">
        <v>5263</v>
      </c>
      <c r="R82" s="239" t="s">
        <v>5262</v>
      </c>
      <c r="S82" s="328" t="s">
        <v>4543</v>
      </c>
      <c r="T82" s="137"/>
    </row>
    <row r="83" spans="1:20" s="40" customFormat="1" ht="20.100000000000001" customHeight="1">
      <c r="A83" s="1190" t="s">
        <v>5239</v>
      </c>
      <c r="B83" s="1190" t="s">
        <v>5284</v>
      </c>
      <c r="C83" s="1190" t="s">
        <v>5283</v>
      </c>
      <c r="D83" s="950">
        <v>780</v>
      </c>
      <c r="E83" s="950">
        <v>1457</v>
      </c>
      <c r="F83" s="950">
        <v>1457</v>
      </c>
      <c r="G83" s="224" t="s">
        <v>4569</v>
      </c>
      <c r="H83" s="236" t="s">
        <v>4548</v>
      </c>
      <c r="I83" s="38" t="s">
        <v>4725</v>
      </c>
      <c r="J83" s="37"/>
      <c r="K83" s="118" t="s">
        <v>4601</v>
      </c>
      <c r="L83" s="116" t="s">
        <v>4539</v>
      </c>
      <c r="M83" s="6">
        <v>43074</v>
      </c>
      <c r="N83" s="6">
        <v>43084</v>
      </c>
      <c r="O83" s="61" t="s">
        <v>4567</v>
      </c>
      <c r="P83" s="74"/>
      <c r="Q83" s="167"/>
      <c r="R83" s="239" t="s">
        <v>5225</v>
      </c>
      <c r="S83" s="328" t="s">
        <v>4543</v>
      </c>
      <c r="T83" s="137"/>
    </row>
    <row r="84" spans="1:20" s="40" customFormat="1" ht="20.100000000000001" customHeight="1">
      <c r="A84" s="1190" t="s">
        <v>5239</v>
      </c>
      <c r="B84" s="1190" t="s">
        <v>5284</v>
      </c>
      <c r="C84" s="1190" t="s">
        <v>5283</v>
      </c>
      <c r="D84" s="247" ph="1">
        <v>725</v>
      </c>
      <c r="E84" s="247" ph="1">
        <v>1150</v>
      </c>
      <c r="F84" s="247" ph="1">
        <v>1150</v>
      </c>
      <c r="G84" s="220" t="s">
        <v>5255</v>
      </c>
      <c r="H84" s="36" t="s">
        <v>4548</v>
      </c>
      <c r="I84" s="10" t="s">
        <v>4725</v>
      </c>
      <c r="J84" s="34"/>
      <c r="K84" s="50" t="s">
        <v>4665</v>
      </c>
      <c r="L84" s="116" t="s">
        <v>4539</v>
      </c>
      <c r="M84" s="15">
        <v>43073</v>
      </c>
      <c r="N84" s="15">
        <v>43093</v>
      </c>
      <c r="O84" s="59" t="s">
        <v>5254</v>
      </c>
      <c r="P84" s="74"/>
      <c r="Q84" s="167"/>
      <c r="R84" s="240" t="s">
        <v>4736</v>
      </c>
      <c r="S84" s="327" t="s">
        <v>5253</v>
      </c>
      <c r="T84" s="137"/>
    </row>
    <row r="85" spans="1:20" s="40" customFormat="1" ht="20.100000000000001" customHeight="1">
      <c r="A85" s="1190" t="s">
        <v>5239</v>
      </c>
      <c r="B85" s="1190" t="s">
        <v>5284</v>
      </c>
      <c r="C85" s="1190" t="s">
        <v>5283</v>
      </c>
      <c r="D85" s="961">
        <v>850</v>
      </c>
      <c r="E85" s="961">
        <v>1600</v>
      </c>
      <c r="F85" s="961">
        <v>1650</v>
      </c>
      <c r="G85" s="234" t="s">
        <v>4572</v>
      </c>
      <c r="H85" s="36" t="s">
        <v>4548</v>
      </c>
      <c r="I85" s="10" t="s">
        <v>4725</v>
      </c>
      <c r="J85" s="34"/>
      <c r="K85" s="50" t="s">
        <v>4665</v>
      </c>
      <c r="L85" s="116" t="s">
        <v>4539</v>
      </c>
      <c r="M85" s="15">
        <v>43070</v>
      </c>
      <c r="N85" s="15">
        <v>43100</v>
      </c>
      <c r="O85" s="59" t="s">
        <v>4571</v>
      </c>
      <c r="P85" s="61"/>
      <c r="Q85" s="167"/>
      <c r="R85" s="239" t="s">
        <v>4736</v>
      </c>
      <c r="S85" s="327" t="s">
        <v>4570</v>
      </c>
      <c r="T85" s="137"/>
    </row>
    <row r="86" spans="1:20" s="40" customFormat="1" ht="20.100000000000001" customHeight="1">
      <c r="A86" s="1190" t="s">
        <v>5239</v>
      </c>
      <c r="B86" s="1190" t="s">
        <v>5284</v>
      </c>
      <c r="C86" s="1190" t="s">
        <v>5283</v>
      </c>
      <c r="D86" s="320">
        <v>875</v>
      </c>
      <c r="E86" s="320">
        <f>D86*2-200</f>
        <v>1550</v>
      </c>
      <c r="F86" s="320">
        <f>D86*2-150</f>
        <v>1600</v>
      </c>
      <c r="G86" s="293" t="s">
        <v>4575</v>
      </c>
      <c r="H86" s="194" t="s">
        <v>4548</v>
      </c>
      <c r="I86" s="51" t="s">
        <v>4725</v>
      </c>
      <c r="J86" s="34"/>
      <c r="K86" s="50" t="s">
        <v>4665</v>
      </c>
      <c r="L86" s="116" t="s">
        <v>4539</v>
      </c>
      <c r="M86" s="15">
        <v>43084</v>
      </c>
      <c r="N86" s="15">
        <v>43100</v>
      </c>
      <c r="O86" s="61" t="s">
        <v>5243</v>
      </c>
      <c r="P86" s="61"/>
      <c r="Q86" s="167"/>
      <c r="R86" s="239" t="s">
        <v>4577</v>
      </c>
      <c r="S86" s="328" t="s">
        <v>4543</v>
      </c>
      <c r="T86" s="137"/>
    </row>
    <row r="87" spans="1:20" s="40" customFormat="1" ht="20.100000000000001" customHeight="1">
      <c r="A87" s="1190" t="s">
        <v>5239</v>
      </c>
      <c r="B87" s="1190" t="s">
        <v>5284</v>
      </c>
      <c r="C87" s="1190" t="s">
        <v>5283</v>
      </c>
      <c r="D87" s="248">
        <v>800</v>
      </c>
      <c r="E87" s="248">
        <v>1500</v>
      </c>
      <c r="F87" s="248">
        <v>1500</v>
      </c>
      <c r="G87" s="234" t="s">
        <v>4904</v>
      </c>
      <c r="H87" s="22" t="s">
        <v>4548</v>
      </c>
      <c r="I87" s="10" t="s">
        <v>4725</v>
      </c>
      <c r="J87" s="34"/>
      <c r="K87" s="50" t="s">
        <v>4665</v>
      </c>
      <c r="L87" s="116" t="s">
        <v>4539</v>
      </c>
      <c r="M87" s="15">
        <v>43084</v>
      </c>
      <c r="N87" s="15">
        <v>43100</v>
      </c>
      <c r="O87" s="61" t="s">
        <v>5241</v>
      </c>
      <c r="P87" s="61"/>
      <c r="Q87" s="167"/>
      <c r="R87" s="239" t="s">
        <v>5223</v>
      </c>
      <c r="S87" s="336" t="s">
        <v>1952</v>
      </c>
      <c r="T87" s="137"/>
    </row>
    <row r="88" spans="1:20" s="40" customFormat="1" ht="20.100000000000001" customHeight="1">
      <c r="A88" s="1190" t="s">
        <v>5239</v>
      </c>
      <c r="B88" s="1190" t="s">
        <v>5284</v>
      </c>
      <c r="C88" s="1190" t="s">
        <v>5283</v>
      </c>
      <c r="D88" s="247">
        <v>775</v>
      </c>
      <c r="E88" s="247">
        <v>1450</v>
      </c>
      <c r="F88" s="247">
        <v>1500</v>
      </c>
      <c r="G88" s="70" t="s">
        <v>4542</v>
      </c>
      <c r="H88" s="69" t="s">
        <v>4548</v>
      </c>
      <c r="I88" s="38" t="s">
        <v>4725</v>
      </c>
      <c r="J88" s="30"/>
      <c r="K88" s="50" t="s">
        <v>4665</v>
      </c>
      <c r="L88" s="116" t="s">
        <v>4539</v>
      </c>
      <c r="M88" s="15">
        <v>43084</v>
      </c>
      <c r="N88" s="15">
        <v>43100</v>
      </c>
      <c r="O88" s="61" t="s">
        <v>5238</v>
      </c>
      <c r="P88" s="61"/>
      <c r="Q88" s="167"/>
      <c r="R88" s="239" t="s">
        <v>5252</v>
      </c>
      <c r="S88" s="326" t="s">
        <v>4537</v>
      </c>
      <c r="T88" s="137"/>
    </row>
    <row r="89" spans="1:20" s="40" customFormat="1" ht="20.100000000000001" customHeight="1">
      <c r="A89" s="1190" t="s">
        <v>5239</v>
      </c>
      <c r="B89" s="1190" t="s">
        <v>5284</v>
      </c>
      <c r="C89" s="1190" t="s">
        <v>5283</v>
      </c>
      <c r="D89" s="247" ph="1">
        <v>725</v>
      </c>
      <c r="E89" s="247" ph="1">
        <v>1350</v>
      </c>
      <c r="F89" s="247" ph="1">
        <v>1400</v>
      </c>
      <c r="G89" s="63" t="s">
        <v>4566</v>
      </c>
      <c r="H89" s="69" t="s">
        <v>4548</v>
      </c>
      <c r="I89" s="38" t="s">
        <v>4725</v>
      </c>
      <c r="J89" s="30"/>
      <c r="K89" s="118" t="s">
        <v>5069</v>
      </c>
      <c r="L89" s="116" t="s">
        <v>4539</v>
      </c>
      <c r="M89" s="15">
        <v>43084</v>
      </c>
      <c r="N89" s="15">
        <v>43100</v>
      </c>
      <c r="O89" s="61" t="s">
        <v>4638</v>
      </c>
      <c r="P89" s="7"/>
      <c r="Q89" s="171"/>
      <c r="R89" s="240" t="s">
        <v>5248</v>
      </c>
      <c r="S89" s="327" t="s">
        <v>4561</v>
      </c>
      <c r="T89" s="137"/>
    </row>
    <row r="90" spans="1:20" s="40" customFormat="1" ht="20.100000000000001" customHeight="1">
      <c r="A90" s="1190" t="s">
        <v>5239</v>
      </c>
      <c r="B90" s="1190" t="s">
        <v>5284</v>
      </c>
      <c r="C90" s="1190" t="s">
        <v>5283</v>
      </c>
      <c r="D90" s="953" ph="1">
        <v>765</v>
      </c>
      <c r="E90" s="953" ph="1">
        <v>1430</v>
      </c>
      <c r="F90" s="953" ph="1">
        <v>1480</v>
      </c>
      <c r="G90" s="70" t="s">
        <v>4560</v>
      </c>
      <c r="H90" s="69" t="s">
        <v>4548</v>
      </c>
      <c r="I90" s="20" t="s">
        <v>4725</v>
      </c>
      <c r="J90" s="34"/>
      <c r="K90" s="118" t="s">
        <v>5069</v>
      </c>
      <c r="L90" s="116" t="s">
        <v>4539</v>
      </c>
      <c r="M90" s="15">
        <v>43084</v>
      </c>
      <c r="N90" s="15">
        <v>43100</v>
      </c>
      <c r="O90" s="59" t="s">
        <v>4559</v>
      </c>
      <c r="P90" s="61"/>
      <c r="Q90" s="171"/>
      <c r="R90" s="239" t="s">
        <v>5248</v>
      </c>
      <c r="S90" s="326" t="s">
        <v>5251</v>
      </c>
      <c r="T90" s="137"/>
    </row>
    <row r="91" spans="1:20" s="40" customFormat="1" ht="20.100000000000001" customHeight="1">
      <c r="A91" s="1190" t="s">
        <v>5239</v>
      </c>
      <c r="B91" s="1190" t="s">
        <v>5284</v>
      </c>
      <c r="C91" s="1190" t="s">
        <v>5283</v>
      </c>
      <c r="D91" s="247" ph="1">
        <v>750</v>
      </c>
      <c r="E91" s="247" ph="1">
        <v>1400</v>
      </c>
      <c r="F91" s="247" ph="1">
        <v>1400</v>
      </c>
      <c r="G91" s="293" t="s">
        <v>4557</v>
      </c>
      <c r="H91" s="69" t="s">
        <v>4548</v>
      </c>
      <c r="I91" s="38" t="s">
        <v>4725</v>
      </c>
      <c r="J91" s="30"/>
      <c r="K91" s="118" t="s">
        <v>5069</v>
      </c>
      <c r="L91" s="116" t="s">
        <v>4539</v>
      </c>
      <c r="M91" s="6">
        <v>43084</v>
      </c>
      <c r="N91" s="6">
        <v>43100</v>
      </c>
      <c r="O91" s="61" t="s">
        <v>4555</v>
      </c>
      <c r="P91" s="61"/>
      <c r="Q91" s="171"/>
      <c r="R91" s="239" t="s">
        <v>5248</v>
      </c>
      <c r="S91" s="326" t="s">
        <v>4543</v>
      </c>
      <c r="T91" s="137"/>
    </row>
    <row r="92" spans="1:20" s="40" customFormat="1" ht="20.100000000000001" customHeight="1">
      <c r="A92" s="1190" t="s">
        <v>5239</v>
      </c>
      <c r="B92" s="1190" t="s">
        <v>5284</v>
      </c>
      <c r="C92" s="1190" t="s">
        <v>5283</v>
      </c>
      <c r="D92" s="247" ph="1">
        <v>800</v>
      </c>
      <c r="E92" s="247" ph="1">
        <v>1500</v>
      </c>
      <c r="F92" s="247" ph="1">
        <v>1550</v>
      </c>
      <c r="G92" s="109" t="s">
        <v>4645</v>
      </c>
      <c r="H92" s="69" t="s">
        <v>4548</v>
      </c>
      <c r="I92" s="38" t="s">
        <v>4725</v>
      </c>
      <c r="J92" s="30"/>
      <c r="K92" s="118" t="s">
        <v>5069</v>
      </c>
      <c r="L92" s="116" t="s">
        <v>4539</v>
      </c>
      <c r="M92" s="6">
        <v>43084</v>
      </c>
      <c r="N92" s="6">
        <v>43100</v>
      </c>
      <c r="O92" s="61" t="s">
        <v>5249</v>
      </c>
      <c r="P92" s="7"/>
      <c r="Q92" s="171"/>
      <c r="R92" s="240" t="s">
        <v>5248</v>
      </c>
      <c r="S92" s="326" t="s">
        <v>4641</v>
      </c>
      <c r="T92" s="137"/>
    </row>
    <row r="93" spans="1:20" s="40" customFormat="1" ht="20.100000000000001" customHeight="1">
      <c r="A93" s="1190" t="s">
        <v>5239</v>
      </c>
      <c r="B93" s="1190" t="s">
        <v>5284</v>
      </c>
      <c r="C93" s="1190" t="s">
        <v>5283</v>
      </c>
      <c r="D93" s="885">
        <v>750</v>
      </c>
      <c r="E93" s="885">
        <v>1400</v>
      </c>
      <c r="F93" s="885">
        <v>1450</v>
      </c>
      <c r="G93" s="63" t="s">
        <v>4636</v>
      </c>
      <c r="H93" s="69" t="s">
        <v>4992</v>
      </c>
      <c r="I93" s="38" t="s">
        <v>4725</v>
      </c>
      <c r="J93" s="30"/>
      <c r="K93" s="118" t="s">
        <v>5069</v>
      </c>
      <c r="L93" s="116" t="s">
        <v>4539</v>
      </c>
      <c r="M93" s="6">
        <v>43084</v>
      </c>
      <c r="N93" s="6">
        <v>43100</v>
      </c>
      <c r="O93" s="61" t="s">
        <v>4555</v>
      </c>
      <c r="P93" s="59"/>
      <c r="Q93" s="7"/>
      <c r="R93" s="239" t="s">
        <v>5236</v>
      </c>
      <c r="S93" s="327" t="s">
        <v>4632</v>
      </c>
      <c r="T93" s="137"/>
    </row>
    <row r="94" spans="1:20" s="40" customFormat="1" ht="20.100000000000001" customHeight="1">
      <c r="A94" s="1190" t="s">
        <v>5239</v>
      </c>
      <c r="B94" s="1190" t="s">
        <v>5284</v>
      </c>
      <c r="C94" s="1190" t="s">
        <v>5283</v>
      </c>
      <c r="D94" s="950">
        <v>780</v>
      </c>
      <c r="E94" s="950">
        <v>1457</v>
      </c>
      <c r="F94" s="950">
        <v>1457</v>
      </c>
      <c r="G94" s="224" t="s">
        <v>4569</v>
      </c>
      <c r="H94" s="69" t="s">
        <v>4992</v>
      </c>
      <c r="I94" s="38" t="s">
        <v>4725</v>
      </c>
      <c r="J94" s="37"/>
      <c r="K94" s="118" t="s">
        <v>5069</v>
      </c>
      <c r="L94" s="116" t="s">
        <v>4539</v>
      </c>
      <c r="M94" s="6">
        <v>43074</v>
      </c>
      <c r="N94" s="6">
        <v>43084</v>
      </c>
      <c r="O94" s="61" t="s">
        <v>4567</v>
      </c>
      <c r="P94" s="74"/>
      <c r="Q94" s="7"/>
      <c r="R94" s="239" t="s">
        <v>5261</v>
      </c>
      <c r="S94" s="328" t="s">
        <v>4543</v>
      </c>
      <c r="T94" s="137"/>
    </row>
    <row r="95" spans="1:20" s="40" customFormat="1" ht="20.100000000000001" customHeight="1">
      <c r="A95" s="1190" t="s">
        <v>5239</v>
      </c>
      <c r="B95" s="1190" t="s">
        <v>5284</v>
      </c>
      <c r="C95" s="1190" t="s">
        <v>5283</v>
      </c>
      <c r="D95" s="960" ph="1">
        <v>900</v>
      </c>
      <c r="E95" s="960" ph="1">
        <v>1600</v>
      </c>
      <c r="F95" s="960" ph="1">
        <v>1650</v>
      </c>
      <c r="G95" s="65" t="s">
        <v>4553</v>
      </c>
      <c r="H95" s="55" t="s">
        <v>4992</v>
      </c>
      <c r="I95" s="20" t="s">
        <v>4725</v>
      </c>
      <c r="J95" s="20"/>
      <c r="K95" s="118" t="s">
        <v>5069</v>
      </c>
      <c r="L95" s="118" t="s">
        <v>4539</v>
      </c>
      <c r="M95" s="6">
        <v>43085</v>
      </c>
      <c r="N95" s="6">
        <v>43100</v>
      </c>
      <c r="O95" s="59" t="s">
        <v>4663</v>
      </c>
      <c r="P95" s="59"/>
      <c r="Q95" s="7"/>
      <c r="R95" s="239" t="s">
        <v>5226</v>
      </c>
      <c r="S95" s="328" t="s">
        <v>4543</v>
      </c>
      <c r="T95" s="137"/>
    </row>
    <row r="96" spans="1:20" s="40" customFormat="1" ht="20.100000000000001" customHeight="1">
      <c r="A96" s="1190" t="s">
        <v>5239</v>
      </c>
      <c r="B96" s="1190" t="s">
        <v>5284</v>
      </c>
      <c r="C96" s="1190" t="s">
        <v>5283</v>
      </c>
      <c r="D96" s="961">
        <v>850</v>
      </c>
      <c r="E96" s="961">
        <v>1600</v>
      </c>
      <c r="F96" s="961">
        <v>1650</v>
      </c>
      <c r="G96" s="293" t="s">
        <v>4572</v>
      </c>
      <c r="H96" s="36" t="s">
        <v>4992</v>
      </c>
      <c r="I96" s="10" t="s">
        <v>4725</v>
      </c>
      <c r="J96" s="117"/>
      <c r="K96" s="10" t="s">
        <v>4968</v>
      </c>
      <c r="L96" s="116" t="s">
        <v>4539</v>
      </c>
      <c r="M96" s="15">
        <v>43070</v>
      </c>
      <c r="N96" s="15">
        <v>43100</v>
      </c>
      <c r="O96" s="59" t="s">
        <v>4571</v>
      </c>
      <c r="P96" s="14"/>
      <c r="Q96" s="167"/>
      <c r="R96" s="239" t="s">
        <v>5278</v>
      </c>
      <c r="S96" s="327" t="s">
        <v>4570</v>
      </c>
      <c r="T96" s="137"/>
    </row>
    <row r="97" spans="1:20" s="40" customFormat="1" ht="20.100000000000001" customHeight="1">
      <c r="A97" s="1190" t="s">
        <v>5239</v>
      </c>
      <c r="B97" s="1190" t="s">
        <v>5284</v>
      </c>
      <c r="C97" s="1190" t="s">
        <v>5283</v>
      </c>
      <c r="D97" s="320">
        <v>875</v>
      </c>
      <c r="E97" s="320">
        <f>D97*2-200</f>
        <v>1550</v>
      </c>
      <c r="F97" s="320">
        <f>D97*2-150</f>
        <v>1600</v>
      </c>
      <c r="G97" s="293" t="s">
        <v>4575</v>
      </c>
      <c r="H97" s="18" t="s">
        <v>4992</v>
      </c>
      <c r="I97" s="10" t="s">
        <v>4725</v>
      </c>
      <c r="J97" s="117"/>
      <c r="K97" s="10" t="s">
        <v>4968</v>
      </c>
      <c r="L97" s="116" t="s">
        <v>4539</v>
      </c>
      <c r="M97" s="15">
        <v>43084</v>
      </c>
      <c r="N97" s="15">
        <v>43100</v>
      </c>
      <c r="O97" s="61" t="s">
        <v>5243</v>
      </c>
      <c r="P97" s="14"/>
      <c r="Q97" s="171"/>
      <c r="R97" s="240" t="s">
        <v>5115</v>
      </c>
      <c r="S97" s="328" t="s">
        <v>4543</v>
      </c>
      <c r="T97" s="137"/>
    </row>
    <row r="98" spans="1:20" s="40" customFormat="1" ht="20.100000000000001" customHeight="1">
      <c r="A98" s="1190" t="s">
        <v>5239</v>
      </c>
      <c r="B98" s="1190" t="s">
        <v>5284</v>
      </c>
      <c r="C98" s="1190" t="s">
        <v>5283</v>
      </c>
      <c r="D98" s="248">
        <v>800</v>
      </c>
      <c r="E98" s="248">
        <v>1500</v>
      </c>
      <c r="F98" s="248">
        <v>1500</v>
      </c>
      <c r="G98" s="293" t="s">
        <v>4904</v>
      </c>
      <c r="H98" s="48">
        <v>7</v>
      </c>
      <c r="I98" s="10" t="s">
        <v>4725</v>
      </c>
      <c r="J98" s="117"/>
      <c r="K98" s="10" t="s">
        <v>4968</v>
      </c>
      <c r="L98" s="116" t="s">
        <v>4539</v>
      </c>
      <c r="M98" s="15">
        <v>43084</v>
      </c>
      <c r="N98" s="15">
        <v>43100</v>
      </c>
      <c r="O98" s="61" t="s">
        <v>5241</v>
      </c>
      <c r="P98" s="14"/>
      <c r="Q98" s="171"/>
      <c r="R98" s="240" t="s">
        <v>5277</v>
      </c>
      <c r="S98" s="336" t="s">
        <v>1952</v>
      </c>
      <c r="T98" s="137"/>
    </row>
    <row r="99" spans="1:20" s="40" customFormat="1" ht="20.100000000000001" customHeight="1">
      <c r="A99" s="1190" t="s">
        <v>5239</v>
      </c>
      <c r="B99" s="1190" t="s">
        <v>5284</v>
      </c>
      <c r="C99" s="1190" t="s">
        <v>5283</v>
      </c>
      <c r="D99" s="247">
        <v>775</v>
      </c>
      <c r="E99" s="247">
        <v>1450</v>
      </c>
      <c r="F99" s="247">
        <v>1500</v>
      </c>
      <c r="G99" s="70" t="s">
        <v>4542</v>
      </c>
      <c r="H99" s="69" t="s">
        <v>4992</v>
      </c>
      <c r="I99" s="38" t="s">
        <v>4725</v>
      </c>
      <c r="J99" s="30"/>
      <c r="K99" s="50" t="s">
        <v>4739</v>
      </c>
      <c r="L99" s="116" t="s">
        <v>4539</v>
      </c>
      <c r="M99" s="15">
        <v>43084</v>
      </c>
      <c r="N99" s="15">
        <v>43100</v>
      </c>
      <c r="O99" s="61" t="s">
        <v>5238</v>
      </c>
      <c r="P99" s="14"/>
      <c r="Q99" s="171"/>
      <c r="R99" s="239" t="s">
        <v>5276</v>
      </c>
      <c r="S99" s="326" t="s">
        <v>4537</v>
      </c>
      <c r="T99" s="137"/>
    </row>
    <row r="100" spans="1:20" s="40" customFormat="1" ht="20.100000000000001" customHeight="1">
      <c r="A100" s="1138" t="s">
        <v>5239</v>
      </c>
      <c r="B100" s="1138" t="s">
        <v>5275</v>
      </c>
      <c r="C100" s="1138" t="s">
        <v>5282</v>
      </c>
      <c r="D100" s="961">
        <v>850</v>
      </c>
      <c r="E100" s="961">
        <v>1600</v>
      </c>
      <c r="F100" s="961">
        <v>1650</v>
      </c>
      <c r="G100" s="293" t="s">
        <v>4572</v>
      </c>
      <c r="H100" s="36" t="s">
        <v>4548</v>
      </c>
      <c r="I100" s="10" t="s">
        <v>4725</v>
      </c>
      <c r="J100" s="50"/>
      <c r="K100" s="50" t="s">
        <v>5065</v>
      </c>
      <c r="L100" s="116" t="s">
        <v>4539</v>
      </c>
      <c r="M100" s="15">
        <v>43070</v>
      </c>
      <c r="N100" s="15">
        <v>43100</v>
      </c>
      <c r="O100" s="59" t="s">
        <v>4571</v>
      </c>
      <c r="P100" s="61"/>
      <c r="Q100" s="167"/>
      <c r="R100" s="239" t="s">
        <v>4736</v>
      </c>
      <c r="S100" s="327" t="s">
        <v>4570</v>
      </c>
      <c r="T100" s="137"/>
    </row>
    <row r="101" spans="1:20" s="40" customFormat="1" ht="20.100000000000001" customHeight="1">
      <c r="A101" s="1138" t="s">
        <v>5239</v>
      </c>
      <c r="B101" s="1138" t="s">
        <v>5275</v>
      </c>
      <c r="C101" s="1138" t="s">
        <v>5282</v>
      </c>
      <c r="D101" s="247" ph="1">
        <v>725</v>
      </c>
      <c r="E101" s="247" ph="1">
        <v>1150</v>
      </c>
      <c r="F101" s="247" ph="1">
        <v>1150</v>
      </c>
      <c r="G101" s="220" t="s">
        <v>5255</v>
      </c>
      <c r="H101" s="36" t="s">
        <v>4548</v>
      </c>
      <c r="I101" s="10" t="s">
        <v>4725</v>
      </c>
      <c r="J101" s="50"/>
      <c r="K101" s="50" t="s">
        <v>5065</v>
      </c>
      <c r="L101" s="116" t="s">
        <v>4539</v>
      </c>
      <c r="M101" s="15">
        <v>43073</v>
      </c>
      <c r="N101" s="15">
        <v>43093</v>
      </c>
      <c r="O101" s="59" t="s">
        <v>5254</v>
      </c>
      <c r="P101" s="61"/>
      <c r="Q101" s="167"/>
      <c r="R101" s="240" t="s">
        <v>4736</v>
      </c>
      <c r="S101" s="327" t="s">
        <v>5253</v>
      </c>
      <c r="T101" s="137"/>
    </row>
    <row r="102" spans="1:20" s="40" customFormat="1" ht="20.100000000000001" customHeight="1">
      <c r="A102" s="1138" t="s">
        <v>5239</v>
      </c>
      <c r="B102" s="1138" t="s">
        <v>5275</v>
      </c>
      <c r="C102" s="1138" t="s">
        <v>5282</v>
      </c>
      <c r="D102" s="320">
        <v>875</v>
      </c>
      <c r="E102" s="320">
        <f>D102*2-200</f>
        <v>1550</v>
      </c>
      <c r="F102" s="320">
        <f>D102*2-150</f>
        <v>1600</v>
      </c>
      <c r="G102" s="293" t="s">
        <v>4575</v>
      </c>
      <c r="H102" s="22" t="s">
        <v>4548</v>
      </c>
      <c r="I102" s="51" t="s">
        <v>4725</v>
      </c>
      <c r="J102" s="34"/>
      <c r="K102" s="50" t="s">
        <v>5065</v>
      </c>
      <c r="L102" s="116" t="s">
        <v>4539</v>
      </c>
      <c r="M102" s="15">
        <v>43084</v>
      </c>
      <c r="N102" s="15">
        <v>43100</v>
      </c>
      <c r="O102" s="61" t="s">
        <v>5243</v>
      </c>
      <c r="P102" s="61"/>
      <c r="Q102" s="167"/>
      <c r="R102" s="239" t="s">
        <v>4577</v>
      </c>
      <c r="S102" s="328" t="s">
        <v>4543</v>
      </c>
      <c r="T102" s="137"/>
    </row>
    <row r="103" spans="1:20" s="40" customFormat="1" ht="20.100000000000001" customHeight="1">
      <c r="A103" s="1138" t="s">
        <v>5239</v>
      </c>
      <c r="B103" s="1138" t="s">
        <v>5275</v>
      </c>
      <c r="C103" s="1138" t="s">
        <v>5282</v>
      </c>
      <c r="D103" s="248">
        <v>800</v>
      </c>
      <c r="E103" s="248">
        <v>1500</v>
      </c>
      <c r="F103" s="248">
        <v>1500</v>
      </c>
      <c r="G103" s="293" t="s">
        <v>4904</v>
      </c>
      <c r="H103" s="48" t="s">
        <v>4548</v>
      </c>
      <c r="I103" s="10" t="s">
        <v>4725</v>
      </c>
      <c r="J103" s="117"/>
      <c r="K103" s="50" t="s">
        <v>5065</v>
      </c>
      <c r="L103" s="116" t="s">
        <v>4539</v>
      </c>
      <c r="M103" s="15">
        <v>43084</v>
      </c>
      <c r="N103" s="15">
        <v>43100</v>
      </c>
      <c r="O103" s="61" t="s">
        <v>5241</v>
      </c>
      <c r="P103" s="61"/>
      <c r="Q103" s="167"/>
      <c r="R103" s="239" t="s">
        <v>5223</v>
      </c>
      <c r="S103" s="336" t="s">
        <v>1952</v>
      </c>
      <c r="T103" s="137"/>
    </row>
    <row r="104" spans="1:20" s="40" customFormat="1" ht="20.100000000000001" customHeight="1">
      <c r="A104" s="1138" t="s">
        <v>5239</v>
      </c>
      <c r="B104" s="1138" t="s">
        <v>5275</v>
      </c>
      <c r="C104" s="1138" t="s">
        <v>5282</v>
      </c>
      <c r="D104" s="247">
        <v>775</v>
      </c>
      <c r="E104" s="247">
        <v>1450</v>
      </c>
      <c r="F104" s="247">
        <v>1500</v>
      </c>
      <c r="G104" s="70" t="s">
        <v>4542</v>
      </c>
      <c r="H104" s="69" t="s">
        <v>4548</v>
      </c>
      <c r="I104" s="38" t="s">
        <v>4725</v>
      </c>
      <c r="J104" s="30"/>
      <c r="K104" s="50" t="s">
        <v>5065</v>
      </c>
      <c r="L104" s="116" t="s">
        <v>4539</v>
      </c>
      <c r="M104" s="15">
        <v>43084</v>
      </c>
      <c r="N104" s="15">
        <v>43100</v>
      </c>
      <c r="O104" s="61" t="s">
        <v>5238</v>
      </c>
      <c r="P104" s="61"/>
      <c r="Q104" s="167"/>
      <c r="R104" s="294" t="s">
        <v>5252</v>
      </c>
      <c r="S104" s="326" t="s">
        <v>4537</v>
      </c>
      <c r="T104" s="904"/>
    </row>
    <row r="105" spans="1:20" s="40" customFormat="1" ht="20.100000000000001" customHeight="1">
      <c r="A105" s="1190" t="s">
        <v>5239</v>
      </c>
      <c r="B105" s="1190" t="s">
        <v>5275</v>
      </c>
      <c r="C105" s="1190" t="s">
        <v>5274</v>
      </c>
      <c r="D105" s="885">
        <v>750</v>
      </c>
      <c r="E105" s="885">
        <v>1400</v>
      </c>
      <c r="F105" s="885">
        <v>1450</v>
      </c>
      <c r="G105" s="63" t="s">
        <v>4636</v>
      </c>
      <c r="H105" s="69" t="s">
        <v>4552</v>
      </c>
      <c r="I105" s="38" t="s">
        <v>4725</v>
      </c>
      <c r="J105" s="30"/>
      <c r="K105" s="118" t="s">
        <v>4968</v>
      </c>
      <c r="L105" s="116" t="s">
        <v>4539</v>
      </c>
      <c r="M105" s="6">
        <v>43084</v>
      </c>
      <c r="N105" s="6">
        <v>43100</v>
      </c>
      <c r="O105" s="61" t="s">
        <v>4555</v>
      </c>
      <c r="P105" s="61"/>
      <c r="Q105" s="167"/>
      <c r="R105" s="239" t="s">
        <v>5229</v>
      </c>
      <c r="S105" s="327" t="s">
        <v>4632</v>
      </c>
      <c r="T105" s="904"/>
    </row>
    <row r="106" spans="1:20" s="40" customFormat="1" ht="20.100000000000001" customHeight="1">
      <c r="A106" s="1190" t="s">
        <v>5239</v>
      </c>
      <c r="B106" s="1190" t="s">
        <v>5275</v>
      </c>
      <c r="C106" s="1190" t="s">
        <v>5274</v>
      </c>
      <c r="D106" s="960" ph="1">
        <v>900</v>
      </c>
      <c r="E106" s="960" ph="1">
        <v>1600</v>
      </c>
      <c r="F106" s="960" ph="1">
        <v>1650</v>
      </c>
      <c r="G106" s="65" t="s">
        <v>4553</v>
      </c>
      <c r="H106" s="55" t="s">
        <v>4552</v>
      </c>
      <c r="I106" s="10" t="s">
        <v>4725</v>
      </c>
      <c r="J106" s="10"/>
      <c r="K106" s="118" t="s">
        <v>4968</v>
      </c>
      <c r="L106" s="116" t="s">
        <v>4539</v>
      </c>
      <c r="M106" s="6">
        <v>43085</v>
      </c>
      <c r="N106" s="6">
        <v>43100</v>
      </c>
      <c r="O106" s="61" t="s">
        <v>4663</v>
      </c>
      <c r="P106" s="61"/>
      <c r="Q106" s="167"/>
      <c r="R106" s="239" t="s">
        <v>4550</v>
      </c>
      <c r="S106" s="328" t="s">
        <v>4543</v>
      </c>
      <c r="T106" s="904"/>
    </row>
    <row r="107" spans="1:20" s="40" customFormat="1" ht="20.100000000000001" customHeight="1">
      <c r="A107" s="1190" t="s">
        <v>5239</v>
      </c>
      <c r="B107" s="1190" t="s">
        <v>5275</v>
      </c>
      <c r="C107" s="1190" t="s">
        <v>5274</v>
      </c>
      <c r="D107" s="950">
        <v>780</v>
      </c>
      <c r="E107" s="950">
        <v>1457</v>
      </c>
      <c r="F107" s="950">
        <v>1457</v>
      </c>
      <c r="G107" s="224" t="s">
        <v>4569</v>
      </c>
      <c r="H107" s="194" t="s">
        <v>4552</v>
      </c>
      <c r="I107" s="38" t="s">
        <v>4725</v>
      </c>
      <c r="J107" s="38"/>
      <c r="K107" s="118" t="s">
        <v>4968</v>
      </c>
      <c r="L107" s="116" t="s">
        <v>4539</v>
      </c>
      <c r="M107" s="6">
        <v>43074</v>
      </c>
      <c r="N107" s="6">
        <v>43084</v>
      </c>
      <c r="O107" s="61" t="s">
        <v>4567</v>
      </c>
      <c r="P107" s="74"/>
      <c r="Q107" s="167"/>
      <c r="R107" s="239" t="s">
        <v>1765</v>
      </c>
      <c r="S107" s="328" t="s">
        <v>4543</v>
      </c>
      <c r="T107" s="904"/>
    </row>
    <row r="108" spans="1:20" s="40" customFormat="1" ht="20.100000000000001" customHeight="1">
      <c r="A108" s="1190" t="s">
        <v>5239</v>
      </c>
      <c r="B108" s="1190" t="s">
        <v>5275</v>
      </c>
      <c r="C108" s="1190" t="s">
        <v>5274</v>
      </c>
      <c r="D108" s="961">
        <v>850</v>
      </c>
      <c r="E108" s="961">
        <v>1600</v>
      </c>
      <c r="F108" s="961">
        <v>1650</v>
      </c>
      <c r="G108" s="234" t="s">
        <v>4572</v>
      </c>
      <c r="H108" s="69" t="s">
        <v>4649</v>
      </c>
      <c r="I108" s="10" t="s">
        <v>4725</v>
      </c>
      <c r="J108" s="30"/>
      <c r="K108" s="51" t="s">
        <v>4772</v>
      </c>
      <c r="L108" s="116" t="s">
        <v>4539</v>
      </c>
      <c r="M108" s="15">
        <v>43070</v>
      </c>
      <c r="N108" s="15">
        <v>43100</v>
      </c>
      <c r="O108" s="59" t="s">
        <v>4571</v>
      </c>
      <c r="P108" s="52"/>
      <c r="Q108" s="173"/>
      <c r="R108" s="239" t="s">
        <v>5256</v>
      </c>
      <c r="S108" s="327" t="s">
        <v>4570</v>
      </c>
      <c r="T108" s="904"/>
    </row>
    <row r="109" spans="1:20" s="40" customFormat="1" ht="20.100000000000001" customHeight="1">
      <c r="A109" s="1190" t="s">
        <v>5239</v>
      </c>
      <c r="B109" s="1190" t="s">
        <v>5275</v>
      </c>
      <c r="C109" s="1190" t="s">
        <v>5274</v>
      </c>
      <c r="D109" s="320">
        <v>875</v>
      </c>
      <c r="E109" s="320">
        <f>D109*2-200</f>
        <v>1550</v>
      </c>
      <c r="F109" s="320">
        <f>D109*2-150</f>
        <v>1600</v>
      </c>
      <c r="G109" s="293" t="s">
        <v>4575</v>
      </c>
      <c r="H109" s="22" t="s">
        <v>4649</v>
      </c>
      <c r="I109" s="10" t="s">
        <v>4725</v>
      </c>
      <c r="J109" s="10"/>
      <c r="K109" s="51" t="s">
        <v>4772</v>
      </c>
      <c r="L109" s="116" t="s">
        <v>4539</v>
      </c>
      <c r="M109" s="15">
        <v>43084</v>
      </c>
      <c r="N109" s="15">
        <v>43100</v>
      </c>
      <c r="O109" s="61" t="s">
        <v>5243</v>
      </c>
      <c r="P109" s="61"/>
      <c r="Q109" s="173"/>
      <c r="R109" s="239" t="s">
        <v>5123</v>
      </c>
      <c r="S109" s="328" t="s">
        <v>4543</v>
      </c>
      <c r="T109" s="904"/>
    </row>
    <row r="110" spans="1:20" s="40" customFormat="1" ht="20.100000000000001" customHeight="1">
      <c r="A110" s="1190" t="s">
        <v>5239</v>
      </c>
      <c r="B110" s="1190" t="s">
        <v>5275</v>
      </c>
      <c r="C110" s="1190" t="s">
        <v>5274</v>
      </c>
      <c r="D110" s="248">
        <v>800</v>
      </c>
      <c r="E110" s="248">
        <v>1500</v>
      </c>
      <c r="F110" s="248">
        <v>1500</v>
      </c>
      <c r="G110" s="234" t="s">
        <v>4904</v>
      </c>
      <c r="H110" s="22" t="s">
        <v>4649</v>
      </c>
      <c r="I110" s="10" t="s">
        <v>4725</v>
      </c>
      <c r="J110" s="10"/>
      <c r="K110" s="51" t="s">
        <v>4772</v>
      </c>
      <c r="L110" s="116" t="s">
        <v>4539</v>
      </c>
      <c r="M110" s="15">
        <v>43084</v>
      </c>
      <c r="N110" s="15">
        <v>43100</v>
      </c>
      <c r="O110" s="61" t="s">
        <v>5241</v>
      </c>
      <c r="P110" s="61"/>
      <c r="Q110" s="173"/>
      <c r="R110" s="21" t="s">
        <v>5121</v>
      </c>
      <c r="S110" s="336" t="s">
        <v>1952</v>
      </c>
      <c r="T110" s="904"/>
    </row>
    <row r="111" spans="1:20" s="40" customFormat="1" ht="20.100000000000001" customHeight="1">
      <c r="A111" s="1190" t="s">
        <v>5239</v>
      </c>
      <c r="B111" s="1190" t="s">
        <v>5275</v>
      </c>
      <c r="C111" s="1190" t="s">
        <v>5274</v>
      </c>
      <c r="D111" s="247">
        <v>775</v>
      </c>
      <c r="E111" s="247">
        <v>1450</v>
      </c>
      <c r="F111" s="247">
        <v>1500</v>
      </c>
      <c r="G111" s="70" t="s">
        <v>4542</v>
      </c>
      <c r="H111" s="22" t="s">
        <v>4649</v>
      </c>
      <c r="I111" s="38" t="s">
        <v>4725</v>
      </c>
      <c r="J111" s="30"/>
      <c r="K111" s="51" t="s">
        <v>4772</v>
      </c>
      <c r="L111" s="116" t="s">
        <v>4539</v>
      </c>
      <c r="M111" s="15">
        <v>43084</v>
      </c>
      <c r="N111" s="15">
        <v>43100</v>
      </c>
      <c r="O111" s="61" t="s">
        <v>5238</v>
      </c>
      <c r="P111" s="61"/>
      <c r="Q111" s="173"/>
      <c r="R111" s="239" t="s">
        <v>5122</v>
      </c>
      <c r="S111" s="326" t="s">
        <v>4537</v>
      </c>
      <c r="T111" s="904"/>
    </row>
    <row r="112" spans="1:20" s="40" customFormat="1" ht="20.100000000000001" customHeight="1">
      <c r="A112" s="1190" t="s">
        <v>5239</v>
      </c>
      <c r="B112" s="1190" t="s">
        <v>5275</v>
      </c>
      <c r="C112" s="1190" t="s">
        <v>5274</v>
      </c>
      <c r="D112" s="953" ph="1">
        <v>750</v>
      </c>
      <c r="E112" s="953" ph="1">
        <v>1400</v>
      </c>
      <c r="F112" s="953" ph="1">
        <v>1450</v>
      </c>
      <c r="G112" s="63" t="s">
        <v>5281</v>
      </c>
      <c r="H112" s="69" t="s">
        <v>4649</v>
      </c>
      <c r="I112" s="38" t="s">
        <v>4725</v>
      </c>
      <c r="J112" s="38"/>
      <c r="K112" s="51" t="s">
        <v>4772</v>
      </c>
      <c r="L112" s="116" t="s">
        <v>4539</v>
      </c>
      <c r="M112" s="108">
        <v>43082</v>
      </c>
      <c r="N112" s="108">
        <v>43088</v>
      </c>
      <c r="O112" s="61" t="s">
        <v>5243</v>
      </c>
      <c r="P112" s="74"/>
      <c r="Q112" s="173"/>
      <c r="R112" s="239" t="s">
        <v>5280</v>
      </c>
      <c r="S112" s="326" t="s">
        <v>5279</v>
      </c>
      <c r="T112" s="904"/>
    </row>
    <row r="113" spans="1:20" s="40" customFormat="1" ht="20.100000000000001" customHeight="1">
      <c r="A113" s="1190" t="s">
        <v>5239</v>
      </c>
      <c r="B113" s="1190" t="s">
        <v>5275</v>
      </c>
      <c r="C113" s="1190" t="s">
        <v>5274</v>
      </c>
      <c r="D113" s="950">
        <v>780</v>
      </c>
      <c r="E113" s="950">
        <v>1457</v>
      </c>
      <c r="F113" s="950">
        <v>1457</v>
      </c>
      <c r="G113" s="224" t="s">
        <v>4569</v>
      </c>
      <c r="H113" s="236" t="s">
        <v>4635</v>
      </c>
      <c r="I113" s="38" t="s">
        <v>4725</v>
      </c>
      <c r="J113" s="38"/>
      <c r="K113" s="51" t="s">
        <v>5030</v>
      </c>
      <c r="L113" s="116" t="s">
        <v>4539</v>
      </c>
      <c r="M113" s="6">
        <v>43074</v>
      </c>
      <c r="N113" s="6">
        <v>43084</v>
      </c>
      <c r="O113" s="61" t="s">
        <v>4567</v>
      </c>
      <c r="P113" s="74"/>
      <c r="Q113" s="171"/>
      <c r="R113" s="239" t="s">
        <v>4972</v>
      </c>
      <c r="S113" s="328" t="s">
        <v>4543</v>
      </c>
      <c r="T113" s="904"/>
    </row>
    <row r="114" spans="1:20" s="40" customFormat="1" ht="20.100000000000001" customHeight="1">
      <c r="A114" s="1190" t="s">
        <v>5239</v>
      </c>
      <c r="B114" s="1190" t="s">
        <v>5275</v>
      </c>
      <c r="C114" s="1190" t="s">
        <v>5274</v>
      </c>
      <c r="D114" s="247" ph="1">
        <v>725</v>
      </c>
      <c r="E114" s="247" ph="1">
        <v>1150</v>
      </c>
      <c r="F114" s="247" ph="1">
        <v>1150</v>
      </c>
      <c r="G114" s="220" t="s">
        <v>5255</v>
      </c>
      <c r="H114" s="69" t="s">
        <v>5150</v>
      </c>
      <c r="I114" s="10" t="s">
        <v>4725</v>
      </c>
      <c r="J114" s="30"/>
      <c r="K114" s="51" t="s">
        <v>4546</v>
      </c>
      <c r="L114" s="116" t="s">
        <v>4539</v>
      </c>
      <c r="M114" s="15">
        <v>43073</v>
      </c>
      <c r="N114" s="15">
        <v>43093</v>
      </c>
      <c r="O114" s="59" t="s">
        <v>5254</v>
      </c>
      <c r="P114" s="7"/>
      <c r="Q114" s="167"/>
      <c r="R114" s="240" t="s">
        <v>5272</v>
      </c>
      <c r="S114" s="327" t="s">
        <v>5253</v>
      </c>
      <c r="T114" s="904"/>
    </row>
    <row r="115" spans="1:20" s="40" customFormat="1" ht="20.100000000000001" customHeight="1">
      <c r="A115" s="1190" t="s">
        <v>5239</v>
      </c>
      <c r="B115" s="1190" t="s">
        <v>5275</v>
      </c>
      <c r="C115" s="1190" t="s">
        <v>5274</v>
      </c>
      <c r="D115" s="961">
        <v>850</v>
      </c>
      <c r="E115" s="961">
        <v>1600</v>
      </c>
      <c r="F115" s="961">
        <v>1650</v>
      </c>
      <c r="G115" s="234" t="s">
        <v>4572</v>
      </c>
      <c r="H115" s="69" t="s">
        <v>5150</v>
      </c>
      <c r="I115" s="10" t="s">
        <v>4725</v>
      </c>
      <c r="J115" s="30"/>
      <c r="K115" s="51" t="s">
        <v>4546</v>
      </c>
      <c r="L115" s="116" t="s">
        <v>4539</v>
      </c>
      <c r="M115" s="15">
        <v>43070</v>
      </c>
      <c r="N115" s="15">
        <v>43100</v>
      </c>
      <c r="O115" s="59" t="s">
        <v>4571</v>
      </c>
      <c r="P115" s="61"/>
      <c r="Q115" s="167"/>
      <c r="R115" s="239" t="s">
        <v>5272</v>
      </c>
      <c r="S115" s="327" t="s">
        <v>4570</v>
      </c>
      <c r="T115" s="904"/>
    </row>
    <row r="116" spans="1:20" s="40" customFormat="1" ht="20.100000000000001" customHeight="1">
      <c r="A116" s="1190" t="s">
        <v>5239</v>
      </c>
      <c r="B116" s="1190" t="s">
        <v>5275</v>
      </c>
      <c r="C116" s="1190" t="s">
        <v>5274</v>
      </c>
      <c r="D116" s="320">
        <v>875</v>
      </c>
      <c r="E116" s="320">
        <f>D116*2-200</f>
        <v>1550</v>
      </c>
      <c r="F116" s="320">
        <f>D116*2-150</f>
        <v>1600</v>
      </c>
      <c r="G116" s="293" t="s">
        <v>4575</v>
      </c>
      <c r="H116" s="210" t="s">
        <v>5150</v>
      </c>
      <c r="I116" s="51" t="s">
        <v>4725</v>
      </c>
      <c r="J116" s="34"/>
      <c r="K116" s="51" t="s">
        <v>4546</v>
      </c>
      <c r="L116" s="116" t="s">
        <v>4539</v>
      </c>
      <c r="M116" s="15">
        <v>43084</v>
      </c>
      <c r="N116" s="15">
        <v>43100</v>
      </c>
      <c r="O116" s="61" t="s">
        <v>5243</v>
      </c>
      <c r="P116" s="61"/>
      <c r="Q116" s="167"/>
      <c r="R116" s="239" t="s">
        <v>5271</v>
      </c>
      <c r="S116" s="328" t="s">
        <v>4543</v>
      </c>
      <c r="T116" s="904"/>
    </row>
    <row r="117" spans="1:20" s="40" customFormat="1" ht="20.100000000000001" customHeight="1">
      <c r="A117" s="1190" t="s">
        <v>5239</v>
      </c>
      <c r="B117" s="1190" t="s">
        <v>5275</v>
      </c>
      <c r="C117" s="1190" t="s">
        <v>5274</v>
      </c>
      <c r="D117" s="248">
        <v>800</v>
      </c>
      <c r="E117" s="248">
        <v>1500</v>
      </c>
      <c r="F117" s="248">
        <v>1500</v>
      </c>
      <c r="G117" s="234" t="s">
        <v>4904</v>
      </c>
      <c r="H117" s="56" t="s">
        <v>5150</v>
      </c>
      <c r="I117" s="10" t="s">
        <v>4725</v>
      </c>
      <c r="J117" s="30"/>
      <c r="K117" s="51" t="s">
        <v>4546</v>
      </c>
      <c r="L117" s="116" t="s">
        <v>4539</v>
      </c>
      <c r="M117" s="15">
        <v>43084</v>
      </c>
      <c r="N117" s="15">
        <v>43100</v>
      </c>
      <c r="O117" s="61" t="s">
        <v>5241</v>
      </c>
      <c r="P117" s="61"/>
      <c r="Q117" s="167"/>
      <c r="R117" s="21" t="s">
        <v>5148</v>
      </c>
      <c r="S117" s="336" t="s">
        <v>1952</v>
      </c>
      <c r="T117" s="904"/>
    </row>
    <row r="118" spans="1:20" s="40" customFormat="1" ht="20.100000000000001" customHeight="1">
      <c r="A118" s="1190" t="s">
        <v>5239</v>
      </c>
      <c r="B118" s="1190" t="s">
        <v>5275</v>
      </c>
      <c r="C118" s="1190" t="s">
        <v>5274</v>
      </c>
      <c r="D118" s="247">
        <v>775</v>
      </c>
      <c r="E118" s="247">
        <v>1450</v>
      </c>
      <c r="F118" s="247">
        <v>1500</v>
      </c>
      <c r="G118" s="29" t="s">
        <v>4542</v>
      </c>
      <c r="H118" s="69" t="s">
        <v>5150</v>
      </c>
      <c r="I118" s="38" t="s">
        <v>4725</v>
      </c>
      <c r="J118" s="30"/>
      <c r="K118" s="51" t="s">
        <v>4546</v>
      </c>
      <c r="L118" s="116" t="s">
        <v>4539</v>
      </c>
      <c r="M118" s="15">
        <v>43084</v>
      </c>
      <c r="N118" s="15">
        <v>43100</v>
      </c>
      <c r="O118" s="61" t="s">
        <v>5238</v>
      </c>
      <c r="P118" s="61"/>
      <c r="Q118" s="167"/>
      <c r="R118" s="239" t="s">
        <v>5270</v>
      </c>
      <c r="S118" s="326" t="s">
        <v>4537</v>
      </c>
      <c r="T118" s="137"/>
    </row>
    <row r="119" spans="1:20" s="40" customFormat="1" ht="20.100000000000001" customHeight="1">
      <c r="A119" s="1190" t="s">
        <v>5239</v>
      </c>
      <c r="B119" s="1190" t="s">
        <v>5275</v>
      </c>
      <c r="C119" s="1190" t="s">
        <v>5274</v>
      </c>
      <c r="D119" s="885">
        <v>750</v>
      </c>
      <c r="E119" s="885">
        <v>1400</v>
      </c>
      <c r="F119" s="885">
        <v>1450</v>
      </c>
      <c r="G119" s="63" t="s">
        <v>4636</v>
      </c>
      <c r="H119" s="69" t="s">
        <v>4548</v>
      </c>
      <c r="I119" s="38" t="s">
        <v>4725</v>
      </c>
      <c r="J119" s="30"/>
      <c r="K119" s="51" t="s">
        <v>5025</v>
      </c>
      <c r="L119" s="116" t="s">
        <v>4539</v>
      </c>
      <c r="M119" s="6">
        <v>43084</v>
      </c>
      <c r="N119" s="6">
        <v>43100</v>
      </c>
      <c r="O119" s="61" t="s">
        <v>4555</v>
      </c>
      <c r="P119" s="61"/>
      <c r="Q119" s="167"/>
      <c r="R119" s="239" t="s">
        <v>5228</v>
      </c>
      <c r="S119" s="327" t="s">
        <v>4632</v>
      </c>
      <c r="T119" s="137"/>
    </row>
    <row r="120" spans="1:20" s="40" customFormat="1" ht="20.100000000000001" customHeight="1">
      <c r="A120" s="1190" t="s">
        <v>5239</v>
      </c>
      <c r="B120" s="1190" t="s">
        <v>5275</v>
      </c>
      <c r="C120" s="1190" t="s">
        <v>5274</v>
      </c>
      <c r="D120" s="960" ph="1">
        <v>900</v>
      </c>
      <c r="E120" s="960" ph="1">
        <v>1600</v>
      </c>
      <c r="F120" s="960" ph="1">
        <v>1650</v>
      </c>
      <c r="G120" s="65" t="s">
        <v>4553</v>
      </c>
      <c r="H120" s="55" t="s">
        <v>4548</v>
      </c>
      <c r="I120" s="10" t="s">
        <v>4725</v>
      </c>
      <c r="J120" s="117"/>
      <c r="K120" s="51" t="s">
        <v>5025</v>
      </c>
      <c r="L120" s="116" t="s">
        <v>4539</v>
      </c>
      <c r="M120" s="6">
        <v>43085</v>
      </c>
      <c r="N120" s="6">
        <v>43100</v>
      </c>
      <c r="O120" s="61" t="s">
        <v>4663</v>
      </c>
      <c r="P120" s="61"/>
      <c r="Q120" s="167" t="s">
        <v>5263</v>
      </c>
      <c r="R120" s="239" t="s">
        <v>5262</v>
      </c>
      <c r="S120" s="328" t="s">
        <v>4543</v>
      </c>
      <c r="T120" s="137"/>
    </row>
    <row r="121" spans="1:20" s="40" customFormat="1" ht="20.100000000000001" customHeight="1">
      <c r="A121" s="1190" t="s">
        <v>5239</v>
      </c>
      <c r="B121" s="1190" t="s">
        <v>5275</v>
      </c>
      <c r="C121" s="1190" t="s">
        <v>5274</v>
      </c>
      <c r="D121" s="950">
        <v>780</v>
      </c>
      <c r="E121" s="950">
        <v>1457</v>
      </c>
      <c r="F121" s="950">
        <v>1457</v>
      </c>
      <c r="G121" s="224" t="s">
        <v>4569</v>
      </c>
      <c r="H121" s="69" t="s">
        <v>4548</v>
      </c>
      <c r="I121" s="38" t="s">
        <v>4725</v>
      </c>
      <c r="J121" s="38"/>
      <c r="K121" s="51" t="s">
        <v>5025</v>
      </c>
      <c r="L121" s="116" t="s">
        <v>4539</v>
      </c>
      <c r="M121" s="6">
        <v>43074</v>
      </c>
      <c r="N121" s="6">
        <v>43084</v>
      </c>
      <c r="O121" s="61" t="s">
        <v>4567</v>
      </c>
      <c r="P121" s="74"/>
      <c r="Q121" s="167"/>
      <c r="R121" s="239" t="s">
        <v>5225</v>
      </c>
      <c r="S121" s="328" t="s">
        <v>4543</v>
      </c>
      <c r="T121" s="137"/>
    </row>
    <row r="122" spans="1:20" s="40" customFormat="1" ht="20.100000000000001" customHeight="1">
      <c r="A122" s="1190" t="s">
        <v>5239</v>
      </c>
      <c r="B122" s="1190" t="s">
        <v>5275</v>
      </c>
      <c r="C122" s="1190" t="s">
        <v>5274</v>
      </c>
      <c r="D122" s="247" ph="1">
        <v>725</v>
      </c>
      <c r="E122" s="247" ph="1">
        <v>1350</v>
      </c>
      <c r="F122" s="247" ph="1">
        <v>1400</v>
      </c>
      <c r="G122" s="63" t="s">
        <v>4566</v>
      </c>
      <c r="H122" s="69" t="s">
        <v>4548</v>
      </c>
      <c r="I122" s="38" t="s">
        <v>4725</v>
      </c>
      <c r="J122" s="30"/>
      <c r="K122" s="118" t="s">
        <v>4772</v>
      </c>
      <c r="L122" s="116" t="s">
        <v>4539</v>
      </c>
      <c r="M122" s="15">
        <v>43084</v>
      </c>
      <c r="N122" s="15">
        <v>43100</v>
      </c>
      <c r="O122" s="61" t="s">
        <v>4638</v>
      </c>
      <c r="P122" s="61"/>
      <c r="Q122" s="171"/>
      <c r="R122" s="239" t="s">
        <v>5248</v>
      </c>
      <c r="S122" s="327" t="s">
        <v>4561</v>
      </c>
      <c r="T122" s="137"/>
    </row>
    <row r="123" spans="1:20" s="40" customFormat="1" ht="20.100000000000001" customHeight="1">
      <c r="A123" s="1190" t="s">
        <v>5239</v>
      </c>
      <c r="B123" s="1190" t="s">
        <v>5275</v>
      </c>
      <c r="C123" s="1190" t="s">
        <v>5274</v>
      </c>
      <c r="D123" s="953" ph="1">
        <v>765</v>
      </c>
      <c r="E123" s="953" ph="1">
        <v>1430</v>
      </c>
      <c r="F123" s="953" ph="1">
        <v>1480</v>
      </c>
      <c r="G123" s="75" t="s">
        <v>4560</v>
      </c>
      <c r="H123" s="69" t="s">
        <v>4548</v>
      </c>
      <c r="I123" s="10" t="s">
        <v>4725</v>
      </c>
      <c r="J123" s="10"/>
      <c r="K123" s="118" t="s">
        <v>4772</v>
      </c>
      <c r="L123" s="116" t="s">
        <v>4539</v>
      </c>
      <c r="M123" s="15">
        <v>43084</v>
      </c>
      <c r="N123" s="15">
        <v>43100</v>
      </c>
      <c r="O123" s="59" t="s">
        <v>4559</v>
      </c>
      <c r="P123" s="61"/>
      <c r="Q123" s="171"/>
      <c r="R123" s="239" t="s">
        <v>5248</v>
      </c>
      <c r="S123" s="326" t="s">
        <v>5251</v>
      </c>
      <c r="T123" s="137"/>
    </row>
    <row r="124" spans="1:20" s="40" customFormat="1" ht="20.100000000000001" customHeight="1">
      <c r="A124" s="1190" t="s">
        <v>5239</v>
      </c>
      <c r="B124" s="1190" t="s">
        <v>5275</v>
      </c>
      <c r="C124" s="1190" t="s">
        <v>5274</v>
      </c>
      <c r="D124" s="247" ph="1">
        <v>750</v>
      </c>
      <c r="E124" s="247" ph="1">
        <v>1400</v>
      </c>
      <c r="F124" s="247" ph="1">
        <v>1400</v>
      </c>
      <c r="G124" s="293" t="s">
        <v>4557</v>
      </c>
      <c r="H124" s="69" t="s">
        <v>4548</v>
      </c>
      <c r="I124" s="51" t="s">
        <v>4725</v>
      </c>
      <c r="J124" s="34"/>
      <c r="K124" s="118" t="s">
        <v>4772</v>
      </c>
      <c r="L124" s="116" t="s">
        <v>4539</v>
      </c>
      <c r="M124" s="6">
        <v>43084</v>
      </c>
      <c r="N124" s="6">
        <v>43100</v>
      </c>
      <c r="O124" s="61" t="s">
        <v>4555</v>
      </c>
      <c r="P124" s="7"/>
      <c r="Q124" s="171"/>
      <c r="R124" s="239" t="s">
        <v>5248</v>
      </c>
      <c r="S124" s="326" t="s">
        <v>4543</v>
      </c>
      <c r="T124" s="137"/>
    </row>
    <row r="125" spans="1:20" s="40" customFormat="1" ht="20.100000000000001" customHeight="1">
      <c r="A125" s="1190" t="s">
        <v>5239</v>
      </c>
      <c r="B125" s="1190" t="s">
        <v>5275</v>
      </c>
      <c r="C125" s="1190" t="s">
        <v>5274</v>
      </c>
      <c r="D125" s="247" ph="1">
        <v>800</v>
      </c>
      <c r="E125" s="247" ph="1">
        <v>1500</v>
      </c>
      <c r="F125" s="247" ph="1">
        <v>1550</v>
      </c>
      <c r="G125" s="109" t="s">
        <v>4645</v>
      </c>
      <c r="H125" s="69" t="s">
        <v>4548</v>
      </c>
      <c r="I125" s="38" t="s">
        <v>4725</v>
      </c>
      <c r="J125" s="30"/>
      <c r="K125" s="118" t="s">
        <v>4772</v>
      </c>
      <c r="L125" s="116" t="s">
        <v>4539</v>
      </c>
      <c r="M125" s="6">
        <v>43084</v>
      </c>
      <c r="N125" s="6">
        <v>43100</v>
      </c>
      <c r="O125" s="61" t="s">
        <v>5249</v>
      </c>
      <c r="P125" s="7"/>
      <c r="Q125" s="171"/>
      <c r="R125" s="240" t="s">
        <v>5248</v>
      </c>
      <c r="S125" s="326" t="s">
        <v>4641</v>
      </c>
      <c r="T125" s="904"/>
    </row>
    <row r="126" spans="1:20" s="40" customFormat="1" ht="20.100000000000001" customHeight="1">
      <c r="A126" s="1190" t="s">
        <v>5239</v>
      </c>
      <c r="B126" s="1190" t="s">
        <v>5275</v>
      </c>
      <c r="C126" s="1190" t="s">
        <v>5274</v>
      </c>
      <c r="D126" s="961">
        <v>850</v>
      </c>
      <c r="E126" s="961">
        <v>1600</v>
      </c>
      <c r="F126" s="961">
        <v>1650</v>
      </c>
      <c r="G126" s="234" t="s">
        <v>4572</v>
      </c>
      <c r="H126" s="36" t="s">
        <v>4992</v>
      </c>
      <c r="I126" s="10" t="s">
        <v>4725</v>
      </c>
      <c r="J126" s="10"/>
      <c r="K126" s="20" t="s">
        <v>4665</v>
      </c>
      <c r="L126" s="116" t="s">
        <v>4539</v>
      </c>
      <c r="M126" s="15">
        <v>43070</v>
      </c>
      <c r="N126" s="15">
        <v>43100</v>
      </c>
      <c r="O126" s="59" t="s">
        <v>4571</v>
      </c>
      <c r="P126" s="14"/>
      <c r="Q126" s="167"/>
      <c r="R126" s="240" t="s">
        <v>5278</v>
      </c>
      <c r="S126" s="327" t="s">
        <v>4570</v>
      </c>
      <c r="T126" s="904"/>
    </row>
    <row r="127" spans="1:20" s="40" customFormat="1" ht="20.100000000000001" customHeight="1">
      <c r="A127" s="1190" t="s">
        <v>5239</v>
      </c>
      <c r="B127" s="1190" t="s">
        <v>5275</v>
      </c>
      <c r="C127" s="1190" t="s">
        <v>5274</v>
      </c>
      <c r="D127" s="320">
        <v>875</v>
      </c>
      <c r="E127" s="320">
        <f>D127*2-200</f>
        <v>1550</v>
      </c>
      <c r="F127" s="320">
        <f>D127*2-150</f>
        <v>1600</v>
      </c>
      <c r="G127" s="293" t="s">
        <v>4575</v>
      </c>
      <c r="H127" s="18" t="s">
        <v>4992</v>
      </c>
      <c r="I127" s="10" t="s">
        <v>4725</v>
      </c>
      <c r="J127" s="10"/>
      <c r="K127" s="10">
        <v>36</v>
      </c>
      <c r="L127" s="116" t="s">
        <v>4539</v>
      </c>
      <c r="M127" s="15">
        <v>43084</v>
      </c>
      <c r="N127" s="15">
        <v>43100</v>
      </c>
      <c r="O127" s="61" t="s">
        <v>5243</v>
      </c>
      <c r="P127" s="14"/>
      <c r="Q127" s="171"/>
      <c r="R127" s="240" t="s">
        <v>5115</v>
      </c>
      <c r="S127" s="328" t="s">
        <v>4543</v>
      </c>
      <c r="T127" s="904"/>
    </row>
    <row r="128" spans="1:20" s="40" customFormat="1" ht="20.100000000000001" customHeight="1">
      <c r="A128" s="1190" t="s">
        <v>5239</v>
      </c>
      <c r="B128" s="1190" t="s">
        <v>5275</v>
      </c>
      <c r="C128" s="1190" t="s">
        <v>5274</v>
      </c>
      <c r="D128" s="248">
        <v>800</v>
      </c>
      <c r="E128" s="248">
        <v>1500</v>
      </c>
      <c r="F128" s="248">
        <v>1500</v>
      </c>
      <c r="G128" s="234" t="s">
        <v>4904</v>
      </c>
      <c r="H128" s="22">
        <v>7</v>
      </c>
      <c r="I128" s="10" t="s">
        <v>4725</v>
      </c>
      <c r="J128" s="10"/>
      <c r="K128" s="20" t="s">
        <v>4665</v>
      </c>
      <c r="L128" s="116" t="s">
        <v>4539</v>
      </c>
      <c r="M128" s="15">
        <v>43084</v>
      </c>
      <c r="N128" s="15">
        <v>43100</v>
      </c>
      <c r="O128" s="61" t="s">
        <v>5241</v>
      </c>
      <c r="P128" s="14"/>
      <c r="Q128" s="171"/>
      <c r="R128" s="240" t="s">
        <v>5277</v>
      </c>
      <c r="S128" s="336" t="s">
        <v>1952</v>
      </c>
      <c r="T128" s="904"/>
    </row>
    <row r="129" spans="1:20" s="40" customFormat="1" ht="20.100000000000001" customHeight="1">
      <c r="A129" s="1190" t="s">
        <v>5239</v>
      </c>
      <c r="B129" s="1190" t="s">
        <v>5275</v>
      </c>
      <c r="C129" s="1190" t="s">
        <v>5274</v>
      </c>
      <c r="D129" s="247">
        <v>775</v>
      </c>
      <c r="E129" s="247">
        <v>1450</v>
      </c>
      <c r="F129" s="247">
        <v>1500</v>
      </c>
      <c r="G129" s="70" t="s">
        <v>4542</v>
      </c>
      <c r="H129" s="22">
        <v>7</v>
      </c>
      <c r="I129" s="38" t="s">
        <v>4725</v>
      </c>
      <c r="J129" s="30"/>
      <c r="K129" s="116" t="s">
        <v>4665</v>
      </c>
      <c r="L129" s="116" t="s">
        <v>4539</v>
      </c>
      <c r="M129" s="15">
        <v>43084</v>
      </c>
      <c r="N129" s="15">
        <v>43100</v>
      </c>
      <c r="O129" s="61" t="s">
        <v>5238</v>
      </c>
      <c r="P129" s="14"/>
      <c r="Q129" s="171"/>
      <c r="R129" s="240" t="s">
        <v>5276</v>
      </c>
      <c r="S129" s="326" t="s">
        <v>4537</v>
      </c>
      <c r="T129" s="904"/>
    </row>
    <row r="130" spans="1:20" s="40" customFormat="1" ht="20.100000000000001" customHeight="1">
      <c r="A130" s="1190" t="s">
        <v>5239</v>
      </c>
      <c r="B130" s="1190" t="s">
        <v>5275</v>
      </c>
      <c r="C130" s="1190" t="s">
        <v>5274</v>
      </c>
      <c r="D130" s="950">
        <v>780</v>
      </c>
      <c r="E130" s="950">
        <v>1457</v>
      </c>
      <c r="F130" s="950">
        <v>1457</v>
      </c>
      <c r="G130" s="224" t="s">
        <v>4569</v>
      </c>
      <c r="H130" s="236" t="s">
        <v>4992</v>
      </c>
      <c r="I130" s="38" t="s">
        <v>4725</v>
      </c>
      <c r="J130" s="38"/>
      <c r="K130" s="51" t="s">
        <v>4601</v>
      </c>
      <c r="L130" s="116" t="s">
        <v>4539</v>
      </c>
      <c r="M130" s="6">
        <v>43074</v>
      </c>
      <c r="N130" s="6">
        <v>43084</v>
      </c>
      <c r="O130" s="61" t="s">
        <v>4567</v>
      </c>
      <c r="P130" s="74"/>
      <c r="Q130" s="7"/>
      <c r="R130" s="239" t="s">
        <v>5261</v>
      </c>
      <c r="S130" s="328" t="s">
        <v>4543</v>
      </c>
      <c r="T130" s="904"/>
    </row>
    <row r="131" spans="1:20" s="40" customFormat="1" ht="20.100000000000001" customHeight="1">
      <c r="A131" s="1190" t="s">
        <v>5239</v>
      </c>
      <c r="B131" s="1190" t="s">
        <v>5275</v>
      </c>
      <c r="C131" s="1190" t="s">
        <v>5274</v>
      </c>
      <c r="D131" s="961" ph="1"/>
      <c r="E131" s="961" ph="1"/>
      <c r="F131" s="961" ph="1"/>
      <c r="G131" s="65" t="s">
        <v>4553</v>
      </c>
      <c r="H131" s="69" t="s">
        <v>4992</v>
      </c>
      <c r="I131" s="38" t="s">
        <v>4725</v>
      </c>
      <c r="J131" s="38"/>
      <c r="K131" s="51" t="s">
        <v>4601</v>
      </c>
      <c r="L131" s="116" t="s">
        <v>4539</v>
      </c>
      <c r="M131" s="6">
        <v>43085</v>
      </c>
      <c r="N131" s="6">
        <v>43100</v>
      </c>
      <c r="O131" s="61" t="s">
        <v>4663</v>
      </c>
      <c r="P131" s="74"/>
      <c r="Q131" s="7"/>
      <c r="R131" s="239" t="s">
        <v>5226</v>
      </c>
      <c r="S131" s="328" t="s">
        <v>4543</v>
      </c>
      <c r="T131" s="904"/>
    </row>
    <row r="132" spans="1:20" s="40" customFormat="1" ht="20.100000000000001" customHeight="1">
      <c r="A132" s="1190" t="s">
        <v>5239</v>
      </c>
      <c r="B132" s="1190" t="s">
        <v>5190</v>
      </c>
      <c r="C132" s="1190" t="s">
        <v>5269</v>
      </c>
      <c r="D132" s="885">
        <v>750</v>
      </c>
      <c r="E132" s="885">
        <v>1400</v>
      </c>
      <c r="F132" s="885">
        <v>1450</v>
      </c>
      <c r="G132" s="63" t="s">
        <v>4636</v>
      </c>
      <c r="H132" s="36" t="s">
        <v>4552</v>
      </c>
      <c r="I132" s="38" t="s">
        <v>4725</v>
      </c>
      <c r="J132" s="37"/>
      <c r="K132" s="50" t="s">
        <v>5055</v>
      </c>
      <c r="L132" s="116" t="s">
        <v>4539</v>
      </c>
      <c r="M132" s="6">
        <v>43084</v>
      </c>
      <c r="N132" s="6">
        <v>43100</v>
      </c>
      <c r="O132" s="61" t="s">
        <v>4555</v>
      </c>
      <c r="P132" s="61"/>
      <c r="Q132" s="167"/>
      <c r="R132" s="239" t="s">
        <v>5229</v>
      </c>
      <c r="S132" s="327" t="s">
        <v>4632</v>
      </c>
      <c r="T132" s="904"/>
    </row>
    <row r="133" spans="1:20" s="40" customFormat="1" ht="20.100000000000001" customHeight="1">
      <c r="A133" s="1190" t="s">
        <v>5239</v>
      </c>
      <c r="B133" s="1190" t="s">
        <v>5190</v>
      </c>
      <c r="C133" s="1190" t="s">
        <v>5269</v>
      </c>
      <c r="D133" s="950">
        <v>780</v>
      </c>
      <c r="E133" s="950">
        <v>1457</v>
      </c>
      <c r="F133" s="950">
        <v>1457</v>
      </c>
      <c r="G133" s="224" t="s">
        <v>4569</v>
      </c>
      <c r="H133" s="36" t="s">
        <v>4552</v>
      </c>
      <c r="I133" s="51" t="s">
        <v>4725</v>
      </c>
      <c r="J133" s="34"/>
      <c r="K133" s="50" t="s">
        <v>5055</v>
      </c>
      <c r="L133" s="116" t="s">
        <v>4539</v>
      </c>
      <c r="M133" s="6">
        <v>43074</v>
      </c>
      <c r="N133" s="6">
        <v>43084</v>
      </c>
      <c r="O133" s="61" t="s">
        <v>4567</v>
      </c>
      <c r="P133" s="74"/>
      <c r="Q133" s="167"/>
      <c r="R133" s="239" t="s">
        <v>5273</v>
      </c>
      <c r="S133" s="328" t="s">
        <v>4543</v>
      </c>
      <c r="T133" s="904"/>
    </row>
    <row r="134" spans="1:20" s="40" customFormat="1" ht="20.100000000000001" customHeight="1">
      <c r="A134" s="1190" t="s">
        <v>5239</v>
      </c>
      <c r="B134" s="1190" t="s">
        <v>5190</v>
      </c>
      <c r="C134" s="1190" t="s">
        <v>5269</v>
      </c>
      <c r="D134" s="960" ph="1">
        <v>900</v>
      </c>
      <c r="E134" s="960" ph="1">
        <v>1600</v>
      </c>
      <c r="F134" s="960" ph="1">
        <v>1650</v>
      </c>
      <c r="G134" s="65" t="s">
        <v>4553</v>
      </c>
      <c r="H134" s="55" t="s">
        <v>4552</v>
      </c>
      <c r="I134" s="20" t="s">
        <v>4725</v>
      </c>
      <c r="J134" s="24"/>
      <c r="K134" s="20" t="s">
        <v>5055</v>
      </c>
      <c r="L134" s="118" t="s">
        <v>4539</v>
      </c>
      <c r="M134" s="6">
        <v>43085</v>
      </c>
      <c r="N134" s="6">
        <v>43100</v>
      </c>
      <c r="O134" s="59" t="s">
        <v>4663</v>
      </c>
      <c r="P134" s="52"/>
      <c r="Q134" s="167"/>
      <c r="R134" s="239" t="s">
        <v>4550</v>
      </c>
      <c r="S134" s="328" t="s">
        <v>4543</v>
      </c>
      <c r="T134" s="904"/>
    </row>
    <row r="135" spans="1:20" s="40" customFormat="1" ht="20.100000000000001" customHeight="1">
      <c r="A135" s="1190" t="s">
        <v>5239</v>
      </c>
      <c r="B135" s="1190" t="s">
        <v>5190</v>
      </c>
      <c r="C135" s="1190" t="s">
        <v>5269</v>
      </c>
      <c r="D135" s="247" ph="1">
        <v>725</v>
      </c>
      <c r="E135" s="247" ph="1">
        <v>1350</v>
      </c>
      <c r="F135" s="247" ph="1">
        <v>1400</v>
      </c>
      <c r="G135" s="63" t="s">
        <v>4566</v>
      </c>
      <c r="H135" s="36" t="s">
        <v>4649</v>
      </c>
      <c r="I135" s="38" t="s">
        <v>4725</v>
      </c>
      <c r="J135" s="37"/>
      <c r="K135" s="50" t="s">
        <v>4919</v>
      </c>
      <c r="L135" s="116" t="s">
        <v>4539</v>
      </c>
      <c r="M135" s="15">
        <v>43084</v>
      </c>
      <c r="N135" s="15">
        <v>43100</v>
      </c>
      <c r="O135" s="61" t="s">
        <v>4638</v>
      </c>
      <c r="P135" s="7"/>
      <c r="Q135" s="173"/>
      <c r="R135" s="240" t="s">
        <v>4969</v>
      </c>
      <c r="S135" s="327" t="s">
        <v>4561</v>
      </c>
      <c r="T135" s="904"/>
    </row>
    <row r="136" spans="1:20" s="40" customFormat="1" ht="20.100000000000001" customHeight="1">
      <c r="A136" s="1190" t="s">
        <v>5239</v>
      </c>
      <c r="B136" s="1190" t="s">
        <v>5190</v>
      </c>
      <c r="C136" s="1190" t="s">
        <v>5269</v>
      </c>
      <c r="D136" s="953" ph="1">
        <v>765</v>
      </c>
      <c r="E136" s="953" ph="1">
        <v>1430</v>
      </c>
      <c r="F136" s="953" ph="1">
        <v>1480</v>
      </c>
      <c r="G136" s="70" t="s">
        <v>4560</v>
      </c>
      <c r="H136" s="69" t="s">
        <v>4649</v>
      </c>
      <c r="I136" s="51" t="s">
        <v>4725</v>
      </c>
      <c r="J136" s="34"/>
      <c r="K136" s="50" t="s">
        <v>4919</v>
      </c>
      <c r="L136" s="116" t="s">
        <v>4539</v>
      </c>
      <c r="M136" s="15">
        <v>43084</v>
      </c>
      <c r="N136" s="15">
        <v>43100</v>
      </c>
      <c r="O136" s="59" t="s">
        <v>4559</v>
      </c>
      <c r="P136" s="61"/>
      <c r="Q136" s="173"/>
      <c r="R136" s="240" t="s">
        <v>4969</v>
      </c>
      <c r="S136" s="326" t="s">
        <v>5251</v>
      </c>
      <c r="T136" s="904"/>
    </row>
    <row r="137" spans="1:20" s="40" customFormat="1" ht="20.100000000000001" customHeight="1">
      <c r="A137" s="1190" t="s">
        <v>5239</v>
      </c>
      <c r="B137" s="1190" t="s">
        <v>5190</v>
      </c>
      <c r="C137" s="1190" t="s">
        <v>5269</v>
      </c>
      <c r="D137" s="247" ph="1">
        <v>750</v>
      </c>
      <c r="E137" s="247" ph="1">
        <v>1400</v>
      </c>
      <c r="F137" s="247" ph="1">
        <v>1400</v>
      </c>
      <c r="G137" s="293" t="s">
        <v>4557</v>
      </c>
      <c r="H137" s="36" t="s">
        <v>4649</v>
      </c>
      <c r="I137" s="38" t="s">
        <v>4725</v>
      </c>
      <c r="J137" s="37"/>
      <c r="K137" s="50" t="s">
        <v>4919</v>
      </c>
      <c r="L137" s="116" t="s">
        <v>4539</v>
      </c>
      <c r="M137" s="6">
        <v>43084</v>
      </c>
      <c r="N137" s="6">
        <v>43100</v>
      </c>
      <c r="O137" s="61" t="s">
        <v>4555</v>
      </c>
      <c r="P137" s="7"/>
      <c r="Q137" s="173"/>
      <c r="R137" s="239" t="s">
        <v>4969</v>
      </c>
      <c r="S137" s="326" t="s">
        <v>4543</v>
      </c>
      <c r="T137" s="904"/>
    </row>
    <row r="138" spans="1:20" s="40" customFormat="1" ht="20.100000000000001" customHeight="1">
      <c r="A138" s="1190" t="s">
        <v>5239</v>
      </c>
      <c r="B138" s="1190" t="s">
        <v>5190</v>
      </c>
      <c r="C138" s="1190" t="s">
        <v>5269</v>
      </c>
      <c r="D138" s="247" ph="1">
        <v>800</v>
      </c>
      <c r="E138" s="247" ph="1">
        <v>1500</v>
      </c>
      <c r="F138" s="247" ph="1">
        <v>1550</v>
      </c>
      <c r="G138" s="109" t="s">
        <v>4645</v>
      </c>
      <c r="H138" s="36" t="s">
        <v>4649</v>
      </c>
      <c r="I138" s="51" t="s">
        <v>4725</v>
      </c>
      <c r="J138" s="34"/>
      <c r="K138" s="50" t="s">
        <v>4919</v>
      </c>
      <c r="L138" s="116" t="s">
        <v>4539</v>
      </c>
      <c r="M138" s="6">
        <v>43084</v>
      </c>
      <c r="N138" s="6">
        <v>43100</v>
      </c>
      <c r="O138" s="61" t="s">
        <v>5249</v>
      </c>
      <c r="P138" s="7"/>
      <c r="Q138" s="173"/>
      <c r="R138" s="240" t="s">
        <v>4969</v>
      </c>
      <c r="S138" s="326" t="s">
        <v>4641</v>
      </c>
      <c r="T138" s="904"/>
    </row>
    <row r="139" spans="1:20" s="40" customFormat="1" ht="20.100000000000001" customHeight="1">
      <c r="A139" s="1190" t="s">
        <v>5239</v>
      </c>
      <c r="B139" s="1190" t="s">
        <v>5190</v>
      </c>
      <c r="C139" s="1190" t="s">
        <v>5269</v>
      </c>
      <c r="D139" s="961">
        <v>850</v>
      </c>
      <c r="E139" s="961">
        <v>1600</v>
      </c>
      <c r="F139" s="961">
        <v>1650</v>
      </c>
      <c r="G139" s="234" t="s">
        <v>4572</v>
      </c>
      <c r="H139" s="69" t="s">
        <v>5150</v>
      </c>
      <c r="I139" s="51" t="s">
        <v>4725</v>
      </c>
      <c r="J139" s="34"/>
      <c r="K139" s="50" t="s">
        <v>5023</v>
      </c>
      <c r="L139" s="116" t="s">
        <v>4539</v>
      </c>
      <c r="M139" s="15">
        <v>43070</v>
      </c>
      <c r="N139" s="15">
        <v>43100</v>
      </c>
      <c r="O139" s="59" t="s">
        <v>4571</v>
      </c>
      <c r="P139" s="61"/>
      <c r="Q139" s="167"/>
      <c r="R139" s="239" t="s">
        <v>5272</v>
      </c>
      <c r="S139" s="327" t="s">
        <v>4570</v>
      </c>
      <c r="T139" s="904"/>
    </row>
    <row r="140" spans="1:20" s="40" customFormat="1" ht="20.100000000000001" customHeight="1">
      <c r="A140" s="1190" t="s">
        <v>5239</v>
      </c>
      <c r="B140" s="1190" t="s">
        <v>5190</v>
      </c>
      <c r="C140" s="1190" t="s">
        <v>5269</v>
      </c>
      <c r="D140" s="320">
        <v>875</v>
      </c>
      <c r="E140" s="320">
        <f>D140*2-200</f>
        <v>1550</v>
      </c>
      <c r="F140" s="320">
        <f>D140*2-150</f>
        <v>1600</v>
      </c>
      <c r="G140" s="293" t="s">
        <v>4575</v>
      </c>
      <c r="H140" s="244" t="s">
        <v>5150</v>
      </c>
      <c r="I140" s="51" t="s">
        <v>4725</v>
      </c>
      <c r="J140" s="34"/>
      <c r="K140" s="50" t="s">
        <v>5023</v>
      </c>
      <c r="L140" s="116" t="s">
        <v>4539</v>
      </c>
      <c r="M140" s="15">
        <v>43084</v>
      </c>
      <c r="N140" s="15">
        <v>43100</v>
      </c>
      <c r="O140" s="61" t="s">
        <v>5243</v>
      </c>
      <c r="P140" s="61"/>
      <c r="Q140" s="167"/>
      <c r="R140" s="239" t="s">
        <v>5271</v>
      </c>
      <c r="S140" s="328" t="s">
        <v>4543</v>
      </c>
      <c r="T140" s="904"/>
    </row>
    <row r="141" spans="1:20" s="40" customFormat="1" ht="20.100000000000001" customHeight="1">
      <c r="A141" s="1190" t="s">
        <v>5239</v>
      </c>
      <c r="B141" s="1190" t="s">
        <v>5190</v>
      </c>
      <c r="C141" s="1190" t="s">
        <v>5269</v>
      </c>
      <c r="D141" s="248">
        <v>800</v>
      </c>
      <c r="E141" s="248">
        <v>1500</v>
      </c>
      <c r="F141" s="248">
        <v>1500</v>
      </c>
      <c r="G141" s="234" t="s">
        <v>4904</v>
      </c>
      <c r="H141" s="56" t="s">
        <v>5150</v>
      </c>
      <c r="I141" s="51" t="s">
        <v>4725</v>
      </c>
      <c r="J141" s="34"/>
      <c r="K141" s="50" t="s">
        <v>5023</v>
      </c>
      <c r="L141" s="116" t="s">
        <v>4539</v>
      </c>
      <c r="M141" s="15">
        <v>43084</v>
      </c>
      <c r="N141" s="15">
        <v>43100</v>
      </c>
      <c r="O141" s="61" t="s">
        <v>5241</v>
      </c>
      <c r="P141" s="61"/>
      <c r="Q141" s="167"/>
      <c r="R141" s="21" t="s">
        <v>5148</v>
      </c>
      <c r="S141" s="336" t="s">
        <v>1952</v>
      </c>
      <c r="T141" s="904"/>
    </row>
    <row r="142" spans="1:20" s="40" customFormat="1" ht="20.100000000000001" customHeight="1">
      <c r="A142" s="1190" t="s">
        <v>5239</v>
      </c>
      <c r="B142" s="1190" t="s">
        <v>5190</v>
      </c>
      <c r="C142" s="1190" t="s">
        <v>5269</v>
      </c>
      <c r="D142" s="247">
        <v>775</v>
      </c>
      <c r="E142" s="247">
        <v>1450</v>
      </c>
      <c r="F142" s="247">
        <v>1500</v>
      </c>
      <c r="G142" s="64" t="s">
        <v>4542</v>
      </c>
      <c r="H142" s="36" t="s">
        <v>5150</v>
      </c>
      <c r="I142" s="38" t="s">
        <v>4725</v>
      </c>
      <c r="J142" s="37"/>
      <c r="K142" s="50" t="s">
        <v>5023</v>
      </c>
      <c r="L142" s="116" t="s">
        <v>4539</v>
      </c>
      <c r="M142" s="15">
        <v>43084</v>
      </c>
      <c r="N142" s="15">
        <v>43100</v>
      </c>
      <c r="O142" s="61" t="s">
        <v>5238</v>
      </c>
      <c r="P142" s="61"/>
      <c r="Q142" s="167"/>
      <c r="R142" s="239" t="s">
        <v>5270</v>
      </c>
      <c r="S142" s="326" t="s">
        <v>4537</v>
      </c>
      <c r="T142" s="904"/>
    </row>
    <row r="143" spans="1:20" s="40" customFormat="1" ht="20.100000000000001" customHeight="1">
      <c r="A143" s="1190" t="s">
        <v>5239</v>
      </c>
      <c r="B143" s="1190" t="s">
        <v>5190</v>
      </c>
      <c r="C143" s="1190" t="s">
        <v>5269</v>
      </c>
      <c r="D143" s="247" ph="1">
        <v>725</v>
      </c>
      <c r="E143" s="247" ph="1">
        <v>1150</v>
      </c>
      <c r="F143" s="247" ph="1">
        <v>1150</v>
      </c>
      <c r="G143" s="220" t="s">
        <v>5255</v>
      </c>
      <c r="H143" s="36" t="s">
        <v>4548</v>
      </c>
      <c r="I143" s="51" t="s">
        <v>4725</v>
      </c>
      <c r="J143" s="34"/>
      <c r="K143" s="50" t="s">
        <v>4919</v>
      </c>
      <c r="L143" s="116" t="s">
        <v>4539</v>
      </c>
      <c r="M143" s="15">
        <v>43073</v>
      </c>
      <c r="N143" s="15">
        <v>43093</v>
      </c>
      <c r="O143" s="59" t="s">
        <v>5254</v>
      </c>
      <c r="P143" s="61"/>
      <c r="Q143" s="167"/>
      <c r="R143" s="240" t="s">
        <v>4736</v>
      </c>
      <c r="S143" s="327" t="s">
        <v>5253</v>
      </c>
      <c r="T143" s="904"/>
    </row>
    <row r="144" spans="1:20" s="40" customFormat="1" ht="20.100000000000001" customHeight="1">
      <c r="A144" s="1190" t="s">
        <v>5239</v>
      </c>
      <c r="B144" s="1190" t="s">
        <v>5190</v>
      </c>
      <c r="C144" s="1190" t="s">
        <v>5269</v>
      </c>
      <c r="D144" s="961">
        <v>850</v>
      </c>
      <c r="E144" s="961">
        <v>1600</v>
      </c>
      <c r="F144" s="961">
        <v>1650</v>
      </c>
      <c r="G144" s="234" t="s">
        <v>4572</v>
      </c>
      <c r="H144" s="36" t="s">
        <v>4548</v>
      </c>
      <c r="I144" s="51" t="s">
        <v>4725</v>
      </c>
      <c r="J144" s="34"/>
      <c r="K144" s="50" t="s">
        <v>4919</v>
      </c>
      <c r="L144" s="116" t="s">
        <v>4539</v>
      </c>
      <c r="M144" s="15">
        <v>43070</v>
      </c>
      <c r="N144" s="15">
        <v>43100</v>
      </c>
      <c r="O144" s="59" t="s">
        <v>4571</v>
      </c>
      <c r="P144" s="61"/>
      <c r="Q144" s="167"/>
      <c r="R144" s="239" t="s">
        <v>4736</v>
      </c>
      <c r="S144" s="327" t="s">
        <v>4570</v>
      </c>
      <c r="T144" s="904"/>
    </row>
    <row r="145" spans="1:68" s="40" customFormat="1" ht="20.100000000000001" customHeight="1">
      <c r="A145" s="1190" t="s">
        <v>5239</v>
      </c>
      <c r="B145" s="1190" t="s">
        <v>5190</v>
      </c>
      <c r="C145" s="1190" t="s">
        <v>5269</v>
      </c>
      <c r="D145" s="320">
        <v>875</v>
      </c>
      <c r="E145" s="320">
        <f>D145*2-200</f>
        <v>1550</v>
      </c>
      <c r="F145" s="320">
        <f>D145*2-150</f>
        <v>1600</v>
      </c>
      <c r="G145" s="293" t="s">
        <v>4575</v>
      </c>
      <c r="H145" s="55" t="s">
        <v>4548</v>
      </c>
      <c r="I145" s="51" t="s">
        <v>4725</v>
      </c>
      <c r="J145" s="34"/>
      <c r="K145" s="50" t="s">
        <v>4919</v>
      </c>
      <c r="L145" s="116" t="s">
        <v>4539</v>
      </c>
      <c r="M145" s="15">
        <v>43084</v>
      </c>
      <c r="N145" s="15">
        <v>43100</v>
      </c>
      <c r="O145" s="61" t="s">
        <v>5243</v>
      </c>
      <c r="P145" s="61"/>
      <c r="Q145" s="167"/>
      <c r="R145" s="239" t="s">
        <v>4577</v>
      </c>
      <c r="S145" s="328" t="s">
        <v>4543</v>
      </c>
      <c r="T145" s="904"/>
    </row>
    <row r="146" spans="1:68" s="40" customFormat="1" ht="20.100000000000001" customHeight="1">
      <c r="A146" s="1190" t="s">
        <v>5239</v>
      </c>
      <c r="B146" s="1190" t="s">
        <v>5190</v>
      </c>
      <c r="C146" s="1190" t="s">
        <v>5269</v>
      </c>
      <c r="D146" s="248">
        <v>800</v>
      </c>
      <c r="E146" s="248">
        <v>1500</v>
      </c>
      <c r="F146" s="248">
        <v>1500</v>
      </c>
      <c r="G146" s="234" t="s">
        <v>4904</v>
      </c>
      <c r="H146" s="56" t="s">
        <v>4548</v>
      </c>
      <c r="I146" s="51" t="s">
        <v>4725</v>
      </c>
      <c r="J146" s="34"/>
      <c r="K146" s="50" t="s">
        <v>4919</v>
      </c>
      <c r="L146" s="116" t="s">
        <v>4539</v>
      </c>
      <c r="M146" s="15">
        <v>43084</v>
      </c>
      <c r="N146" s="15">
        <v>43100</v>
      </c>
      <c r="O146" s="61" t="s">
        <v>5241</v>
      </c>
      <c r="P146" s="61"/>
      <c r="Q146" s="167"/>
      <c r="R146" s="239" t="s">
        <v>5223</v>
      </c>
      <c r="S146" s="336" t="s">
        <v>1952</v>
      </c>
      <c r="T146" s="904"/>
    </row>
    <row r="147" spans="1:68" s="40" customFormat="1" ht="20.100000000000001" customHeight="1">
      <c r="A147" s="1190" t="s">
        <v>5239</v>
      </c>
      <c r="B147" s="1190" t="s">
        <v>5190</v>
      </c>
      <c r="C147" s="1190" t="s">
        <v>5269</v>
      </c>
      <c r="D147" s="247">
        <v>775</v>
      </c>
      <c r="E147" s="247">
        <v>1450</v>
      </c>
      <c r="F147" s="247">
        <v>1500</v>
      </c>
      <c r="G147" s="64" t="s">
        <v>4542</v>
      </c>
      <c r="H147" s="36" t="s">
        <v>4548</v>
      </c>
      <c r="I147" s="38" t="s">
        <v>4725</v>
      </c>
      <c r="J147" s="37"/>
      <c r="K147" s="50" t="s">
        <v>4919</v>
      </c>
      <c r="L147" s="116" t="s">
        <v>4539</v>
      </c>
      <c r="M147" s="15">
        <v>43084</v>
      </c>
      <c r="N147" s="15">
        <v>43100</v>
      </c>
      <c r="O147" s="61" t="s">
        <v>5238</v>
      </c>
      <c r="P147" s="61"/>
      <c r="Q147" s="167"/>
      <c r="R147" s="239" t="s">
        <v>5252</v>
      </c>
      <c r="S147" s="326" t="s">
        <v>4537</v>
      </c>
      <c r="T147" s="137"/>
    </row>
    <row r="148" spans="1:68" s="40" customFormat="1" ht="20.100000000000001" customHeight="1">
      <c r="A148" s="1190" t="s">
        <v>5239</v>
      </c>
      <c r="B148" s="1190" t="s">
        <v>5190</v>
      </c>
      <c r="C148" s="1190" t="s">
        <v>5269</v>
      </c>
      <c r="D148" s="950">
        <v>780</v>
      </c>
      <c r="E148" s="950">
        <v>1457</v>
      </c>
      <c r="F148" s="950">
        <v>1457</v>
      </c>
      <c r="G148" s="224" t="s">
        <v>4569</v>
      </c>
      <c r="H148" s="194" t="s">
        <v>4992</v>
      </c>
      <c r="I148" s="51" t="s">
        <v>4725</v>
      </c>
      <c r="J148" s="34"/>
      <c r="K148" s="50" t="s">
        <v>4546</v>
      </c>
      <c r="L148" s="116" t="s">
        <v>4539</v>
      </c>
      <c r="M148" s="6">
        <v>43074</v>
      </c>
      <c r="N148" s="6">
        <v>43084</v>
      </c>
      <c r="O148" s="61" t="s">
        <v>4567</v>
      </c>
      <c r="P148" s="74"/>
      <c r="Q148" s="7"/>
      <c r="R148" s="239" t="s">
        <v>5261</v>
      </c>
      <c r="S148" s="328" t="s">
        <v>4543</v>
      </c>
      <c r="T148" s="137"/>
    </row>
    <row r="149" spans="1:68" s="40" customFormat="1" ht="20.100000000000001" customHeight="1">
      <c r="A149" s="1190" t="s">
        <v>5239</v>
      </c>
      <c r="B149" s="1190" t="s">
        <v>5190</v>
      </c>
      <c r="C149" s="1190" t="s">
        <v>5269</v>
      </c>
      <c r="D149" s="961" ph="1"/>
      <c r="E149" s="961" ph="1"/>
      <c r="F149" s="961" ph="1"/>
      <c r="G149" s="65" t="s">
        <v>4553</v>
      </c>
      <c r="H149" s="36" t="s">
        <v>4992</v>
      </c>
      <c r="I149" s="51" t="s">
        <v>4725</v>
      </c>
      <c r="J149" s="34"/>
      <c r="K149" s="50" t="s">
        <v>4546</v>
      </c>
      <c r="L149" s="116" t="s">
        <v>4539</v>
      </c>
      <c r="M149" s="6">
        <v>43085</v>
      </c>
      <c r="N149" s="6">
        <v>43100</v>
      </c>
      <c r="O149" s="59" t="s">
        <v>4663</v>
      </c>
      <c r="P149" s="74"/>
      <c r="Q149" s="7"/>
      <c r="R149" s="239" t="s">
        <v>5226</v>
      </c>
      <c r="S149" s="328" t="s">
        <v>4543</v>
      </c>
      <c r="T149" s="137"/>
    </row>
    <row r="150" spans="1:68" s="40" customFormat="1" ht="20.100000000000001" customHeight="1">
      <c r="A150" s="1190" t="s">
        <v>5239</v>
      </c>
      <c r="B150" s="1190" t="s">
        <v>5190</v>
      </c>
      <c r="C150" s="1190" t="s">
        <v>5268</v>
      </c>
      <c r="D150" s="961">
        <v>850</v>
      </c>
      <c r="E150" s="961">
        <v>1600</v>
      </c>
      <c r="F150" s="961">
        <v>1650</v>
      </c>
      <c r="G150" s="234" t="s">
        <v>4572</v>
      </c>
      <c r="H150" s="36" t="s">
        <v>4548</v>
      </c>
      <c r="I150" s="51" t="s">
        <v>4725</v>
      </c>
      <c r="J150" s="34"/>
      <c r="K150" s="50" t="s">
        <v>5025</v>
      </c>
      <c r="L150" s="116" t="s">
        <v>4539</v>
      </c>
      <c r="M150" s="15">
        <v>43070</v>
      </c>
      <c r="N150" s="15">
        <v>43100</v>
      </c>
      <c r="O150" s="59" t="s">
        <v>4571</v>
      </c>
      <c r="P150" s="61"/>
      <c r="Q150" s="167"/>
      <c r="R150" s="239" t="s">
        <v>4736</v>
      </c>
      <c r="S150" s="327" t="s">
        <v>4570</v>
      </c>
      <c r="T150" s="137"/>
    </row>
    <row r="151" spans="1:68" s="40" customFormat="1" ht="20.100000000000001" customHeight="1">
      <c r="A151" s="1190" t="s">
        <v>5239</v>
      </c>
      <c r="B151" s="1190" t="s">
        <v>5190</v>
      </c>
      <c r="C151" s="1190" t="s">
        <v>5268</v>
      </c>
      <c r="D151" s="247" ph="1">
        <v>725</v>
      </c>
      <c r="E151" s="247" ph="1">
        <v>1150</v>
      </c>
      <c r="F151" s="247" ph="1">
        <v>1150</v>
      </c>
      <c r="G151" s="220" t="s">
        <v>5255</v>
      </c>
      <c r="H151" s="36" t="s">
        <v>4548</v>
      </c>
      <c r="I151" s="51" t="s">
        <v>4725</v>
      </c>
      <c r="J151" s="34"/>
      <c r="K151" s="50" t="s">
        <v>5025</v>
      </c>
      <c r="L151" s="116" t="s">
        <v>4539</v>
      </c>
      <c r="M151" s="15">
        <v>43073</v>
      </c>
      <c r="N151" s="15">
        <v>43093</v>
      </c>
      <c r="O151" s="59" t="s">
        <v>5254</v>
      </c>
      <c r="P151" s="61"/>
      <c r="Q151" s="167"/>
      <c r="R151" s="240" t="s">
        <v>4736</v>
      </c>
      <c r="S151" s="327" t="s">
        <v>5253</v>
      </c>
      <c r="T151" s="137"/>
    </row>
    <row r="152" spans="1:68" s="40" customFormat="1" ht="20.100000000000001" customHeight="1">
      <c r="A152" s="1190" t="s">
        <v>5239</v>
      </c>
      <c r="B152" s="1190" t="s">
        <v>5190</v>
      </c>
      <c r="C152" s="1190" t="s">
        <v>5268</v>
      </c>
      <c r="D152" s="320">
        <v>875</v>
      </c>
      <c r="E152" s="320">
        <f>D152*2-200</f>
        <v>1550</v>
      </c>
      <c r="F152" s="320">
        <f>D152*2-150</f>
        <v>1600</v>
      </c>
      <c r="G152" s="293" t="s">
        <v>4575</v>
      </c>
      <c r="H152" s="55" t="s">
        <v>4548</v>
      </c>
      <c r="I152" s="51" t="s">
        <v>4725</v>
      </c>
      <c r="J152" s="34"/>
      <c r="K152" s="50" t="s">
        <v>5025</v>
      </c>
      <c r="L152" s="116" t="s">
        <v>4539</v>
      </c>
      <c r="M152" s="15">
        <v>43084</v>
      </c>
      <c r="N152" s="15">
        <v>43100</v>
      </c>
      <c r="O152" s="61" t="s">
        <v>5243</v>
      </c>
      <c r="P152" s="61"/>
      <c r="Q152" s="167"/>
      <c r="R152" s="239" t="s">
        <v>4577</v>
      </c>
      <c r="S152" s="328" t="s">
        <v>4543</v>
      </c>
      <c r="T152" s="137"/>
    </row>
    <row r="153" spans="1:68" s="40" customFormat="1" ht="20.100000000000001" customHeight="1">
      <c r="A153" s="1190" t="s">
        <v>5239</v>
      </c>
      <c r="B153" s="1190" t="s">
        <v>5190</v>
      </c>
      <c r="C153" s="1190" t="s">
        <v>5268</v>
      </c>
      <c r="D153" s="248">
        <v>800</v>
      </c>
      <c r="E153" s="248">
        <v>1500</v>
      </c>
      <c r="F153" s="248">
        <v>1500</v>
      </c>
      <c r="G153" s="234" t="s">
        <v>4904</v>
      </c>
      <c r="H153" s="56" t="s">
        <v>4548</v>
      </c>
      <c r="I153" s="51" t="s">
        <v>4725</v>
      </c>
      <c r="J153" s="34"/>
      <c r="K153" s="50" t="s">
        <v>5025</v>
      </c>
      <c r="L153" s="116" t="s">
        <v>4539</v>
      </c>
      <c r="M153" s="15">
        <v>43084</v>
      </c>
      <c r="N153" s="15">
        <v>43100</v>
      </c>
      <c r="O153" s="61" t="s">
        <v>5241</v>
      </c>
      <c r="P153" s="61"/>
      <c r="Q153" s="167"/>
      <c r="R153" s="239" t="s">
        <v>5223</v>
      </c>
      <c r="S153" s="336" t="s">
        <v>1952</v>
      </c>
      <c r="T153" s="137"/>
    </row>
    <row r="154" spans="1:68" s="40" customFormat="1" ht="20.100000000000001" customHeight="1">
      <c r="A154" s="1190" t="s">
        <v>5239</v>
      </c>
      <c r="B154" s="1190" t="s">
        <v>5190</v>
      </c>
      <c r="C154" s="1190" t="s">
        <v>5268</v>
      </c>
      <c r="D154" s="247">
        <v>775</v>
      </c>
      <c r="E154" s="247">
        <v>1450</v>
      </c>
      <c r="F154" s="247">
        <v>1500</v>
      </c>
      <c r="G154" s="64" t="s">
        <v>4542</v>
      </c>
      <c r="H154" s="56" t="s">
        <v>4548</v>
      </c>
      <c r="I154" s="51" t="s">
        <v>4725</v>
      </c>
      <c r="J154" s="34"/>
      <c r="K154" s="50" t="s">
        <v>5025</v>
      </c>
      <c r="L154" s="116" t="s">
        <v>4539</v>
      </c>
      <c r="M154" s="15">
        <v>43084</v>
      </c>
      <c r="N154" s="15">
        <v>43100</v>
      </c>
      <c r="O154" s="61" t="s">
        <v>5238</v>
      </c>
      <c r="P154" s="61"/>
      <c r="Q154" s="167"/>
      <c r="R154" s="239" t="s">
        <v>5252</v>
      </c>
      <c r="S154" s="326" t="s">
        <v>4537</v>
      </c>
      <c r="T154" s="137"/>
    </row>
    <row r="155" spans="1:68" s="121" customFormat="1" ht="20.100000000000001" customHeight="1">
      <c r="A155" s="1190" t="s">
        <v>5239</v>
      </c>
      <c r="B155" s="1190" t="s">
        <v>4749</v>
      </c>
      <c r="C155" s="1190" t="s">
        <v>5260</v>
      </c>
      <c r="D155" s="885">
        <v>750</v>
      </c>
      <c r="E155" s="885">
        <v>1400</v>
      </c>
      <c r="F155" s="885">
        <v>1450</v>
      </c>
      <c r="G155" s="109" t="s">
        <v>4636</v>
      </c>
      <c r="H155" s="36" t="s">
        <v>4552</v>
      </c>
      <c r="I155" s="38" t="s">
        <v>4725</v>
      </c>
      <c r="J155" s="30"/>
      <c r="K155" s="34" t="s">
        <v>5023</v>
      </c>
      <c r="L155" s="116" t="s">
        <v>4539</v>
      </c>
      <c r="M155" s="6">
        <v>43084</v>
      </c>
      <c r="N155" s="6">
        <v>43100</v>
      </c>
      <c r="O155" s="61" t="s">
        <v>4555</v>
      </c>
      <c r="P155" s="7"/>
      <c r="Q155" s="167"/>
      <c r="R155" s="239" t="s">
        <v>5259</v>
      </c>
      <c r="S155" s="327" t="s">
        <v>4632</v>
      </c>
      <c r="T155" s="137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  <c r="BN155" s="120"/>
      <c r="BO155" s="120"/>
      <c r="BP155" s="120"/>
    </row>
    <row r="156" spans="1:68" s="121" customFormat="1" ht="20.100000000000001" customHeight="1">
      <c r="A156" s="1190" t="s">
        <v>5239</v>
      </c>
      <c r="B156" s="1190" t="s">
        <v>4749</v>
      </c>
      <c r="C156" s="1190" t="s">
        <v>5260</v>
      </c>
      <c r="D156" s="950">
        <v>780</v>
      </c>
      <c r="E156" s="950">
        <v>1457</v>
      </c>
      <c r="F156" s="950">
        <v>1457</v>
      </c>
      <c r="G156" s="224" t="s">
        <v>4569</v>
      </c>
      <c r="H156" s="194" t="s">
        <v>4552</v>
      </c>
      <c r="I156" s="38" t="s">
        <v>4725</v>
      </c>
      <c r="J156" s="37"/>
      <c r="K156" s="34" t="s">
        <v>5023</v>
      </c>
      <c r="L156" s="116" t="s">
        <v>4539</v>
      </c>
      <c r="M156" s="6">
        <v>43074</v>
      </c>
      <c r="N156" s="6">
        <v>43084</v>
      </c>
      <c r="O156" s="61" t="s">
        <v>4567</v>
      </c>
      <c r="P156" s="74"/>
      <c r="Q156" s="167"/>
      <c r="R156" s="239" t="s">
        <v>5258</v>
      </c>
      <c r="S156" s="328" t="s">
        <v>4543</v>
      </c>
      <c r="T156" s="137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  <c r="BN156" s="120"/>
      <c r="BO156" s="120"/>
      <c r="BP156" s="120"/>
    </row>
    <row r="157" spans="1:68" s="121" customFormat="1" ht="20.100000000000001" customHeight="1">
      <c r="A157" s="1190" t="s">
        <v>5239</v>
      </c>
      <c r="B157" s="1190" t="s">
        <v>4749</v>
      </c>
      <c r="C157" s="1190" t="s">
        <v>5260</v>
      </c>
      <c r="D157" s="960" ph="1">
        <v>900</v>
      </c>
      <c r="E157" s="960" ph="1">
        <v>1600</v>
      </c>
      <c r="F157" s="960" ph="1">
        <v>1650</v>
      </c>
      <c r="G157" s="65" t="s">
        <v>4553</v>
      </c>
      <c r="H157" s="36" t="s">
        <v>4552</v>
      </c>
      <c r="I157" s="10" t="s">
        <v>4725</v>
      </c>
      <c r="J157" s="10"/>
      <c r="K157" s="20" t="s">
        <v>5023</v>
      </c>
      <c r="L157" s="116" t="s">
        <v>4539</v>
      </c>
      <c r="M157" s="6">
        <v>43085</v>
      </c>
      <c r="N157" s="6">
        <v>43100</v>
      </c>
      <c r="O157" s="61" t="s">
        <v>4663</v>
      </c>
      <c r="P157" s="61"/>
      <c r="Q157" s="167"/>
      <c r="R157" s="239" t="s">
        <v>5257</v>
      </c>
      <c r="S157" s="328" t="s">
        <v>4543</v>
      </c>
      <c r="T157" s="137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</row>
    <row r="158" spans="1:68" s="40" customFormat="1" ht="20.100000000000001" customHeight="1">
      <c r="A158" s="1190" t="s">
        <v>5239</v>
      </c>
      <c r="B158" s="1190" t="s">
        <v>4749</v>
      </c>
      <c r="C158" s="1190" t="s">
        <v>5260</v>
      </c>
      <c r="D158" s="885">
        <v>750</v>
      </c>
      <c r="E158" s="885">
        <v>1400</v>
      </c>
      <c r="F158" s="885">
        <v>1450</v>
      </c>
      <c r="G158" s="109" t="s">
        <v>4636</v>
      </c>
      <c r="H158" s="69" t="s">
        <v>4552</v>
      </c>
      <c r="I158" s="38" t="s">
        <v>4725</v>
      </c>
      <c r="J158" s="30"/>
      <c r="K158" s="34" t="s">
        <v>4739</v>
      </c>
      <c r="L158" s="116" t="s">
        <v>4539</v>
      </c>
      <c r="M158" s="6">
        <v>43084</v>
      </c>
      <c r="N158" s="6">
        <v>43100</v>
      </c>
      <c r="O158" s="61" t="s">
        <v>4555</v>
      </c>
      <c r="P158" s="7"/>
      <c r="Q158" s="167"/>
      <c r="R158" s="239" t="s">
        <v>5229</v>
      </c>
      <c r="S158" s="327" t="s">
        <v>4632</v>
      </c>
      <c r="T158" s="137"/>
    </row>
    <row r="159" spans="1:68" s="40" customFormat="1" ht="20.100000000000001" customHeight="1">
      <c r="A159" s="1190" t="s">
        <v>5239</v>
      </c>
      <c r="B159" s="1190" t="s">
        <v>4749</v>
      </c>
      <c r="C159" s="1190" t="s">
        <v>5260</v>
      </c>
      <c r="D159" s="950">
        <v>805</v>
      </c>
      <c r="E159" s="950">
        <v>1510</v>
      </c>
      <c r="F159" s="950">
        <v>1510</v>
      </c>
      <c r="G159" s="224" t="s">
        <v>4569</v>
      </c>
      <c r="H159" s="194" t="s">
        <v>4552</v>
      </c>
      <c r="I159" s="38" t="s">
        <v>4725</v>
      </c>
      <c r="J159" s="37"/>
      <c r="K159" s="34" t="s">
        <v>4739</v>
      </c>
      <c r="L159" s="116" t="s">
        <v>4539</v>
      </c>
      <c r="M159" s="6">
        <v>43074</v>
      </c>
      <c r="N159" s="6">
        <v>43084</v>
      </c>
      <c r="O159" s="61" t="s">
        <v>4567</v>
      </c>
      <c r="P159" s="7"/>
      <c r="Q159" s="167"/>
      <c r="R159" s="239" t="s">
        <v>1765</v>
      </c>
      <c r="S159" s="328" t="s">
        <v>4543</v>
      </c>
      <c r="T159" s="137"/>
    </row>
    <row r="160" spans="1:68" s="40" customFormat="1" ht="20.100000000000001" customHeight="1">
      <c r="A160" s="1190" t="s">
        <v>5239</v>
      </c>
      <c r="B160" s="1190" t="s">
        <v>4749</v>
      </c>
      <c r="C160" s="1190" t="s">
        <v>5260</v>
      </c>
      <c r="D160" s="960" ph="1">
        <v>900</v>
      </c>
      <c r="E160" s="960" ph="1">
        <v>1600</v>
      </c>
      <c r="F160" s="960" ph="1">
        <v>1650</v>
      </c>
      <c r="G160" s="65" t="s">
        <v>4553</v>
      </c>
      <c r="H160" s="55" t="s">
        <v>4552</v>
      </c>
      <c r="I160" s="10" t="s">
        <v>4725</v>
      </c>
      <c r="J160" s="117"/>
      <c r="K160" s="10" t="s">
        <v>4739</v>
      </c>
      <c r="L160" s="116" t="s">
        <v>4539</v>
      </c>
      <c r="M160" s="6">
        <v>43085</v>
      </c>
      <c r="N160" s="6">
        <v>43100</v>
      </c>
      <c r="O160" s="61" t="s">
        <v>4663</v>
      </c>
      <c r="P160" s="61"/>
      <c r="Q160" s="167"/>
      <c r="R160" s="239" t="s">
        <v>4550</v>
      </c>
      <c r="S160" s="328" t="s">
        <v>4543</v>
      </c>
      <c r="T160" s="137"/>
    </row>
    <row r="161" spans="1:68" s="40" customFormat="1" ht="20.100000000000001" customHeight="1">
      <c r="A161" s="1190" t="s">
        <v>5239</v>
      </c>
      <c r="B161" s="1190" t="s">
        <v>4749</v>
      </c>
      <c r="C161" s="1190" t="s">
        <v>5260</v>
      </c>
      <c r="D161" s="961">
        <v>850</v>
      </c>
      <c r="E161" s="961">
        <v>1600</v>
      </c>
      <c r="F161" s="961">
        <v>1650</v>
      </c>
      <c r="G161" s="234" t="s">
        <v>4572</v>
      </c>
      <c r="H161" s="36">
        <v>2</v>
      </c>
      <c r="I161" s="38" t="s">
        <v>4725</v>
      </c>
      <c r="J161" s="37"/>
      <c r="K161" s="34" t="s">
        <v>5023</v>
      </c>
      <c r="L161" s="116" t="s">
        <v>4539</v>
      </c>
      <c r="M161" s="15">
        <v>43070</v>
      </c>
      <c r="N161" s="15">
        <v>43100</v>
      </c>
      <c r="O161" s="59" t="s">
        <v>4571</v>
      </c>
      <c r="P161" s="61"/>
      <c r="Q161" s="167"/>
      <c r="R161" s="239" t="s">
        <v>5244</v>
      </c>
      <c r="S161" s="327" t="s">
        <v>4570</v>
      </c>
      <c r="T161" s="137"/>
    </row>
    <row r="162" spans="1:68" s="40" customFormat="1" ht="20.100000000000001" customHeight="1">
      <c r="A162" s="1190" t="s">
        <v>5239</v>
      </c>
      <c r="B162" s="1190" t="s">
        <v>4749</v>
      </c>
      <c r="C162" s="1190" t="s">
        <v>5260</v>
      </c>
      <c r="D162" s="320">
        <v>875</v>
      </c>
      <c r="E162" s="320">
        <f>D162*2-200</f>
        <v>1550</v>
      </c>
      <c r="F162" s="320">
        <f>D162*2-150</f>
        <v>1600</v>
      </c>
      <c r="G162" s="234" t="s">
        <v>4575</v>
      </c>
      <c r="H162" s="69" t="s">
        <v>4649</v>
      </c>
      <c r="I162" s="38" t="s">
        <v>4725</v>
      </c>
      <c r="J162" s="30"/>
      <c r="K162" s="34" t="s">
        <v>5023</v>
      </c>
      <c r="L162" s="116" t="s">
        <v>4539</v>
      </c>
      <c r="M162" s="15">
        <v>43084</v>
      </c>
      <c r="N162" s="15">
        <v>43100</v>
      </c>
      <c r="O162" s="61" t="s">
        <v>4751</v>
      </c>
      <c r="P162" s="7"/>
      <c r="Q162" s="167"/>
      <c r="R162" s="239" t="s">
        <v>5242</v>
      </c>
      <c r="S162" s="328" t="s">
        <v>4543</v>
      </c>
      <c r="T162" s="137"/>
    </row>
    <row r="163" spans="1:68" s="40" customFormat="1" ht="20.100000000000001" customHeight="1">
      <c r="A163" s="1190" t="s">
        <v>5239</v>
      </c>
      <c r="B163" s="1190" t="s">
        <v>4749</v>
      </c>
      <c r="C163" s="1190" t="s">
        <v>5260</v>
      </c>
      <c r="D163" s="248">
        <v>800</v>
      </c>
      <c r="E163" s="248">
        <v>1500</v>
      </c>
      <c r="F163" s="248">
        <v>1500</v>
      </c>
      <c r="G163" s="234" t="s">
        <v>4904</v>
      </c>
      <c r="H163" s="36" t="s">
        <v>4649</v>
      </c>
      <c r="I163" s="10" t="s">
        <v>4725</v>
      </c>
      <c r="J163" s="117"/>
      <c r="K163" s="20" t="s">
        <v>5023</v>
      </c>
      <c r="L163" s="116" t="s">
        <v>4539</v>
      </c>
      <c r="M163" s="15">
        <v>43084</v>
      </c>
      <c r="N163" s="15">
        <v>43100</v>
      </c>
      <c r="O163" s="61" t="s">
        <v>5241</v>
      </c>
      <c r="P163" s="7"/>
      <c r="Q163" s="167"/>
      <c r="R163" s="239" t="s">
        <v>5240</v>
      </c>
      <c r="S163" s="336" t="s">
        <v>1952</v>
      </c>
      <c r="T163" s="137"/>
    </row>
    <row r="164" spans="1:68" s="40" customFormat="1" ht="20.100000000000001" customHeight="1">
      <c r="A164" s="1190" t="s">
        <v>5239</v>
      </c>
      <c r="B164" s="1190" t="s">
        <v>4749</v>
      </c>
      <c r="C164" s="1190" t="s">
        <v>5260</v>
      </c>
      <c r="D164" s="247">
        <v>775</v>
      </c>
      <c r="E164" s="247">
        <v>1450</v>
      </c>
      <c r="F164" s="247">
        <v>1500</v>
      </c>
      <c r="G164" s="70" t="s">
        <v>4542</v>
      </c>
      <c r="H164" s="22" t="s">
        <v>4649</v>
      </c>
      <c r="I164" s="38" t="s">
        <v>4725</v>
      </c>
      <c r="J164" s="30"/>
      <c r="K164" s="116" t="s">
        <v>5023</v>
      </c>
      <c r="L164" s="116" t="s">
        <v>4539</v>
      </c>
      <c r="M164" s="15">
        <v>43084</v>
      </c>
      <c r="N164" s="15">
        <v>43100</v>
      </c>
      <c r="O164" s="61" t="s">
        <v>5238</v>
      </c>
      <c r="P164" s="7"/>
      <c r="Q164" s="167"/>
      <c r="R164" s="239" t="s">
        <v>5237</v>
      </c>
      <c r="S164" s="326" t="s">
        <v>4537</v>
      </c>
      <c r="T164" s="137"/>
    </row>
    <row r="165" spans="1:68" s="40" customFormat="1" ht="20.100000000000001" customHeight="1">
      <c r="A165" s="1190" t="s">
        <v>5239</v>
      </c>
      <c r="B165" s="1190" t="s">
        <v>4749</v>
      </c>
      <c r="C165" s="1190" t="s">
        <v>5260</v>
      </c>
      <c r="D165" s="961">
        <v>850</v>
      </c>
      <c r="E165" s="961">
        <v>1600</v>
      </c>
      <c r="F165" s="961">
        <v>1650</v>
      </c>
      <c r="G165" s="234" t="s">
        <v>4572</v>
      </c>
      <c r="H165" s="69" t="s">
        <v>4649</v>
      </c>
      <c r="I165" s="10" t="s">
        <v>4725</v>
      </c>
      <c r="J165" s="34"/>
      <c r="K165" s="50" t="s">
        <v>4951</v>
      </c>
      <c r="L165" s="116" t="s">
        <v>4539</v>
      </c>
      <c r="M165" s="15">
        <v>43070</v>
      </c>
      <c r="N165" s="15">
        <v>43100</v>
      </c>
      <c r="O165" s="59" t="s">
        <v>4571</v>
      </c>
      <c r="P165" s="61"/>
      <c r="Q165" s="173"/>
      <c r="R165" s="239" t="s">
        <v>5256</v>
      </c>
      <c r="S165" s="327" t="s">
        <v>4570</v>
      </c>
      <c r="T165" s="137"/>
    </row>
    <row r="166" spans="1:68" s="121" customFormat="1" ht="20.100000000000001" customHeight="1">
      <c r="A166" s="1190" t="s">
        <v>5239</v>
      </c>
      <c r="B166" s="1190" t="s">
        <v>4749</v>
      </c>
      <c r="C166" s="1190" t="s">
        <v>5260</v>
      </c>
      <c r="D166" s="320">
        <v>875</v>
      </c>
      <c r="E166" s="320">
        <f>D166*2-200</f>
        <v>1550</v>
      </c>
      <c r="F166" s="320">
        <f>D166*2-150</f>
        <v>1600</v>
      </c>
      <c r="G166" s="293" t="s">
        <v>4575</v>
      </c>
      <c r="H166" s="210" t="s">
        <v>4649</v>
      </c>
      <c r="I166" s="10" t="s">
        <v>4725</v>
      </c>
      <c r="J166" s="117"/>
      <c r="K166" s="50" t="s">
        <v>4951</v>
      </c>
      <c r="L166" s="116" t="s">
        <v>4539</v>
      </c>
      <c r="M166" s="15">
        <v>43084</v>
      </c>
      <c r="N166" s="15">
        <v>43100</v>
      </c>
      <c r="O166" s="61" t="s">
        <v>4751</v>
      </c>
      <c r="P166" s="61"/>
      <c r="Q166" s="173"/>
      <c r="R166" s="239" t="s">
        <v>5123</v>
      </c>
      <c r="S166" s="328" t="s">
        <v>4543</v>
      </c>
      <c r="T166" s="137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</row>
    <row r="167" spans="1:68" s="121" customFormat="1" ht="20.100000000000001" customHeight="1">
      <c r="A167" s="1190" t="s">
        <v>5239</v>
      </c>
      <c r="B167" s="1190" t="s">
        <v>4749</v>
      </c>
      <c r="C167" s="1190" t="s">
        <v>5260</v>
      </c>
      <c r="D167" s="248">
        <v>800</v>
      </c>
      <c r="E167" s="248">
        <v>1500</v>
      </c>
      <c r="F167" s="248">
        <v>1500</v>
      </c>
      <c r="G167" s="234" t="s">
        <v>4904</v>
      </c>
      <c r="H167" s="22" t="s">
        <v>4649</v>
      </c>
      <c r="I167" s="10" t="s">
        <v>4725</v>
      </c>
      <c r="J167" s="117"/>
      <c r="K167" s="50" t="s">
        <v>4951</v>
      </c>
      <c r="L167" s="116" t="s">
        <v>4539</v>
      </c>
      <c r="M167" s="15">
        <v>43084</v>
      </c>
      <c r="N167" s="15">
        <v>43100</v>
      </c>
      <c r="O167" s="61" t="s">
        <v>5241</v>
      </c>
      <c r="P167" s="61"/>
      <c r="Q167" s="173"/>
      <c r="R167" s="21" t="s">
        <v>5121</v>
      </c>
      <c r="S167" s="336" t="s">
        <v>1952</v>
      </c>
      <c r="T167" s="137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</row>
    <row r="168" spans="1:68" s="121" customFormat="1" ht="20.100000000000001" customHeight="1">
      <c r="A168" s="1190" t="s">
        <v>5239</v>
      </c>
      <c r="B168" s="1190" t="s">
        <v>4749</v>
      </c>
      <c r="C168" s="1190" t="s">
        <v>5260</v>
      </c>
      <c r="D168" s="247">
        <v>775</v>
      </c>
      <c r="E168" s="247">
        <v>1450</v>
      </c>
      <c r="F168" s="247">
        <v>1500</v>
      </c>
      <c r="G168" s="70" t="s">
        <v>4542</v>
      </c>
      <c r="H168" s="22" t="s">
        <v>4649</v>
      </c>
      <c r="I168" s="38" t="s">
        <v>4725</v>
      </c>
      <c r="J168" s="30"/>
      <c r="K168" s="50" t="s">
        <v>4951</v>
      </c>
      <c r="L168" s="116" t="s">
        <v>4539</v>
      </c>
      <c r="M168" s="15">
        <v>43084</v>
      </c>
      <c r="N168" s="15">
        <v>43100</v>
      </c>
      <c r="O168" s="61" t="s">
        <v>5238</v>
      </c>
      <c r="P168" s="119"/>
      <c r="Q168" s="173"/>
      <c r="R168" s="239" t="s">
        <v>5122</v>
      </c>
      <c r="S168" s="326" t="s">
        <v>4537</v>
      </c>
      <c r="T168" s="137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</row>
    <row r="169" spans="1:68" s="121" customFormat="1" ht="20.100000000000001" customHeight="1">
      <c r="A169" s="1190" t="s">
        <v>5239</v>
      </c>
      <c r="B169" s="1190" t="s">
        <v>4749</v>
      </c>
      <c r="C169" s="1190" t="s">
        <v>5260</v>
      </c>
      <c r="D169" s="961">
        <v>850</v>
      </c>
      <c r="E169" s="961">
        <v>1600</v>
      </c>
      <c r="F169" s="961">
        <v>1650</v>
      </c>
      <c r="G169" s="234" t="s">
        <v>4572</v>
      </c>
      <c r="H169" s="236" t="s">
        <v>4635</v>
      </c>
      <c r="I169" s="10" t="s">
        <v>4725</v>
      </c>
      <c r="J169" s="117"/>
      <c r="K169" s="20" t="s">
        <v>5055</v>
      </c>
      <c r="L169" s="116" t="s">
        <v>4539</v>
      </c>
      <c r="M169" s="15">
        <v>43070</v>
      </c>
      <c r="N169" s="15">
        <v>43100</v>
      </c>
      <c r="O169" s="59" t="s">
        <v>4571</v>
      </c>
      <c r="P169" s="119"/>
      <c r="Q169" s="167"/>
      <c r="R169" s="239" t="s">
        <v>5267</v>
      </c>
      <c r="S169" s="327" t="s">
        <v>4570</v>
      </c>
      <c r="T169" s="137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</row>
    <row r="170" spans="1:68" s="121" customFormat="1" ht="20.100000000000001" customHeight="1">
      <c r="A170" s="1190" t="s">
        <v>5239</v>
      </c>
      <c r="B170" s="1190" t="s">
        <v>4749</v>
      </c>
      <c r="C170" s="1190" t="s">
        <v>5260</v>
      </c>
      <c r="D170" s="320">
        <v>875</v>
      </c>
      <c r="E170" s="320">
        <f>D170*2-200</f>
        <v>1550</v>
      </c>
      <c r="F170" s="320">
        <f>D170*2-150</f>
        <v>1600</v>
      </c>
      <c r="G170" s="293" t="s">
        <v>4575</v>
      </c>
      <c r="H170" s="54" t="s">
        <v>4635</v>
      </c>
      <c r="I170" s="10" t="s">
        <v>4725</v>
      </c>
      <c r="J170" s="117"/>
      <c r="K170" s="20" t="s">
        <v>5055</v>
      </c>
      <c r="L170" s="116" t="s">
        <v>4539</v>
      </c>
      <c r="M170" s="15">
        <v>43084</v>
      </c>
      <c r="N170" s="15">
        <v>43100</v>
      </c>
      <c r="O170" s="61" t="s">
        <v>4751</v>
      </c>
      <c r="P170" s="119"/>
      <c r="Q170" s="167"/>
      <c r="R170" s="240" t="s">
        <v>5266</v>
      </c>
      <c r="S170" s="328" t="s">
        <v>4543</v>
      </c>
      <c r="T170" s="137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</row>
    <row r="171" spans="1:68" s="121" customFormat="1" ht="20.100000000000001" customHeight="1">
      <c r="A171" s="1190" t="s">
        <v>5239</v>
      </c>
      <c r="B171" s="1190" t="s">
        <v>4749</v>
      </c>
      <c r="C171" s="1190" t="s">
        <v>5260</v>
      </c>
      <c r="D171" s="248">
        <v>800</v>
      </c>
      <c r="E171" s="248">
        <v>1500</v>
      </c>
      <c r="F171" s="248">
        <v>1500</v>
      </c>
      <c r="G171" s="234" t="s">
        <v>4904</v>
      </c>
      <c r="H171" s="54" t="s">
        <v>4635</v>
      </c>
      <c r="I171" s="10" t="s">
        <v>4725</v>
      </c>
      <c r="J171" s="117"/>
      <c r="K171" s="20" t="s">
        <v>5055</v>
      </c>
      <c r="L171" s="116" t="s">
        <v>4539</v>
      </c>
      <c r="M171" s="15">
        <v>43084</v>
      </c>
      <c r="N171" s="15">
        <v>43100</v>
      </c>
      <c r="O171" s="61" t="s">
        <v>5241</v>
      </c>
      <c r="P171" s="119"/>
      <c r="Q171" s="171"/>
      <c r="R171" s="239" t="s">
        <v>5265</v>
      </c>
      <c r="S171" s="336" t="s">
        <v>1952</v>
      </c>
      <c r="T171" s="137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</row>
    <row r="172" spans="1:68" s="121" customFormat="1" ht="20.100000000000001" customHeight="1">
      <c r="A172" s="1190" t="s">
        <v>5239</v>
      </c>
      <c r="B172" s="1190" t="s">
        <v>4749</v>
      </c>
      <c r="C172" s="1190" t="s">
        <v>5260</v>
      </c>
      <c r="D172" s="247">
        <v>775</v>
      </c>
      <c r="E172" s="247">
        <v>1450</v>
      </c>
      <c r="F172" s="247">
        <v>1500</v>
      </c>
      <c r="G172" s="70" t="s">
        <v>4542</v>
      </c>
      <c r="H172" s="22" t="s">
        <v>4635</v>
      </c>
      <c r="I172" s="38" t="s">
        <v>4725</v>
      </c>
      <c r="J172" s="30"/>
      <c r="K172" s="116" t="s">
        <v>5055</v>
      </c>
      <c r="L172" s="116" t="s">
        <v>4539</v>
      </c>
      <c r="M172" s="15">
        <v>43084</v>
      </c>
      <c r="N172" s="15">
        <v>43100</v>
      </c>
      <c r="O172" s="61" t="s">
        <v>5238</v>
      </c>
      <c r="P172" s="119"/>
      <c r="Q172" s="171"/>
      <c r="R172" s="239" t="s">
        <v>5264</v>
      </c>
      <c r="S172" s="326" t="s">
        <v>4537</v>
      </c>
      <c r="T172" s="137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</row>
    <row r="173" spans="1:68" s="121" customFormat="1" ht="20.100000000000001" customHeight="1">
      <c r="A173" s="1190" t="s">
        <v>5239</v>
      </c>
      <c r="B173" s="1190" t="s">
        <v>4749</v>
      </c>
      <c r="C173" s="1190" t="s">
        <v>5260</v>
      </c>
      <c r="D173" s="885">
        <v>750</v>
      </c>
      <c r="E173" s="885">
        <v>1400</v>
      </c>
      <c r="F173" s="885">
        <v>1450</v>
      </c>
      <c r="G173" s="109" t="s">
        <v>4636</v>
      </c>
      <c r="H173" s="69" t="s">
        <v>4548</v>
      </c>
      <c r="I173" s="38" t="s">
        <v>4725</v>
      </c>
      <c r="J173" s="30"/>
      <c r="K173" s="34" t="s">
        <v>4968</v>
      </c>
      <c r="L173" s="116" t="s">
        <v>4539</v>
      </c>
      <c r="M173" s="6">
        <v>43084</v>
      </c>
      <c r="N173" s="6">
        <v>43100</v>
      </c>
      <c r="O173" s="61" t="s">
        <v>4555</v>
      </c>
      <c r="P173" s="7"/>
      <c r="Q173" s="167"/>
      <c r="R173" s="239" t="s">
        <v>5228</v>
      </c>
      <c r="S173" s="327" t="s">
        <v>4632</v>
      </c>
      <c r="T173" s="137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</row>
    <row r="174" spans="1:68" s="121" customFormat="1" ht="20.100000000000001" customHeight="1">
      <c r="A174" s="1190" t="s">
        <v>5239</v>
      </c>
      <c r="B174" s="1190" t="s">
        <v>4749</v>
      </c>
      <c r="C174" s="1190" t="s">
        <v>5260</v>
      </c>
      <c r="D174" s="960" ph="1">
        <v>900</v>
      </c>
      <c r="E174" s="960" ph="1">
        <v>1600</v>
      </c>
      <c r="F174" s="960" ph="1">
        <v>1650</v>
      </c>
      <c r="G174" s="65" t="s">
        <v>4553</v>
      </c>
      <c r="H174" s="55" t="s">
        <v>4548</v>
      </c>
      <c r="I174" s="10" t="s">
        <v>4725</v>
      </c>
      <c r="J174" s="117"/>
      <c r="K174" s="10" t="s">
        <v>4968</v>
      </c>
      <c r="L174" s="116" t="s">
        <v>4539</v>
      </c>
      <c r="M174" s="6">
        <v>43085</v>
      </c>
      <c r="N174" s="6">
        <v>43100</v>
      </c>
      <c r="O174" s="61" t="s">
        <v>4663</v>
      </c>
      <c r="P174" s="61"/>
      <c r="Q174" s="167" t="s">
        <v>5263</v>
      </c>
      <c r="R174" s="239" t="s">
        <v>5262</v>
      </c>
      <c r="S174" s="328" t="s">
        <v>4543</v>
      </c>
      <c r="T174" s="137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</row>
    <row r="175" spans="1:68" s="121" customFormat="1" ht="20.100000000000001" customHeight="1">
      <c r="A175" s="1190" t="s">
        <v>5239</v>
      </c>
      <c r="B175" s="1190" t="s">
        <v>4749</v>
      </c>
      <c r="C175" s="1190" t="s">
        <v>5260</v>
      </c>
      <c r="D175" s="950">
        <v>805</v>
      </c>
      <c r="E175" s="950">
        <v>1510</v>
      </c>
      <c r="F175" s="950">
        <v>1510</v>
      </c>
      <c r="G175" s="224" t="s">
        <v>4569</v>
      </c>
      <c r="H175" s="69" t="s">
        <v>4548</v>
      </c>
      <c r="I175" s="38" t="s">
        <v>4725</v>
      </c>
      <c r="J175" s="37"/>
      <c r="K175" s="50" t="s">
        <v>4968</v>
      </c>
      <c r="L175" s="116" t="s">
        <v>4539</v>
      </c>
      <c r="M175" s="6">
        <v>43074</v>
      </c>
      <c r="N175" s="6">
        <v>43084</v>
      </c>
      <c r="O175" s="61" t="s">
        <v>4567</v>
      </c>
      <c r="P175" s="74"/>
      <c r="Q175" s="167"/>
      <c r="R175" s="239" t="s">
        <v>5225</v>
      </c>
      <c r="S175" s="328" t="s">
        <v>4543</v>
      </c>
      <c r="T175" s="137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</row>
    <row r="176" spans="1:68" s="121" customFormat="1" ht="20.100000000000001" customHeight="1">
      <c r="A176" s="1190" t="s">
        <v>5239</v>
      </c>
      <c r="B176" s="1190" t="s">
        <v>4749</v>
      </c>
      <c r="C176" s="1190" t="s">
        <v>5260</v>
      </c>
      <c r="D176" s="885">
        <v>750</v>
      </c>
      <c r="E176" s="885">
        <v>1400</v>
      </c>
      <c r="F176" s="885">
        <v>1450</v>
      </c>
      <c r="G176" s="109" t="s">
        <v>4636</v>
      </c>
      <c r="H176" s="69" t="s">
        <v>4992</v>
      </c>
      <c r="I176" s="38" t="s">
        <v>4725</v>
      </c>
      <c r="J176" s="30"/>
      <c r="K176" s="34" t="s">
        <v>4739</v>
      </c>
      <c r="L176" s="116" t="s">
        <v>4539</v>
      </c>
      <c r="M176" s="6">
        <v>43084</v>
      </c>
      <c r="N176" s="6">
        <v>43100</v>
      </c>
      <c r="O176" s="61" t="s">
        <v>4555</v>
      </c>
      <c r="P176" s="7"/>
      <c r="Q176" s="7"/>
      <c r="R176" s="239" t="s">
        <v>5236</v>
      </c>
      <c r="S176" s="327" t="s">
        <v>4632</v>
      </c>
      <c r="T176" s="137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</row>
    <row r="177" spans="1:68" s="121" customFormat="1" ht="20.100000000000001" customHeight="1">
      <c r="A177" s="1190" t="s">
        <v>5239</v>
      </c>
      <c r="B177" s="1190" t="s">
        <v>4749</v>
      </c>
      <c r="C177" s="1190" t="s">
        <v>5260</v>
      </c>
      <c r="D177" s="950">
        <v>805</v>
      </c>
      <c r="E177" s="950">
        <v>1510</v>
      </c>
      <c r="F177" s="950">
        <v>1510</v>
      </c>
      <c r="G177" s="224" t="s">
        <v>4569</v>
      </c>
      <c r="H177" s="236" t="s">
        <v>4992</v>
      </c>
      <c r="I177" s="38" t="s">
        <v>4725</v>
      </c>
      <c r="J177" s="37"/>
      <c r="K177" s="34" t="s">
        <v>4739</v>
      </c>
      <c r="L177" s="116" t="s">
        <v>4539</v>
      </c>
      <c r="M177" s="6">
        <v>43074</v>
      </c>
      <c r="N177" s="6">
        <v>43084</v>
      </c>
      <c r="O177" s="61" t="s">
        <v>4567</v>
      </c>
      <c r="P177" s="7"/>
      <c r="Q177" s="7"/>
      <c r="R177" s="239" t="s">
        <v>5261</v>
      </c>
      <c r="S177" s="328" t="s">
        <v>4543</v>
      </c>
      <c r="T177" s="137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</row>
    <row r="178" spans="1:68" s="121" customFormat="1" ht="20.100000000000001" customHeight="1">
      <c r="A178" s="1190" t="s">
        <v>5239</v>
      </c>
      <c r="B178" s="1190" t="s">
        <v>4749</v>
      </c>
      <c r="C178" s="1190" t="s">
        <v>5260</v>
      </c>
      <c r="D178" s="960" ph="1">
        <v>900</v>
      </c>
      <c r="E178" s="960" ph="1">
        <v>1600</v>
      </c>
      <c r="F178" s="960" ph="1">
        <v>1650</v>
      </c>
      <c r="G178" s="65" t="s">
        <v>4553</v>
      </c>
      <c r="H178" s="69" t="s">
        <v>4992</v>
      </c>
      <c r="I178" s="38" t="s">
        <v>4725</v>
      </c>
      <c r="J178" s="37"/>
      <c r="K178" s="34" t="s">
        <v>4739</v>
      </c>
      <c r="L178" s="116" t="s">
        <v>4539</v>
      </c>
      <c r="M178" s="6">
        <v>43085</v>
      </c>
      <c r="N178" s="6">
        <v>43100</v>
      </c>
      <c r="O178" s="61" t="s">
        <v>4663</v>
      </c>
      <c r="P178" s="7"/>
      <c r="Q178" s="7"/>
      <c r="R178" s="239" t="s">
        <v>5226</v>
      </c>
      <c r="S178" s="328" t="s">
        <v>4543</v>
      </c>
      <c r="T178" s="137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</row>
    <row r="179" spans="1:68" s="121" customFormat="1" ht="20.100000000000001" customHeight="1">
      <c r="A179" s="1190" t="s">
        <v>5239</v>
      </c>
      <c r="B179" s="1190" t="s">
        <v>4749</v>
      </c>
      <c r="C179" s="1190" t="s">
        <v>5250</v>
      </c>
      <c r="D179" s="960" ph="1">
        <v>900</v>
      </c>
      <c r="E179" s="960" ph="1">
        <v>1600</v>
      </c>
      <c r="F179" s="960" ph="1">
        <v>1650</v>
      </c>
      <c r="G179" s="65" t="s">
        <v>4553</v>
      </c>
      <c r="H179" s="55" t="s">
        <v>4552</v>
      </c>
      <c r="I179" s="20" t="s">
        <v>4725</v>
      </c>
      <c r="J179" s="10"/>
      <c r="K179" s="20" t="s">
        <v>4739</v>
      </c>
      <c r="L179" s="116" t="s">
        <v>4539</v>
      </c>
      <c r="M179" s="6">
        <v>43085</v>
      </c>
      <c r="N179" s="6">
        <v>43100</v>
      </c>
      <c r="O179" s="61" t="s">
        <v>4663</v>
      </c>
      <c r="P179" s="61"/>
      <c r="Q179" s="167"/>
      <c r="R179" s="239" t="s">
        <v>4550</v>
      </c>
      <c r="S179" s="328" t="s">
        <v>4543</v>
      </c>
      <c r="T179" s="137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</row>
    <row r="180" spans="1:68" s="121" customFormat="1" ht="20.100000000000001" customHeight="1">
      <c r="A180" s="1190" t="s">
        <v>5239</v>
      </c>
      <c r="B180" s="1190" t="s">
        <v>4749</v>
      </c>
      <c r="C180" s="1190" t="s">
        <v>5250</v>
      </c>
      <c r="D180" s="885">
        <v>750</v>
      </c>
      <c r="E180" s="885">
        <v>1400</v>
      </c>
      <c r="F180" s="885">
        <v>1450</v>
      </c>
      <c r="G180" s="109" t="s">
        <v>4636</v>
      </c>
      <c r="H180" s="36" t="s">
        <v>4552</v>
      </c>
      <c r="I180" s="38" t="s">
        <v>4725</v>
      </c>
      <c r="J180" s="30"/>
      <c r="K180" s="34" t="s">
        <v>4940</v>
      </c>
      <c r="L180" s="116" t="s">
        <v>4539</v>
      </c>
      <c r="M180" s="6">
        <v>43084</v>
      </c>
      <c r="N180" s="6">
        <v>43100</v>
      </c>
      <c r="O180" s="61" t="s">
        <v>4555</v>
      </c>
      <c r="P180" s="61"/>
      <c r="Q180" s="167"/>
      <c r="R180" s="239" t="s">
        <v>5259</v>
      </c>
      <c r="S180" s="327" t="s">
        <v>4632</v>
      </c>
      <c r="T180" s="137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</row>
    <row r="181" spans="1:68" s="121" customFormat="1" ht="20.100000000000001" customHeight="1">
      <c r="A181" s="1190" t="s">
        <v>5239</v>
      </c>
      <c r="B181" s="1190" t="s">
        <v>4749</v>
      </c>
      <c r="C181" s="1190" t="s">
        <v>5250</v>
      </c>
      <c r="D181" s="950">
        <v>805</v>
      </c>
      <c r="E181" s="950">
        <v>1510</v>
      </c>
      <c r="F181" s="950">
        <v>1510</v>
      </c>
      <c r="G181" s="224" t="s">
        <v>4569</v>
      </c>
      <c r="H181" s="36" t="s">
        <v>4552</v>
      </c>
      <c r="I181" s="38" t="s">
        <v>4725</v>
      </c>
      <c r="J181" s="37"/>
      <c r="K181" s="50" t="s">
        <v>4940</v>
      </c>
      <c r="L181" s="116" t="s">
        <v>4539</v>
      </c>
      <c r="M181" s="6">
        <v>43074</v>
      </c>
      <c r="N181" s="6">
        <v>43084</v>
      </c>
      <c r="O181" s="61" t="s">
        <v>4567</v>
      </c>
      <c r="P181" s="61"/>
      <c r="Q181" s="167"/>
      <c r="R181" s="239" t="s">
        <v>5258</v>
      </c>
      <c r="S181" s="328" t="s">
        <v>4543</v>
      </c>
      <c r="T181" s="137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</row>
    <row r="182" spans="1:68" s="121" customFormat="1" ht="20.100000000000001" customHeight="1">
      <c r="A182" s="1190" t="s">
        <v>5239</v>
      </c>
      <c r="B182" s="1190" t="s">
        <v>4749</v>
      </c>
      <c r="C182" s="1190" t="s">
        <v>5250</v>
      </c>
      <c r="D182" s="960" ph="1">
        <v>900</v>
      </c>
      <c r="E182" s="960" ph="1">
        <v>1600</v>
      </c>
      <c r="F182" s="960" ph="1">
        <v>1650</v>
      </c>
      <c r="G182" s="65" t="s">
        <v>4553</v>
      </c>
      <c r="H182" s="36" t="s">
        <v>4552</v>
      </c>
      <c r="I182" s="38" t="s">
        <v>4725</v>
      </c>
      <c r="J182" s="37"/>
      <c r="K182" s="50" t="s">
        <v>4940</v>
      </c>
      <c r="L182" s="116" t="s">
        <v>4539</v>
      </c>
      <c r="M182" s="6">
        <v>43085</v>
      </c>
      <c r="N182" s="6">
        <v>43100</v>
      </c>
      <c r="O182" s="61" t="s">
        <v>4663</v>
      </c>
      <c r="P182" s="61"/>
      <c r="Q182" s="167"/>
      <c r="R182" s="239" t="s">
        <v>5257</v>
      </c>
      <c r="S182" s="328" t="s">
        <v>4543</v>
      </c>
      <c r="T182" s="137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</row>
    <row r="183" spans="1:68" s="121" customFormat="1" ht="20.100000000000001" customHeight="1">
      <c r="A183" s="1190" t="s">
        <v>5239</v>
      </c>
      <c r="B183" s="1190" t="s">
        <v>4749</v>
      </c>
      <c r="C183" s="1190" t="s">
        <v>5250</v>
      </c>
      <c r="D183" s="961">
        <v>850</v>
      </c>
      <c r="E183" s="961">
        <v>1600</v>
      </c>
      <c r="F183" s="961">
        <v>1650</v>
      </c>
      <c r="G183" s="234" t="s">
        <v>4572</v>
      </c>
      <c r="H183" s="36" t="s">
        <v>4649</v>
      </c>
      <c r="I183" s="10" t="s">
        <v>4725</v>
      </c>
      <c r="J183" s="34"/>
      <c r="K183" s="50" t="s">
        <v>5105</v>
      </c>
      <c r="L183" s="116" t="s">
        <v>4539</v>
      </c>
      <c r="M183" s="15">
        <v>43070</v>
      </c>
      <c r="N183" s="15">
        <v>43100</v>
      </c>
      <c r="O183" s="59" t="s">
        <v>4571</v>
      </c>
      <c r="P183" s="61"/>
      <c r="Q183" s="173"/>
      <c r="R183" s="239" t="s">
        <v>5256</v>
      </c>
      <c r="S183" s="327" t="s">
        <v>4570</v>
      </c>
      <c r="T183" s="137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</row>
    <row r="184" spans="1:68" s="121" customFormat="1" ht="20.100000000000001" customHeight="1">
      <c r="A184" s="1190" t="s">
        <v>5239</v>
      </c>
      <c r="B184" s="1190" t="s">
        <v>4749</v>
      </c>
      <c r="C184" s="1190" t="s">
        <v>5250</v>
      </c>
      <c r="D184" s="320">
        <v>875</v>
      </c>
      <c r="E184" s="320">
        <f>D184*2-200</f>
        <v>1550</v>
      </c>
      <c r="F184" s="320">
        <f>D184*2-150</f>
        <v>1600</v>
      </c>
      <c r="G184" s="293" t="s">
        <v>4575</v>
      </c>
      <c r="H184" s="194" t="s">
        <v>4649</v>
      </c>
      <c r="I184" s="51" t="s">
        <v>4725</v>
      </c>
      <c r="J184" s="34"/>
      <c r="K184" s="50" t="s">
        <v>5105</v>
      </c>
      <c r="L184" s="116" t="s">
        <v>4539</v>
      </c>
      <c r="M184" s="15">
        <v>43084</v>
      </c>
      <c r="N184" s="15">
        <v>43100</v>
      </c>
      <c r="O184" s="61" t="s">
        <v>4751</v>
      </c>
      <c r="P184" s="61"/>
      <c r="Q184" s="173"/>
      <c r="R184" s="239" t="s">
        <v>5123</v>
      </c>
      <c r="S184" s="328" t="s">
        <v>4543</v>
      </c>
      <c r="T184" s="137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</row>
    <row r="185" spans="1:68" s="121" customFormat="1" ht="20.100000000000001" customHeight="1">
      <c r="A185" s="1190" t="s">
        <v>5239</v>
      </c>
      <c r="B185" s="1190" t="s">
        <v>4749</v>
      </c>
      <c r="C185" s="1190" t="s">
        <v>5250</v>
      </c>
      <c r="D185" s="248">
        <v>800</v>
      </c>
      <c r="E185" s="248">
        <v>1500</v>
      </c>
      <c r="F185" s="248">
        <v>1500</v>
      </c>
      <c r="G185" s="234" t="s">
        <v>4904</v>
      </c>
      <c r="H185" s="22" t="s">
        <v>4649</v>
      </c>
      <c r="I185" s="10" t="s">
        <v>4725</v>
      </c>
      <c r="J185" s="117"/>
      <c r="K185" s="50" t="s">
        <v>5105</v>
      </c>
      <c r="L185" s="116" t="s">
        <v>4539</v>
      </c>
      <c r="M185" s="15">
        <v>43084</v>
      </c>
      <c r="N185" s="15">
        <v>43100</v>
      </c>
      <c r="O185" s="61" t="s">
        <v>5241</v>
      </c>
      <c r="P185" s="61"/>
      <c r="Q185" s="173"/>
      <c r="R185" s="21" t="s">
        <v>5121</v>
      </c>
      <c r="S185" s="336" t="s">
        <v>1952</v>
      </c>
      <c r="T185" s="137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</row>
    <row r="186" spans="1:68" s="121" customFormat="1" ht="20.100000000000001" customHeight="1">
      <c r="A186" s="1190" t="s">
        <v>5239</v>
      </c>
      <c r="B186" s="1190" t="s">
        <v>4749</v>
      </c>
      <c r="C186" s="1190" t="s">
        <v>5250</v>
      </c>
      <c r="D186" s="247">
        <v>775</v>
      </c>
      <c r="E186" s="247">
        <v>1450</v>
      </c>
      <c r="F186" s="247">
        <v>1500</v>
      </c>
      <c r="G186" s="70" t="s">
        <v>4542</v>
      </c>
      <c r="H186" s="48" t="s">
        <v>4649</v>
      </c>
      <c r="I186" s="38" t="s">
        <v>4725</v>
      </c>
      <c r="J186" s="30"/>
      <c r="K186" s="50" t="s">
        <v>5105</v>
      </c>
      <c r="L186" s="116" t="s">
        <v>4539</v>
      </c>
      <c r="M186" s="15">
        <v>43084</v>
      </c>
      <c r="N186" s="15">
        <v>43100</v>
      </c>
      <c r="O186" s="61" t="s">
        <v>5238</v>
      </c>
      <c r="P186" s="61"/>
      <c r="Q186" s="173"/>
      <c r="R186" s="239" t="s">
        <v>5122</v>
      </c>
      <c r="S186" s="326" t="s">
        <v>4537</v>
      </c>
      <c r="T186" s="137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</row>
    <row r="187" spans="1:68" s="121" customFormat="1" ht="20.100000000000001" customHeight="1">
      <c r="A187" s="1190" t="s">
        <v>5239</v>
      </c>
      <c r="B187" s="1190" t="s">
        <v>4749</v>
      </c>
      <c r="C187" s="1190" t="s">
        <v>5250</v>
      </c>
      <c r="D187" s="247" ph="1">
        <v>725</v>
      </c>
      <c r="E187" s="247" ph="1">
        <v>1350</v>
      </c>
      <c r="F187" s="247" ph="1">
        <v>1400</v>
      </c>
      <c r="G187" s="63" t="s">
        <v>4566</v>
      </c>
      <c r="H187" s="36" t="s">
        <v>4649</v>
      </c>
      <c r="I187" s="38" t="s">
        <v>4725</v>
      </c>
      <c r="J187" s="37"/>
      <c r="K187" s="50" t="s">
        <v>5055</v>
      </c>
      <c r="L187" s="116" t="s">
        <v>4539</v>
      </c>
      <c r="M187" s="15">
        <v>43084</v>
      </c>
      <c r="N187" s="15">
        <v>43100</v>
      </c>
      <c r="O187" s="61" t="s">
        <v>4638</v>
      </c>
      <c r="P187" s="61"/>
      <c r="Q187" s="173"/>
      <c r="R187" s="239" t="s">
        <v>4969</v>
      </c>
      <c r="S187" s="327" t="s">
        <v>4561</v>
      </c>
      <c r="T187" s="137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  <c r="BN187" s="120"/>
      <c r="BO187" s="120"/>
      <c r="BP187" s="120"/>
    </row>
    <row r="188" spans="1:68" s="121" customFormat="1" ht="20.100000000000001" customHeight="1">
      <c r="A188" s="1190" t="s">
        <v>5239</v>
      </c>
      <c r="B188" s="1190" t="s">
        <v>4749</v>
      </c>
      <c r="C188" s="1190" t="s">
        <v>5250</v>
      </c>
      <c r="D188" s="953" ph="1">
        <v>765</v>
      </c>
      <c r="E188" s="953" ph="1">
        <v>1430</v>
      </c>
      <c r="F188" s="953" ph="1">
        <v>1480</v>
      </c>
      <c r="G188" s="70" t="s">
        <v>4560</v>
      </c>
      <c r="H188" s="36" t="s">
        <v>4649</v>
      </c>
      <c r="I188" s="10" t="s">
        <v>4725</v>
      </c>
      <c r="J188" s="117"/>
      <c r="K188" s="20" t="s">
        <v>5055</v>
      </c>
      <c r="L188" s="116" t="s">
        <v>4539</v>
      </c>
      <c r="M188" s="15">
        <v>43084</v>
      </c>
      <c r="N188" s="15">
        <v>43100</v>
      </c>
      <c r="O188" s="59" t="s">
        <v>4559</v>
      </c>
      <c r="P188" s="61"/>
      <c r="Q188" s="173"/>
      <c r="R188" s="239" t="s">
        <v>4969</v>
      </c>
      <c r="S188" s="326" t="s">
        <v>5251</v>
      </c>
      <c r="T188" s="137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  <c r="BN188" s="120"/>
      <c r="BO188" s="120"/>
      <c r="BP188" s="120"/>
    </row>
    <row r="189" spans="1:68" s="121" customFormat="1" ht="20.100000000000001" customHeight="1">
      <c r="A189" s="1190" t="s">
        <v>5239</v>
      </c>
      <c r="B189" s="1190" t="s">
        <v>4749</v>
      </c>
      <c r="C189" s="1190" t="s">
        <v>5250</v>
      </c>
      <c r="D189" s="247" ph="1">
        <v>750</v>
      </c>
      <c r="E189" s="247" ph="1">
        <v>1400</v>
      </c>
      <c r="F189" s="247" ph="1">
        <v>1400</v>
      </c>
      <c r="G189" s="293" t="s">
        <v>4557</v>
      </c>
      <c r="H189" s="48" t="s">
        <v>4649</v>
      </c>
      <c r="I189" s="38" t="s">
        <v>4725</v>
      </c>
      <c r="J189" s="30"/>
      <c r="K189" s="37" t="s">
        <v>5055</v>
      </c>
      <c r="L189" s="116" t="s">
        <v>4539</v>
      </c>
      <c r="M189" s="6">
        <v>43084</v>
      </c>
      <c r="N189" s="6">
        <v>43100</v>
      </c>
      <c r="O189" s="61" t="s">
        <v>4555</v>
      </c>
      <c r="P189" s="7"/>
      <c r="Q189" s="173"/>
      <c r="R189" s="239" t="s">
        <v>4969</v>
      </c>
      <c r="S189" s="326" t="s">
        <v>4543</v>
      </c>
      <c r="T189" s="137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  <c r="BN189" s="120"/>
      <c r="BO189" s="120"/>
      <c r="BP189" s="120"/>
    </row>
    <row r="190" spans="1:68" s="121" customFormat="1" ht="20.100000000000001" customHeight="1">
      <c r="A190" s="1190" t="s">
        <v>5239</v>
      </c>
      <c r="B190" s="1190" t="s">
        <v>4749</v>
      </c>
      <c r="C190" s="1190" t="s">
        <v>5250</v>
      </c>
      <c r="D190" s="247" ph="1">
        <v>800</v>
      </c>
      <c r="E190" s="247" ph="1">
        <v>1500</v>
      </c>
      <c r="F190" s="247" ph="1">
        <v>1550</v>
      </c>
      <c r="G190" s="63" t="s">
        <v>4645</v>
      </c>
      <c r="H190" s="69" t="s">
        <v>4649</v>
      </c>
      <c r="I190" s="38" t="s">
        <v>4725</v>
      </c>
      <c r="J190" s="37"/>
      <c r="K190" s="37" t="s">
        <v>5055</v>
      </c>
      <c r="L190" s="116" t="s">
        <v>4539</v>
      </c>
      <c r="M190" s="6">
        <v>43084</v>
      </c>
      <c r="N190" s="6">
        <v>43100</v>
      </c>
      <c r="O190" s="61" t="s">
        <v>5249</v>
      </c>
      <c r="P190" s="7"/>
      <c r="Q190" s="173"/>
      <c r="R190" s="239" t="s">
        <v>4969</v>
      </c>
      <c r="S190" s="326" t="s">
        <v>4641</v>
      </c>
      <c r="T190" s="137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0"/>
      <c r="BP190" s="120"/>
    </row>
    <row r="191" spans="1:68" s="121" customFormat="1" ht="20.100000000000001" customHeight="1">
      <c r="A191" s="1190" t="s">
        <v>5239</v>
      </c>
      <c r="B191" s="1190" t="s">
        <v>4749</v>
      </c>
      <c r="C191" s="1190" t="s">
        <v>5250</v>
      </c>
      <c r="D191" s="247" ph="1"/>
      <c r="E191" s="247" ph="1"/>
      <c r="F191" s="247" ph="1"/>
      <c r="G191" s="220" t="s">
        <v>5255</v>
      </c>
      <c r="H191" s="55" t="s">
        <v>4548</v>
      </c>
      <c r="I191" s="51" t="s">
        <v>4725</v>
      </c>
      <c r="J191" s="34"/>
      <c r="K191" s="50" t="s">
        <v>4968</v>
      </c>
      <c r="L191" s="116" t="s">
        <v>4539</v>
      </c>
      <c r="M191" s="15">
        <v>43073</v>
      </c>
      <c r="N191" s="15">
        <v>43093</v>
      </c>
      <c r="O191" s="59" t="s">
        <v>5254</v>
      </c>
      <c r="P191" s="7"/>
      <c r="Q191" s="167"/>
      <c r="R191" s="240" t="s">
        <v>4736</v>
      </c>
      <c r="S191" s="327" t="s">
        <v>5253</v>
      </c>
      <c r="T191" s="137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  <c r="BN191" s="120"/>
      <c r="BO191" s="120"/>
      <c r="BP191" s="120"/>
    </row>
    <row r="192" spans="1:68" s="121" customFormat="1" ht="20.100000000000001" customHeight="1">
      <c r="A192" s="1190" t="s">
        <v>5239</v>
      </c>
      <c r="B192" s="1190" t="s">
        <v>4749</v>
      </c>
      <c r="C192" s="1190" t="s">
        <v>5250</v>
      </c>
      <c r="D192" s="320">
        <v>875</v>
      </c>
      <c r="E192" s="320">
        <f>D192*2-200</f>
        <v>1550</v>
      </c>
      <c r="F192" s="320">
        <f>D192*2-150</f>
        <v>1600</v>
      </c>
      <c r="G192" s="293" t="s">
        <v>4575</v>
      </c>
      <c r="H192" s="55" t="s">
        <v>4548</v>
      </c>
      <c r="I192" s="51" t="s">
        <v>4725</v>
      </c>
      <c r="J192" s="34"/>
      <c r="K192" s="50" t="s">
        <v>4968</v>
      </c>
      <c r="L192" s="116" t="s">
        <v>4539</v>
      </c>
      <c r="M192" s="15">
        <v>43084</v>
      </c>
      <c r="N192" s="15">
        <v>43100</v>
      </c>
      <c r="O192" s="61" t="s">
        <v>4751</v>
      </c>
      <c r="P192" s="61"/>
      <c r="Q192" s="167"/>
      <c r="R192" s="239" t="s">
        <v>4577</v>
      </c>
      <c r="S192" s="328" t="s">
        <v>4543</v>
      </c>
      <c r="T192" s="137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  <c r="BN192" s="120"/>
      <c r="BO192" s="120"/>
      <c r="BP192" s="120"/>
    </row>
    <row r="193" spans="1:68" s="121" customFormat="1" ht="20.100000000000001" customHeight="1">
      <c r="A193" s="1190" t="s">
        <v>5239</v>
      </c>
      <c r="B193" s="1190" t="s">
        <v>4749</v>
      </c>
      <c r="C193" s="1190" t="s">
        <v>5250</v>
      </c>
      <c r="D193" s="961">
        <v>850</v>
      </c>
      <c r="E193" s="961">
        <v>1600</v>
      </c>
      <c r="F193" s="961">
        <v>1650</v>
      </c>
      <c r="G193" s="234" t="s">
        <v>4572</v>
      </c>
      <c r="H193" s="36" t="s">
        <v>4548</v>
      </c>
      <c r="I193" s="10" t="s">
        <v>4725</v>
      </c>
      <c r="J193" s="34"/>
      <c r="K193" s="50" t="s">
        <v>4968</v>
      </c>
      <c r="L193" s="116" t="s">
        <v>4539</v>
      </c>
      <c r="M193" s="15">
        <v>43070</v>
      </c>
      <c r="N193" s="15">
        <v>43100</v>
      </c>
      <c r="O193" s="59" t="s">
        <v>4571</v>
      </c>
      <c r="P193" s="61"/>
      <c r="Q193" s="167"/>
      <c r="R193" s="239" t="s">
        <v>4736</v>
      </c>
      <c r="S193" s="327" t="s">
        <v>4570</v>
      </c>
      <c r="T193" s="137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  <c r="BN193" s="120"/>
      <c r="BO193" s="120"/>
      <c r="BP193" s="120"/>
    </row>
    <row r="194" spans="1:68" s="121" customFormat="1" ht="20.100000000000001" customHeight="1">
      <c r="A194" s="1190" t="s">
        <v>5239</v>
      </c>
      <c r="B194" s="1190" t="s">
        <v>4749</v>
      </c>
      <c r="C194" s="1190" t="s">
        <v>5250</v>
      </c>
      <c r="D194" s="248">
        <v>800</v>
      </c>
      <c r="E194" s="248">
        <v>1500</v>
      </c>
      <c r="F194" s="248">
        <v>1500</v>
      </c>
      <c r="G194" s="234" t="s">
        <v>4904</v>
      </c>
      <c r="H194" s="22" t="s">
        <v>4548</v>
      </c>
      <c r="I194" s="10" t="s">
        <v>4725</v>
      </c>
      <c r="J194" s="117"/>
      <c r="K194" s="20" t="s">
        <v>4968</v>
      </c>
      <c r="L194" s="116" t="s">
        <v>4539</v>
      </c>
      <c r="M194" s="15">
        <v>43084</v>
      </c>
      <c r="N194" s="15">
        <v>43100</v>
      </c>
      <c r="O194" s="61" t="s">
        <v>5241</v>
      </c>
      <c r="P194" s="61"/>
      <c r="Q194" s="167"/>
      <c r="R194" s="239" t="s">
        <v>5223</v>
      </c>
      <c r="S194" s="336" t="s">
        <v>1952</v>
      </c>
      <c r="T194" s="137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</row>
    <row r="195" spans="1:68" s="121" customFormat="1" ht="20.100000000000001" customHeight="1">
      <c r="A195" s="1190" t="s">
        <v>5239</v>
      </c>
      <c r="B195" s="1190" t="s">
        <v>4749</v>
      </c>
      <c r="C195" s="1190" t="s">
        <v>5250</v>
      </c>
      <c r="D195" s="247">
        <v>775</v>
      </c>
      <c r="E195" s="247">
        <v>1450</v>
      </c>
      <c r="F195" s="247">
        <v>1500</v>
      </c>
      <c r="G195" s="70" t="s">
        <v>4542</v>
      </c>
      <c r="H195" s="48" t="s">
        <v>4548</v>
      </c>
      <c r="I195" s="38" t="s">
        <v>4725</v>
      </c>
      <c r="J195" s="30"/>
      <c r="K195" s="38" t="s">
        <v>4968</v>
      </c>
      <c r="L195" s="116" t="s">
        <v>4539</v>
      </c>
      <c r="M195" s="15">
        <v>43084</v>
      </c>
      <c r="N195" s="15">
        <v>43100</v>
      </c>
      <c r="O195" s="61" t="s">
        <v>5238</v>
      </c>
      <c r="P195" s="61"/>
      <c r="Q195" s="167"/>
      <c r="R195" s="239" t="s">
        <v>5252</v>
      </c>
      <c r="S195" s="326" t="s">
        <v>4537</v>
      </c>
      <c r="T195" s="137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  <c r="BN195" s="120"/>
      <c r="BO195" s="120"/>
      <c r="BP195" s="120"/>
    </row>
    <row r="196" spans="1:68" s="121" customFormat="1" ht="20.100000000000001" customHeight="1">
      <c r="A196" s="1190" t="s">
        <v>5239</v>
      </c>
      <c r="B196" s="1190" t="s">
        <v>4749</v>
      </c>
      <c r="C196" s="1190" t="s">
        <v>5250</v>
      </c>
      <c r="D196" s="247" ph="1">
        <v>725</v>
      </c>
      <c r="E196" s="247" ph="1">
        <v>1350</v>
      </c>
      <c r="F196" s="247" ph="1">
        <v>1400</v>
      </c>
      <c r="G196" s="63" t="s">
        <v>4566</v>
      </c>
      <c r="H196" s="69" t="s">
        <v>4548</v>
      </c>
      <c r="I196" s="38" t="s">
        <v>4725</v>
      </c>
      <c r="J196" s="37"/>
      <c r="K196" s="50" t="s">
        <v>4601</v>
      </c>
      <c r="L196" s="116" t="s">
        <v>4539</v>
      </c>
      <c r="M196" s="15">
        <v>43084</v>
      </c>
      <c r="N196" s="15">
        <v>43100</v>
      </c>
      <c r="O196" s="61" t="s">
        <v>4638</v>
      </c>
      <c r="P196" s="61"/>
      <c r="Q196" s="171"/>
      <c r="R196" s="239" t="s">
        <v>5248</v>
      </c>
      <c r="S196" s="327" t="s">
        <v>4561</v>
      </c>
      <c r="T196" s="137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</row>
    <row r="197" spans="1:68" s="121" customFormat="1" ht="20.100000000000001" customHeight="1">
      <c r="A197" s="1190" t="s">
        <v>5239</v>
      </c>
      <c r="B197" s="1190" t="s">
        <v>4749</v>
      </c>
      <c r="C197" s="1190" t="s">
        <v>5250</v>
      </c>
      <c r="D197" s="953" ph="1">
        <v>765</v>
      </c>
      <c r="E197" s="953" ph="1">
        <v>1430</v>
      </c>
      <c r="F197" s="953" ph="1">
        <v>1480</v>
      </c>
      <c r="G197" s="70" t="s">
        <v>4560</v>
      </c>
      <c r="H197" s="69" t="s">
        <v>4548</v>
      </c>
      <c r="I197" s="10" t="s">
        <v>4725</v>
      </c>
      <c r="J197" s="117"/>
      <c r="K197" s="50" t="s">
        <v>4601</v>
      </c>
      <c r="L197" s="116" t="s">
        <v>4539</v>
      </c>
      <c r="M197" s="15">
        <v>43084</v>
      </c>
      <c r="N197" s="15">
        <v>43100</v>
      </c>
      <c r="O197" s="59" t="s">
        <v>4559</v>
      </c>
      <c r="P197" s="61"/>
      <c r="Q197" s="171"/>
      <c r="R197" s="239" t="s">
        <v>5248</v>
      </c>
      <c r="S197" s="326" t="s">
        <v>5251</v>
      </c>
      <c r="T197" s="137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</row>
    <row r="198" spans="1:68" s="121" customFormat="1" ht="20.100000000000001" customHeight="1">
      <c r="A198" s="1190" t="s">
        <v>5239</v>
      </c>
      <c r="B198" s="1190" t="s">
        <v>4749</v>
      </c>
      <c r="C198" s="1190" t="s">
        <v>5250</v>
      </c>
      <c r="D198" s="247" ph="1">
        <v>750</v>
      </c>
      <c r="E198" s="247" ph="1">
        <v>1400</v>
      </c>
      <c r="F198" s="247" ph="1">
        <v>1400</v>
      </c>
      <c r="G198" s="220" t="s">
        <v>4557</v>
      </c>
      <c r="H198" s="69" t="s">
        <v>4548</v>
      </c>
      <c r="I198" s="51" t="s">
        <v>4725</v>
      </c>
      <c r="J198" s="34"/>
      <c r="K198" s="118" t="s">
        <v>4601</v>
      </c>
      <c r="L198" s="116" t="s">
        <v>4539</v>
      </c>
      <c r="M198" s="6">
        <v>43084</v>
      </c>
      <c r="N198" s="6">
        <v>43100</v>
      </c>
      <c r="O198" s="61" t="s">
        <v>4555</v>
      </c>
      <c r="P198" s="7"/>
      <c r="Q198" s="171"/>
      <c r="R198" s="239" t="s">
        <v>5248</v>
      </c>
      <c r="S198" s="326" t="s">
        <v>4543</v>
      </c>
      <c r="T198" s="137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</row>
    <row r="199" spans="1:68" s="121" customFormat="1" ht="20.100000000000001" customHeight="1">
      <c r="A199" s="1190" t="s">
        <v>5239</v>
      </c>
      <c r="B199" s="1190" t="s">
        <v>4749</v>
      </c>
      <c r="C199" s="1190" t="s">
        <v>5250</v>
      </c>
      <c r="D199" s="247" ph="1">
        <v>800</v>
      </c>
      <c r="E199" s="247" ph="1">
        <v>1500</v>
      </c>
      <c r="F199" s="247" ph="1">
        <v>1550</v>
      </c>
      <c r="G199" s="63" t="s">
        <v>4645</v>
      </c>
      <c r="H199" s="69" t="s">
        <v>4548</v>
      </c>
      <c r="I199" s="38" t="s">
        <v>4725</v>
      </c>
      <c r="J199" s="30"/>
      <c r="K199" s="50" t="s">
        <v>4601</v>
      </c>
      <c r="L199" s="116" t="s">
        <v>4539</v>
      </c>
      <c r="M199" s="6">
        <v>43084</v>
      </c>
      <c r="N199" s="6">
        <v>43100</v>
      </c>
      <c r="O199" s="61" t="s">
        <v>5249</v>
      </c>
      <c r="P199" s="7"/>
      <c r="Q199" s="171"/>
      <c r="R199" s="239" t="s">
        <v>5248</v>
      </c>
      <c r="S199" s="326" t="s">
        <v>4641</v>
      </c>
      <c r="T199" s="137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  <c r="BN199" s="120"/>
      <c r="BO199" s="120"/>
      <c r="BP199" s="120"/>
    </row>
    <row r="200" spans="1:68" s="121" customFormat="1" ht="20.100000000000001" customHeight="1">
      <c r="A200" s="1190" t="s">
        <v>5239</v>
      </c>
      <c r="B200" s="1190" t="s">
        <v>4799</v>
      </c>
      <c r="C200" s="1190" t="s">
        <v>4820</v>
      </c>
      <c r="D200" s="950">
        <v>780</v>
      </c>
      <c r="E200" s="950">
        <v>1460</v>
      </c>
      <c r="F200" s="950">
        <v>1460</v>
      </c>
      <c r="G200" s="224" t="s">
        <v>4569</v>
      </c>
      <c r="H200" s="69" t="s">
        <v>4635</v>
      </c>
      <c r="I200" s="38" t="s">
        <v>4725</v>
      </c>
      <c r="J200" s="37"/>
      <c r="K200" s="50" t="s">
        <v>4940</v>
      </c>
      <c r="L200" s="116" t="s">
        <v>4539</v>
      </c>
      <c r="M200" s="6">
        <v>43074</v>
      </c>
      <c r="N200" s="6">
        <v>43084</v>
      </c>
      <c r="O200" s="61" t="s">
        <v>4567</v>
      </c>
      <c r="P200" s="61"/>
      <c r="Q200" s="171"/>
      <c r="R200" s="239" t="s">
        <v>4972</v>
      </c>
      <c r="S200" s="328" t="s">
        <v>4543</v>
      </c>
      <c r="T200" s="137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</row>
    <row r="201" spans="1:68" s="121" customFormat="1" ht="20.100000000000001" customHeight="1">
      <c r="A201" s="1190" t="s">
        <v>5239</v>
      </c>
      <c r="B201" s="1190" t="s">
        <v>4799</v>
      </c>
      <c r="C201" s="1190" t="s">
        <v>4820</v>
      </c>
      <c r="D201" s="885">
        <v>750</v>
      </c>
      <c r="E201" s="885">
        <v>1400</v>
      </c>
      <c r="F201" s="885">
        <v>1450</v>
      </c>
      <c r="G201" s="109" t="s">
        <v>4636</v>
      </c>
      <c r="H201" s="48" t="s">
        <v>4635</v>
      </c>
      <c r="I201" s="38" t="s">
        <v>4725</v>
      </c>
      <c r="J201" s="30"/>
      <c r="K201" s="38" t="s">
        <v>4940</v>
      </c>
      <c r="L201" s="116" t="s">
        <v>4539</v>
      </c>
      <c r="M201" s="6">
        <v>43084</v>
      </c>
      <c r="N201" s="6">
        <v>43100</v>
      </c>
      <c r="O201" s="61" t="s">
        <v>5247</v>
      </c>
      <c r="P201" s="61" t="s">
        <v>4293</v>
      </c>
      <c r="Q201" s="171"/>
      <c r="R201" s="240" t="s">
        <v>5246</v>
      </c>
      <c r="S201" s="327" t="s">
        <v>4632</v>
      </c>
      <c r="T201" s="137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</row>
    <row r="202" spans="1:68" s="121" customFormat="1" ht="20.100000000000001" customHeight="1">
      <c r="A202" s="1190" t="s">
        <v>5239</v>
      </c>
      <c r="B202" s="1190" t="s">
        <v>4799</v>
      </c>
      <c r="C202" s="1190" t="s">
        <v>4820</v>
      </c>
      <c r="D202" s="960" ph="1">
        <v>900</v>
      </c>
      <c r="E202" s="960" ph="1">
        <v>1600</v>
      </c>
      <c r="F202" s="960" ph="1">
        <v>1650</v>
      </c>
      <c r="G202" s="65" t="s">
        <v>4553</v>
      </c>
      <c r="H202" s="69" t="s">
        <v>4635</v>
      </c>
      <c r="I202" s="38" t="s">
        <v>4725</v>
      </c>
      <c r="J202" s="37"/>
      <c r="K202" s="50" t="s">
        <v>4940</v>
      </c>
      <c r="L202" s="116" t="s">
        <v>4539</v>
      </c>
      <c r="M202" s="6">
        <v>43085</v>
      </c>
      <c r="N202" s="6">
        <v>43100</v>
      </c>
      <c r="O202" s="61" t="s">
        <v>5245</v>
      </c>
      <c r="P202" s="61"/>
      <c r="Q202" s="171"/>
      <c r="R202" s="239" t="s">
        <v>5234</v>
      </c>
      <c r="S202" s="328" t="s">
        <v>4543</v>
      </c>
      <c r="T202" s="137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</row>
    <row r="203" spans="1:68" s="121" customFormat="1" ht="20.100000000000001" customHeight="1">
      <c r="A203" s="1190" t="s">
        <v>5239</v>
      </c>
      <c r="B203" s="1190" t="s">
        <v>4657</v>
      </c>
      <c r="C203" s="1190" t="s">
        <v>4669</v>
      </c>
      <c r="D203" s="248">
        <f>D58+75</f>
        <v>925</v>
      </c>
      <c r="E203" s="248">
        <f>E58+0</f>
        <v>1600</v>
      </c>
      <c r="F203" s="248">
        <f>F58+0</f>
        <v>1650</v>
      </c>
      <c r="G203" s="217" t="s">
        <v>4572</v>
      </c>
      <c r="H203" s="55" t="s">
        <v>4649</v>
      </c>
      <c r="I203" s="10" t="s">
        <v>4725</v>
      </c>
      <c r="J203" s="117"/>
      <c r="K203" s="10" t="s">
        <v>4601</v>
      </c>
      <c r="L203" s="116" t="s">
        <v>4539</v>
      </c>
      <c r="M203" s="15">
        <v>43070</v>
      </c>
      <c r="N203" s="15">
        <v>43100</v>
      </c>
      <c r="O203" s="61" t="s">
        <v>4655</v>
      </c>
      <c r="P203" s="61"/>
      <c r="Q203" s="167"/>
      <c r="R203" s="240" t="s">
        <v>5244</v>
      </c>
      <c r="S203" s="327" t="s">
        <v>4570</v>
      </c>
      <c r="T203" s="137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</row>
    <row r="204" spans="1:68" s="121" customFormat="1" ht="20.100000000000001" customHeight="1">
      <c r="A204" s="1190" t="s">
        <v>5239</v>
      </c>
      <c r="B204" s="1190" t="s">
        <v>4657</v>
      </c>
      <c r="C204" s="1190" t="s">
        <v>4669</v>
      </c>
      <c r="D204" s="320">
        <v>875</v>
      </c>
      <c r="E204" s="320">
        <f>D204*2-200</f>
        <v>1550</v>
      </c>
      <c r="F204" s="320">
        <f>D204*2-150</f>
        <v>1600</v>
      </c>
      <c r="G204" s="234" t="s">
        <v>4575</v>
      </c>
      <c r="H204" s="69" t="s">
        <v>4649</v>
      </c>
      <c r="I204" s="38" t="s">
        <v>4725</v>
      </c>
      <c r="J204" s="38"/>
      <c r="K204" s="10" t="s">
        <v>4601</v>
      </c>
      <c r="L204" s="116" t="s">
        <v>4539</v>
      </c>
      <c r="M204" s="15">
        <v>43084</v>
      </c>
      <c r="N204" s="15">
        <v>43100</v>
      </c>
      <c r="O204" s="61" t="s">
        <v>5243</v>
      </c>
      <c r="P204" s="61"/>
      <c r="Q204" s="167"/>
      <c r="R204" s="240" t="s">
        <v>5242</v>
      </c>
      <c r="S204" s="328" t="s">
        <v>4543</v>
      </c>
      <c r="T204" s="137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</row>
    <row r="205" spans="1:68" s="121" customFormat="1" ht="20.100000000000001" customHeight="1">
      <c r="A205" s="1190" t="s">
        <v>5239</v>
      </c>
      <c r="B205" s="1190" t="s">
        <v>4657</v>
      </c>
      <c r="C205" s="1190" t="s">
        <v>4669</v>
      </c>
      <c r="D205" s="248">
        <v>800</v>
      </c>
      <c r="E205" s="248">
        <v>1500</v>
      </c>
      <c r="F205" s="248">
        <v>1500</v>
      </c>
      <c r="G205" s="234" t="s">
        <v>4904</v>
      </c>
      <c r="H205" s="22" t="s">
        <v>4649</v>
      </c>
      <c r="I205" s="10" t="s">
        <v>4725</v>
      </c>
      <c r="J205" s="117"/>
      <c r="K205" s="10" t="s">
        <v>4601</v>
      </c>
      <c r="L205" s="116" t="s">
        <v>4539</v>
      </c>
      <c r="M205" s="15">
        <v>43084</v>
      </c>
      <c r="N205" s="15">
        <v>43100</v>
      </c>
      <c r="O205" s="61" t="s">
        <v>5241</v>
      </c>
      <c r="P205" s="61"/>
      <c r="Q205" s="167"/>
      <c r="R205" s="239" t="s">
        <v>5240</v>
      </c>
      <c r="S205" s="336" t="s">
        <v>1952</v>
      </c>
      <c r="T205" s="137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</row>
    <row r="206" spans="1:68" s="121" customFormat="1" ht="20.100000000000001" customHeight="1">
      <c r="A206" s="1190" t="s">
        <v>5239</v>
      </c>
      <c r="B206" s="1190" t="s">
        <v>4657</v>
      </c>
      <c r="C206" s="1190" t="s">
        <v>4669</v>
      </c>
      <c r="D206" s="248">
        <f>D164</f>
        <v>775</v>
      </c>
      <c r="E206" s="248">
        <f>E164</f>
        <v>1450</v>
      </c>
      <c r="F206" s="248">
        <f>F164</f>
        <v>1500</v>
      </c>
      <c r="G206" s="12" t="s">
        <v>4542</v>
      </c>
      <c r="H206" s="55" t="s">
        <v>4649</v>
      </c>
      <c r="I206" s="10" t="s">
        <v>4725</v>
      </c>
      <c r="J206" s="117"/>
      <c r="K206" s="10" t="s">
        <v>4601</v>
      </c>
      <c r="L206" s="116" t="s">
        <v>4539</v>
      </c>
      <c r="M206" s="15">
        <v>43084</v>
      </c>
      <c r="N206" s="15">
        <v>43100</v>
      </c>
      <c r="O206" s="61" t="s">
        <v>5238</v>
      </c>
      <c r="P206" s="61"/>
      <c r="Q206" s="167"/>
      <c r="R206" s="240" t="s">
        <v>5237</v>
      </c>
      <c r="S206" s="326" t="s">
        <v>4537</v>
      </c>
      <c r="T206" s="137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</row>
    <row r="207" spans="1:68" s="121" customFormat="1" ht="20.100000000000001" customHeight="1">
      <c r="A207" s="1190" t="s">
        <v>5233</v>
      </c>
      <c r="B207" s="1190" t="s">
        <v>4657</v>
      </c>
      <c r="C207" s="1190" t="s">
        <v>4669</v>
      </c>
      <c r="D207" s="885">
        <v>750</v>
      </c>
      <c r="E207" s="885">
        <v>1400</v>
      </c>
      <c r="F207" s="885">
        <v>1450</v>
      </c>
      <c r="G207" s="109" t="s">
        <v>4636</v>
      </c>
      <c r="H207" s="55" t="s">
        <v>4992</v>
      </c>
      <c r="I207" s="10" t="s">
        <v>4725</v>
      </c>
      <c r="J207" s="117"/>
      <c r="K207" s="10" t="s">
        <v>4739</v>
      </c>
      <c r="L207" s="116" t="s">
        <v>4539</v>
      </c>
      <c r="M207" s="6">
        <v>43084</v>
      </c>
      <c r="N207" s="6">
        <v>43100</v>
      </c>
      <c r="O207" s="61" t="s">
        <v>4555</v>
      </c>
      <c r="P207" s="61"/>
      <c r="Q207" s="7"/>
      <c r="R207" s="239" t="s">
        <v>5236</v>
      </c>
      <c r="S207" s="327" t="s">
        <v>4632</v>
      </c>
      <c r="T207" s="137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</row>
    <row r="208" spans="1:68" s="121" customFormat="1" ht="20.100000000000001" customHeight="1">
      <c r="A208" s="1190" t="s">
        <v>5233</v>
      </c>
      <c r="B208" s="1190" t="s">
        <v>4657</v>
      </c>
      <c r="C208" s="1190" t="s">
        <v>4669</v>
      </c>
      <c r="D208" s="960" ph="1">
        <v>900</v>
      </c>
      <c r="E208" s="960" ph="1">
        <v>1600</v>
      </c>
      <c r="F208" s="960" ph="1">
        <v>1650</v>
      </c>
      <c r="G208" s="65" t="s">
        <v>4553</v>
      </c>
      <c r="H208" s="55" t="s">
        <v>4992</v>
      </c>
      <c r="I208" s="38" t="s">
        <v>4725</v>
      </c>
      <c r="J208" s="37"/>
      <c r="K208" s="50" t="s">
        <v>4739</v>
      </c>
      <c r="L208" s="116" t="s">
        <v>4539</v>
      </c>
      <c r="M208" s="6">
        <v>43085</v>
      </c>
      <c r="N208" s="6">
        <v>43100</v>
      </c>
      <c r="O208" s="61" t="s">
        <v>4663</v>
      </c>
      <c r="P208" s="61"/>
      <c r="Q208" s="7"/>
      <c r="R208" s="239" t="s">
        <v>5235</v>
      </c>
      <c r="S208" s="328" t="s">
        <v>4543</v>
      </c>
      <c r="T208" s="137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</row>
    <row r="209" spans="1:68" s="121" customFormat="1" ht="20.100000000000001" customHeight="1">
      <c r="A209" s="1138" t="s">
        <v>5233</v>
      </c>
      <c r="B209" s="1138" t="s">
        <v>4868</v>
      </c>
      <c r="C209" s="1138" t="s">
        <v>4876</v>
      </c>
      <c r="D209" s="960" ph="1">
        <v>900</v>
      </c>
      <c r="E209" s="960" ph="1">
        <v>1600</v>
      </c>
      <c r="F209" s="960" ph="1">
        <v>1650</v>
      </c>
      <c r="G209" s="65" t="s">
        <v>4553</v>
      </c>
      <c r="H209" s="69" t="s">
        <v>4635</v>
      </c>
      <c r="I209" s="38" t="s">
        <v>4725</v>
      </c>
      <c r="J209" s="37"/>
      <c r="K209" s="50" t="s">
        <v>4665</v>
      </c>
      <c r="L209" s="116" t="s">
        <v>4539</v>
      </c>
      <c r="M209" s="6">
        <v>43085</v>
      </c>
      <c r="N209" s="6">
        <v>43100</v>
      </c>
      <c r="O209" s="61" t="s">
        <v>4663</v>
      </c>
      <c r="P209" s="61"/>
      <c r="Q209" s="171"/>
      <c r="R209" s="239" t="s">
        <v>5234</v>
      </c>
      <c r="S209" s="328" t="s">
        <v>4543</v>
      </c>
      <c r="T209" s="137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</row>
    <row r="210" spans="1:68" s="121" customFormat="1" ht="20.100000000000001" customHeight="1">
      <c r="A210" s="1138" t="s">
        <v>5233</v>
      </c>
      <c r="B210" s="1138" t="s">
        <v>4868</v>
      </c>
      <c r="C210" s="1138" t="s">
        <v>1766</v>
      </c>
      <c r="D210" s="950">
        <v>780</v>
      </c>
      <c r="E210" s="950">
        <v>1457</v>
      </c>
      <c r="F210" s="950">
        <v>1457</v>
      </c>
      <c r="G210" s="224" t="s">
        <v>4569</v>
      </c>
      <c r="H210" s="69" t="s">
        <v>4635</v>
      </c>
      <c r="I210" s="38" t="s">
        <v>4725</v>
      </c>
      <c r="J210" s="30"/>
      <c r="K210" s="50" t="s">
        <v>4665</v>
      </c>
      <c r="L210" s="116" t="s">
        <v>4539</v>
      </c>
      <c r="M210" s="6">
        <v>43074</v>
      </c>
      <c r="N210" s="6">
        <v>43084</v>
      </c>
      <c r="O210" s="61" t="s">
        <v>4567</v>
      </c>
      <c r="P210" s="61"/>
      <c r="Q210" s="171"/>
      <c r="R210" s="239" t="s">
        <v>4972</v>
      </c>
      <c r="S210" s="328" t="s">
        <v>4543</v>
      </c>
      <c r="T210" s="137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</row>
    <row r="211" spans="1:68" s="121" customFormat="1" ht="20.100000000000001" customHeight="1">
      <c r="A211" s="295" t="s">
        <v>5233</v>
      </c>
      <c r="B211" s="903"/>
      <c r="C211" s="903" t="s">
        <v>5232</v>
      </c>
      <c r="D211" s="247" ph="1">
        <v>725</v>
      </c>
      <c r="E211" s="247" ph="1">
        <v>1350</v>
      </c>
      <c r="F211" s="247" ph="1">
        <v>1400</v>
      </c>
      <c r="G211" s="109" t="s">
        <v>4566</v>
      </c>
      <c r="H211" s="69" t="s">
        <v>4556</v>
      </c>
      <c r="I211" s="38" t="s">
        <v>4725</v>
      </c>
      <c r="J211" s="37"/>
      <c r="K211" s="50"/>
      <c r="L211" s="116" t="s">
        <v>4539</v>
      </c>
      <c r="M211" s="15">
        <v>43084</v>
      </c>
      <c r="N211" s="15">
        <v>43100</v>
      </c>
      <c r="O211" s="61" t="s">
        <v>4638</v>
      </c>
      <c r="P211" s="61"/>
      <c r="Q211" s="167"/>
      <c r="R211" s="239" t="s">
        <v>4554</v>
      </c>
      <c r="S211" s="327" t="s">
        <v>4561</v>
      </c>
      <c r="T211" s="137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</row>
    <row r="212" spans="1:68" s="121" customFormat="1" ht="20.100000000000001" customHeight="1">
      <c r="A212" s="1128" t="s">
        <v>5191</v>
      </c>
      <c r="B212" s="1128" t="s">
        <v>4535</v>
      </c>
      <c r="C212" s="1128" t="s">
        <v>5231</v>
      </c>
      <c r="D212" s="248"/>
      <c r="E212" s="248"/>
      <c r="F212" s="248"/>
      <c r="G212" s="226" t="s">
        <v>5010</v>
      </c>
      <c r="H212" s="56" t="s">
        <v>4552</v>
      </c>
      <c r="I212" s="51" t="s">
        <v>5045</v>
      </c>
      <c r="J212" s="50"/>
      <c r="K212" s="50" t="s">
        <v>4940</v>
      </c>
      <c r="L212" s="19" t="s">
        <v>4539</v>
      </c>
      <c r="M212" s="6">
        <v>43070</v>
      </c>
      <c r="N212" s="6">
        <v>43083</v>
      </c>
      <c r="O212" s="61" t="s">
        <v>5008</v>
      </c>
      <c r="P212" s="59"/>
      <c r="Q212" s="167"/>
      <c r="R212" s="239" t="s">
        <v>5007</v>
      </c>
      <c r="S212" s="327" t="s">
        <v>5006</v>
      </c>
      <c r="T212" s="137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</row>
    <row r="213" spans="1:68" s="121" customFormat="1" ht="20.100000000000001" customHeight="1">
      <c r="A213" s="1128" t="s">
        <v>5191</v>
      </c>
      <c r="B213" s="1128" t="s">
        <v>4535</v>
      </c>
      <c r="C213" s="1128" t="s">
        <v>5231</v>
      </c>
      <c r="D213" s="949">
        <v>575</v>
      </c>
      <c r="E213" s="949">
        <v>1050</v>
      </c>
      <c r="F213" s="949">
        <v>1050</v>
      </c>
      <c r="G213" s="109" t="s">
        <v>5022</v>
      </c>
      <c r="H213" s="211" t="s">
        <v>4552</v>
      </c>
      <c r="I213" s="38" t="s">
        <v>4725</v>
      </c>
      <c r="J213" s="38"/>
      <c r="K213" s="37" t="s">
        <v>5023</v>
      </c>
      <c r="L213" s="116" t="s">
        <v>4539</v>
      </c>
      <c r="M213" s="6">
        <v>43073</v>
      </c>
      <c r="N213" s="6">
        <v>43083</v>
      </c>
      <c r="O213" s="61" t="s">
        <v>4961</v>
      </c>
      <c r="P213" s="74"/>
      <c r="Q213" s="167"/>
      <c r="R213" s="239" t="s">
        <v>5153</v>
      </c>
      <c r="S213" s="328" t="s">
        <v>1762</v>
      </c>
      <c r="T213" s="137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</row>
    <row r="214" spans="1:68" s="121" customFormat="1" ht="20.100000000000001" customHeight="1">
      <c r="A214" s="1128" t="s">
        <v>5191</v>
      </c>
      <c r="B214" s="1128" t="s">
        <v>4535</v>
      </c>
      <c r="C214" s="1128" t="s">
        <v>5231</v>
      </c>
      <c r="D214" s="248">
        <v>650</v>
      </c>
      <c r="E214" s="248">
        <v>1100</v>
      </c>
      <c r="F214" s="248">
        <v>1150</v>
      </c>
      <c r="G214" s="234" t="s">
        <v>4572</v>
      </c>
      <c r="H214" s="36" t="s">
        <v>4552</v>
      </c>
      <c r="I214" s="10" t="s">
        <v>4725</v>
      </c>
      <c r="J214" s="34"/>
      <c r="K214" s="50" t="s">
        <v>5023</v>
      </c>
      <c r="L214" s="118" t="s">
        <v>4539</v>
      </c>
      <c r="M214" s="15">
        <v>43060</v>
      </c>
      <c r="N214" s="15">
        <v>43076</v>
      </c>
      <c r="O214" s="61" t="s">
        <v>4545</v>
      </c>
      <c r="P214" s="123"/>
      <c r="Q214" s="167"/>
      <c r="R214" s="239" t="s">
        <v>4584</v>
      </c>
      <c r="S214" s="328" t="s">
        <v>4543</v>
      </c>
      <c r="T214" s="137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</row>
    <row r="215" spans="1:68" s="121" customFormat="1" ht="20.100000000000001" customHeight="1">
      <c r="A215" s="1128" t="s">
        <v>5191</v>
      </c>
      <c r="B215" s="1128" t="s">
        <v>4535</v>
      </c>
      <c r="C215" s="1128" t="s">
        <v>5231</v>
      </c>
      <c r="D215" s="320">
        <v>725</v>
      </c>
      <c r="E215" s="320">
        <f>D215*2-100</f>
        <v>1350</v>
      </c>
      <c r="F215" s="320">
        <f>D215*2-50</f>
        <v>1400</v>
      </c>
      <c r="G215" s="234" t="s">
        <v>4575</v>
      </c>
      <c r="H215" s="245" t="s">
        <v>4552</v>
      </c>
      <c r="I215" s="51" t="s">
        <v>4725</v>
      </c>
      <c r="J215" s="34"/>
      <c r="K215" s="50" t="s">
        <v>5023</v>
      </c>
      <c r="L215" s="118" t="s">
        <v>4539</v>
      </c>
      <c r="M215" s="15">
        <v>43084</v>
      </c>
      <c r="N215" s="15">
        <v>43100</v>
      </c>
      <c r="O215" s="61" t="s">
        <v>4545</v>
      </c>
      <c r="P215" s="74"/>
      <c r="Q215" s="167"/>
      <c r="R215" s="239" t="s">
        <v>4583</v>
      </c>
      <c r="S215" s="327" t="s">
        <v>4576</v>
      </c>
      <c r="T215" s="137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</row>
    <row r="216" spans="1:68" s="121" customFormat="1" ht="20.100000000000001" customHeight="1">
      <c r="A216" s="1128" t="s">
        <v>5191</v>
      </c>
      <c r="B216" s="1128" t="s">
        <v>4535</v>
      </c>
      <c r="C216" s="1128" t="s">
        <v>5231</v>
      </c>
      <c r="D216" s="947">
        <v>525</v>
      </c>
      <c r="E216" s="947">
        <v>950</v>
      </c>
      <c r="F216" s="947">
        <v>950</v>
      </c>
      <c r="G216" s="234" t="s">
        <v>4904</v>
      </c>
      <c r="H216" s="36" t="s">
        <v>4552</v>
      </c>
      <c r="I216" s="38" t="s">
        <v>4725</v>
      </c>
      <c r="J216" s="38"/>
      <c r="K216" s="50" t="s">
        <v>5023</v>
      </c>
      <c r="L216" s="116" t="s">
        <v>4539</v>
      </c>
      <c r="M216" s="15">
        <v>43054</v>
      </c>
      <c r="N216" s="15">
        <v>43089</v>
      </c>
      <c r="O216" s="61" t="s">
        <v>4961</v>
      </c>
      <c r="P216" s="74"/>
      <c r="Q216" s="167"/>
      <c r="R216" s="239" t="s">
        <v>5104</v>
      </c>
      <c r="S216" s="336" t="s">
        <v>1952</v>
      </c>
      <c r="T216" s="137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</row>
    <row r="217" spans="1:68" s="121" customFormat="1" ht="20.100000000000001" customHeight="1">
      <c r="A217" s="1128" t="s">
        <v>5191</v>
      </c>
      <c r="B217" s="1128" t="s">
        <v>4535</v>
      </c>
      <c r="C217" s="1128" t="s">
        <v>5231</v>
      </c>
      <c r="D217" s="247">
        <v>525</v>
      </c>
      <c r="E217" s="247">
        <v>950</v>
      </c>
      <c r="F217" s="247">
        <v>1000</v>
      </c>
      <c r="G217" s="29" t="s">
        <v>4542</v>
      </c>
      <c r="H217" s="48" t="s">
        <v>4552</v>
      </c>
      <c r="I217" s="38" t="s">
        <v>4725</v>
      </c>
      <c r="J217" s="30"/>
      <c r="K217" s="50" t="s">
        <v>5023</v>
      </c>
      <c r="L217" s="116" t="s">
        <v>4539</v>
      </c>
      <c r="M217" s="15">
        <v>43080</v>
      </c>
      <c r="N217" s="15">
        <v>43083</v>
      </c>
      <c r="O217" s="61" t="s">
        <v>4961</v>
      </c>
      <c r="P217" s="74"/>
      <c r="Q217" s="167"/>
      <c r="R217" s="239" t="s">
        <v>5195</v>
      </c>
      <c r="S217" s="327" t="s">
        <v>5193</v>
      </c>
      <c r="T217" s="137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</row>
    <row r="218" spans="1:68" s="121" customFormat="1" ht="20.100000000000001" customHeight="1">
      <c r="A218" s="1128" t="s">
        <v>5191</v>
      </c>
      <c r="B218" s="1128" t="s">
        <v>4535</v>
      </c>
      <c r="C218" s="1128" t="s">
        <v>5231</v>
      </c>
      <c r="D218" s="247">
        <v>550</v>
      </c>
      <c r="E218" s="247">
        <v>1000</v>
      </c>
      <c r="F218" s="247">
        <v>1050</v>
      </c>
      <c r="G218" s="63" t="s">
        <v>4636</v>
      </c>
      <c r="H218" s="48" t="s">
        <v>4580</v>
      </c>
      <c r="I218" s="38" t="s">
        <v>4725</v>
      </c>
      <c r="J218" s="30"/>
      <c r="K218" s="50" t="s">
        <v>4739</v>
      </c>
      <c r="L218" s="116" t="s">
        <v>4539</v>
      </c>
      <c r="M218" s="6">
        <v>43051</v>
      </c>
      <c r="N218" s="6">
        <v>43100</v>
      </c>
      <c r="O218" s="61" t="s">
        <v>4961</v>
      </c>
      <c r="P218" s="61"/>
      <c r="Q218" s="171"/>
      <c r="R218" s="239" t="s">
        <v>5194</v>
      </c>
      <c r="S218" s="327" t="s">
        <v>4632</v>
      </c>
      <c r="T218" s="137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</row>
    <row r="219" spans="1:68" s="121" customFormat="1" ht="20.100000000000001" customHeight="1">
      <c r="A219" s="1128" t="s">
        <v>5191</v>
      </c>
      <c r="B219" s="1128" t="s">
        <v>4535</v>
      </c>
      <c r="C219" s="1128" t="s">
        <v>5231</v>
      </c>
      <c r="D219" s="961">
        <v>650</v>
      </c>
      <c r="E219" s="961">
        <v>1300</v>
      </c>
      <c r="F219" s="961">
        <v>1350</v>
      </c>
      <c r="G219" s="65" t="s">
        <v>4553</v>
      </c>
      <c r="H219" s="22">
        <v>4</v>
      </c>
      <c r="I219" s="51" t="s">
        <v>4725</v>
      </c>
      <c r="J219" s="34"/>
      <c r="K219" s="50" t="s">
        <v>4739</v>
      </c>
      <c r="L219" s="118" t="s">
        <v>4539</v>
      </c>
      <c r="M219" s="6">
        <v>43085</v>
      </c>
      <c r="N219" s="6">
        <v>43100</v>
      </c>
      <c r="O219" s="61" t="s">
        <v>4545</v>
      </c>
      <c r="P219" s="59"/>
      <c r="Q219" s="171"/>
      <c r="R219" s="239" t="s">
        <v>4878</v>
      </c>
      <c r="S219" s="328" t="s">
        <v>4543</v>
      </c>
      <c r="T219" s="137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</row>
    <row r="220" spans="1:68" s="121" customFormat="1" ht="20.100000000000001" customHeight="1">
      <c r="A220" s="1128" t="s">
        <v>5191</v>
      </c>
      <c r="B220" s="1128" t="s">
        <v>4535</v>
      </c>
      <c r="C220" s="1128" t="s">
        <v>5231</v>
      </c>
      <c r="D220" s="961">
        <v>550</v>
      </c>
      <c r="E220" s="961">
        <v>1000</v>
      </c>
      <c r="F220" s="961">
        <v>1000</v>
      </c>
      <c r="G220" s="65" t="s">
        <v>4549</v>
      </c>
      <c r="H220" s="210" t="s">
        <v>4580</v>
      </c>
      <c r="I220" s="51" t="s">
        <v>4725</v>
      </c>
      <c r="J220" s="34"/>
      <c r="K220" s="50" t="s">
        <v>4739</v>
      </c>
      <c r="L220" s="118" t="s">
        <v>4539</v>
      </c>
      <c r="M220" s="6">
        <v>43070</v>
      </c>
      <c r="N220" s="6">
        <v>43100</v>
      </c>
      <c r="O220" s="61" t="s">
        <v>4545</v>
      </c>
      <c r="P220" s="59"/>
      <c r="Q220" s="171"/>
      <c r="R220" s="239" t="s">
        <v>5099</v>
      </c>
      <c r="S220" s="328" t="s">
        <v>4543</v>
      </c>
      <c r="T220" s="137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</row>
    <row r="221" spans="1:68" s="121" customFormat="1" ht="20.100000000000001" customHeight="1">
      <c r="A221" s="1128" t="s">
        <v>5191</v>
      </c>
      <c r="B221" s="1128" t="s">
        <v>4535</v>
      </c>
      <c r="C221" s="1128" t="s">
        <v>5231</v>
      </c>
      <c r="D221" s="247">
        <v>675</v>
      </c>
      <c r="E221" s="247">
        <v>1050</v>
      </c>
      <c r="F221" s="247">
        <v>1050</v>
      </c>
      <c r="G221" s="224" t="s">
        <v>4569</v>
      </c>
      <c r="H221" s="36" t="s">
        <v>4580</v>
      </c>
      <c r="I221" s="38" t="s">
        <v>4725</v>
      </c>
      <c r="J221" s="38"/>
      <c r="K221" s="50" t="s">
        <v>4739</v>
      </c>
      <c r="L221" s="116" t="s">
        <v>4539</v>
      </c>
      <c r="M221" s="6">
        <v>43057</v>
      </c>
      <c r="N221" s="6">
        <v>43069</v>
      </c>
      <c r="O221" s="61" t="s">
        <v>4921</v>
      </c>
      <c r="P221" s="61"/>
      <c r="Q221" s="7"/>
      <c r="R221" s="239" t="s">
        <v>5095</v>
      </c>
      <c r="S221" s="328" t="s">
        <v>4543</v>
      </c>
      <c r="T221" s="137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</row>
    <row r="222" spans="1:68" s="121" customFormat="1" ht="20.100000000000001" customHeight="1">
      <c r="A222" s="1128" t="s">
        <v>5191</v>
      </c>
      <c r="B222" s="1128" t="s">
        <v>4535</v>
      </c>
      <c r="C222" s="1128" t="s">
        <v>5231</v>
      </c>
      <c r="D222" s="949">
        <v>575</v>
      </c>
      <c r="E222" s="949">
        <v>1050</v>
      </c>
      <c r="F222" s="949">
        <v>1050</v>
      </c>
      <c r="G222" s="109" t="s">
        <v>5022</v>
      </c>
      <c r="H222" s="48" t="s">
        <v>4580</v>
      </c>
      <c r="I222" s="38" t="s">
        <v>4725</v>
      </c>
      <c r="J222" s="38"/>
      <c r="K222" s="37" t="s">
        <v>4665</v>
      </c>
      <c r="L222" s="116" t="s">
        <v>4539</v>
      </c>
      <c r="M222" s="6">
        <v>43073</v>
      </c>
      <c r="N222" s="6">
        <v>43083</v>
      </c>
      <c r="O222" s="61" t="s">
        <v>4961</v>
      </c>
      <c r="P222" s="59"/>
      <c r="Q222" s="167"/>
      <c r="R222" s="239" t="s">
        <v>5063</v>
      </c>
      <c r="S222" s="328" t="s">
        <v>1762</v>
      </c>
      <c r="T222" s="137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</row>
    <row r="223" spans="1:68" s="121" customFormat="1" ht="20.100000000000001" customHeight="1">
      <c r="A223" s="1128" t="s">
        <v>5191</v>
      </c>
      <c r="B223" s="1128" t="s">
        <v>4535</v>
      </c>
      <c r="C223" s="1128" t="s">
        <v>5231</v>
      </c>
      <c r="D223" s="320">
        <v>725</v>
      </c>
      <c r="E223" s="320">
        <f>D223*2-100</f>
        <v>1350</v>
      </c>
      <c r="F223" s="320">
        <f>D223*2-50</f>
        <v>1400</v>
      </c>
      <c r="G223" s="234" t="s">
        <v>4575</v>
      </c>
      <c r="H223" s="48" t="s">
        <v>4580</v>
      </c>
      <c r="I223" s="38" t="s">
        <v>4725</v>
      </c>
      <c r="J223" s="38"/>
      <c r="K223" s="38" t="s">
        <v>4665</v>
      </c>
      <c r="L223" s="116" t="s">
        <v>4539</v>
      </c>
      <c r="M223" s="15">
        <v>43084</v>
      </c>
      <c r="N223" s="15">
        <v>43100</v>
      </c>
      <c r="O223" s="61" t="s">
        <v>4545</v>
      </c>
      <c r="P223" s="74"/>
      <c r="Q223" s="167"/>
      <c r="R223" s="239" t="s">
        <v>5120</v>
      </c>
      <c r="S223" s="327" t="s">
        <v>4576</v>
      </c>
      <c r="T223" s="137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</row>
    <row r="224" spans="1:68" s="121" customFormat="1" ht="20.100000000000001" customHeight="1">
      <c r="A224" s="1128" t="s">
        <v>5191</v>
      </c>
      <c r="B224" s="1128" t="s">
        <v>4535</v>
      </c>
      <c r="C224" s="1128" t="s">
        <v>5231</v>
      </c>
      <c r="D224" s="947">
        <v>525</v>
      </c>
      <c r="E224" s="947">
        <v>950</v>
      </c>
      <c r="F224" s="947">
        <v>950</v>
      </c>
      <c r="G224" s="234" t="s">
        <v>4904</v>
      </c>
      <c r="H224" s="36" t="s">
        <v>4580</v>
      </c>
      <c r="I224" s="38" t="s">
        <v>4725</v>
      </c>
      <c r="J224" s="38"/>
      <c r="K224" s="38" t="s">
        <v>4665</v>
      </c>
      <c r="L224" s="116" t="s">
        <v>4539</v>
      </c>
      <c r="M224" s="15">
        <v>43054</v>
      </c>
      <c r="N224" s="15">
        <v>43089</v>
      </c>
      <c r="O224" s="61" t="s">
        <v>4961</v>
      </c>
      <c r="P224" s="59"/>
      <c r="Q224" s="167"/>
      <c r="R224" s="239" t="s">
        <v>5119</v>
      </c>
      <c r="S224" s="336" t="s">
        <v>1952</v>
      </c>
      <c r="T224" s="137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</row>
    <row r="225" spans="1:68" s="121" customFormat="1" ht="20.100000000000001" customHeight="1">
      <c r="A225" s="1128" t="s">
        <v>5191</v>
      </c>
      <c r="B225" s="1128" t="s">
        <v>4535</v>
      </c>
      <c r="C225" s="1128" t="s">
        <v>5231</v>
      </c>
      <c r="D225" s="247">
        <v>525</v>
      </c>
      <c r="E225" s="247">
        <v>950</v>
      </c>
      <c r="F225" s="247">
        <v>1000</v>
      </c>
      <c r="G225" s="29" t="s">
        <v>4542</v>
      </c>
      <c r="H225" s="48" t="s">
        <v>4580</v>
      </c>
      <c r="I225" s="38" t="s">
        <v>4725</v>
      </c>
      <c r="J225" s="30"/>
      <c r="K225" s="37" t="s">
        <v>4665</v>
      </c>
      <c r="L225" s="116" t="s">
        <v>4539</v>
      </c>
      <c r="M225" s="15">
        <v>43080</v>
      </c>
      <c r="N225" s="15">
        <v>43083</v>
      </c>
      <c r="O225" s="61" t="s">
        <v>4961</v>
      </c>
      <c r="P225" s="74"/>
      <c r="Q225" s="167"/>
      <c r="R225" s="239" t="s">
        <v>5118</v>
      </c>
      <c r="S225" s="327" t="s">
        <v>5193</v>
      </c>
      <c r="T225" s="137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</row>
    <row r="226" spans="1:68" s="121" customFormat="1" ht="20.100000000000001" customHeight="1">
      <c r="A226" s="1128" t="s">
        <v>5191</v>
      </c>
      <c r="B226" s="1128" t="s">
        <v>4535</v>
      </c>
      <c r="C226" s="1128" t="s">
        <v>5231</v>
      </c>
      <c r="D226" s="320" ph="1">
        <v>525</v>
      </c>
      <c r="E226" s="320" ph="1">
        <v>950</v>
      </c>
      <c r="F226" s="320" ph="1">
        <v>1000</v>
      </c>
      <c r="G226" s="63" t="s">
        <v>4566</v>
      </c>
      <c r="H226" s="48" t="s">
        <v>4580</v>
      </c>
      <c r="I226" s="38" t="s">
        <v>4725</v>
      </c>
      <c r="J226" s="30"/>
      <c r="K226" s="37" t="s">
        <v>4968</v>
      </c>
      <c r="L226" s="116" t="s">
        <v>4539</v>
      </c>
      <c r="M226" s="15">
        <v>43084</v>
      </c>
      <c r="N226" s="15">
        <v>43100</v>
      </c>
      <c r="O226" s="61" t="s">
        <v>4563</v>
      </c>
      <c r="P226" s="61"/>
      <c r="Q226" s="167"/>
      <c r="R226" s="21" t="s">
        <v>4578</v>
      </c>
      <c r="S226" s="327" t="s">
        <v>4561</v>
      </c>
      <c r="T226" s="137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  <c r="BN226" s="120"/>
      <c r="BO226" s="120"/>
      <c r="BP226" s="120"/>
    </row>
    <row r="227" spans="1:68" s="121" customFormat="1" ht="20.100000000000001" customHeight="1">
      <c r="A227" s="1128" t="s">
        <v>5191</v>
      </c>
      <c r="B227" s="1128" t="s">
        <v>4535</v>
      </c>
      <c r="C227" s="1128" t="s">
        <v>5231</v>
      </c>
      <c r="D227" s="953">
        <v>615</v>
      </c>
      <c r="E227" s="953">
        <v>1130</v>
      </c>
      <c r="F227" s="953">
        <v>1180</v>
      </c>
      <c r="G227" s="70" t="s">
        <v>4560</v>
      </c>
      <c r="H227" s="36" t="s">
        <v>4580</v>
      </c>
      <c r="I227" s="38" t="s">
        <v>4725</v>
      </c>
      <c r="J227" s="38"/>
      <c r="K227" s="38" t="s">
        <v>4968</v>
      </c>
      <c r="L227" s="116" t="s">
        <v>4539</v>
      </c>
      <c r="M227" s="15">
        <v>43084</v>
      </c>
      <c r="N227" s="15">
        <v>43100</v>
      </c>
      <c r="O227" s="61" t="s">
        <v>5005</v>
      </c>
      <c r="P227" s="61"/>
      <c r="Q227" s="167"/>
      <c r="R227" s="239" t="s">
        <v>4578</v>
      </c>
      <c r="S227" s="327" t="s">
        <v>5004</v>
      </c>
      <c r="T227" s="137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  <c r="BN227" s="120"/>
      <c r="BO227" s="120"/>
      <c r="BP227" s="120"/>
    </row>
    <row r="228" spans="1:68" s="121" customFormat="1" ht="20.100000000000001" customHeight="1">
      <c r="A228" s="1128" t="s">
        <v>5191</v>
      </c>
      <c r="B228" s="1128" t="s">
        <v>4535</v>
      </c>
      <c r="C228" s="1128" t="s">
        <v>5231</v>
      </c>
      <c r="D228" s="247">
        <v>550</v>
      </c>
      <c r="E228" s="247">
        <v>1000</v>
      </c>
      <c r="F228" s="247">
        <v>1000</v>
      </c>
      <c r="G228" s="293" t="s">
        <v>4557</v>
      </c>
      <c r="H228" s="48" t="s">
        <v>4580</v>
      </c>
      <c r="I228" s="38" t="s">
        <v>4725</v>
      </c>
      <c r="J228" s="30"/>
      <c r="K228" s="37" t="s">
        <v>4968</v>
      </c>
      <c r="L228" s="116" t="s">
        <v>4539</v>
      </c>
      <c r="M228" s="6">
        <v>43084</v>
      </c>
      <c r="N228" s="6">
        <v>43100</v>
      </c>
      <c r="O228" s="61" t="s">
        <v>4961</v>
      </c>
      <c r="P228" s="7"/>
      <c r="Q228" s="167"/>
      <c r="R228" s="239" t="s">
        <v>4578</v>
      </c>
      <c r="S228" s="327" t="s">
        <v>5192</v>
      </c>
      <c r="T228" s="137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  <c r="BN228" s="120"/>
      <c r="BO228" s="120"/>
      <c r="BP228" s="120"/>
    </row>
    <row r="229" spans="1:68" s="121" customFormat="1" ht="20.100000000000001" customHeight="1">
      <c r="A229" s="1128" t="s">
        <v>5191</v>
      </c>
      <c r="B229" s="1128" t="s">
        <v>4535</v>
      </c>
      <c r="C229" s="1128" t="s">
        <v>5231</v>
      </c>
      <c r="D229" s="247">
        <v>650</v>
      </c>
      <c r="E229" s="247">
        <v>1200</v>
      </c>
      <c r="F229" s="247">
        <v>1250</v>
      </c>
      <c r="G229" s="122" t="s">
        <v>4645</v>
      </c>
      <c r="H229" s="36" t="s">
        <v>4580</v>
      </c>
      <c r="I229" s="38" t="s">
        <v>4725</v>
      </c>
      <c r="J229" s="38"/>
      <c r="K229" s="38" t="s">
        <v>4968</v>
      </c>
      <c r="L229" s="116" t="s">
        <v>4539</v>
      </c>
      <c r="M229" s="6">
        <v>43060</v>
      </c>
      <c r="N229" s="6">
        <v>43093</v>
      </c>
      <c r="O229" s="61" t="s">
        <v>4961</v>
      </c>
      <c r="P229" s="59"/>
      <c r="Q229" s="167"/>
      <c r="R229" s="239" t="s">
        <v>4578</v>
      </c>
      <c r="S229" s="326" t="s">
        <v>4641</v>
      </c>
      <c r="T229" s="137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  <c r="BN229" s="120"/>
      <c r="BO229" s="120"/>
      <c r="BP229" s="120"/>
    </row>
    <row r="230" spans="1:68" s="121" customFormat="1" ht="20.100000000000001" customHeight="1">
      <c r="A230" s="1128" t="s">
        <v>5191</v>
      </c>
      <c r="B230" s="1128" t="s">
        <v>4535</v>
      </c>
      <c r="C230" s="1128" t="s">
        <v>5231</v>
      </c>
      <c r="D230" s="247">
        <v>675</v>
      </c>
      <c r="E230" s="247">
        <v>1050</v>
      </c>
      <c r="F230" s="247">
        <v>1050</v>
      </c>
      <c r="G230" s="224" t="s">
        <v>4569</v>
      </c>
      <c r="H230" s="56" t="s">
        <v>4548</v>
      </c>
      <c r="I230" s="51" t="s">
        <v>4725</v>
      </c>
      <c r="J230" s="50"/>
      <c r="K230" s="51" t="s">
        <v>5023</v>
      </c>
      <c r="L230" s="116" t="s">
        <v>4539</v>
      </c>
      <c r="M230" s="6">
        <v>43057</v>
      </c>
      <c r="N230" s="6">
        <v>43069</v>
      </c>
      <c r="O230" s="61" t="s">
        <v>4921</v>
      </c>
      <c r="P230" s="61"/>
      <c r="Q230" s="167"/>
      <c r="R230" s="239" t="s">
        <v>1764</v>
      </c>
      <c r="S230" s="328" t="s">
        <v>4543</v>
      </c>
      <c r="T230" s="137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</row>
    <row r="231" spans="1:68" s="121" customFormat="1" ht="20.100000000000001" customHeight="1">
      <c r="A231" s="1128" t="s">
        <v>5191</v>
      </c>
      <c r="B231" s="1128" t="s">
        <v>4535</v>
      </c>
      <c r="C231" s="1128" t="s">
        <v>5231</v>
      </c>
      <c r="D231" s="247">
        <v>550</v>
      </c>
      <c r="E231" s="247">
        <v>1000</v>
      </c>
      <c r="F231" s="247">
        <v>1050</v>
      </c>
      <c r="G231" s="63" t="s">
        <v>4636</v>
      </c>
      <c r="H231" s="56" t="s">
        <v>4548</v>
      </c>
      <c r="I231" s="51" t="s">
        <v>4725</v>
      </c>
      <c r="J231" s="50"/>
      <c r="K231" s="51" t="s">
        <v>5023</v>
      </c>
      <c r="L231" s="116" t="s">
        <v>4539</v>
      </c>
      <c r="M231" s="6">
        <v>43051</v>
      </c>
      <c r="N231" s="6">
        <v>43100</v>
      </c>
      <c r="O231" s="61" t="s">
        <v>4961</v>
      </c>
      <c r="P231" s="61"/>
      <c r="Q231" s="167"/>
      <c r="R231" s="239" t="s">
        <v>1763</v>
      </c>
      <c r="S231" s="327" t="s">
        <v>4632</v>
      </c>
      <c r="T231" s="137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  <c r="BN231" s="120"/>
      <c r="BO231" s="120"/>
      <c r="BP231" s="120"/>
    </row>
    <row r="232" spans="1:68" s="121" customFormat="1" ht="20.100000000000001" customHeight="1">
      <c r="A232" s="1128" t="s">
        <v>5191</v>
      </c>
      <c r="B232" s="1128" t="s">
        <v>4535</v>
      </c>
      <c r="C232" s="1128" t="s">
        <v>5231</v>
      </c>
      <c r="D232" s="961">
        <v>650</v>
      </c>
      <c r="E232" s="961">
        <v>1300</v>
      </c>
      <c r="F232" s="961">
        <v>1350</v>
      </c>
      <c r="G232" s="65" t="s">
        <v>4553</v>
      </c>
      <c r="H232" s="56" t="s">
        <v>4548</v>
      </c>
      <c r="I232" s="51" t="s">
        <v>4725</v>
      </c>
      <c r="J232" s="50"/>
      <c r="K232" s="51" t="s">
        <v>5023</v>
      </c>
      <c r="L232" s="118" t="s">
        <v>4539</v>
      </c>
      <c r="M232" s="6">
        <v>43085</v>
      </c>
      <c r="N232" s="6">
        <v>43100</v>
      </c>
      <c r="O232" s="61" t="s">
        <v>4545</v>
      </c>
      <c r="P232" s="59"/>
      <c r="Q232" s="167"/>
      <c r="R232" s="239" t="s">
        <v>5144</v>
      </c>
      <c r="S232" s="328" t="s">
        <v>4543</v>
      </c>
      <c r="T232" s="137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</row>
    <row r="233" spans="1:68" s="121" customFormat="1" ht="20.100000000000001" customHeight="1">
      <c r="A233" s="1128" t="s">
        <v>5191</v>
      </c>
      <c r="B233" s="1128" t="s">
        <v>4535</v>
      </c>
      <c r="C233" s="1128" t="s">
        <v>5231</v>
      </c>
      <c r="D233" s="961">
        <v>550</v>
      </c>
      <c r="E233" s="961">
        <v>1000</v>
      </c>
      <c r="F233" s="961">
        <v>1000</v>
      </c>
      <c r="G233" s="65" t="s">
        <v>4549</v>
      </c>
      <c r="H233" s="56" t="s">
        <v>4548</v>
      </c>
      <c r="I233" s="51" t="s">
        <v>4725</v>
      </c>
      <c r="J233" s="50"/>
      <c r="K233" s="51" t="s">
        <v>5023</v>
      </c>
      <c r="L233" s="118" t="s">
        <v>4539</v>
      </c>
      <c r="M233" s="6">
        <v>43070</v>
      </c>
      <c r="N233" s="6">
        <v>43100</v>
      </c>
      <c r="O233" s="61" t="s">
        <v>4545</v>
      </c>
      <c r="P233" s="59"/>
      <c r="Q233" s="167"/>
      <c r="R233" s="239" t="s">
        <v>5117</v>
      </c>
      <c r="S233" s="328" t="s">
        <v>4543</v>
      </c>
      <c r="T233" s="137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</row>
    <row r="234" spans="1:68" s="121" customFormat="1" ht="20.100000000000001" customHeight="1">
      <c r="A234" s="1128" t="s">
        <v>5191</v>
      </c>
      <c r="B234" s="1128" t="s">
        <v>4535</v>
      </c>
      <c r="C234" s="1128" t="s">
        <v>5231</v>
      </c>
      <c r="D234" s="320" ph="1">
        <v>525</v>
      </c>
      <c r="E234" s="320" ph="1">
        <v>950</v>
      </c>
      <c r="F234" s="320" ph="1">
        <v>1000</v>
      </c>
      <c r="G234" s="63" t="s">
        <v>4566</v>
      </c>
      <c r="H234" s="211" t="s">
        <v>4992</v>
      </c>
      <c r="I234" s="38" t="s">
        <v>4725</v>
      </c>
      <c r="J234" s="30"/>
      <c r="K234" s="37" t="s">
        <v>4772</v>
      </c>
      <c r="L234" s="116" t="s">
        <v>4539</v>
      </c>
      <c r="M234" s="15">
        <v>43084</v>
      </c>
      <c r="N234" s="15">
        <v>43100</v>
      </c>
      <c r="O234" s="61" t="s">
        <v>4563</v>
      </c>
      <c r="P234" s="123"/>
      <c r="Q234" s="167"/>
      <c r="R234" s="21" t="s">
        <v>5124</v>
      </c>
      <c r="S234" s="327" t="s">
        <v>4561</v>
      </c>
      <c r="T234" s="137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</row>
    <row r="235" spans="1:68" s="121" customFormat="1" ht="20.100000000000001" customHeight="1">
      <c r="A235" s="1128" t="s">
        <v>5191</v>
      </c>
      <c r="B235" s="1128" t="s">
        <v>4535</v>
      </c>
      <c r="C235" s="1128" t="s">
        <v>5231</v>
      </c>
      <c r="D235" s="953">
        <v>615</v>
      </c>
      <c r="E235" s="953">
        <v>1130</v>
      </c>
      <c r="F235" s="953">
        <v>1180</v>
      </c>
      <c r="G235" s="70" t="s">
        <v>4560</v>
      </c>
      <c r="H235" s="194" t="s">
        <v>4992</v>
      </c>
      <c r="I235" s="38" t="s">
        <v>4725</v>
      </c>
      <c r="J235" s="38"/>
      <c r="K235" s="37" t="s">
        <v>4772</v>
      </c>
      <c r="L235" s="116" t="s">
        <v>4539</v>
      </c>
      <c r="M235" s="15">
        <v>43084</v>
      </c>
      <c r="N235" s="15">
        <v>43100</v>
      </c>
      <c r="O235" s="61" t="s">
        <v>5005</v>
      </c>
      <c r="P235" s="123"/>
      <c r="Q235" s="167"/>
      <c r="R235" s="239" t="s">
        <v>5124</v>
      </c>
      <c r="S235" s="327" t="s">
        <v>5004</v>
      </c>
      <c r="T235" s="137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</row>
    <row r="236" spans="1:68" s="121" customFormat="1" ht="20.100000000000001" customHeight="1">
      <c r="A236" s="1128" t="s">
        <v>5191</v>
      </c>
      <c r="B236" s="1128" t="s">
        <v>4535</v>
      </c>
      <c r="C236" s="1128" t="s">
        <v>5231</v>
      </c>
      <c r="D236" s="247">
        <v>550</v>
      </c>
      <c r="E236" s="247">
        <v>1000</v>
      </c>
      <c r="F236" s="247">
        <v>1000</v>
      </c>
      <c r="G236" s="293" t="s">
        <v>4557</v>
      </c>
      <c r="H236" s="48" t="s">
        <v>4992</v>
      </c>
      <c r="I236" s="38" t="s">
        <v>4725</v>
      </c>
      <c r="J236" s="30"/>
      <c r="K236" s="37" t="s">
        <v>4772</v>
      </c>
      <c r="L236" s="116" t="s">
        <v>4539</v>
      </c>
      <c r="M236" s="6">
        <v>43084</v>
      </c>
      <c r="N236" s="6">
        <v>43100</v>
      </c>
      <c r="O236" s="61" t="s">
        <v>4961</v>
      </c>
      <c r="P236" s="123"/>
      <c r="Q236" s="167"/>
      <c r="R236" s="239" t="s">
        <v>5124</v>
      </c>
      <c r="S236" s="327" t="s">
        <v>5192</v>
      </c>
      <c r="T236" s="137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  <c r="BN236" s="120"/>
      <c r="BO236" s="120"/>
      <c r="BP236" s="120"/>
    </row>
    <row r="237" spans="1:68" s="121" customFormat="1" ht="20.100000000000001" customHeight="1">
      <c r="A237" s="1128" t="s">
        <v>5191</v>
      </c>
      <c r="B237" s="1128" t="s">
        <v>4535</v>
      </c>
      <c r="C237" s="1128" t="s">
        <v>5231</v>
      </c>
      <c r="D237" s="247">
        <v>650</v>
      </c>
      <c r="E237" s="247">
        <v>1200</v>
      </c>
      <c r="F237" s="247">
        <v>1250</v>
      </c>
      <c r="G237" s="122" t="s">
        <v>4645</v>
      </c>
      <c r="H237" s="36" t="s">
        <v>4992</v>
      </c>
      <c r="I237" s="38" t="s">
        <v>4725</v>
      </c>
      <c r="J237" s="38"/>
      <c r="K237" s="37" t="s">
        <v>4772</v>
      </c>
      <c r="L237" s="116" t="s">
        <v>4539</v>
      </c>
      <c r="M237" s="6">
        <v>43060</v>
      </c>
      <c r="N237" s="6">
        <v>43093</v>
      </c>
      <c r="O237" s="61" t="s">
        <v>4961</v>
      </c>
      <c r="P237" s="123"/>
      <c r="Q237" s="167"/>
      <c r="R237" s="239" t="s">
        <v>5124</v>
      </c>
      <c r="S237" s="326" t="s">
        <v>4641</v>
      </c>
      <c r="T237" s="137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</row>
    <row r="238" spans="1:68" s="121" customFormat="1" ht="20.100000000000001" customHeight="1">
      <c r="A238" s="1225" t="s">
        <v>5191</v>
      </c>
      <c r="B238" s="1225" t="s">
        <v>4535</v>
      </c>
      <c r="C238" s="1225" t="s">
        <v>5230</v>
      </c>
      <c r="D238" s="248">
        <v>1250</v>
      </c>
      <c r="E238" s="248">
        <v>1900</v>
      </c>
      <c r="F238" s="248">
        <v>1900</v>
      </c>
      <c r="G238" s="226" t="s">
        <v>5010</v>
      </c>
      <c r="H238" s="56" t="s">
        <v>4552</v>
      </c>
      <c r="I238" s="51" t="s">
        <v>5045</v>
      </c>
      <c r="J238" s="50"/>
      <c r="K238" s="50" t="s">
        <v>4772</v>
      </c>
      <c r="L238" s="19" t="s">
        <v>4539</v>
      </c>
      <c r="M238" s="6">
        <v>43070</v>
      </c>
      <c r="N238" s="6">
        <v>43083</v>
      </c>
      <c r="O238" s="61" t="s">
        <v>5008</v>
      </c>
      <c r="P238" s="59"/>
      <c r="Q238" s="167"/>
      <c r="R238" s="239" t="s">
        <v>5007</v>
      </c>
      <c r="S238" s="327" t="s">
        <v>5006</v>
      </c>
      <c r="T238" s="137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</row>
    <row r="239" spans="1:68" s="121" customFormat="1" ht="20.100000000000001" customHeight="1">
      <c r="A239" s="1225" t="s">
        <v>5191</v>
      </c>
      <c r="B239" s="1225" t="s">
        <v>4535</v>
      </c>
      <c r="C239" s="1225" t="s">
        <v>5230</v>
      </c>
      <c r="D239" s="949">
        <v>575</v>
      </c>
      <c r="E239" s="949">
        <v>1050</v>
      </c>
      <c r="F239" s="949">
        <v>1050</v>
      </c>
      <c r="G239" s="109" t="s">
        <v>5022</v>
      </c>
      <c r="H239" s="48" t="s">
        <v>4552</v>
      </c>
      <c r="I239" s="38" t="s">
        <v>4725</v>
      </c>
      <c r="J239" s="38"/>
      <c r="K239" s="37" t="s">
        <v>5025</v>
      </c>
      <c r="L239" s="116" t="s">
        <v>4539</v>
      </c>
      <c r="M239" s="6">
        <v>43073</v>
      </c>
      <c r="N239" s="6">
        <v>43083</v>
      </c>
      <c r="O239" s="61" t="s">
        <v>4961</v>
      </c>
      <c r="P239" s="74"/>
      <c r="Q239" s="167"/>
      <c r="R239" s="239" t="s">
        <v>5153</v>
      </c>
      <c r="S239" s="328" t="s">
        <v>1762</v>
      </c>
      <c r="T239" s="137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</row>
    <row r="240" spans="1:68" s="121" customFormat="1" ht="20.100000000000001" customHeight="1">
      <c r="A240" s="1225" t="s">
        <v>5191</v>
      </c>
      <c r="B240" s="1225" t="s">
        <v>4535</v>
      </c>
      <c r="C240" s="1225" t="s">
        <v>5230</v>
      </c>
      <c r="D240" s="320">
        <v>725</v>
      </c>
      <c r="E240" s="320">
        <f>D240*2-100</f>
        <v>1350</v>
      </c>
      <c r="F240" s="320">
        <f>D240*2-50</f>
        <v>1400</v>
      </c>
      <c r="G240" s="234" t="s">
        <v>4575</v>
      </c>
      <c r="H240" s="245" t="s">
        <v>4552</v>
      </c>
      <c r="I240" s="38" t="s">
        <v>4725</v>
      </c>
      <c r="J240" s="30"/>
      <c r="K240" s="37" t="s">
        <v>5025</v>
      </c>
      <c r="L240" s="116" t="s">
        <v>4539</v>
      </c>
      <c r="M240" s="15">
        <v>43084</v>
      </c>
      <c r="N240" s="15">
        <v>43100</v>
      </c>
      <c r="O240" s="61" t="s">
        <v>4545</v>
      </c>
      <c r="P240" s="61"/>
      <c r="Q240" s="167"/>
      <c r="R240" s="239" t="s">
        <v>4583</v>
      </c>
      <c r="S240" s="327" t="s">
        <v>4576</v>
      </c>
      <c r="T240" s="137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</row>
    <row r="241" spans="1:68" s="121" customFormat="1" ht="20.100000000000001" customHeight="1">
      <c r="A241" s="1225" t="s">
        <v>5191</v>
      </c>
      <c r="B241" s="1225" t="s">
        <v>4535</v>
      </c>
      <c r="C241" s="1225" t="s">
        <v>5230</v>
      </c>
      <c r="D241" s="248">
        <v>650</v>
      </c>
      <c r="E241" s="248">
        <v>1100</v>
      </c>
      <c r="F241" s="248">
        <v>1150</v>
      </c>
      <c r="G241" s="234" t="s">
        <v>4572</v>
      </c>
      <c r="H241" s="36" t="s">
        <v>4552</v>
      </c>
      <c r="I241" s="38" t="s">
        <v>4725</v>
      </c>
      <c r="J241" s="30"/>
      <c r="K241" s="37" t="s">
        <v>5025</v>
      </c>
      <c r="L241" s="116" t="s">
        <v>4539</v>
      </c>
      <c r="M241" s="15">
        <v>43060</v>
      </c>
      <c r="N241" s="15">
        <v>43076</v>
      </c>
      <c r="O241" s="61" t="s">
        <v>4545</v>
      </c>
      <c r="P241" s="125"/>
      <c r="Q241" s="167"/>
      <c r="R241" s="239" t="s">
        <v>4584</v>
      </c>
      <c r="S241" s="328" t="s">
        <v>4543</v>
      </c>
      <c r="T241" s="137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</row>
    <row r="242" spans="1:68" s="121" customFormat="1" ht="20.100000000000001" customHeight="1">
      <c r="A242" s="1225" t="s">
        <v>5191</v>
      </c>
      <c r="B242" s="1225" t="s">
        <v>4535</v>
      </c>
      <c r="C242" s="1225" t="s">
        <v>5230</v>
      </c>
      <c r="D242" s="947">
        <v>525</v>
      </c>
      <c r="E242" s="947">
        <v>950</v>
      </c>
      <c r="F242" s="947">
        <v>950</v>
      </c>
      <c r="G242" s="234" t="s">
        <v>4904</v>
      </c>
      <c r="H242" s="36" t="s">
        <v>4552</v>
      </c>
      <c r="I242" s="38" t="s">
        <v>4725</v>
      </c>
      <c r="J242" s="30"/>
      <c r="K242" s="37" t="s">
        <v>5025</v>
      </c>
      <c r="L242" s="116" t="s">
        <v>4539</v>
      </c>
      <c r="M242" s="15">
        <v>43054</v>
      </c>
      <c r="N242" s="15">
        <v>43089</v>
      </c>
      <c r="O242" s="61" t="s">
        <v>4961</v>
      </c>
      <c r="P242" s="125"/>
      <c r="Q242" s="167"/>
      <c r="R242" s="239" t="s">
        <v>5104</v>
      </c>
      <c r="S242" s="336" t="s">
        <v>1952</v>
      </c>
      <c r="T242" s="137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</row>
    <row r="243" spans="1:68" s="121" customFormat="1" ht="20.100000000000001" customHeight="1">
      <c r="A243" s="1225" t="s">
        <v>5191</v>
      </c>
      <c r="B243" s="1225" t="s">
        <v>4535</v>
      </c>
      <c r="C243" s="1225" t="s">
        <v>5230</v>
      </c>
      <c r="D243" s="247">
        <v>525</v>
      </c>
      <c r="E243" s="247">
        <v>950</v>
      </c>
      <c r="F243" s="247">
        <v>1000</v>
      </c>
      <c r="G243" s="70" t="s">
        <v>4542</v>
      </c>
      <c r="H243" s="48" t="s">
        <v>4552</v>
      </c>
      <c r="I243" s="38" t="s">
        <v>4725</v>
      </c>
      <c r="J243" s="30"/>
      <c r="K243" s="37" t="s">
        <v>5025</v>
      </c>
      <c r="L243" s="116" t="s">
        <v>4539</v>
      </c>
      <c r="M243" s="15">
        <v>43080</v>
      </c>
      <c r="N243" s="15">
        <v>43083</v>
      </c>
      <c r="O243" s="61" t="s">
        <v>4961</v>
      </c>
      <c r="P243" s="61"/>
      <c r="Q243" s="167"/>
      <c r="R243" s="239" t="s">
        <v>5195</v>
      </c>
      <c r="S243" s="327" t="s">
        <v>5193</v>
      </c>
      <c r="T243" s="137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</row>
    <row r="244" spans="1:68" s="121" customFormat="1" ht="20.100000000000001" customHeight="1">
      <c r="A244" s="1225" t="s">
        <v>5191</v>
      </c>
      <c r="B244" s="1225" t="s">
        <v>4535</v>
      </c>
      <c r="C244" s="1225" t="s">
        <v>5230</v>
      </c>
      <c r="D244" s="247">
        <v>550</v>
      </c>
      <c r="E244" s="247">
        <v>1000</v>
      </c>
      <c r="F244" s="247">
        <v>1050</v>
      </c>
      <c r="G244" s="63" t="s">
        <v>4636</v>
      </c>
      <c r="H244" s="48" t="s">
        <v>4580</v>
      </c>
      <c r="I244" s="38" t="s">
        <v>4725</v>
      </c>
      <c r="J244" s="30"/>
      <c r="K244" s="50" t="s">
        <v>4772</v>
      </c>
      <c r="L244" s="116" t="s">
        <v>4539</v>
      </c>
      <c r="M244" s="6">
        <v>43051</v>
      </c>
      <c r="N244" s="6">
        <v>43100</v>
      </c>
      <c r="O244" s="61" t="s">
        <v>4961</v>
      </c>
      <c r="P244" s="61"/>
      <c r="Q244" s="171"/>
      <c r="R244" s="239" t="s">
        <v>5194</v>
      </c>
      <c r="S244" s="327" t="s">
        <v>4632</v>
      </c>
      <c r="T244" s="137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</row>
    <row r="245" spans="1:68" s="121" customFormat="1" ht="20.100000000000001" customHeight="1">
      <c r="A245" s="1225" t="s">
        <v>5191</v>
      </c>
      <c r="B245" s="1225" t="s">
        <v>4535</v>
      </c>
      <c r="C245" s="1225" t="s">
        <v>5230</v>
      </c>
      <c r="D245" s="961">
        <v>650</v>
      </c>
      <c r="E245" s="961">
        <v>1300</v>
      </c>
      <c r="F245" s="961">
        <v>1350</v>
      </c>
      <c r="G245" s="65" t="s">
        <v>4553</v>
      </c>
      <c r="H245" s="22">
        <v>4</v>
      </c>
      <c r="I245" s="51" t="s">
        <v>4725</v>
      </c>
      <c r="J245" s="34"/>
      <c r="K245" s="50" t="s">
        <v>4772</v>
      </c>
      <c r="L245" s="118" t="s">
        <v>4539</v>
      </c>
      <c r="M245" s="6">
        <v>43085</v>
      </c>
      <c r="N245" s="6">
        <v>43100</v>
      </c>
      <c r="O245" s="61" t="s">
        <v>4545</v>
      </c>
      <c r="P245" s="59"/>
      <c r="Q245" s="171"/>
      <c r="R245" s="239" t="s">
        <v>4878</v>
      </c>
      <c r="S245" s="328" t="s">
        <v>4543</v>
      </c>
      <c r="T245" s="137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</row>
    <row r="246" spans="1:68" s="121" customFormat="1" ht="20.100000000000001" customHeight="1">
      <c r="A246" s="1225" t="s">
        <v>5191</v>
      </c>
      <c r="B246" s="1225" t="s">
        <v>4535</v>
      </c>
      <c r="C246" s="1225" t="s">
        <v>5230</v>
      </c>
      <c r="D246" s="247">
        <v>675</v>
      </c>
      <c r="E246" s="247">
        <v>1050</v>
      </c>
      <c r="F246" s="247">
        <v>1050</v>
      </c>
      <c r="G246" s="224" t="s">
        <v>4569</v>
      </c>
      <c r="H246" s="36" t="s">
        <v>4580</v>
      </c>
      <c r="I246" s="38" t="s">
        <v>4725</v>
      </c>
      <c r="J246" s="38"/>
      <c r="K246" s="50" t="s">
        <v>4772</v>
      </c>
      <c r="L246" s="116" t="s">
        <v>4539</v>
      </c>
      <c r="M246" s="6">
        <v>43057</v>
      </c>
      <c r="N246" s="6">
        <v>43069</v>
      </c>
      <c r="O246" s="61" t="s">
        <v>4921</v>
      </c>
      <c r="P246" s="61"/>
      <c r="Q246" s="7"/>
      <c r="R246" s="239" t="s">
        <v>5095</v>
      </c>
      <c r="S246" s="328" t="s">
        <v>4543</v>
      </c>
      <c r="T246" s="137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</row>
    <row r="247" spans="1:68" s="121" customFormat="1" ht="20.100000000000001" customHeight="1">
      <c r="A247" s="1225" t="s">
        <v>5191</v>
      </c>
      <c r="B247" s="1225" t="s">
        <v>4535</v>
      </c>
      <c r="C247" s="1225" t="s">
        <v>5230</v>
      </c>
      <c r="D247" s="320" ph="1">
        <v>525</v>
      </c>
      <c r="E247" s="320" ph="1">
        <v>950</v>
      </c>
      <c r="F247" s="320" ph="1">
        <v>1000</v>
      </c>
      <c r="G247" s="63" t="s">
        <v>4566</v>
      </c>
      <c r="H247" s="48" t="s">
        <v>4580</v>
      </c>
      <c r="I247" s="38" t="s">
        <v>4725</v>
      </c>
      <c r="J247" s="30"/>
      <c r="K247" s="34" t="s">
        <v>4895</v>
      </c>
      <c r="L247" s="116" t="s">
        <v>4539</v>
      </c>
      <c r="M247" s="15">
        <v>43084</v>
      </c>
      <c r="N247" s="15">
        <v>43100</v>
      </c>
      <c r="O247" s="61" t="s">
        <v>4563</v>
      </c>
      <c r="P247" s="61"/>
      <c r="Q247" s="167"/>
      <c r="R247" s="21" t="s">
        <v>4578</v>
      </c>
      <c r="S247" s="327" t="s">
        <v>4561</v>
      </c>
      <c r="T247" s="933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</row>
    <row r="248" spans="1:68" s="121" customFormat="1" ht="20.100000000000001" customHeight="1">
      <c r="A248" s="1225" t="s">
        <v>5191</v>
      </c>
      <c r="B248" s="1225" t="s">
        <v>4535</v>
      </c>
      <c r="C248" s="1225" t="s">
        <v>5230</v>
      </c>
      <c r="D248" s="953">
        <v>615</v>
      </c>
      <c r="E248" s="953">
        <v>1130</v>
      </c>
      <c r="F248" s="953">
        <v>1180</v>
      </c>
      <c r="G248" s="63" t="s">
        <v>4560</v>
      </c>
      <c r="H248" s="36" t="s">
        <v>4580</v>
      </c>
      <c r="I248" s="38" t="s">
        <v>4725</v>
      </c>
      <c r="J248" s="30"/>
      <c r="K248" s="34" t="s">
        <v>4895</v>
      </c>
      <c r="L248" s="116" t="s">
        <v>4539</v>
      </c>
      <c r="M248" s="15">
        <v>43084</v>
      </c>
      <c r="N248" s="15">
        <v>43100</v>
      </c>
      <c r="O248" s="61" t="s">
        <v>5005</v>
      </c>
      <c r="P248" s="61"/>
      <c r="Q248" s="167"/>
      <c r="R248" s="239" t="s">
        <v>4578</v>
      </c>
      <c r="S248" s="327" t="s">
        <v>5004</v>
      </c>
      <c r="T248" s="137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</row>
    <row r="249" spans="1:68" s="121" customFormat="1" ht="20.100000000000001" customHeight="1">
      <c r="A249" s="1225" t="s">
        <v>5191</v>
      </c>
      <c r="B249" s="1225" t="s">
        <v>4535</v>
      </c>
      <c r="C249" s="1225" t="s">
        <v>5230</v>
      </c>
      <c r="D249" s="247">
        <v>550</v>
      </c>
      <c r="E249" s="247">
        <v>1000</v>
      </c>
      <c r="F249" s="247">
        <v>1000</v>
      </c>
      <c r="G249" s="293" t="s">
        <v>4557</v>
      </c>
      <c r="H249" s="48" t="s">
        <v>4580</v>
      </c>
      <c r="I249" s="38" t="s">
        <v>4725</v>
      </c>
      <c r="J249" s="30"/>
      <c r="K249" s="37" t="s">
        <v>4895</v>
      </c>
      <c r="L249" s="116" t="s">
        <v>4539</v>
      </c>
      <c r="M249" s="6">
        <v>43084</v>
      </c>
      <c r="N249" s="6">
        <v>43100</v>
      </c>
      <c r="O249" s="61" t="s">
        <v>4961</v>
      </c>
      <c r="P249" s="7"/>
      <c r="Q249" s="167"/>
      <c r="R249" s="239" t="s">
        <v>4578</v>
      </c>
      <c r="S249" s="327" t="s">
        <v>5192</v>
      </c>
      <c r="T249" s="137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</row>
    <row r="250" spans="1:68" s="121" customFormat="1" ht="20.100000000000001" customHeight="1">
      <c r="A250" s="1225" t="s">
        <v>5191</v>
      </c>
      <c r="B250" s="1225" t="s">
        <v>4535</v>
      </c>
      <c r="C250" s="1225" t="s">
        <v>5230</v>
      </c>
      <c r="D250" s="247">
        <v>650</v>
      </c>
      <c r="E250" s="247">
        <v>1200</v>
      </c>
      <c r="F250" s="247">
        <v>1250</v>
      </c>
      <c r="G250" s="122" t="s">
        <v>4645</v>
      </c>
      <c r="H250" s="36" t="s">
        <v>4580</v>
      </c>
      <c r="I250" s="38" t="s">
        <v>4725</v>
      </c>
      <c r="J250" s="30"/>
      <c r="K250" s="34" t="s">
        <v>4895</v>
      </c>
      <c r="L250" s="116" t="s">
        <v>4539</v>
      </c>
      <c r="M250" s="6">
        <v>43060</v>
      </c>
      <c r="N250" s="6">
        <v>43093</v>
      </c>
      <c r="O250" s="61" t="s">
        <v>4961</v>
      </c>
      <c r="P250" s="61"/>
      <c r="Q250" s="167"/>
      <c r="R250" s="239" t="s">
        <v>4578</v>
      </c>
      <c r="S250" s="326" t="s">
        <v>4641</v>
      </c>
      <c r="T250" s="137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</row>
    <row r="251" spans="1:68" s="121" customFormat="1" ht="20.100000000000001" customHeight="1">
      <c r="A251" s="1225" t="s">
        <v>5191</v>
      </c>
      <c r="B251" s="1225" t="s">
        <v>4535</v>
      </c>
      <c r="C251" s="1225" t="s">
        <v>5230</v>
      </c>
      <c r="D251" s="247">
        <v>550</v>
      </c>
      <c r="E251" s="247">
        <v>1000</v>
      </c>
      <c r="F251" s="247">
        <v>1050</v>
      </c>
      <c r="G251" s="63" t="s">
        <v>4636</v>
      </c>
      <c r="H251" s="56" t="s">
        <v>4548</v>
      </c>
      <c r="I251" s="51" t="s">
        <v>4725</v>
      </c>
      <c r="J251" s="50"/>
      <c r="K251" s="51" t="s">
        <v>4975</v>
      </c>
      <c r="L251" s="116" t="s">
        <v>4539</v>
      </c>
      <c r="M251" s="6">
        <v>43051</v>
      </c>
      <c r="N251" s="6">
        <v>43100</v>
      </c>
      <c r="O251" s="61" t="s">
        <v>4961</v>
      </c>
      <c r="P251" s="61"/>
      <c r="Q251" s="167"/>
      <c r="R251" s="239" t="s">
        <v>1763</v>
      </c>
      <c r="S251" s="327" t="s">
        <v>4632</v>
      </c>
      <c r="T251" s="137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</row>
    <row r="252" spans="1:68" s="121" customFormat="1" ht="20.100000000000001" customHeight="1">
      <c r="A252" s="1225" t="s">
        <v>5191</v>
      </c>
      <c r="B252" s="1225" t="s">
        <v>4535</v>
      </c>
      <c r="C252" s="1225" t="s">
        <v>5230</v>
      </c>
      <c r="D252" s="247">
        <v>675</v>
      </c>
      <c r="E252" s="247">
        <v>1050</v>
      </c>
      <c r="F252" s="247">
        <v>1050</v>
      </c>
      <c r="G252" s="224" t="s">
        <v>4569</v>
      </c>
      <c r="H252" s="56" t="s">
        <v>4548</v>
      </c>
      <c r="I252" s="51" t="s">
        <v>4725</v>
      </c>
      <c r="J252" s="50"/>
      <c r="K252" s="51" t="s">
        <v>4975</v>
      </c>
      <c r="L252" s="116" t="s">
        <v>4539</v>
      </c>
      <c r="M252" s="6">
        <v>43057</v>
      </c>
      <c r="N252" s="6">
        <v>43069</v>
      </c>
      <c r="O252" s="61" t="s">
        <v>4921</v>
      </c>
      <c r="P252" s="61"/>
      <c r="Q252" s="167"/>
      <c r="R252" s="239" t="s">
        <v>1764</v>
      </c>
      <c r="S252" s="328" t="s">
        <v>4543</v>
      </c>
      <c r="T252" s="137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</row>
    <row r="253" spans="1:68" s="121" customFormat="1" ht="20.100000000000001" customHeight="1">
      <c r="A253" s="1225" t="s">
        <v>5191</v>
      </c>
      <c r="B253" s="1225" t="s">
        <v>4535</v>
      </c>
      <c r="C253" s="1225" t="s">
        <v>5230</v>
      </c>
      <c r="D253" s="961">
        <v>650</v>
      </c>
      <c r="E253" s="961">
        <v>1300</v>
      </c>
      <c r="F253" s="961">
        <v>1350</v>
      </c>
      <c r="G253" s="65" t="s">
        <v>4553</v>
      </c>
      <c r="H253" s="56" t="s">
        <v>4548</v>
      </c>
      <c r="I253" s="51" t="s">
        <v>4725</v>
      </c>
      <c r="J253" s="50"/>
      <c r="K253" s="51" t="s">
        <v>4975</v>
      </c>
      <c r="L253" s="118" t="s">
        <v>4539</v>
      </c>
      <c r="M253" s="6">
        <v>43085</v>
      </c>
      <c r="N253" s="6">
        <v>43100</v>
      </c>
      <c r="O253" s="61" t="s">
        <v>4545</v>
      </c>
      <c r="P253" s="59"/>
      <c r="Q253" s="167"/>
      <c r="R253" s="239" t="s">
        <v>5144</v>
      </c>
      <c r="S253" s="328" t="s">
        <v>4543</v>
      </c>
      <c r="T253" s="137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</row>
    <row r="254" spans="1:68" s="121" customFormat="1" ht="20.100000000000001" customHeight="1">
      <c r="A254" s="1225" t="s">
        <v>5191</v>
      </c>
      <c r="B254" s="1225" t="s">
        <v>4535</v>
      </c>
      <c r="C254" s="1225" t="s">
        <v>5230</v>
      </c>
      <c r="D254" s="961">
        <v>550</v>
      </c>
      <c r="E254" s="961">
        <v>1000</v>
      </c>
      <c r="F254" s="961">
        <v>1000</v>
      </c>
      <c r="G254" s="65" t="s">
        <v>4549</v>
      </c>
      <c r="H254" s="56" t="s">
        <v>4548</v>
      </c>
      <c r="I254" s="51" t="s">
        <v>4725</v>
      </c>
      <c r="J254" s="50"/>
      <c r="K254" s="51" t="s">
        <v>4975</v>
      </c>
      <c r="L254" s="118" t="s">
        <v>4539</v>
      </c>
      <c r="M254" s="6">
        <v>43070</v>
      </c>
      <c r="N254" s="6">
        <v>43100</v>
      </c>
      <c r="O254" s="61" t="s">
        <v>4545</v>
      </c>
      <c r="P254" s="59"/>
      <c r="Q254" s="167"/>
      <c r="R254" s="239" t="s">
        <v>5117</v>
      </c>
      <c r="S254" s="328" t="s">
        <v>4543</v>
      </c>
      <c r="T254" s="933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</row>
    <row r="255" spans="1:68" s="121" customFormat="1" ht="20.100000000000001" customHeight="1">
      <c r="A255" s="1225" t="s">
        <v>5191</v>
      </c>
      <c r="B255" s="1225" t="s">
        <v>4535</v>
      </c>
      <c r="C255" s="1225" t="s">
        <v>5230</v>
      </c>
      <c r="D255" s="320" ph="1">
        <v>525</v>
      </c>
      <c r="E255" s="320" ph="1">
        <v>950</v>
      </c>
      <c r="F255" s="320" ph="1">
        <v>1000</v>
      </c>
      <c r="G255" s="63" t="s">
        <v>4566</v>
      </c>
      <c r="H255" s="211" t="s">
        <v>4992</v>
      </c>
      <c r="I255" s="38" t="s">
        <v>4725</v>
      </c>
      <c r="J255" s="30"/>
      <c r="K255" s="37" t="s">
        <v>5023</v>
      </c>
      <c r="L255" s="116" t="s">
        <v>4539</v>
      </c>
      <c r="M255" s="15">
        <v>43084</v>
      </c>
      <c r="N255" s="15">
        <v>43100</v>
      </c>
      <c r="O255" s="61" t="s">
        <v>4563</v>
      </c>
      <c r="P255" s="61"/>
      <c r="Q255" s="167"/>
      <c r="R255" s="58" t="s">
        <v>5124</v>
      </c>
      <c r="S255" s="327" t="s">
        <v>4561</v>
      </c>
      <c r="T255" s="933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</row>
    <row r="256" spans="1:68" s="121" customFormat="1" ht="20.100000000000001" customHeight="1">
      <c r="A256" s="1225" t="s">
        <v>5191</v>
      </c>
      <c r="B256" s="1225" t="s">
        <v>4535</v>
      </c>
      <c r="C256" s="1225" t="s">
        <v>5230</v>
      </c>
      <c r="D256" s="953">
        <v>615</v>
      </c>
      <c r="E256" s="953">
        <v>1130</v>
      </c>
      <c r="F256" s="953">
        <v>1180</v>
      </c>
      <c r="G256" s="63" t="s">
        <v>4560</v>
      </c>
      <c r="H256" s="36" t="s">
        <v>4992</v>
      </c>
      <c r="I256" s="38" t="s">
        <v>4725</v>
      </c>
      <c r="J256" s="30"/>
      <c r="K256" s="34" t="s">
        <v>5023</v>
      </c>
      <c r="L256" s="116" t="s">
        <v>4539</v>
      </c>
      <c r="M256" s="15">
        <v>43084</v>
      </c>
      <c r="N256" s="15">
        <v>43100</v>
      </c>
      <c r="O256" s="61" t="s">
        <v>5005</v>
      </c>
      <c r="P256" s="61"/>
      <c r="Q256" s="167"/>
      <c r="R256" s="240" t="s">
        <v>5124</v>
      </c>
      <c r="S256" s="327" t="s">
        <v>5004</v>
      </c>
      <c r="T256" s="933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</row>
    <row r="257" spans="1:68" s="121" customFormat="1" ht="20.100000000000001" customHeight="1">
      <c r="A257" s="1225" t="s">
        <v>5191</v>
      </c>
      <c r="B257" s="1225" t="s">
        <v>4535</v>
      </c>
      <c r="C257" s="1225" t="s">
        <v>5230</v>
      </c>
      <c r="D257" s="247">
        <v>550</v>
      </c>
      <c r="E257" s="247">
        <v>1000</v>
      </c>
      <c r="F257" s="247">
        <v>1000</v>
      </c>
      <c r="G257" s="293" t="s">
        <v>4557</v>
      </c>
      <c r="H257" s="48" t="s">
        <v>4992</v>
      </c>
      <c r="I257" s="38" t="s">
        <v>4725</v>
      </c>
      <c r="J257" s="30"/>
      <c r="K257" s="34" t="s">
        <v>5023</v>
      </c>
      <c r="L257" s="116" t="s">
        <v>4539</v>
      </c>
      <c r="M257" s="6">
        <v>43084</v>
      </c>
      <c r="N257" s="6">
        <v>43100</v>
      </c>
      <c r="O257" s="61" t="s">
        <v>4961</v>
      </c>
      <c r="P257" s="61"/>
      <c r="Q257" s="167"/>
      <c r="R257" s="240" t="s">
        <v>5124</v>
      </c>
      <c r="S257" s="327" t="s">
        <v>5192</v>
      </c>
      <c r="T257" s="933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</row>
    <row r="258" spans="1:68" s="121" customFormat="1" ht="20.100000000000001" customHeight="1">
      <c r="A258" s="1225" t="s">
        <v>5191</v>
      </c>
      <c r="B258" s="1225" t="s">
        <v>4535</v>
      </c>
      <c r="C258" s="1225" t="s">
        <v>5230</v>
      </c>
      <c r="D258" s="247">
        <v>650</v>
      </c>
      <c r="E258" s="247">
        <v>1200</v>
      </c>
      <c r="F258" s="247">
        <v>1250</v>
      </c>
      <c r="G258" s="122" t="s">
        <v>4645</v>
      </c>
      <c r="H258" s="36" t="s">
        <v>4992</v>
      </c>
      <c r="I258" s="38" t="s">
        <v>4725</v>
      </c>
      <c r="J258" s="30"/>
      <c r="K258" s="34" t="s">
        <v>5023</v>
      </c>
      <c r="L258" s="116" t="s">
        <v>4539</v>
      </c>
      <c r="M258" s="6">
        <v>43060</v>
      </c>
      <c r="N258" s="6">
        <v>43093</v>
      </c>
      <c r="O258" s="61" t="s">
        <v>4961</v>
      </c>
      <c r="P258" s="7"/>
      <c r="Q258" s="167"/>
      <c r="R258" s="240" t="s">
        <v>5124</v>
      </c>
      <c r="S258" s="326" t="s">
        <v>4641</v>
      </c>
      <c r="T258" s="933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</row>
    <row r="259" spans="1:68" s="121" customFormat="1" ht="20.100000000000001" customHeight="1">
      <c r="A259" s="1128" t="s">
        <v>5191</v>
      </c>
      <c r="B259" s="1128" t="s">
        <v>4535</v>
      </c>
      <c r="C259" s="1128" t="s">
        <v>5224</v>
      </c>
      <c r="D259" s="885">
        <v>750</v>
      </c>
      <c r="E259" s="885">
        <v>1400</v>
      </c>
      <c r="F259" s="885">
        <v>1450</v>
      </c>
      <c r="G259" s="63" t="s">
        <v>4636</v>
      </c>
      <c r="H259" s="69" t="s">
        <v>4552</v>
      </c>
      <c r="I259" s="38" t="s">
        <v>4725</v>
      </c>
      <c r="J259" s="30"/>
      <c r="K259" s="34" t="s">
        <v>4735</v>
      </c>
      <c r="L259" s="118" t="s">
        <v>4539</v>
      </c>
      <c r="M259" s="6">
        <v>43084</v>
      </c>
      <c r="N259" s="6">
        <v>43100</v>
      </c>
      <c r="O259" s="61" t="s">
        <v>4961</v>
      </c>
      <c r="P259" s="7"/>
      <c r="Q259" s="167"/>
      <c r="R259" s="240" t="s">
        <v>5229</v>
      </c>
      <c r="S259" s="327" t="s">
        <v>4632</v>
      </c>
      <c r="T259" s="933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  <c r="BN259" s="120"/>
      <c r="BO259" s="120"/>
      <c r="BP259" s="120"/>
    </row>
    <row r="260" spans="1:68" s="121" customFormat="1" ht="20.100000000000001" customHeight="1">
      <c r="A260" s="1128" t="s">
        <v>5191</v>
      </c>
      <c r="B260" s="1128" t="s">
        <v>4535</v>
      </c>
      <c r="C260" s="1128" t="s">
        <v>5224</v>
      </c>
      <c r="D260" s="964">
        <f>D226+150</f>
        <v>675</v>
      </c>
      <c r="E260" s="320">
        <f>E226+300</f>
        <v>1250</v>
      </c>
      <c r="F260" s="320">
        <f>F226+300</f>
        <v>1300</v>
      </c>
      <c r="G260" s="12" t="s">
        <v>4566</v>
      </c>
      <c r="H260" s="56" t="s">
        <v>4565</v>
      </c>
      <c r="I260" s="38" t="s">
        <v>4564</v>
      </c>
      <c r="J260" s="37"/>
      <c r="K260" s="37" t="s">
        <v>4739</v>
      </c>
      <c r="L260" s="116" t="s">
        <v>4539</v>
      </c>
      <c r="M260" s="15">
        <v>43084</v>
      </c>
      <c r="N260" s="15">
        <v>43100</v>
      </c>
      <c r="O260" s="61" t="s">
        <v>4563</v>
      </c>
      <c r="P260" s="61"/>
      <c r="Q260" s="7"/>
      <c r="R260" s="21" t="s">
        <v>4562</v>
      </c>
      <c r="S260" s="327" t="s">
        <v>4561</v>
      </c>
      <c r="T260" s="933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  <c r="BN260" s="120"/>
      <c r="BO260" s="120"/>
      <c r="BP260" s="120"/>
    </row>
    <row r="261" spans="1:68" s="121" customFormat="1" ht="20.100000000000001" customHeight="1">
      <c r="A261" s="1128" t="s">
        <v>5191</v>
      </c>
      <c r="B261" s="1128" t="s">
        <v>4535</v>
      </c>
      <c r="C261" s="1128" t="s">
        <v>5224</v>
      </c>
      <c r="D261" s="885">
        <v>750</v>
      </c>
      <c r="E261" s="885">
        <v>1400</v>
      </c>
      <c r="F261" s="885">
        <v>1450</v>
      </c>
      <c r="G261" s="63" t="s">
        <v>4636</v>
      </c>
      <c r="H261" s="55" t="s">
        <v>4548</v>
      </c>
      <c r="I261" s="51" t="s">
        <v>4725</v>
      </c>
      <c r="J261" s="34"/>
      <c r="K261" s="20" t="s">
        <v>5069</v>
      </c>
      <c r="L261" s="118" t="s">
        <v>4539</v>
      </c>
      <c r="M261" s="6">
        <v>43084</v>
      </c>
      <c r="N261" s="6">
        <v>43100</v>
      </c>
      <c r="O261" s="61" t="s">
        <v>4961</v>
      </c>
      <c r="P261" s="61"/>
      <c r="Q261" s="167"/>
      <c r="R261" s="239" t="s">
        <v>5228</v>
      </c>
      <c r="S261" s="327" t="s">
        <v>4632</v>
      </c>
      <c r="T261" s="933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  <c r="BK261" s="120"/>
      <c r="BL261" s="120"/>
      <c r="BM261" s="120"/>
      <c r="BN261" s="120"/>
      <c r="BO261" s="120"/>
      <c r="BP261" s="120"/>
    </row>
    <row r="262" spans="1:68" s="121" customFormat="1" ht="20.100000000000001" customHeight="1">
      <c r="A262" s="1128" t="s">
        <v>5191</v>
      </c>
      <c r="B262" s="1128" t="s">
        <v>4535</v>
      </c>
      <c r="C262" s="1128" t="s">
        <v>5224</v>
      </c>
      <c r="D262" s="961">
        <v>650</v>
      </c>
      <c r="E262" s="961">
        <v>1300</v>
      </c>
      <c r="F262" s="961">
        <v>1350</v>
      </c>
      <c r="G262" s="65" t="s">
        <v>4553</v>
      </c>
      <c r="H262" s="55" t="s">
        <v>4992</v>
      </c>
      <c r="I262" s="51" t="s">
        <v>5227</v>
      </c>
      <c r="J262" s="34"/>
      <c r="K262" s="20" t="s">
        <v>5069</v>
      </c>
      <c r="L262" s="118" t="s">
        <v>4539</v>
      </c>
      <c r="M262" s="6">
        <v>43085</v>
      </c>
      <c r="N262" s="6">
        <v>43100</v>
      </c>
      <c r="O262" s="61" t="s">
        <v>4545</v>
      </c>
      <c r="P262" s="61"/>
      <c r="Q262" s="167"/>
      <c r="R262" s="239" t="s">
        <v>5226</v>
      </c>
      <c r="S262" s="328" t="s">
        <v>4543</v>
      </c>
      <c r="T262" s="933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  <c r="BK262" s="120"/>
      <c r="BL262" s="120"/>
      <c r="BM262" s="120"/>
      <c r="BN262" s="120"/>
      <c r="BO262" s="120"/>
      <c r="BP262" s="120"/>
    </row>
    <row r="263" spans="1:68" s="121" customFormat="1" ht="20.100000000000001" customHeight="1">
      <c r="A263" s="1128" t="s">
        <v>5191</v>
      </c>
      <c r="B263" s="1128" t="s">
        <v>4535</v>
      </c>
      <c r="C263" s="1128" t="s">
        <v>5224</v>
      </c>
      <c r="D263" s="961">
        <v>500</v>
      </c>
      <c r="E263" s="961">
        <v>900</v>
      </c>
      <c r="F263" s="961">
        <v>900</v>
      </c>
      <c r="G263" s="65" t="s">
        <v>4549</v>
      </c>
      <c r="H263" s="245" t="s">
        <v>4548</v>
      </c>
      <c r="I263" s="51" t="s">
        <v>4725</v>
      </c>
      <c r="J263" s="34"/>
      <c r="K263" s="20" t="s">
        <v>5069</v>
      </c>
      <c r="L263" s="118" t="s">
        <v>4539</v>
      </c>
      <c r="M263" s="6">
        <v>43070</v>
      </c>
      <c r="N263" s="6">
        <v>43100</v>
      </c>
      <c r="O263" s="61" t="s">
        <v>4545</v>
      </c>
      <c r="P263" s="59"/>
      <c r="Q263" s="167"/>
      <c r="R263" s="238" t="s">
        <v>4544</v>
      </c>
      <c r="S263" s="328" t="s">
        <v>4543</v>
      </c>
      <c r="T263" s="933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  <c r="BK263" s="120"/>
      <c r="BL263" s="120"/>
      <c r="BM263" s="120"/>
      <c r="BN263" s="120"/>
      <c r="BO263" s="120"/>
      <c r="BP263" s="120"/>
    </row>
    <row r="264" spans="1:68" s="121" customFormat="1" ht="20.100000000000001" customHeight="1">
      <c r="A264" s="1128" t="s">
        <v>5191</v>
      </c>
      <c r="B264" s="1128" t="s">
        <v>4535</v>
      </c>
      <c r="C264" s="1128" t="s">
        <v>5224</v>
      </c>
      <c r="D264" s="247">
        <v>675</v>
      </c>
      <c r="E264" s="247">
        <v>1050</v>
      </c>
      <c r="F264" s="247">
        <v>1050</v>
      </c>
      <c r="G264" s="224" t="s">
        <v>4569</v>
      </c>
      <c r="H264" s="69">
        <v>6</v>
      </c>
      <c r="I264" s="38" t="s">
        <v>4725</v>
      </c>
      <c r="J264" s="34"/>
      <c r="K264" s="20" t="s">
        <v>5069</v>
      </c>
      <c r="L264" s="116" t="s">
        <v>4539</v>
      </c>
      <c r="M264" s="6">
        <v>43057</v>
      </c>
      <c r="N264" s="6">
        <v>43069</v>
      </c>
      <c r="O264" s="61" t="s">
        <v>4921</v>
      </c>
      <c r="P264" s="61"/>
      <c r="Q264" s="167"/>
      <c r="R264" s="239" t="s">
        <v>5225</v>
      </c>
      <c r="S264" s="328" t="s">
        <v>4543</v>
      </c>
      <c r="T264" s="933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  <c r="BK264" s="120"/>
      <c r="BL264" s="120"/>
      <c r="BM264" s="120"/>
      <c r="BN264" s="120"/>
      <c r="BO264" s="120"/>
      <c r="BP264" s="120"/>
    </row>
    <row r="265" spans="1:68" s="121" customFormat="1" ht="20.100000000000001" customHeight="1">
      <c r="A265" s="1128" t="s">
        <v>5191</v>
      </c>
      <c r="B265" s="1128" t="s">
        <v>4535</v>
      </c>
      <c r="C265" s="1128" t="s">
        <v>5224</v>
      </c>
      <c r="D265" s="248">
        <v>650</v>
      </c>
      <c r="E265" s="248">
        <v>1100</v>
      </c>
      <c r="F265" s="248">
        <v>1150</v>
      </c>
      <c r="G265" s="234" t="s">
        <v>4572</v>
      </c>
      <c r="H265" s="36" t="s">
        <v>4548</v>
      </c>
      <c r="I265" s="51" t="s">
        <v>4725</v>
      </c>
      <c r="J265" s="34"/>
      <c r="K265" s="20" t="s">
        <v>5069</v>
      </c>
      <c r="L265" s="50" t="s">
        <v>4539</v>
      </c>
      <c r="M265" s="15">
        <v>43060</v>
      </c>
      <c r="N265" s="15">
        <v>43076</v>
      </c>
      <c r="O265" s="61" t="s">
        <v>4545</v>
      </c>
      <c r="P265" s="61"/>
      <c r="Q265" s="167"/>
      <c r="R265" s="238" t="s">
        <v>4736</v>
      </c>
      <c r="S265" s="328" t="s">
        <v>4543</v>
      </c>
      <c r="T265" s="933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  <c r="BN265" s="120"/>
      <c r="BO265" s="120"/>
      <c r="BP265" s="120"/>
    </row>
    <row r="266" spans="1:68" s="121" customFormat="1" ht="20.100000000000001" customHeight="1">
      <c r="A266" s="1128" t="s">
        <v>5191</v>
      </c>
      <c r="B266" s="1128" t="s">
        <v>4535</v>
      </c>
      <c r="C266" s="1128" t="s">
        <v>5224</v>
      </c>
      <c r="D266" s="320">
        <v>725</v>
      </c>
      <c r="E266" s="320">
        <f>D266*2-100</f>
        <v>1350</v>
      </c>
      <c r="F266" s="320">
        <f>D266*2-50</f>
        <v>1400</v>
      </c>
      <c r="G266" s="234" t="s">
        <v>4575</v>
      </c>
      <c r="H266" s="55" t="s">
        <v>4548</v>
      </c>
      <c r="I266" s="51" t="s">
        <v>4725</v>
      </c>
      <c r="J266" s="34"/>
      <c r="K266" s="20" t="s">
        <v>5069</v>
      </c>
      <c r="L266" s="50" t="s">
        <v>4539</v>
      </c>
      <c r="M266" s="15">
        <v>43084</v>
      </c>
      <c r="N266" s="15">
        <v>43100</v>
      </c>
      <c r="O266" s="61" t="s">
        <v>4545</v>
      </c>
      <c r="P266" s="61"/>
      <c r="Q266" s="167"/>
      <c r="R266" s="239" t="s">
        <v>4577</v>
      </c>
      <c r="S266" s="327" t="s">
        <v>4576</v>
      </c>
      <c r="T266" s="933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  <c r="BK266" s="120"/>
      <c r="BL266" s="120"/>
      <c r="BM266" s="120"/>
      <c r="BN266" s="120"/>
      <c r="BO266" s="120"/>
      <c r="BP266" s="120"/>
    </row>
    <row r="267" spans="1:68" s="121" customFormat="1" ht="20.100000000000001" customHeight="1">
      <c r="A267" s="1128" t="s">
        <v>5191</v>
      </c>
      <c r="B267" s="1128" t="s">
        <v>4535</v>
      </c>
      <c r="C267" s="1128" t="s">
        <v>5224</v>
      </c>
      <c r="D267" s="947"/>
      <c r="E267" s="947"/>
      <c r="F267" s="947"/>
      <c r="G267" s="234" t="s">
        <v>4904</v>
      </c>
      <c r="H267" s="48" t="s">
        <v>4548</v>
      </c>
      <c r="I267" s="38" t="s">
        <v>4725</v>
      </c>
      <c r="J267" s="50"/>
      <c r="K267" s="51" t="s">
        <v>4772</v>
      </c>
      <c r="L267" s="116" t="s">
        <v>4539</v>
      </c>
      <c r="M267" s="15">
        <v>43054</v>
      </c>
      <c r="N267" s="15">
        <v>43089</v>
      </c>
      <c r="O267" s="61" t="s">
        <v>4961</v>
      </c>
      <c r="P267" s="61"/>
      <c r="Q267" s="167"/>
      <c r="R267" s="239" t="s">
        <v>5223</v>
      </c>
      <c r="S267" s="336" t="s">
        <v>1952</v>
      </c>
      <c r="T267" s="137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  <c r="BK267" s="120"/>
      <c r="BL267" s="120"/>
      <c r="BM267" s="120"/>
      <c r="BN267" s="120"/>
      <c r="BO267" s="120"/>
      <c r="BP267" s="120"/>
    </row>
    <row r="268" spans="1:68" s="121" customFormat="1" ht="20.100000000000001" customHeight="1">
      <c r="A268" s="1128" t="s">
        <v>5191</v>
      </c>
      <c r="B268" s="1128" t="s">
        <v>4535</v>
      </c>
      <c r="C268" s="1128" t="s">
        <v>5222</v>
      </c>
      <c r="D268" s="248"/>
      <c r="E268" s="248"/>
      <c r="F268" s="248"/>
      <c r="G268" s="221" t="s">
        <v>5010</v>
      </c>
      <c r="H268" s="56" t="s">
        <v>4552</v>
      </c>
      <c r="I268" s="51" t="s">
        <v>5045</v>
      </c>
      <c r="J268" s="50"/>
      <c r="K268" s="50" t="s">
        <v>4739</v>
      </c>
      <c r="L268" s="19" t="s">
        <v>4539</v>
      </c>
      <c r="M268" s="6">
        <v>43070</v>
      </c>
      <c r="N268" s="6">
        <v>43083</v>
      </c>
      <c r="O268" s="61" t="s">
        <v>5008</v>
      </c>
      <c r="P268" s="61"/>
      <c r="Q268" s="167"/>
      <c r="R268" s="239" t="s">
        <v>5007</v>
      </c>
      <c r="S268" s="327" t="s">
        <v>5006</v>
      </c>
      <c r="T268" s="137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  <c r="BN268" s="120"/>
      <c r="BO268" s="120"/>
      <c r="BP268" s="120"/>
    </row>
    <row r="269" spans="1:68" s="121" customFormat="1" ht="20.100000000000001" customHeight="1">
      <c r="A269" s="1128" t="s">
        <v>5191</v>
      </c>
      <c r="B269" s="1128" t="s">
        <v>4535</v>
      </c>
      <c r="C269" s="1128" t="s">
        <v>5222</v>
      </c>
      <c r="D269" s="935">
        <f>D247+350</f>
        <v>875</v>
      </c>
      <c r="E269" s="935">
        <f>E247+350</f>
        <v>1300</v>
      </c>
      <c r="F269" s="935">
        <f>F247+350</f>
        <v>1350</v>
      </c>
      <c r="G269" s="12" t="s">
        <v>4566</v>
      </c>
      <c r="H269" s="56" t="s">
        <v>4580</v>
      </c>
      <c r="I269" s="51" t="s">
        <v>4579</v>
      </c>
      <c r="J269" s="50"/>
      <c r="K269" s="50" t="s">
        <v>5055</v>
      </c>
      <c r="L269" s="118" t="s">
        <v>4539</v>
      </c>
      <c r="M269" s="15">
        <v>43084</v>
      </c>
      <c r="N269" s="15">
        <v>43100</v>
      </c>
      <c r="O269" s="61" t="s">
        <v>4563</v>
      </c>
      <c r="P269" s="61"/>
      <c r="Q269" s="167"/>
      <c r="R269" s="239" t="s">
        <v>4578</v>
      </c>
      <c r="S269" s="327" t="s">
        <v>4561</v>
      </c>
      <c r="T269" s="137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  <c r="BN269" s="120"/>
      <c r="BO269" s="120"/>
      <c r="BP269" s="120"/>
    </row>
    <row r="270" spans="1:68" s="121" customFormat="1" ht="20.100000000000001" customHeight="1">
      <c r="A270" s="1128" t="s">
        <v>5191</v>
      </c>
      <c r="B270" s="1128" t="s">
        <v>4535</v>
      </c>
      <c r="C270" s="1128" t="s">
        <v>5222</v>
      </c>
      <c r="D270" s="247">
        <f>D219+100</f>
        <v>750</v>
      </c>
      <c r="E270" s="247">
        <f>E219+100</f>
        <v>1400</v>
      </c>
      <c r="F270" s="247">
        <f>F219+100</f>
        <v>1450</v>
      </c>
      <c r="G270" s="12" t="s">
        <v>4553</v>
      </c>
      <c r="H270" s="56" t="s">
        <v>4589</v>
      </c>
      <c r="I270" s="51" t="s">
        <v>4564</v>
      </c>
      <c r="J270" s="50"/>
      <c r="K270" s="50">
        <v>31</v>
      </c>
      <c r="L270" s="118" t="s">
        <v>4539</v>
      </c>
      <c r="M270" s="6">
        <v>43085</v>
      </c>
      <c r="N270" s="6">
        <v>43100</v>
      </c>
      <c r="O270" s="61" t="s">
        <v>4545</v>
      </c>
      <c r="P270" s="61"/>
      <c r="Q270" s="61"/>
      <c r="R270" s="239" t="s">
        <v>4588</v>
      </c>
      <c r="S270" s="328" t="s">
        <v>4543</v>
      </c>
      <c r="T270" s="137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</row>
    <row r="271" spans="1:68" s="121" customFormat="1" ht="20.100000000000001" customHeight="1">
      <c r="A271" s="1128" t="s">
        <v>5191</v>
      </c>
      <c r="B271" s="1128" t="s">
        <v>5182</v>
      </c>
      <c r="C271" s="1128" t="s">
        <v>5221</v>
      </c>
      <c r="D271" s="248">
        <v>1250</v>
      </c>
      <c r="E271" s="248">
        <v>1900</v>
      </c>
      <c r="F271" s="248">
        <v>1900</v>
      </c>
      <c r="G271" s="218" t="s">
        <v>5010</v>
      </c>
      <c r="H271" s="56" t="s">
        <v>4552</v>
      </c>
      <c r="I271" s="51" t="s">
        <v>5045</v>
      </c>
      <c r="J271" s="50"/>
      <c r="K271" s="51">
        <v>27</v>
      </c>
      <c r="L271" s="19" t="s">
        <v>4539</v>
      </c>
      <c r="M271" s="6">
        <v>43070</v>
      </c>
      <c r="N271" s="6">
        <v>43083</v>
      </c>
      <c r="O271" s="61" t="s">
        <v>5008</v>
      </c>
      <c r="P271" s="59"/>
      <c r="Q271" s="167"/>
      <c r="R271" s="239" t="s">
        <v>5007</v>
      </c>
      <c r="S271" s="327" t="s">
        <v>5006</v>
      </c>
      <c r="T271" s="137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  <c r="BK271" s="120"/>
      <c r="BL271" s="120"/>
      <c r="BM271" s="120"/>
      <c r="BN271" s="120"/>
      <c r="BO271" s="120"/>
      <c r="BP271" s="120"/>
    </row>
    <row r="272" spans="1:68" s="121" customFormat="1" ht="20.100000000000001" customHeight="1">
      <c r="A272" s="1128" t="s">
        <v>5191</v>
      </c>
      <c r="B272" s="1128" t="s">
        <v>5182</v>
      </c>
      <c r="C272" s="1128" t="s">
        <v>5221</v>
      </c>
      <c r="D272" s="949">
        <v>575</v>
      </c>
      <c r="E272" s="949">
        <v>1050</v>
      </c>
      <c r="F272" s="949">
        <v>1050</v>
      </c>
      <c r="G272" s="63" t="s">
        <v>5022</v>
      </c>
      <c r="H272" s="211" t="s">
        <v>4552</v>
      </c>
      <c r="I272" s="38" t="s">
        <v>4725</v>
      </c>
      <c r="J272" s="30"/>
      <c r="K272" s="37" t="s">
        <v>4601</v>
      </c>
      <c r="L272" s="116" t="s">
        <v>4539</v>
      </c>
      <c r="M272" s="6">
        <v>43073</v>
      </c>
      <c r="N272" s="6">
        <v>43083</v>
      </c>
      <c r="O272" s="61" t="s">
        <v>4961</v>
      </c>
      <c r="P272" s="74"/>
      <c r="Q272" s="167"/>
      <c r="R272" s="239" t="s">
        <v>5153</v>
      </c>
      <c r="S272" s="328" t="s">
        <v>1762</v>
      </c>
      <c r="T272" s="137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  <c r="BK272" s="120"/>
      <c r="BL272" s="120"/>
      <c r="BM272" s="120"/>
      <c r="BN272" s="120"/>
      <c r="BO272" s="120"/>
      <c r="BP272" s="120"/>
    </row>
    <row r="273" spans="1:68" s="121" customFormat="1" ht="20.100000000000001" customHeight="1">
      <c r="A273" s="1128" t="s">
        <v>5191</v>
      </c>
      <c r="B273" s="1128" t="s">
        <v>5182</v>
      </c>
      <c r="C273" s="1128" t="s">
        <v>5221</v>
      </c>
      <c r="D273" s="320">
        <v>725</v>
      </c>
      <c r="E273" s="320">
        <f>D273*2-100</f>
        <v>1350</v>
      </c>
      <c r="F273" s="320">
        <f>D273*2-50</f>
        <v>1400</v>
      </c>
      <c r="G273" s="293" t="s">
        <v>4575</v>
      </c>
      <c r="H273" s="210" t="s">
        <v>4552</v>
      </c>
      <c r="I273" s="38" t="s">
        <v>4725</v>
      </c>
      <c r="J273" s="50"/>
      <c r="K273" s="51" t="s">
        <v>4601</v>
      </c>
      <c r="L273" s="116" t="s">
        <v>4539</v>
      </c>
      <c r="M273" s="15">
        <v>43084</v>
      </c>
      <c r="N273" s="15">
        <v>43100</v>
      </c>
      <c r="O273" s="61" t="s">
        <v>4545</v>
      </c>
      <c r="P273" s="59"/>
      <c r="Q273" s="167"/>
      <c r="R273" s="239" t="s">
        <v>4583</v>
      </c>
      <c r="S273" s="327" t="s">
        <v>4576</v>
      </c>
      <c r="T273" s="137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  <c r="BN273" s="120"/>
      <c r="BO273" s="120"/>
      <c r="BP273" s="120"/>
    </row>
    <row r="274" spans="1:68" s="121" customFormat="1" ht="20.100000000000001" customHeight="1">
      <c r="A274" s="1128" t="s">
        <v>5191</v>
      </c>
      <c r="B274" s="1128" t="s">
        <v>5182</v>
      </c>
      <c r="C274" s="1128" t="s">
        <v>5221</v>
      </c>
      <c r="D274" s="947">
        <v>525</v>
      </c>
      <c r="E274" s="947">
        <v>950</v>
      </c>
      <c r="F274" s="947">
        <v>950</v>
      </c>
      <c r="G274" s="234" t="s">
        <v>4904</v>
      </c>
      <c r="H274" s="36" t="s">
        <v>4552</v>
      </c>
      <c r="I274" s="38" t="s">
        <v>4725</v>
      </c>
      <c r="J274" s="50"/>
      <c r="K274" s="51" t="s">
        <v>4601</v>
      </c>
      <c r="L274" s="116" t="s">
        <v>4539</v>
      </c>
      <c r="M274" s="15">
        <v>43054</v>
      </c>
      <c r="N274" s="15">
        <v>43089</v>
      </c>
      <c r="O274" s="61" t="s">
        <v>4961</v>
      </c>
      <c r="P274" s="59"/>
      <c r="Q274" s="167"/>
      <c r="R274" s="239" t="s">
        <v>5104</v>
      </c>
      <c r="S274" s="336" t="s">
        <v>1952</v>
      </c>
      <c r="T274" s="137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</row>
    <row r="275" spans="1:68" s="121" customFormat="1" ht="20.100000000000001" customHeight="1">
      <c r="A275" s="1128" t="s">
        <v>5191</v>
      </c>
      <c r="B275" s="1128" t="s">
        <v>5182</v>
      </c>
      <c r="C275" s="1128" t="s">
        <v>5221</v>
      </c>
      <c r="D275" s="247">
        <v>525</v>
      </c>
      <c r="E275" s="247">
        <v>950</v>
      </c>
      <c r="F275" s="247">
        <v>1000</v>
      </c>
      <c r="G275" s="70" t="s">
        <v>4542</v>
      </c>
      <c r="H275" s="48" t="s">
        <v>4552</v>
      </c>
      <c r="I275" s="38" t="s">
        <v>4725</v>
      </c>
      <c r="J275" s="30"/>
      <c r="K275" s="37" t="s">
        <v>4601</v>
      </c>
      <c r="L275" s="116" t="s">
        <v>4539</v>
      </c>
      <c r="M275" s="15">
        <v>43080</v>
      </c>
      <c r="N275" s="15">
        <v>43083</v>
      </c>
      <c r="O275" s="61" t="s">
        <v>4961</v>
      </c>
      <c r="P275" s="61"/>
      <c r="Q275" s="167"/>
      <c r="R275" s="239" t="s">
        <v>5195</v>
      </c>
      <c r="S275" s="327" t="s">
        <v>5193</v>
      </c>
      <c r="T275" s="137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</row>
    <row r="276" spans="1:68" s="121" customFormat="1" ht="20.100000000000001" customHeight="1">
      <c r="A276" s="1128" t="s">
        <v>5191</v>
      </c>
      <c r="B276" s="1128" t="s">
        <v>5182</v>
      </c>
      <c r="C276" s="1128" t="s">
        <v>5221</v>
      </c>
      <c r="D276" s="247">
        <v>550</v>
      </c>
      <c r="E276" s="247">
        <v>1000</v>
      </c>
      <c r="F276" s="247">
        <v>1050</v>
      </c>
      <c r="G276" s="63" t="s">
        <v>4636</v>
      </c>
      <c r="H276" s="48" t="s">
        <v>4580</v>
      </c>
      <c r="I276" s="38" t="s">
        <v>4725</v>
      </c>
      <c r="J276" s="30"/>
      <c r="K276" s="37" t="s">
        <v>4968</v>
      </c>
      <c r="L276" s="116" t="s">
        <v>4539</v>
      </c>
      <c r="M276" s="6">
        <v>43051</v>
      </c>
      <c r="N276" s="6">
        <v>43100</v>
      </c>
      <c r="O276" s="61" t="s">
        <v>4961</v>
      </c>
      <c r="P276" s="61"/>
      <c r="Q276" s="171"/>
      <c r="R276" s="239" t="s">
        <v>5194</v>
      </c>
      <c r="S276" s="327" t="s">
        <v>4632</v>
      </c>
      <c r="T276" s="137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</row>
    <row r="277" spans="1:68" s="121" customFormat="1" ht="20.100000000000001" customHeight="1">
      <c r="A277" s="1128" t="s">
        <v>5191</v>
      </c>
      <c r="B277" s="1128" t="s">
        <v>5182</v>
      </c>
      <c r="C277" s="1128" t="s">
        <v>5221</v>
      </c>
      <c r="D277" s="247">
        <v>675</v>
      </c>
      <c r="E277" s="247">
        <v>1050</v>
      </c>
      <c r="F277" s="247">
        <v>1050</v>
      </c>
      <c r="G277" s="224" t="s">
        <v>4569</v>
      </c>
      <c r="H277" s="69" t="s">
        <v>4580</v>
      </c>
      <c r="I277" s="38" t="s">
        <v>4725</v>
      </c>
      <c r="J277" s="38"/>
      <c r="K277" s="37" t="s">
        <v>4968</v>
      </c>
      <c r="L277" s="116" t="s">
        <v>4539</v>
      </c>
      <c r="M277" s="6">
        <v>43057</v>
      </c>
      <c r="N277" s="6">
        <v>43069</v>
      </c>
      <c r="O277" s="61" t="s">
        <v>4921</v>
      </c>
      <c r="P277" s="61"/>
      <c r="Q277" s="7"/>
      <c r="R277" s="239" t="s">
        <v>5095</v>
      </c>
      <c r="S277" s="328" t="s">
        <v>4543</v>
      </c>
      <c r="T277" s="137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</row>
    <row r="278" spans="1:68" s="121" customFormat="1" ht="20.100000000000001" customHeight="1">
      <c r="A278" s="1128" t="s">
        <v>5191</v>
      </c>
      <c r="B278" s="1128" t="s">
        <v>5182</v>
      </c>
      <c r="C278" s="1128" t="s">
        <v>5221</v>
      </c>
      <c r="D278" s="961">
        <v>650</v>
      </c>
      <c r="E278" s="961">
        <v>1300</v>
      </c>
      <c r="F278" s="961">
        <v>1350</v>
      </c>
      <c r="G278" s="3" t="s">
        <v>4553</v>
      </c>
      <c r="H278" s="22">
        <v>4</v>
      </c>
      <c r="I278" s="51" t="s">
        <v>4725</v>
      </c>
      <c r="J278" s="34"/>
      <c r="K278" s="37" t="s">
        <v>4968</v>
      </c>
      <c r="L278" s="118" t="s">
        <v>4539</v>
      </c>
      <c r="M278" s="6">
        <v>43085</v>
      </c>
      <c r="N278" s="6">
        <v>43100</v>
      </c>
      <c r="O278" s="61" t="s">
        <v>4545</v>
      </c>
      <c r="P278" s="59"/>
      <c r="Q278" s="171"/>
      <c r="R278" s="239" t="s">
        <v>4878</v>
      </c>
      <c r="S278" s="328" t="s">
        <v>4543</v>
      </c>
      <c r="T278" s="137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</row>
    <row r="279" spans="1:68" s="121" customFormat="1" ht="20.100000000000001" customHeight="1">
      <c r="A279" s="1128" t="s">
        <v>5191</v>
      </c>
      <c r="B279" s="1128" t="s">
        <v>5182</v>
      </c>
      <c r="C279" s="1128" t="s">
        <v>5221</v>
      </c>
      <c r="D279" s="961">
        <v>725</v>
      </c>
      <c r="E279" s="961">
        <v>1350</v>
      </c>
      <c r="F279" s="961">
        <v>1350</v>
      </c>
      <c r="G279" s="3" t="s">
        <v>4549</v>
      </c>
      <c r="H279" s="22" t="s">
        <v>4580</v>
      </c>
      <c r="I279" s="51" t="s">
        <v>4725</v>
      </c>
      <c r="J279" s="34"/>
      <c r="K279" s="37" t="s">
        <v>4968</v>
      </c>
      <c r="L279" s="118" t="s">
        <v>4539</v>
      </c>
      <c r="M279" s="6">
        <v>43070</v>
      </c>
      <c r="N279" s="6">
        <v>43100</v>
      </c>
      <c r="O279" s="61" t="s">
        <v>4545</v>
      </c>
      <c r="P279" s="59"/>
      <c r="Q279" s="171"/>
      <c r="R279" s="239" t="s">
        <v>5099</v>
      </c>
      <c r="S279" s="328" t="s">
        <v>4543</v>
      </c>
      <c r="T279" s="137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</row>
    <row r="280" spans="1:68" s="121" customFormat="1" ht="20.100000000000001" customHeight="1">
      <c r="A280" s="1128" t="s">
        <v>5191</v>
      </c>
      <c r="B280" s="1128" t="s">
        <v>5182</v>
      </c>
      <c r="C280" s="1128" t="s">
        <v>5221</v>
      </c>
      <c r="D280" s="320" ph="1">
        <v>525</v>
      </c>
      <c r="E280" s="320" ph="1">
        <v>950</v>
      </c>
      <c r="F280" s="320" ph="1">
        <v>1000</v>
      </c>
      <c r="G280" s="3" t="s">
        <v>4566</v>
      </c>
      <c r="H280" s="56" t="s">
        <v>4580</v>
      </c>
      <c r="I280" s="38" t="s">
        <v>4725</v>
      </c>
      <c r="J280" s="50"/>
      <c r="K280" s="51" t="s">
        <v>4772</v>
      </c>
      <c r="L280" s="116" t="s">
        <v>4539</v>
      </c>
      <c r="M280" s="15">
        <v>43084</v>
      </c>
      <c r="N280" s="15">
        <v>43100</v>
      </c>
      <c r="O280" s="61" t="s">
        <v>4563</v>
      </c>
      <c r="P280" s="59"/>
      <c r="Q280" s="167"/>
      <c r="R280" s="21" t="s">
        <v>4578</v>
      </c>
      <c r="S280" s="327" t="s">
        <v>4561</v>
      </c>
      <c r="T280" s="137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</row>
    <row r="281" spans="1:68" s="121" customFormat="1" ht="20.100000000000001" customHeight="1">
      <c r="A281" s="1128" t="s">
        <v>5191</v>
      </c>
      <c r="B281" s="1128" t="s">
        <v>5182</v>
      </c>
      <c r="C281" s="1128" t="s">
        <v>5221</v>
      </c>
      <c r="D281" s="953">
        <v>615</v>
      </c>
      <c r="E281" s="953">
        <v>1130</v>
      </c>
      <c r="F281" s="953">
        <v>1180</v>
      </c>
      <c r="G281" s="70" t="s">
        <v>4560</v>
      </c>
      <c r="H281" s="56" t="s">
        <v>4580</v>
      </c>
      <c r="I281" s="38" t="s">
        <v>4725</v>
      </c>
      <c r="J281" s="50"/>
      <c r="K281" s="51" t="s">
        <v>4772</v>
      </c>
      <c r="L281" s="116" t="s">
        <v>4539</v>
      </c>
      <c r="M281" s="15">
        <v>43084</v>
      </c>
      <c r="N281" s="15">
        <v>43100</v>
      </c>
      <c r="O281" s="61" t="s">
        <v>5005</v>
      </c>
      <c r="P281" s="59"/>
      <c r="Q281" s="167"/>
      <c r="R281" s="239" t="s">
        <v>4578</v>
      </c>
      <c r="S281" s="327" t="s">
        <v>5004</v>
      </c>
      <c r="T281" s="137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</row>
    <row r="282" spans="1:68" s="121" customFormat="1" ht="20.100000000000001" customHeight="1">
      <c r="A282" s="1128" t="s">
        <v>5191</v>
      </c>
      <c r="B282" s="1128" t="s">
        <v>5182</v>
      </c>
      <c r="C282" s="1128" t="s">
        <v>5221</v>
      </c>
      <c r="D282" s="247">
        <v>550</v>
      </c>
      <c r="E282" s="247">
        <v>1000</v>
      </c>
      <c r="F282" s="247">
        <v>1000</v>
      </c>
      <c r="G282" s="293" t="s">
        <v>4557</v>
      </c>
      <c r="H282" s="48" t="s">
        <v>4580</v>
      </c>
      <c r="I282" s="38" t="s">
        <v>4725</v>
      </c>
      <c r="J282" s="30"/>
      <c r="K282" s="37" t="s">
        <v>4772</v>
      </c>
      <c r="L282" s="116" t="s">
        <v>4539</v>
      </c>
      <c r="M282" s="6">
        <v>43084</v>
      </c>
      <c r="N282" s="6">
        <v>43100</v>
      </c>
      <c r="O282" s="61" t="s">
        <v>4961</v>
      </c>
      <c r="P282" s="7"/>
      <c r="Q282" s="167"/>
      <c r="R282" s="239" t="s">
        <v>4578</v>
      </c>
      <c r="S282" s="327" t="s">
        <v>5192</v>
      </c>
      <c r="T282" s="137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</row>
    <row r="283" spans="1:68" s="121" customFormat="1" ht="20.100000000000001" customHeight="1">
      <c r="A283" s="1128" t="s">
        <v>5191</v>
      </c>
      <c r="B283" s="1128" t="s">
        <v>5182</v>
      </c>
      <c r="C283" s="1128" t="s">
        <v>5221</v>
      </c>
      <c r="D283" s="247">
        <v>650</v>
      </c>
      <c r="E283" s="247">
        <v>1200</v>
      </c>
      <c r="F283" s="247">
        <v>1250</v>
      </c>
      <c r="G283" s="70" t="s">
        <v>4645</v>
      </c>
      <c r="H283" s="210" t="s">
        <v>4580</v>
      </c>
      <c r="I283" s="38" t="s">
        <v>4725</v>
      </c>
      <c r="J283" s="50"/>
      <c r="K283" s="51" t="s">
        <v>4772</v>
      </c>
      <c r="L283" s="116" t="s">
        <v>4539</v>
      </c>
      <c r="M283" s="6">
        <v>43060</v>
      </c>
      <c r="N283" s="6">
        <v>43093</v>
      </c>
      <c r="O283" s="61" t="s">
        <v>4961</v>
      </c>
      <c r="P283" s="59"/>
      <c r="Q283" s="167"/>
      <c r="R283" s="239" t="s">
        <v>4578</v>
      </c>
      <c r="S283" s="326" t="s">
        <v>4641</v>
      </c>
      <c r="T283" s="137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  <c r="BN283" s="120"/>
      <c r="BO283" s="120"/>
      <c r="BP283" s="120"/>
    </row>
    <row r="284" spans="1:68" s="121" customFormat="1" ht="20.100000000000001" customHeight="1">
      <c r="A284" s="1128" t="s">
        <v>5191</v>
      </c>
      <c r="B284" s="1128" t="s">
        <v>5182</v>
      </c>
      <c r="C284" s="1128" t="s">
        <v>5221</v>
      </c>
      <c r="D284" s="949">
        <v>575</v>
      </c>
      <c r="E284" s="949">
        <v>1050</v>
      </c>
      <c r="F284" s="949">
        <v>1050</v>
      </c>
      <c r="G284" s="63" t="s">
        <v>5022</v>
      </c>
      <c r="H284" s="48" t="s">
        <v>4580</v>
      </c>
      <c r="I284" s="38" t="s">
        <v>4725</v>
      </c>
      <c r="J284" s="30"/>
      <c r="K284" s="37" t="s">
        <v>5025</v>
      </c>
      <c r="L284" s="116" t="s">
        <v>4539</v>
      </c>
      <c r="M284" s="6">
        <v>43073</v>
      </c>
      <c r="N284" s="6">
        <v>43083</v>
      </c>
      <c r="O284" s="61" t="s">
        <v>4961</v>
      </c>
      <c r="P284" s="123"/>
      <c r="Q284" s="167"/>
      <c r="R284" s="239" t="s">
        <v>5063</v>
      </c>
      <c r="S284" s="328" t="s">
        <v>1762</v>
      </c>
      <c r="T284" s="137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  <c r="BN284" s="120"/>
      <c r="BO284" s="120"/>
      <c r="BP284" s="120"/>
    </row>
    <row r="285" spans="1:68" s="121" customFormat="1" ht="20.100000000000001" customHeight="1">
      <c r="A285" s="1128" t="s">
        <v>5191</v>
      </c>
      <c r="B285" s="1128" t="s">
        <v>5182</v>
      </c>
      <c r="C285" s="1128" t="s">
        <v>5221</v>
      </c>
      <c r="D285" s="320">
        <v>725</v>
      </c>
      <c r="E285" s="320">
        <f>D285*2-100</f>
        <v>1350</v>
      </c>
      <c r="F285" s="320">
        <f>D285*2-50</f>
        <v>1400</v>
      </c>
      <c r="G285" s="293" t="s">
        <v>4575</v>
      </c>
      <c r="H285" s="36" t="s">
        <v>4580</v>
      </c>
      <c r="I285" s="38" t="s">
        <v>4725</v>
      </c>
      <c r="J285" s="30"/>
      <c r="K285" s="34" t="s">
        <v>5025</v>
      </c>
      <c r="L285" s="116" t="s">
        <v>4539</v>
      </c>
      <c r="M285" s="15">
        <v>43084</v>
      </c>
      <c r="N285" s="15">
        <v>43100</v>
      </c>
      <c r="O285" s="61" t="s">
        <v>4545</v>
      </c>
      <c r="P285" s="74"/>
      <c r="Q285" s="167"/>
      <c r="R285" s="239" t="s">
        <v>5120</v>
      </c>
      <c r="S285" s="327" t="s">
        <v>4576</v>
      </c>
      <c r="T285" s="137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</row>
    <row r="286" spans="1:68" s="121" customFormat="1" ht="20.100000000000001" customHeight="1">
      <c r="A286" s="1128" t="s">
        <v>5191</v>
      </c>
      <c r="B286" s="1128" t="s">
        <v>5182</v>
      </c>
      <c r="C286" s="1128" t="s">
        <v>5221</v>
      </c>
      <c r="D286" s="248">
        <v>650</v>
      </c>
      <c r="E286" s="248">
        <v>1100</v>
      </c>
      <c r="F286" s="248">
        <v>1150</v>
      </c>
      <c r="G286" s="234" t="s">
        <v>4572</v>
      </c>
      <c r="H286" s="56" t="s">
        <v>4580</v>
      </c>
      <c r="I286" s="51" t="s">
        <v>4725</v>
      </c>
      <c r="J286" s="34"/>
      <c r="K286" s="34" t="s">
        <v>5025</v>
      </c>
      <c r="L286" s="118" t="s">
        <v>4539</v>
      </c>
      <c r="M286" s="15">
        <v>43060</v>
      </c>
      <c r="N286" s="15">
        <v>43076</v>
      </c>
      <c r="O286" s="61" t="s">
        <v>4545</v>
      </c>
      <c r="P286" s="123"/>
      <c r="Q286" s="167"/>
      <c r="R286" s="239" t="s">
        <v>5002</v>
      </c>
      <c r="S286" s="328" t="s">
        <v>4543</v>
      </c>
      <c r="T286" s="137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  <c r="BN286" s="120"/>
      <c r="BO286" s="120"/>
      <c r="BP286" s="120"/>
    </row>
    <row r="287" spans="1:68" s="121" customFormat="1" ht="20.100000000000001" customHeight="1">
      <c r="A287" s="1128" t="s">
        <v>5191</v>
      </c>
      <c r="B287" s="1128" t="s">
        <v>5182</v>
      </c>
      <c r="C287" s="1128" t="s">
        <v>5221</v>
      </c>
      <c r="D287" s="947">
        <v>525</v>
      </c>
      <c r="E287" s="947">
        <v>950</v>
      </c>
      <c r="F287" s="947">
        <v>950</v>
      </c>
      <c r="G287" s="234" t="s">
        <v>4904</v>
      </c>
      <c r="H287" s="36" t="s">
        <v>4580</v>
      </c>
      <c r="I287" s="38" t="s">
        <v>4725</v>
      </c>
      <c r="J287" s="30"/>
      <c r="K287" s="34" t="s">
        <v>5025</v>
      </c>
      <c r="L287" s="116" t="s">
        <v>4539</v>
      </c>
      <c r="M287" s="15">
        <v>43054</v>
      </c>
      <c r="N287" s="15">
        <v>43089</v>
      </c>
      <c r="O287" s="61" t="s">
        <v>4961</v>
      </c>
      <c r="P287" s="37"/>
      <c r="Q287" s="167"/>
      <c r="R287" s="239" t="s">
        <v>5119</v>
      </c>
      <c r="S287" s="336" t="s">
        <v>1952</v>
      </c>
      <c r="T287" s="137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  <c r="BN287" s="120"/>
      <c r="BO287" s="120"/>
      <c r="BP287" s="120"/>
    </row>
    <row r="288" spans="1:68" s="121" customFormat="1" ht="20.100000000000001" customHeight="1">
      <c r="A288" s="1128" t="s">
        <v>5191</v>
      </c>
      <c r="B288" s="1128" t="s">
        <v>5182</v>
      </c>
      <c r="C288" s="1128" t="s">
        <v>5221</v>
      </c>
      <c r="D288" s="247">
        <v>525</v>
      </c>
      <c r="E288" s="247">
        <v>950</v>
      </c>
      <c r="F288" s="247">
        <v>1000</v>
      </c>
      <c r="G288" s="70" t="s">
        <v>4542</v>
      </c>
      <c r="H288" s="48" t="s">
        <v>4580</v>
      </c>
      <c r="I288" s="38" t="s">
        <v>4725</v>
      </c>
      <c r="J288" s="30"/>
      <c r="K288" s="37" t="s">
        <v>5025</v>
      </c>
      <c r="L288" s="116" t="s">
        <v>4539</v>
      </c>
      <c r="M288" s="15">
        <v>43080</v>
      </c>
      <c r="N288" s="15">
        <v>43083</v>
      </c>
      <c r="O288" s="61" t="s">
        <v>4961</v>
      </c>
      <c r="P288" s="74"/>
      <c r="Q288" s="167"/>
      <c r="R288" s="239" t="s">
        <v>5118</v>
      </c>
      <c r="S288" s="327" t="s">
        <v>5193</v>
      </c>
      <c r="T288" s="137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  <c r="BN288" s="120"/>
      <c r="BO288" s="120"/>
      <c r="BP288" s="120"/>
    </row>
    <row r="289" spans="1:68" s="121" customFormat="1" ht="20.100000000000001" customHeight="1">
      <c r="A289" s="1128" t="s">
        <v>5191</v>
      </c>
      <c r="B289" s="1128" t="s">
        <v>5182</v>
      </c>
      <c r="C289" s="1128" t="s">
        <v>5221</v>
      </c>
      <c r="D289" s="320" ph="1">
        <v>525</v>
      </c>
      <c r="E289" s="320" ph="1">
        <v>950</v>
      </c>
      <c r="F289" s="320" ph="1">
        <v>1000</v>
      </c>
      <c r="G289" s="63" t="s">
        <v>4566</v>
      </c>
      <c r="H289" s="18" t="s">
        <v>4992</v>
      </c>
      <c r="I289" s="38" t="s">
        <v>4725</v>
      </c>
      <c r="J289" s="30"/>
      <c r="K289" s="37" t="s">
        <v>4895</v>
      </c>
      <c r="L289" s="116" t="s">
        <v>4539</v>
      </c>
      <c r="M289" s="15">
        <v>43084</v>
      </c>
      <c r="N289" s="15">
        <v>43100</v>
      </c>
      <c r="O289" s="61" t="s">
        <v>4563</v>
      </c>
      <c r="P289" s="61"/>
      <c r="Q289" s="167"/>
      <c r="R289" s="21" t="s">
        <v>5124</v>
      </c>
      <c r="S289" s="327" t="s">
        <v>4561</v>
      </c>
      <c r="T289" s="137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  <c r="BN289" s="120"/>
      <c r="BO289" s="120"/>
      <c r="BP289" s="120"/>
    </row>
    <row r="290" spans="1:68" s="121" customFormat="1" ht="20.100000000000001" customHeight="1">
      <c r="A290" s="1128" t="s">
        <v>5191</v>
      </c>
      <c r="B290" s="1128" t="s">
        <v>5182</v>
      </c>
      <c r="C290" s="1128" t="s">
        <v>5221</v>
      </c>
      <c r="D290" s="953">
        <v>615</v>
      </c>
      <c r="E290" s="953">
        <v>1130</v>
      </c>
      <c r="F290" s="953">
        <v>1180</v>
      </c>
      <c r="G290" s="70" t="s">
        <v>4560</v>
      </c>
      <c r="H290" s="36" t="s">
        <v>4992</v>
      </c>
      <c r="I290" s="38" t="s">
        <v>4725</v>
      </c>
      <c r="J290" s="30"/>
      <c r="K290" s="34" t="s">
        <v>4895</v>
      </c>
      <c r="L290" s="116" t="s">
        <v>4539</v>
      </c>
      <c r="M290" s="15">
        <v>43084</v>
      </c>
      <c r="N290" s="15">
        <v>43100</v>
      </c>
      <c r="O290" s="61" t="s">
        <v>5005</v>
      </c>
      <c r="P290" s="61"/>
      <c r="Q290" s="167"/>
      <c r="R290" s="240" t="s">
        <v>5124</v>
      </c>
      <c r="S290" s="327" t="s">
        <v>5004</v>
      </c>
      <c r="T290" s="137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  <c r="BN290" s="120"/>
      <c r="BO290" s="120"/>
      <c r="BP290" s="120"/>
    </row>
    <row r="291" spans="1:68" s="121" customFormat="1" ht="20.100000000000001" customHeight="1">
      <c r="A291" s="1128" t="s">
        <v>5191</v>
      </c>
      <c r="B291" s="1128" t="s">
        <v>5182</v>
      </c>
      <c r="C291" s="1128" t="s">
        <v>5221</v>
      </c>
      <c r="D291" s="247">
        <v>550</v>
      </c>
      <c r="E291" s="247">
        <v>1000</v>
      </c>
      <c r="F291" s="247">
        <v>1000</v>
      </c>
      <c r="G291" s="293" t="s">
        <v>4557</v>
      </c>
      <c r="H291" s="48" t="s">
        <v>4992</v>
      </c>
      <c r="I291" s="38" t="s">
        <v>4725</v>
      </c>
      <c r="J291" s="30"/>
      <c r="K291" s="37" t="s">
        <v>4895</v>
      </c>
      <c r="L291" s="116" t="s">
        <v>4539</v>
      </c>
      <c r="M291" s="6">
        <v>43084</v>
      </c>
      <c r="N291" s="6">
        <v>43100</v>
      </c>
      <c r="O291" s="61" t="s">
        <v>4961</v>
      </c>
      <c r="P291" s="61"/>
      <c r="Q291" s="167"/>
      <c r="R291" s="240" t="s">
        <v>5124</v>
      </c>
      <c r="S291" s="327" t="s">
        <v>5192</v>
      </c>
      <c r="T291" s="137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</row>
    <row r="292" spans="1:68" s="121" customFormat="1" ht="20.100000000000001" customHeight="1">
      <c r="A292" s="1128" t="s">
        <v>5191</v>
      </c>
      <c r="B292" s="1128" t="s">
        <v>5182</v>
      </c>
      <c r="C292" s="1128" t="s">
        <v>5221</v>
      </c>
      <c r="D292" s="247">
        <v>650</v>
      </c>
      <c r="E292" s="247">
        <v>1200</v>
      </c>
      <c r="F292" s="247">
        <v>1250</v>
      </c>
      <c r="G292" s="122" t="s">
        <v>4645</v>
      </c>
      <c r="H292" s="36" t="s">
        <v>4992</v>
      </c>
      <c r="I292" s="38" t="s">
        <v>4725</v>
      </c>
      <c r="J292" s="30"/>
      <c r="K292" s="34" t="s">
        <v>4895</v>
      </c>
      <c r="L292" s="116" t="s">
        <v>4539</v>
      </c>
      <c r="M292" s="6">
        <v>43060</v>
      </c>
      <c r="N292" s="6">
        <v>43093</v>
      </c>
      <c r="O292" s="61" t="s">
        <v>4961</v>
      </c>
      <c r="P292" s="7"/>
      <c r="Q292" s="167"/>
      <c r="R292" s="240" t="s">
        <v>5124</v>
      </c>
      <c r="S292" s="326" t="s">
        <v>4641</v>
      </c>
      <c r="T292" s="137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</row>
    <row r="293" spans="1:68" s="121" customFormat="1" ht="20.100000000000001" customHeight="1">
      <c r="A293" s="1128" t="s">
        <v>5191</v>
      </c>
      <c r="B293" s="1128" t="s">
        <v>5182</v>
      </c>
      <c r="C293" s="1128" t="s">
        <v>5220</v>
      </c>
      <c r="D293" s="949">
        <v>575</v>
      </c>
      <c r="E293" s="949">
        <v>1050</v>
      </c>
      <c r="F293" s="949">
        <v>1050</v>
      </c>
      <c r="G293" s="915" t="s">
        <v>5022</v>
      </c>
      <c r="H293" s="48" t="s">
        <v>4580</v>
      </c>
      <c r="I293" s="38" t="s">
        <v>4725</v>
      </c>
      <c r="J293" s="34"/>
      <c r="K293" s="51" t="s">
        <v>5023</v>
      </c>
      <c r="L293" s="116" t="s">
        <v>4539</v>
      </c>
      <c r="M293" s="6">
        <v>43073</v>
      </c>
      <c r="N293" s="6">
        <v>43083</v>
      </c>
      <c r="O293" s="61" t="s">
        <v>4961</v>
      </c>
      <c r="P293" s="74"/>
      <c r="Q293" s="167"/>
      <c r="R293" s="239" t="s">
        <v>5063</v>
      </c>
      <c r="S293" s="328" t="s">
        <v>1762</v>
      </c>
      <c r="T293" s="137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</row>
    <row r="294" spans="1:68" s="121" customFormat="1" ht="20.100000000000001" customHeight="1">
      <c r="A294" s="1128" t="s">
        <v>5191</v>
      </c>
      <c r="B294" s="1128" t="s">
        <v>5182</v>
      </c>
      <c r="C294" s="1128" t="s">
        <v>5220</v>
      </c>
      <c r="D294" s="248">
        <v>650</v>
      </c>
      <c r="E294" s="248">
        <v>1100</v>
      </c>
      <c r="F294" s="248">
        <v>1150</v>
      </c>
      <c r="G294" s="234" t="s">
        <v>4572</v>
      </c>
      <c r="H294" s="56" t="s">
        <v>4580</v>
      </c>
      <c r="I294" s="51" t="s">
        <v>4725</v>
      </c>
      <c r="J294" s="50"/>
      <c r="K294" s="51" t="s">
        <v>5023</v>
      </c>
      <c r="L294" s="118" t="s">
        <v>4539</v>
      </c>
      <c r="M294" s="15">
        <v>43060</v>
      </c>
      <c r="N294" s="15">
        <v>43076</v>
      </c>
      <c r="O294" s="61" t="s">
        <v>4545</v>
      </c>
      <c r="P294" s="127"/>
      <c r="Q294" s="167"/>
      <c r="R294" s="239" t="s">
        <v>5002</v>
      </c>
      <c r="S294" s="328" t="s">
        <v>4543</v>
      </c>
      <c r="T294" s="137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</row>
    <row r="295" spans="1:68" s="121" customFormat="1" ht="20.100000000000001" customHeight="1">
      <c r="A295" s="1128" t="s">
        <v>5191</v>
      </c>
      <c r="B295" s="1128" t="s">
        <v>5182</v>
      </c>
      <c r="C295" s="1128" t="s">
        <v>5220</v>
      </c>
      <c r="D295" s="320">
        <v>725</v>
      </c>
      <c r="E295" s="320">
        <f>D295*2-100</f>
        <v>1350</v>
      </c>
      <c r="F295" s="320">
        <f>D295*2-50</f>
        <v>1400</v>
      </c>
      <c r="G295" s="234" t="s">
        <v>4575</v>
      </c>
      <c r="H295" s="36" t="s">
        <v>4580</v>
      </c>
      <c r="I295" s="38" t="s">
        <v>4725</v>
      </c>
      <c r="J295" s="38"/>
      <c r="K295" s="51" t="s">
        <v>5023</v>
      </c>
      <c r="L295" s="116" t="s">
        <v>4539</v>
      </c>
      <c r="M295" s="15">
        <v>43084</v>
      </c>
      <c r="N295" s="15">
        <v>43100</v>
      </c>
      <c r="O295" s="61" t="s">
        <v>4545</v>
      </c>
      <c r="P295" s="74"/>
      <c r="Q295" s="167"/>
      <c r="R295" s="239" t="s">
        <v>5120</v>
      </c>
      <c r="S295" s="327" t="s">
        <v>4576</v>
      </c>
      <c r="T295" s="137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  <c r="BK295" s="120"/>
      <c r="BL295" s="120"/>
      <c r="BM295" s="120"/>
      <c r="BN295" s="120"/>
      <c r="BO295" s="120"/>
      <c r="BP295" s="120"/>
    </row>
    <row r="296" spans="1:68" s="121" customFormat="1" ht="20.100000000000001" customHeight="1">
      <c r="A296" s="1128" t="s">
        <v>5191</v>
      </c>
      <c r="B296" s="1128" t="s">
        <v>5182</v>
      </c>
      <c r="C296" s="1128" t="s">
        <v>5220</v>
      </c>
      <c r="D296" s="947">
        <v>525</v>
      </c>
      <c r="E296" s="947">
        <v>950</v>
      </c>
      <c r="F296" s="947">
        <v>950</v>
      </c>
      <c r="G296" s="234" t="s">
        <v>4904</v>
      </c>
      <c r="H296" s="36" t="s">
        <v>4580</v>
      </c>
      <c r="I296" s="38" t="s">
        <v>4725</v>
      </c>
      <c r="J296" s="38"/>
      <c r="K296" s="51" t="s">
        <v>5023</v>
      </c>
      <c r="L296" s="116" t="s">
        <v>4539</v>
      </c>
      <c r="M296" s="15">
        <v>43054</v>
      </c>
      <c r="N296" s="15">
        <v>43089</v>
      </c>
      <c r="O296" s="61" t="s">
        <v>4961</v>
      </c>
      <c r="P296" s="52"/>
      <c r="Q296" s="167"/>
      <c r="R296" s="239" t="s">
        <v>5119</v>
      </c>
      <c r="S296" s="336" t="s">
        <v>1952</v>
      </c>
      <c r="T296" s="137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  <c r="BK296" s="120"/>
      <c r="BL296" s="120"/>
      <c r="BM296" s="120"/>
      <c r="BN296" s="120"/>
      <c r="BO296" s="120"/>
      <c r="BP296" s="120"/>
    </row>
    <row r="297" spans="1:68" s="121" customFormat="1" ht="20.100000000000001" customHeight="1">
      <c r="A297" s="1128" t="s">
        <v>5191</v>
      </c>
      <c r="B297" s="1128" t="s">
        <v>5182</v>
      </c>
      <c r="C297" s="1128" t="s">
        <v>5220</v>
      </c>
      <c r="D297" s="247">
        <v>525</v>
      </c>
      <c r="E297" s="247">
        <v>950</v>
      </c>
      <c r="F297" s="247">
        <v>1000</v>
      </c>
      <c r="G297" s="70" t="s">
        <v>4542</v>
      </c>
      <c r="H297" s="48" t="s">
        <v>4580</v>
      </c>
      <c r="I297" s="38" t="s">
        <v>4725</v>
      </c>
      <c r="J297" s="34"/>
      <c r="K297" s="51" t="s">
        <v>5023</v>
      </c>
      <c r="L297" s="116" t="s">
        <v>4539</v>
      </c>
      <c r="M297" s="15">
        <v>43080</v>
      </c>
      <c r="N297" s="15">
        <v>43083</v>
      </c>
      <c r="O297" s="61" t="s">
        <v>4961</v>
      </c>
      <c r="P297" s="74"/>
      <c r="Q297" s="167"/>
      <c r="R297" s="239" t="s">
        <v>5118</v>
      </c>
      <c r="S297" s="327" t="s">
        <v>5193</v>
      </c>
      <c r="T297" s="137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  <c r="BN297" s="120"/>
      <c r="BO297" s="120"/>
      <c r="BP297" s="120"/>
    </row>
    <row r="298" spans="1:68" s="121" customFormat="1" ht="20.100000000000001" customHeight="1">
      <c r="A298" s="1128" t="s">
        <v>5191</v>
      </c>
      <c r="B298" s="1128" t="s">
        <v>5182</v>
      </c>
      <c r="C298" s="1128" t="s">
        <v>5220</v>
      </c>
      <c r="D298" s="247">
        <v>550</v>
      </c>
      <c r="E298" s="247">
        <v>1000</v>
      </c>
      <c r="F298" s="247">
        <v>1050</v>
      </c>
      <c r="G298" s="915" t="s">
        <v>4636</v>
      </c>
      <c r="H298" s="48" t="s">
        <v>4580</v>
      </c>
      <c r="I298" s="38" t="s">
        <v>4725</v>
      </c>
      <c r="J298" s="34"/>
      <c r="K298" s="51" t="s">
        <v>4975</v>
      </c>
      <c r="L298" s="116" t="s">
        <v>4539</v>
      </c>
      <c r="M298" s="6">
        <v>43051</v>
      </c>
      <c r="N298" s="6">
        <v>43100</v>
      </c>
      <c r="O298" s="61" t="s">
        <v>4961</v>
      </c>
      <c r="P298" s="61"/>
      <c r="Q298" s="171"/>
      <c r="R298" s="239" t="s">
        <v>5194</v>
      </c>
      <c r="S298" s="327" t="s">
        <v>4632</v>
      </c>
      <c r="T298" s="933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  <c r="BK298" s="120"/>
      <c r="BL298" s="120"/>
      <c r="BM298" s="120"/>
      <c r="BN298" s="120"/>
      <c r="BO298" s="120"/>
      <c r="BP298" s="120"/>
    </row>
    <row r="299" spans="1:68" s="121" customFormat="1" ht="20.100000000000001" customHeight="1">
      <c r="A299" s="1128" t="s">
        <v>5191</v>
      </c>
      <c r="B299" s="1128" t="s">
        <v>5182</v>
      </c>
      <c r="C299" s="1128" t="s">
        <v>5220</v>
      </c>
      <c r="D299" s="961">
        <v>650</v>
      </c>
      <c r="E299" s="961">
        <v>1300</v>
      </c>
      <c r="F299" s="961">
        <v>1350</v>
      </c>
      <c r="G299" s="3" t="s">
        <v>4553</v>
      </c>
      <c r="H299" s="22">
        <v>4</v>
      </c>
      <c r="I299" s="51" t="s">
        <v>4725</v>
      </c>
      <c r="J299" s="34"/>
      <c r="K299" s="50" t="s">
        <v>4975</v>
      </c>
      <c r="L299" s="118" t="s">
        <v>4539</v>
      </c>
      <c r="M299" s="6">
        <v>43085</v>
      </c>
      <c r="N299" s="6">
        <v>43100</v>
      </c>
      <c r="O299" s="61" t="s">
        <v>4545</v>
      </c>
      <c r="P299" s="59"/>
      <c r="Q299" s="171"/>
      <c r="R299" s="239" t="s">
        <v>4878</v>
      </c>
      <c r="S299" s="328" t="s">
        <v>4543</v>
      </c>
      <c r="T299" s="933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  <c r="BK299" s="120"/>
      <c r="BL299" s="120"/>
      <c r="BM299" s="120"/>
      <c r="BN299" s="120"/>
      <c r="BO299" s="120"/>
      <c r="BP299" s="120"/>
    </row>
    <row r="300" spans="1:68" s="121" customFormat="1" ht="20.100000000000001" customHeight="1">
      <c r="A300" s="1128" t="s">
        <v>5191</v>
      </c>
      <c r="B300" s="1128" t="s">
        <v>5182</v>
      </c>
      <c r="C300" s="1128" t="s">
        <v>5220</v>
      </c>
      <c r="D300" s="961">
        <v>725</v>
      </c>
      <c r="E300" s="961">
        <v>1350</v>
      </c>
      <c r="F300" s="961">
        <v>1350</v>
      </c>
      <c r="G300" s="3" t="s">
        <v>4549</v>
      </c>
      <c r="H300" s="244" t="s">
        <v>4580</v>
      </c>
      <c r="I300" s="51" t="s">
        <v>4725</v>
      </c>
      <c r="J300" s="34"/>
      <c r="K300" s="50" t="s">
        <v>4975</v>
      </c>
      <c r="L300" s="118" t="s">
        <v>4539</v>
      </c>
      <c r="M300" s="6">
        <v>43070</v>
      </c>
      <c r="N300" s="6">
        <v>43100</v>
      </c>
      <c r="O300" s="61" t="s">
        <v>4545</v>
      </c>
      <c r="P300" s="59"/>
      <c r="Q300" s="171"/>
      <c r="R300" s="239" t="s">
        <v>5099</v>
      </c>
      <c r="S300" s="328" t="s">
        <v>4543</v>
      </c>
      <c r="T300" s="933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  <c r="BK300" s="120"/>
      <c r="BL300" s="120"/>
      <c r="BM300" s="120"/>
      <c r="BN300" s="120"/>
      <c r="BO300" s="120"/>
      <c r="BP300" s="120"/>
    </row>
    <row r="301" spans="1:68" s="121" customFormat="1" ht="20.100000000000001" customHeight="1">
      <c r="A301" s="1128" t="s">
        <v>5191</v>
      </c>
      <c r="B301" s="1128" t="s">
        <v>5182</v>
      </c>
      <c r="C301" s="1128" t="s">
        <v>5220</v>
      </c>
      <c r="D301" s="247">
        <v>675</v>
      </c>
      <c r="E301" s="247">
        <v>1050</v>
      </c>
      <c r="F301" s="247">
        <v>1050</v>
      </c>
      <c r="G301" s="224" t="s">
        <v>4569</v>
      </c>
      <c r="H301" s="69" t="s">
        <v>4580</v>
      </c>
      <c r="I301" s="38" t="s">
        <v>4725</v>
      </c>
      <c r="J301" s="38"/>
      <c r="K301" s="51" t="s">
        <v>4975</v>
      </c>
      <c r="L301" s="116" t="s">
        <v>4539</v>
      </c>
      <c r="M301" s="6">
        <v>43057</v>
      </c>
      <c r="N301" s="6">
        <v>43069</v>
      </c>
      <c r="O301" s="61" t="s">
        <v>4921</v>
      </c>
      <c r="P301" s="61"/>
      <c r="Q301" s="7"/>
      <c r="R301" s="239" t="s">
        <v>5095</v>
      </c>
      <c r="S301" s="328" t="s">
        <v>4543</v>
      </c>
      <c r="T301" s="933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  <c r="BK301" s="120"/>
      <c r="BL301" s="120"/>
      <c r="BM301" s="120"/>
      <c r="BN301" s="120"/>
      <c r="BO301" s="120"/>
      <c r="BP301" s="120"/>
    </row>
    <row r="302" spans="1:68" s="121" customFormat="1" ht="20.100000000000001" customHeight="1">
      <c r="A302" s="1128" t="s">
        <v>5191</v>
      </c>
      <c r="B302" s="1128" t="s">
        <v>5182</v>
      </c>
      <c r="C302" s="1128" t="s">
        <v>5220</v>
      </c>
      <c r="D302" s="247">
        <v>550</v>
      </c>
      <c r="E302" s="247">
        <v>1000</v>
      </c>
      <c r="F302" s="247">
        <v>1050</v>
      </c>
      <c r="G302" s="915" t="s">
        <v>4636</v>
      </c>
      <c r="H302" s="22" t="s">
        <v>4548</v>
      </c>
      <c r="I302" s="51" t="s">
        <v>4725</v>
      </c>
      <c r="J302" s="50"/>
      <c r="K302" s="50" t="s">
        <v>4772</v>
      </c>
      <c r="L302" s="116" t="s">
        <v>4539</v>
      </c>
      <c r="M302" s="6">
        <v>43051</v>
      </c>
      <c r="N302" s="6">
        <v>43100</v>
      </c>
      <c r="O302" s="61" t="s">
        <v>4961</v>
      </c>
      <c r="P302" s="61"/>
      <c r="Q302" s="167"/>
      <c r="R302" s="239" t="s">
        <v>1763</v>
      </c>
      <c r="S302" s="327" t="s">
        <v>4632</v>
      </c>
      <c r="T302" s="933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  <c r="BK302" s="120"/>
      <c r="BL302" s="120"/>
      <c r="BM302" s="120"/>
      <c r="BN302" s="120"/>
      <c r="BO302" s="120"/>
      <c r="BP302" s="120"/>
    </row>
    <row r="303" spans="1:68" s="121" customFormat="1" ht="20.100000000000001" customHeight="1">
      <c r="A303" s="1128" t="s">
        <v>5191</v>
      </c>
      <c r="B303" s="1128" t="s">
        <v>5182</v>
      </c>
      <c r="C303" s="1128" t="s">
        <v>5220</v>
      </c>
      <c r="D303" s="961">
        <v>650</v>
      </c>
      <c r="E303" s="961">
        <v>1300</v>
      </c>
      <c r="F303" s="961">
        <v>1350</v>
      </c>
      <c r="G303" s="3" t="s">
        <v>4553</v>
      </c>
      <c r="H303" s="22" t="s">
        <v>4548</v>
      </c>
      <c r="I303" s="51" t="s">
        <v>4725</v>
      </c>
      <c r="J303" s="50"/>
      <c r="K303" s="50" t="s">
        <v>4772</v>
      </c>
      <c r="L303" s="118" t="s">
        <v>4539</v>
      </c>
      <c r="M303" s="6">
        <v>43085</v>
      </c>
      <c r="N303" s="6">
        <v>43100</v>
      </c>
      <c r="O303" s="61" t="s">
        <v>4545</v>
      </c>
      <c r="P303" s="59"/>
      <c r="Q303" s="167"/>
      <c r="R303" s="239" t="s">
        <v>5144</v>
      </c>
      <c r="S303" s="328" t="s">
        <v>4543</v>
      </c>
      <c r="T303" s="933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  <c r="BK303" s="120"/>
      <c r="BL303" s="120"/>
      <c r="BM303" s="120"/>
      <c r="BN303" s="120"/>
      <c r="BO303" s="120"/>
      <c r="BP303" s="120"/>
    </row>
    <row r="304" spans="1:68" s="121" customFormat="1" ht="20.100000000000001" customHeight="1">
      <c r="A304" s="1128" t="s">
        <v>5191</v>
      </c>
      <c r="B304" s="1128" t="s">
        <v>5182</v>
      </c>
      <c r="C304" s="1128" t="s">
        <v>5220</v>
      </c>
      <c r="D304" s="961">
        <v>725</v>
      </c>
      <c r="E304" s="961">
        <v>1350</v>
      </c>
      <c r="F304" s="961">
        <v>1350</v>
      </c>
      <c r="G304" s="3" t="s">
        <v>4549</v>
      </c>
      <c r="H304" s="210" t="s">
        <v>4548</v>
      </c>
      <c r="I304" s="51" t="s">
        <v>4725</v>
      </c>
      <c r="J304" s="50"/>
      <c r="K304" s="50" t="s">
        <v>4772</v>
      </c>
      <c r="L304" s="118" t="s">
        <v>4539</v>
      </c>
      <c r="M304" s="6">
        <v>43070</v>
      </c>
      <c r="N304" s="6">
        <v>43100</v>
      </c>
      <c r="O304" s="61" t="s">
        <v>4545</v>
      </c>
      <c r="P304" s="59"/>
      <c r="Q304" s="167"/>
      <c r="R304" s="239" t="s">
        <v>5117</v>
      </c>
      <c r="S304" s="328" t="s">
        <v>4543</v>
      </c>
      <c r="T304" s="933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  <c r="BK304" s="120"/>
      <c r="BL304" s="120"/>
      <c r="BM304" s="120"/>
      <c r="BN304" s="120"/>
      <c r="BO304" s="120"/>
      <c r="BP304" s="120"/>
    </row>
    <row r="305" spans="1:68" s="121" customFormat="1" ht="20.100000000000001" customHeight="1">
      <c r="A305" s="1128" t="s">
        <v>5191</v>
      </c>
      <c r="B305" s="1128" t="s">
        <v>5182</v>
      </c>
      <c r="C305" s="1128" t="s">
        <v>5220</v>
      </c>
      <c r="D305" s="247">
        <v>675</v>
      </c>
      <c r="E305" s="247">
        <v>1050</v>
      </c>
      <c r="F305" s="247">
        <v>1050</v>
      </c>
      <c r="G305" s="224" t="s">
        <v>4569</v>
      </c>
      <c r="H305" s="22" t="s">
        <v>4548</v>
      </c>
      <c r="I305" s="51" t="s">
        <v>4725</v>
      </c>
      <c r="J305" s="50"/>
      <c r="K305" s="50" t="s">
        <v>4772</v>
      </c>
      <c r="L305" s="116" t="s">
        <v>4539</v>
      </c>
      <c r="M305" s="6">
        <v>43057</v>
      </c>
      <c r="N305" s="6">
        <v>43069</v>
      </c>
      <c r="O305" s="61" t="s">
        <v>4921</v>
      </c>
      <c r="P305" s="61"/>
      <c r="Q305" s="167"/>
      <c r="R305" s="239" t="s">
        <v>1764</v>
      </c>
      <c r="S305" s="328" t="s">
        <v>4543</v>
      </c>
      <c r="T305" s="933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  <c r="BN305" s="120"/>
      <c r="BO305" s="120"/>
      <c r="BP305" s="120"/>
    </row>
    <row r="306" spans="1:68" s="121" customFormat="1" ht="20.100000000000001" customHeight="1">
      <c r="A306" s="1128" t="s">
        <v>5191</v>
      </c>
      <c r="B306" s="1128" t="s">
        <v>5182</v>
      </c>
      <c r="C306" s="1128" t="s">
        <v>5220</v>
      </c>
      <c r="D306" s="320" ph="1">
        <v>525</v>
      </c>
      <c r="E306" s="320" ph="1">
        <v>950</v>
      </c>
      <c r="F306" s="320" ph="1">
        <v>1000</v>
      </c>
      <c r="G306" s="122" t="s">
        <v>4566</v>
      </c>
      <c r="H306" s="56" t="s">
        <v>4992</v>
      </c>
      <c r="I306" s="38" t="s">
        <v>4725</v>
      </c>
      <c r="J306" s="34"/>
      <c r="K306" s="51" t="s">
        <v>4975</v>
      </c>
      <c r="L306" s="116" t="s">
        <v>4539</v>
      </c>
      <c r="M306" s="15">
        <v>43084</v>
      </c>
      <c r="N306" s="15">
        <v>43100</v>
      </c>
      <c r="O306" s="61" t="s">
        <v>4563</v>
      </c>
      <c r="P306" s="61"/>
      <c r="Q306" s="167"/>
      <c r="R306" s="21" t="s">
        <v>5124</v>
      </c>
      <c r="S306" s="327" t="s">
        <v>4561</v>
      </c>
      <c r="T306" s="933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</row>
    <row r="307" spans="1:68" s="121" customFormat="1" ht="20.100000000000001" customHeight="1">
      <c r="A307" s="1128" t="s">
        <v>5191</v>
      </c>
      <c r="B307" s="1128" t="s">
        <v>5182</v>
      </c>
      <c r="C307" s="1128" t="s">
        <v>5220</v>
      </c>
      <c r="D307" s="953">
        <v>615</v>
      </c>
      <c r="E307" s="953">
        <v>1130</v>
      </c>
      <c r="F307" s="953">
        <v>1180</v>
      </c>
      <c r="G307" s="70" t="s">
        <v>4560</v>
      </c>
      <c r="H307" s="36" t="s">
        <v>4992</v>
      </c>
      <c r="I307" s="38" t="s">
        <v>4725</v>
      </c>
      <c r="J307" s="38"/>
      <c r="K307" s="51" t="s">
        <v>4975</v>
      </c>
      <c r="L307" s="116" t="s">
        <v>4539</v>
      </c>
      <c r="M307" s="15">
        <v>43084</v>
      </c>
      <c r="N307" s="15">
        <v>43100</v>
      </c>
      <c r="O307" s="61" t="s">
        <v>5005</v>
      </c>
      <c r="P307" s="59"/>
      <c r="Q307" s="167"/>
      <c r="R307" s="240" t="s">
        <v>5124</v>
      </c>
      <c r="S307" s="327" t="s">
        <v>5004</v>
      </c>
      <c r="T307" s="933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  <c r="BK307" s="120"/>
      <c r="BL307" s="120"/>
      <c r="BM307" s="120"/>
      <c r="BN307" s="120"/>
      <c r="BO307" s="120"/>
      <c r="BP307" s="120"/>
    </row>
    <row r="308" spans="1:68" s="121" customFormat="1" ht="20.100000000000001" customHeight="1">
      <c r="A308" s="1128" t="s">
        <v>5191</v>
      </c>
      <c r="B308" s="1128" t="s">
        <v>5182</v>
      </c>
      <c r="C308" s="1128" t="s">
        <v>5220</v>
      </c>
      <c r="D308" s="247">
        <v>550</v>
      </c>
      <c r="E308" s="247">
        <v>1000</v>
      </c>
      <c r="F308" s="247">
        <v>1000</v>
      </c>
      <c r="G308" s="234" t="s">
        <v>4557</v>
      </c>
      <c r="H308" s="56" t="s">
        <v>4992</v>
      </c>
      <c r="I308" s="38" t="s">
        <v>4725</v>
      </c>
      <c r="J308" s="34"/>
      <c r="K308" s="51" t="s">
        <v>4975</v>
      </c>
      <c r="L308" s="116" t="s">
        <v>4539</v>
      </c>
      <c r="M308" s="6">
        <v>43084</v>
      </c>
      <c r="N308" s="6">
        <v>43100</v>
      </c>
      <c r="O308" s="61" t="s">
        <v>4961</v>
      </c>
      <c r="P308" s="59"/>
      <c r="Q308" s="167"/>
      <c r="R308" s="240" t="s">
        <v>5124</v>
      </c>
      <c r="S308" s="327" t="s">
        <v>5192</v>
      </c>
      <c r="T308" s="933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  <c r="BK308" s="120"/>
      <c r="BL308" s="120"/>
      <c r="BM308" s="120"/>
      <c r="BN308" s="120"/>
      <c r="BO308" s="120"/>
      <c r="BP308" s="120"/>
    </row>
    <row r="309" spans="1:68" s="121" customFormat="1" ht="20.100000000000001" customHeight="1">
      <c r="A309" s="1128" t="s">
        <v>5191</v>
      </c>
      <c r="B309" s="1128" t="s">
        <v>5182</v>
      </c>
      <c r="C309" s="1128" t="s">
        <v>5220</v>
      </c>
      <c r="D309" s="247">
        <v>650</v>
      </c>
      <c r="E309" s="247">
        <v>1200</v>
      </c>
      <c r="F309" s="247">
        <v>1250</v>
      </c>
      <c r="G309" s="915" t="s">
        <v>4645</v>
      </c>
      <c r="H309" s="36" t="s">
        <v>4992</v>
      </c>
      <c r="I309" s="38" t="s">
        <v>4725</v>
      </c>
      <c r="J309" s="38"/>
      <c r="K309" s="51" t="s">
        <v>4975</v>
      </c>
      <c r="L309" s="116" t="s">
        <v>4539</v>
      </c>
      <c r="M309" s="6">
        <v>43060</v>
      </c>
      <c r="N309" s="6">
        <v>43093</v>
      </c>
      <c r="O309" s="61" t="s">
        <v>4961</v>
      </c>
      <c r="P309" s="59"/>
      <c r="Q309" s="167"/>
      <c r="R309" s="240" t="s">
        <v>5124</v>
      </c>
      <c r="S309" s="326" t="s">
        <v>4641</v>
      </c>
      <c r="T309" s="137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  <c r="BN309" s="120"/>
      <c r="BO309" s="120"/>
      <c r="BP309" s="120"/>
    </row>
    <row r="310" spans="1:68" s="121" customFormat="1" ht="20.100000000000001" customHeight="1">
      <c r="A310" s="1128" t="s">
        <v>5191</v>
      </c>
      <c r="B310" s="1128" t="s">
        <v>5182</v>
      </c>
      <c r="C310" s="1128" t="s">
        <v>5214</v>
      </c>
      <c r="D310" s="248">
        <v>725</v>
      </c>
      <c r="E310" s="248">
        <v>1250</v>
      </c>
      <c r="F310" s="248">
        <v>1300</v>
      </c>
      <c r="G310" s="234" t="s">
        <v>4572</v>
      </c>
      <c r="H310" s="56" t="s">
        <v>4552</v>
      </c>
      <c r="I310" s="51" t="s">
        <v>4885</v>
      </c>
      <c r="J310" s="50"/>
      <c r="K310" s="50">
        <v>36</v>
      </c>
      <c r="L310" s="118" t="s">
        <v>4539</v>
      </c>
      <c r="M310" s="15">
        <v>43060</v>
      </c>
      <c r="N310" s="15">
        <v>43076</v>
      </c>
      <c r="O310" s="61" t="s">
        <v>4545</v>
      </c>
      <c r="P310" s="50"/>
      <c r="Q310" s="167"/>
      <c r="R310" s="239" t="s">
        <v>4584</v>
      </c>
      <c r="S310" s="328" t="s">
        <v>4543</v>
      </c>
      <c r="T310" s="137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</row>
    <row r="311" spans="1:68" s="121" customFormat="1" ht="20.100000000000001" customHeight="1">
      <c r="A311" s="1128" t="s">
        <v>5191</v>
      </c>
      <c r="B311" s="1128" t="s">
        <v>5182</v>
      </c>
      <c r="C311" s="1128" t="s">
        <v>5214</v>
      </c>
      <c r="D311" s="248"/>
      <c r="E311" s="248"/>
      <c r="F311" s="248"/>
      <c r="G311" s="218" t="s">
        <v>5010</v>
      </c>
      <c r="H311" s="56" t="s">
        <v>4552</v>
      </c>
      <c r="I311" s="51" t="s">
        <v>5045</v>
      </c>
      <c r="J311" s="50"/>
      <c r="K311" s="51">
        <v>27</v>
      </c>
      <c r="L311" s="19" t="s">
        <v>4539</v>
      </c>
      <c r="M311" s="6">
        <v>43070</v>
      </c>
      <c r="N311" s="6">
        <v>43083</v>
      </c>
      <c r="O311" s="61" t="s">
        <v>5008</v>
      </c>
      <c r="P311" s="59"/>
      <c r="Q311" s="167"/>
      <c r="R311" s="239" t="s">
        <v>5007</v>
      </c>
      <c r="S311" s="327" t="s">
        <v>5006</v>
      </c>
      <c r="T311" s="137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</row>
    <row r="312" spans="1:68" s="121" customFormat="1" ht="20.100000000000001" customHeight="1">
      <c r="A312" s="1128" t="s">
        <v>5191</v>
      </c>
      <c r="B312" s="1128" t="s">
        <v>5182</v>
      </c>
      <c r="C312" s="1128" t="s">
        <v>5214</v>
      </c>
      <c r="D312" s="320">
        <v>725</v>
      </c>
      <c r="E312" s="320">
        <f>D312*2-100</f>
        <v>1350</v>
      </c>
      <c r="F312" s="320">
        <f>D312*2-50</f>
        <v>1400</v>
      </c>
      <c r="G312" s="234" t="s">
        <v>4575</v>
      </c>
      <c r="H312" s="22" t="s">
        <v>5053</v>
      </c>
      <c r="I312" s="51" t="s">
        <v>4902</v>
      </c>
      <c r="J312" s="51"/>
      <c r="K312" s="20" t="s">
        <v>5025</v>
      </c>
      <c r="L312" s="118" t="s">
        <v>4539</v>
      </c>
      <c r="M312" s="15">
        <v>43084</v>
      </c>
      <c r="N312" s="15">
        <v>43100</v>
      </c>
      <c r="O312" s="61" t="s">
        <v>4545</v>
      </c>
      <c r="P312" s="52"/>
      <c r="Q312" s="53"/>
      <c r="R312" s="239" t="s">
        <v>5052</v>
      </c>
      <c r="S312" s="327" t="s">
        <v>4576</v>
      </c>
      <c r="T312" s="933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</row>
    <row r="313" spans="1:68" s="121" customFormat="1" ht="20.100000000000001" customHeight="1">
      <c r="A313" s="1128" t="s">
        <v>5191</v>
      </c>
      <c r="B313" s="1128" t="s">
        <v>5182</v>
      </c>
      <c r="C313" s="1128" t="s">
        <v>5214</v>
      </c>
      <c r="D313" s="953">
        <v>665</v>
      </c>
      <c r="E313" s="953">
        <v>1230</v>
      </c>
      <c r="F313" s="953">
        <v>1280</v>
      </c>
      <c r="G313" s="3" t="s">
        <v>4560</v>
      </c>
      <c r="H313" s="56" t="s">
        <v>4903</v>
      </c>
      <c r="I313" s="51" t="s">
        <v>5219</v>
      </c>
      <c r="J313" s="51"/>
      <c r="K313" s="20" t="s">
        <v>5218</v>
      </c>
      <c r="L313" s="118" t="s">
        <v>4539</v>
      </c>
      <c r="M313" s="15">
        <v>43084</v>
      </c>
      <c r="N313" s="15">
        <v>43100</v>
      </c>
      <c r="O313" s="61" t="s">
        <v>5005</v>
      </c>
      <c r="P313" s="61"/>
      <c r="Q313" s="171"/>
      <c r="R313" s="240" t="s">
        <v>5217</v>
      </c>
      <c r="S313" s="327" t="s">
        <v>5004</v>
      </c>
      <c r="T313" s="933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</row>
    <row r="314" spans="1:68" s="121" customFormat="1" ht="20.100000000000001" customHeight="1">
      <c r="A314" s="1128" t="s">
        <v>5191</v>
      </c>
      <c r="B314" s="1128" t="s">
        <v>5182</v>
      </c>
      <c r="C314" s="1128" t="s">
        <v>5214</v>
      </c>
      <c r="D314" s="961">
        <f>D277+50</f>
        <v>725</v>
      </c>
      <c r="E314" s="961">
        <f>E277+100</f>
        <v>1150</v>
      </c>
      <c r="F314" s="961">
        <f>F277+100</f>
        <v>1150</v>
      </c>
      <c r="G314" s="225" t="s">
        <v>4569</v>
      </c>
      <c r="H314" s="69" t="s">
        <v>4580</v>
      </c>
      <c r="I314" s="38" t="s">
        <v>5126</v>
      </c>
      <c r="J314" s="34"/>
      <c r="K314" s="50" t="s">
        <v>4739</v>
      </c>
      <c r="L314" s="116" t="s">
        <v>4539</v>
      </c>
      <c r="M314" s="6">
        <v>43057</v>
      </c>
      <c r="N314" s="6">
        <v>43069</v>
      </c>
      <c r="O314" s="61" t="s">
        <v>4921</v>
      </c>
      <c r="P314" s="59"/>
      <c r="Q314" s="7"/>
      <c r="R314" s="239" t="s">
        <v>5095</v>
      </c>
      <c r="S314" s="328" t="s">
        <v>4543</v>
      </c>
      <c r="T314" s="137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</row>
    <row r="315" spans="1:68" s="121" customFormat="1" ht="20.100000000000001" customHeight="1">
      <c r="A315" s="1128" t="s">
        <v>5191</v>
      </c>
      <c r="B315" s="1128" t="s">
        <v>5182</v>
      </c>
      <c r="C315" s="1128" t="s">
        <v>5214</v>
      </c>
      <c r="D315" s="961">
        <v>650</v>
      </c>
      <c r="E315" s="961">
        <v>1300</v>
      </c>
      <c r="F315" s="961">
        <v>1350</v>
      </c>
      <c r="G315" s="3" t="s">
        <v>4553</v>
      </c>
      <c r="H315" s="56" t="s">
        <v>4580</v>
      </c>
      <c r="I315" s="51" t="s">
        <v>4879</v>
      </c>
      <c r="J315" s="34"/>
      <c r="K315" s="50">
        <v>26</v>
      </c>
      <c r="L315" s="116" t="s">
        <v>4539</v>
      </c>
      <c r="M315" s="6">
        <v>43085</v>
      </c>
      <c r="N315" s="6">
        <v>43100</v>
      </c>
      <c r="O315" s="61" t="s">
        <v>4545</v>
      </c>
      <c r="P315" s="59"/>
      <c r="Q315" s="171"/>
      <c r="R315" s="239" t="s">
        <v>4878</v>
      </c>
      <c r="S315" s="328" t="s">
        <v>4543</v>
      </c>
      <c r="T315" s="137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</row>
    <row r="316" spans="1:68" s="121" customFormat="1" ht="20.100000000000001" customHeight="1">
      <c r="A316" s="1128" t="s">
        <v>5191</v>
      </c>
      <c r="B316" s="1128" t="s">
        <v>5182</v>
      </c>
      <c r="C316" s="1128" t="s">
        <v>5214</v>
      </c>
      <c r="D316" s="961">
        <v>725</v>
      </c>
      <c r="E316" s="961">
        <v>1350</v>
      </c>
      <c r="F316" s="961">
        <v>1350</v>
      </c>
      <c r="G316" s="3" t="s">
        <v>4549</v>
      </c>
      <c r="H316" s="56" t="s">
        <v>4589</v>
      </c>
      <c r="I316" s="50" t="s">
        <v>4885</v>
      </c>
      <c r="J316" s="34"/>
      <c r="K316" s="50" t="s">
        <v>5216</v>
      </c>
      <c r="L316" s="118" t="s">
        <v>4539</v>
      </c>
      <c r="M316" s="6">
        <v>43070</v>
      </c>
      <c r="N316" s="6">
        <v>43100</v>
      </c>
      <c r="O316" s="61" t="s">
        <v>4545</v>
      </c>
      <c r="P316" s="59"/>
      <c r="Q316" s="52"/>
      <c r="R316" s="238" t="s">
        <v>4894</v>
      </c>
      <c r="S316" s="328" t="s">
        <v>4543</v>
      </c>
      <c r="T316" s="137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</row>
    <row r="317" spans="1:68" s="121" customFormat="1" ht="20.100000000000001" customHeight="1">
      <c r="A317" s="1128" t="s">
        <v>5191</v>
      </c>
      <c r="B317" s="1128" t="s">
        <v>5182</v>
      </c>
      <c r="C317" s="1128" t="s">
        <v>5214</v>
      </c>
      <c r="D317" s="949">
        <v>750</v>
      </c>
      <c r="E317" s="949">
        <v>1400</v>
      </c>
      <c r="F317" s="949">
        <v>1450</v>
      </c>
      <c r="G317" s="3" t="s">
        <v>4645</v>
      </c>
      <c r="H317" s="22" t="s">
        <v>5212</v>
      </c>
      <c r="I317" s="51" t="s">
        <v>5126</v>
      </c>
      <c r="J317" s="51"/>
      <c r="K317" s="20" t="s">
        <v>5215</v>
      </c>
      <c r="L317" s="118" t="s">
        <v>4539</v>
      </c>
      <c r="M317" s="6">
        <v>43060</v>
      </c>
      <c r="N317" s="6">
        <v>43093</v>
      </c>
      <c r="O317" s="61" t="s">
        <v>4961</v>
      </c>
      <c r="P317" s="52"/>
      <c r="Q317" s="171"/>
      <c r="R317" s="240" t="s">
        <v>4562</v>
      </c>
      <c r="S317" s="326" t="s">
        <v>4641</v>
      </c>
      <c r="T317" s="933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</row>
    <row r="318" spans="1:68" s="121" customFormat="1" ht="20.100000000000001" customHeight="1">
      <c r="A318" s="1128" t="s">
        <v>5191</v>
      </c>
      <c r="B318" s="1128" t="s">
        <v>5182</v>
      </c>
      <c r="C318" s="1128" t="s">
        <v>5214</v>
      </c>
      <c r="D318" s="320">
        <f>D289+100</f>
        <v>625</v>
      </c>
      <c r="E318" s="320">
        <f>E289+200</f>
        <v>1150</v>
      </c>
      <c r="F318" s="320">
        <f>F289+200</f>
        <v>1200</v>
      </c>
      <c r="G318" s="110" t="s">
        <v>4566</v>
      </c>
      <c r="H318" s="56" t="s">
        <v>4992</v>
      </c>
      <c r="I318" s="51" t="s">
        <v>5126</v>
      </c>
      <c r="J318" s="50"/>
      <c r="K318" s="37" t="s">
        <v>5055</v>
      </c>
      <c r="L318" s="118" t="s">
        <v>4539</v>
      </c>
      <c r="M318" s="15">
        <v>43084</v>
      </c>
      <c r="N318" s="15">
        <v>43100</v>
      </c>
      <c r="O318" s="61" t="s">
        <v>4563</v>
      </c>
      <c r="P318" s="7"/>
      <c r="Q318" s="167"/>
      <c r="R318" s="239" t="s">
        <v>5124</v>
      </c>
      <c r="S318" s="327" t="s">
        <v>4561</v>
      </c>
      <c r="T318" s="933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</row>
    <row r="319" spans="1:68" s="121" customFormat="1" ht="20.100000000000001" customHeight="1">
      <c r="A319" s="1128" t="s">
        <v>5191</v>
      </c>
      <c r="B319" s="1128" t="s">
        <v>5182</v>
      </c>
      <c r="C319" s="1128" t="s">
        <v>5210</v>
      </c>
      <c r="D319" s="248"/>
      <c r="E319" s="248"/>
      <c r="F319" s="248"/>
      <c r="G319" s="221" t="s">
        <v>5010</v>
      </c>
      <c r="H319" s="56" t="s">
        <v>4552</v>
      </c>
      <c r="I319" s="51" t="s">
        <v>5045</v>
      </c>
      <c r="J319" s="51"/>
      <c r="K319" s="20" t="s">
        <v>5023</v>
      </c>
      <c r="L319" s="19" t="s">
        <v>4539</v>
      </c>
      <c r="M319" s="6">
        <v>43070</v>
      </c>
      <c r="N319" s="6">
        <v>43083</v>
      </c>
      <c r="O319" s="61" t="s">
        <v>5008</v>
      </c>
      <c r="P319" s="61"/>
      <c r="Q319" s="167"/>
      <c r="R319" s="239" t="s">
        <v>5007</v>
      </c>
      <c r="S319" s="327" t="s">
        <v>5006</v>
      </c>
      <c r="T319" s="933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</row>
    <row r="320" spans="1:68" s="121" customFormat="1" ht="20.100000000000001" customHeight="1">
      <c r="A320" s="1128" t="s">
        <v>5191</v>
      </c>
      <c r="B320" s="1128" t="s">
        <v>5182</v>
      </c>
      <c r="C320" s="1128" t="s">
        <v>5210</v>
      </c>
      <c r="D320" s="248">
        <v>725</v>
      </c>
      <c r="E320" s="248">
        <v>1250</v>
      </c>
      <c r="F320" s="248">
        <v>1300</v>
      </c>
      <c r="G320" s="234" t="s">
        <v>4572</v>
      </c>
      <c r="H320" s="56" t="s">
        <v>4552</v>
      </c>
      <c r="I320" s="51" t="s">
        <v>4885</v>
      </c>
      <c r="J320" s="34"/>
      <c r="K320" s="51">
        <v>35</v>
      </c>
      <c r="L320" s="118" t="s">
        <v>4539</v>
      </c>
      <c r="M320" s="15">
        <v>43060</v>
      </c>
      <c r="N320" s="15">
        <v>43076</v>
      </c>
      <c r="O320" s="59" t="s">
        <v>5213</v>
      </c>
      <c r="P320" s="59"/>
      <c r="Q320" s="167"/>
      <c r="R320" s="239" t="s">
        <v>4584</v>
      </c>
      <c r="S320" s="328" t="s">
        <v>4543</v>
      </c>
      <c r="T320" s="933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</row>
    <row r="321" spans="1:68" s="121" customFormat="1" ht="20.100000000000001" customHeight="1">
      <c r="A321" s="1128" t="s">
        <v>5191</v>
      </c>
      <c r="B321" s="1128" t="s">
        <v>5182</v>
      </c>
      <c r="C321" s="1128" t="s">
        <v>5210</v>
      </c>
      <c r="D321" s="320">
        <v>725</v>
      </c>
      <c r="E321" s="320">
        <f>D321*2-100</f>
        <v>1350</v>
      </c>
      <c r="F321" s="320">
        <f>D321*2-50</f>
        <v>1400</v>
      </c>
      <c r="G321" s="234" t="s">
        <v>4575</v>
      </c>
      <c r="H321" s="245" t="s">
        <v>4912</v>
      </c>
      <c r="I321" s="51" t="s">
        <v>4885</v>
      </c>
      <c r="J321" s="51"/>
      <c r="K321" s="20" t="s">
        <v>4739</v>
      </c>
      <c r="L321" s="118" t="s">
        <v>4539</v>
      </c>
      <c r="M321" s="15">
        <v>43084</v>
      </c>
      <c r="N321" s="15">
        <v>43100</v>
      </c>
      <c r="O321" s="61" t="s">
        <v>4545</v>
      </c>
      <c r="P321" s="52"/>
      <c r="Q321" s="7"/>
      <c r="R321" s="239" t="s">
        <v>4911</v>
      </c>
      <c r="S321" s="327" t="s">
        <v>4576</v>
      </c>
      <c r="T321" s="933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</row>
    <row r="322" spans="1:68" s="121" customFormat="1" ht="20.100000000000001" customHeight="1">
      <c r="A322" s="1128" t="s">
        <v>5191</v>
      </c>
      <c r="B322" s="1128" t="s">
        <v>5182</v>
      </c>
      <c r="C322" s="1128" t="s">
        <v>5210</v>
      </c>
      <c r="D322" s="247">
        <f>D277+50</f>
        <v>725</v>
      </c>
      <c r="E322" s="247">
        <f>E277+100</f>
        <v>1150</v>
      </c>
      <c r="F322" s="247">
        <f>F277+100</f>
        <v>1150</v>
      </c>
      <c r="G322" s="225" t="s">
        <v>4569</v>
      </c>
      <c r="H322" s="69" t="s">
        <v>4580</v>
      </c>
      <c r="I322" s="38" t="s">
        <v>5126</v>
      </c>
      <c r="J322" s="34"/>
      <c r="K322" s="50" t="s">
        <v>4739</v>
      </c>
      <c r="L322" s="116" t="s">
        <v>4539</v>
      </c>
      <c r="M322" s="6">
        <v>43057</v>
      </c>
      <c r="N322" s="6">
        <v>43069</v>
      </c>
      <c r="O322" s="61" t="s">
        <v>4921</v>
      </c>
      <c r="P322" s="59"/>
      <c r="Q322" s="7"/>
      <c r="R322" s="239" t="s">
        <v>5095</v>
      </c>
      <c r="S322" s="328" t="s">
        <v>4543</v>
      </c>
      <c r="T322" s="933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</row>
    <row r="323" spans="1:68" s="121" customFormat="1" ht="20.100000000000001" customHeight="1">
      <c r="A323" s="1128" t="s">
        <v>5191</v>
      </c>
      <c r="B323" s="1128" t="s">
        <v>5182</v>
      </c>
      <c r="C323" s="1128" t="s">
        <v>5210</v>
      </c>
      <c r="D323" s="961">
        <v>650</v>
      </c>
      <c r="E323" s="961">
        <v>1300</v>
      </c>
      <c r="F323" s="961">
        <v>1350</v>
      </c>
      <c r="G323" s="3" t="s">
        <v>4553</v>
      </c>
      <c r="H323" s="56" t="s">
        <v>4580</v>
      </c>
      <c r="I323" s="51" t="s">
        <v>4879</v>
      </c>
      <c r="J323" s="34"/>
      <c r="K323" s="50">
        <v>26</v>
      </c>
      <c r="L323" s="116" t="s">
        <v>4539</v>
      </c>
      <c r="M323" s="6">
        <v>43085</v>
      </c>
      <c r="N323" s="6">
        <v>43100</v>
      </c>
      <c r="O323" s="61" t="s">
        <v>4545</v>
      </c>
      <c r="P323" s="59"/>
      <c r="Q323" s="171"/>
      <c r="R323" s="239" t="s">
        <v>4878</v>
      </c>
      <c r="S323" s="328" t="s">
        <v>4543</v>
      </c>
      <c r="T323" s="933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</row>
    <row r="324" spans="1:68" s="121" customFormat="1" ht="20.100000000000001" customHeight="1">
      <c r="A324" s="1128" t="s">
        <v>5191</v>
      </c>
      <c r="B324" s="1128" t="s">
        <v>5182</v>
      </c>
      <c r="C324" s="1128" t="s">
        <v>5210</v>
      </c>
      <c r="D324" s="953">
        <v>665</v>
      </c>
      <c r="E324" s="953">
        <v>1230</v>
      </c>
      <c r="F324" s="953">
        <v>1280</v>
      </c>
      <c r="G324" s="3" t="s">
        <v>4560</v>
      </c>
      <c r="H324" s="56" t="s">
        <v>4565</v>
      </c>
      <c r="I324" s="51" t="s">
        <v>5126</v>
      </c>
      <c r="J324" s="51"/>
      <c r="K324" s="10" t="s">
        <v>5196</v>
      </c>
      <c r="L324" s="116" t="s">
        <v>4539</v>
      </c>
      <c r="M324" s="15">
        <v>43084</v>
      </c>
      <c r="N324" s="15">
        <v>43100</v>
      </c>
      <c r="O324" s="61" t="s">
        <v>5005</v>
      </c>
      <c r="P324" s="61"/>
      <c r="Q324" s="7"/>
      <c r="R324" s="240" t="s">
        <v>4562</v>
      </c>
      <c r="S324" s="327" t="s">
        <v>5004</v>
      </c>
      <c r="T324" s="933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</row>
    <row r="325" spans="1:68" s="121" customFormat="1" ht="20.100000000000001" customHeight="1">
      <c r="A325" s="1128" t="s">
        <v>5191</v>
      </c>
      <c r="B325" s="1128" t="s">
        <v>5182</v>
      </c>
      <c r="C325" s="1128" t="s">
        <v>5210</v>
      </c>
      <c r="D325" s="949">
        <v>750</v>
      </c>
      <c r="E325" s="949">
        <v>1400</v>
      </c>
      <c r="F325" s="949">
        <v>1450</v>
      </c>
      <c r="G325" s="3" t="s">
        <v>4645</v>
      </c>
      <c r="H325" s="22" t="s">
        <v>5212</v>
      </c>
      <c r="I325" s="51" t="s">
        <v>5126</v>
      </c>
      <c r="J325" s="51"/>
      <c r="K325" s="20" t="s">
        <v>5211</v>
      </c>
      <c r="L325" s="116" t="s">
        <v>4539</v>
      </c>
      <c r="M325" s="6">
        <v>43060</v>
      </c>
      <c r="N325" s="6">
        <v>43093</v>
      </c>
      <c r="O325" s="61" t="s">
        <v>4961</v>
      </c>
      <c r="P325" s="52"/>
      <c r="Q325" s="171"/>
      <c r="R325" s="240" t="s">
        <v>4562</v>
      </c>
      <c r="S325" s="326" t="s">
        <v>4641</v>
      </c>
      <c r="T325" s="933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</row>
    <row r="326" spans="1:68" s="121" customFormat="1" ht="20.100000000000001" customHeight="1">
      <c r="A326" s="1128" t="s">
        <v>5191</v>
      </c>
      <c r="B326" s="1128" t="s">
        <v>5182</v>
      </c>
      <c r="C326" s="1128" t="s">
        <v>5210</v>
      </c>
      <c r="D326" s="963">
        <v>750</v>
      </c>
      <c r="E326" s="963">
        <v>1400</v>
      </c>
      <c r="F326" s="963">
        <v>1400</v>
      </c>
      <c r="G326" s="3" t="s">
        <v>4549</v>
      </c>
      <c r="H326" s="36" t="s">
        <v>4548</v>
      </c>
      <c r="I326" s="51" t="s">
        <v>4547</v>
      </c>
      <c r="J326" s="34"/>
      <c r="K326" s="51" t="s">
        <v>4601</v>
      </c>
      <c r="L326" s="118" t="s">
        <v>4539</v>
      </c>
      <c r="M326" s="6">
        <v>43070</v>
      </c>
      <c r="N326" s="6">
        <v>43100</v>
      </c>
      <c r="O326" s="61" t="s">
        <v>4545</v>
      </c>
      <c r="P326" s="59"/>
      <c r="Q326" s="167"/>
      <c r="R326" s="238" t="s">
        <v>4544</v>
      </c>
      <c r="S326" s="328" t="s">
        <v>4543</v>
      </c>
      <c r="T326" s="933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</row>
    <row r="327" spans="1:68" s="121" customFormat="1" ht="20.100000000000001" customHeight="1">
      <c r="A327" s="1128" t="s">
        <v>5191</v>
      </c>
      <c r="B327" s="1128" t="s">
        <v>5182</v>
      </c>
      <c r="C327" s="1128" t="s">
        <v>5210</v>
      </c>
      <c r="D327" s="320" ph="1">
        <v>525</v>
      </c>
      <c r="E327" s="320" ph="1">
        <v>950</v>
      </c>
      <c r="F327" s="320" ph="1">
        <v>1000</v>
      </c>
      <c r="G327" s="122" t="s">
        <v>4566</v>
      </c>
      <c r="H327" s="48" t="s">
        <v>4992</v>
      </c>
      <c r="I327" s="51" t="s">
        <v>5126</v>
      </c>
      <c r="J327" s="30"/>
      <c r="K327" s="37" t="s">
        <v>5055</v>
      </c>
      <c r="L327" s="116" t="s">
        <v>4539</v>
      </c>
      <c r="M327" s="15">
        <v>43084</v>
      </c>
      <c r="N327" s="15">
        <v>43100</v>
      </c>
      <c r="O327" s="61" t="s">
        <v>4563</v>
      </c>
      <c r="P327" s="61"/>
      <c r="Q327" s="167"/>
      <c r="R327" s="239" t="s">
        <v>5124</v>
      </c>
      <c r="S327" s="327" t="s">
        <v>4561</v>
      </c>
      <c r="T327" s="933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</row>
    <row r="328" spans="1:68" s="121" customFormat="1" ht="20.100000000000001" customHeight="1">
      <c r="A328" s="1128" t="s">
        <v>5191</v>
      </c>
      <c r="B328" s="1128" t="s">
        <v>5182</v>
      </c>
      <c r="C328" s="1128" t="s">
        <v>5208</v>
      </c>
      <c r="D328" s="947">
        <v>525</v>
      </c>
      <c r="E328" s="947">
        <v>950</v>
      </c>
      <c r="F328" s="947">
        <v>950</v>
      </c>
      <c r="G328" s="234" t="s">
        <v>4904</v>
      </c>
      <c r="H328" s="22" t="s">
        <v>4903</v>
      </c>
      <c r="I328" s="51" t="s">
        <v>4902</v>
      </c>
      <c r="J328" s="50"/>
      <c r="K328" s="50" t="s">
        <v>5209</v>
      </c>
      <c r="L328" s="116" t="s">
        <v>4539</v>
      </c>
      <c r="M328" s="15">
        <v>43054</v>
      </c>
      <c r="N328" s="15">
        <v>43089</v>
      </c>
      <c r="O328" s="61" t="s">
        <v>4961</v>
      </c>
      <c r="P328" s="128"/>
      <c r="Q328" s="7"/>
      <c r="R328" s="239" t="s">
        <v>5183</v>
      </c>
      <c r="S328" s="327" t="s">
        <v>4632</v>
      </c>
      <c r="T328" s="933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</row>
    <row r="329" spans="1:68" s="121" customFormat="1" ht="20.100000000000001" customHeight="1">
      <c r="A329" s="1128" t="s">
        <v>5191</v>
      </c>
      <c r="B329" s="1128" t="s">
        <v>5182</v>
      </c>
      <c r="C329" s="1128" t="s">
        <v>5208</v>
      </c>
      <c r="D329" s="320">
        <f>D521+100</f>
        <v>675</v>
      </c>
      <c r="E329" s="320">
        <f>E521+200</f>
        <v>1000</v>
      </c>
      <c r="F329" s="320">
        <f>F521+200</f>
        <v>1000</v>
      </c>
      <c r="G329" s="12" t="s">
        <v>4566</v>
      </c>
      <c r="H329" s="56" t="s">
        <v>4649</v>
      </c>
      <c r="I329" s="51" t="s">
        <v>4902</v>
      </c>
      <c r="J329" s="30"/>
      <c r="K329" s="30" t="s">
        <v>4739</v>
      </c>
      <c r="L329" s="116" t="s">
        <v>4539</v>
      </c>
      <c r="M329" s="15">
        <v>43084</v>
      </c>
      <c r="N329" s="15">
        <v>43100</v>
      </c>
      <c r="O329" s="61" t="s">
        <v>4563</v>
      </c>
      <c r="P329" s="61"/>
      <c r="Q329" s="167"/>
      <c r="R329" s="239" t="s">
        <v>4998</v>
      </c>
      <c r="S329" s="327" t="s">
        <v>4561</v>
      </c>
      <c r="T329" s="933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  <c r="BN329" s="120"/>
      <c r="BO329" s="120"/>
      <c r="BP329" s="120"/>
    </row>
    <row r="330" spans="1:68" s="121" customFormat="1" ht="20.100000000000001" customHeight="1">
      <c r="A330" s="1128" t="s">
        <v>5191</v>
      </c>
      <c r="B330" s="1128" t="s">
        <v>5182</v>
      </c>
      <c r="C330" s="1128" t="s">
        <v>5208</v>
      </c>
      <c r="D330" s="961">
        <v>650</v>
      </c>
      <c r="E330" s="961">
        <v>1300</v>
      </c>
      <c r="F330" s="961">
        <v>1350</v>
      </c>
      <c r="G330" s="3" t="s">
        <v>4553</v>
      </c>
      <c r="H330" s="56" t="s">
        <v>4580</v>
      </c>
      <c r="I330" s="38" t="s">
        <v>4879</v>
      </c>
      <c r="J330" s="30"/>
      <c r="K330" s="37">
        <v>29</v>
      </c>
      <c r="L330" s="116" t="s">
        <v>4539</v>
      </c>
      <c r="M330" s="6">
        <v>43085</v>
      </c>
      <c r="N330" s="6">
        <v>43100</v>
      </c>
      <c r="O330" s="61" t="s">
        <v>4545</v>
      </c>
      <c r="P330" s="61"/>
      <c r="Q330" s="171"/>
      <c r="R330" s="239" t="s">
        <v>4878</v>
      </c>
      <c r="S330" s="328" t="s">
        <v>4543</v>
      </c>
      <c r="T330" s="933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  <c r="BN330" s="120"/>
      <c r="BO330" s="120"/>
      <c r="BP330" s="120"/>
    </row>
    <row r="331" spans="1:68" s="121" customFormat="1" ht="20.100000000000001" customHeight="1">
      <c r="A331" s="1128" t="s">
        <v>5191</v>
      </c>
      <c r="B331" s="1128" t="s">
        <v>5182</v>
      </c>
      <c r="C331" s="1128" t="s">
        <v>5207</v>
      </c>
      <c r="D331" s="949">
        <v>750</v>
      </c>
      <c r="E331" s="949">
        <v>1375</v>
      </c>
      <c r="F331" s="949">
        <v>1425</v>
      </c>
      <c r="G331" s="63" t="s">
        <v>4645</v>
      </c>
      <c r="H331" s="36" t="s">
        <v>4992</v>
      </c>
      <c r="I331" s="38" t="s">
        <v>5201</v>
      </c>
      <c r="J331" s="37"/>
      <c r="K331" s="10" t="s">
        <v>5200</v>
      </c>
      <c r="L331" s="116" t="s">
        <v>4539</v>
      </c>
      <c r="M331" s="6">
        <v>43060</v>
      </c>
      <c r="N331" s="6">
        <v>43093</v>
      </c>
      <c r="O331" s="61" t="s">
        <v>4961</v>
      </c>
      <c r="P331" s="129"/>
      <c r="Q331" s="167"/>
      <c r="R331" s="239" t="s">
        <v>5124</v>
      </c>
      <c r="S331" s="326" t="s">
        <v>4641</v>
      </c>
      <c r="T331" s="933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  <c r="AX331" s="120"/>
      <c r="AY331" s="120"/>
      <c r="AZ331" s="120"/>
      <c r="BA331" s="120"/>
      <c r="BB331" s="120"/>
      <c r="BC331" s="120"/>
      <c r="BD331" s="120"/>
      <c r="BE331" s="120"/>
      <c r="BF331" s="120"/>
      <c r="BG331" s="120"/>
      <c r="BH331" s="120"/>
      <c r="BI331" s="120"/>
      <c r="BJ331" s="120"/>
      <c r="BK331" s="120"/>
      <c r="BL331" s="120"/>
      <c r="BM331" s="120"/>
      <c r="BN331" s="120"/>
      <c r="BO331" s="120"/>
      <c r="BP331" s="120"/>
    </row>
    <row r="332" spans="1:68" s="121" customFormat="1" ht="20.100000000000001" customHeight="1">
      <c r="A332" s="1128" t="s">
        <v>5191</v>
      </c>
      <c r="B332" s="1128" t="s">
        <v>5182</v>
      </c>
      <c r="C332" s="1128" t="s">
        <v>5207</v>
      </c>
      <c r="D332" s="198">
        <f>D301+230*1.3</f>
        <v>974</v>
      </c>
      <c r="E332" s="198">
        <f>E301+340*1.3</f>
        <v>1492</v>
      </c>
      <c r="F332" s="198">
        <f>F301+340*1.3</f>
        <v>1492</v>
      </c>
      <c r="G332" s="225" t="s">
        <v>4569</v>
      </c>
      <c r="H332" s="69" t="s">
        <v>4589</v>
      </c>
      <c r="I332" s="38" t="s">
        <v>5206</v>
      </c>
      <c r="J332" s="39"/>
      <c r="K332" s="38" t="s">
        <v>5025</v>
      </c>
      <c r="L332" s="116" t="s">
        <v>4539</v>
      </c>
      <c r="M332" s="6">
        <v>43057</v>
      </c>
      <c r="N332" s="6">
        <v>43069</v>
      </c>
      <c r="O332" s="61" t="s">
        <v>4921</v>
      </c>
      <c r="P332" s="61"/>
      <c r="Q332" s="72" t="s">
        <v>4642</v>
      </c>
      <c r="R332" s="239" t="s">
        <v>4920</v>
      </c>
      <c r="S332" s="328" t="s">
        <v>4543</v>
      </c>
      <c r="T332" s="933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  <c r="AX332" s="120"/>
      <c r="AY332" s="120"/>
      <c r="AZ332" s="120"/>
      <c r="BA332" s="120"/>
      <c r="BB332" s="120"/>
      <c r="BC332" s="120"/>
      <c r="BD332" s="120"/>
      <c r="BE332" s="120"/>
      <c r="BF332" s="120"/>
      <c r="BG332" s="120"/>
      <c r="BH332" s="120"/>
      <c r="BI332" s="120"/>
      <c r="BJ332" s="120"/>
      <c r="BK332" s="120"/>
      <c r="BL332" s="120"/>
      <c r="BM332" s="120"/>
      <c r="BN332" s="120"/>
      <c r="BO332" s="120"/>
      <c r="BP332" s="120"/>
    </row>
    <row r="333" spans="1:68" s="121" customFormat="1" ht="20.100000000000001" customHeight="1">
      <c r="A333" s="1128" t="s">
        <v>5191</v>
      </c>
      <c r="B333" s="1128" t="s">
        <v>5182</v>
      </c>
      <c r="C333" s="1128" t="s">
        <v>5205</v>
      </c>
      <c r="D333" s="248">
        <f>D286+800</f>
        <v>1450</v>
      </c>
      <c r="E333" s="248">
        <f>E286+1000</f>
        <v>2100</v>
      </c>
      <c r="F333" s="248">
        <f>F286+1000</f>
        <v>2150</v>
      </c>
      <c r="G333" s="225" t="s">
        <v>4572</v>
      </c>
      <c r="H333" s="36" t="s">
        <v>4552</v>
      </c>
      <c r="I333" s="10" t="s">
        <v>4564</v>
      </c>
      <c r="J333" s="34"/>
      <c r="K333" s="50" t="s">
        <v>4940</v>
      </c>
      <c r="L333" s="118" t="s">
        <v>4539</v>
      </c>
      <c r="M333" s="15">
        <v>43060</v>
      </c>
      <c r="N333" s="15">
        <v>43076</v>
      </c>
      <c r="O333" s="61" t="s">
        <v>4545</v>
      </c>
      <c r="P333" s="123"/>
      <c r="Q333" s="167"/>
      <c r="R333" s="239" t="s">
        <v>4584</v>
      </c>
      <c r="S333" s="328" t="s">
        <v>4543</v>
      </c>
      <c r="T333" s="933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  <c r="AX333" s="120"/>
      <c r="AY333" s="120"/>
      <c r="AZ333" s="120"/>
      <c r="BA333" s="120"/>
      <c r="BB333" s="120"/>
      <c r="BC333" s="120"/>
      <c r="BD333" s="120"/>
      <c r="BE333" s="120"/>
      <c r="BF333" s="120"/>
      <c r="BG333" s="120"/>
      <c r="BH333" s="120"/>
      <c r="BI333" s="120"/>
      <c r="BJ333" s="120"/>
      <c r="BK333" s="120"/>
      <c r="BL333" s="120"/>
      <c r="BM333" s="120"/>
      <c r="BN333" s="120"/>
      <c r="BO333" s="120"/>
      <c r="BP333" s="120"/>
    </row>
    <row r="334" spans="1:68" s="121" customFormat="1" ht="20.100000000000001" customHeight="1">
      <c r="A334" s="1128" t="s">
        <v>5191</v>
      </c>
      <c r="B334" s="1128" t="s">
        <v>5182</v>
      </c>
      <c r="C334" s="1128" t="s">
        <v>5205</v>
      </c>
      <c r="D334" s="320">
        <f>D289+100</f>
        <v>625</v>
      </c>
      <c r="E334" s="320">
        <f>E289+200</f>
        <v>1150</v>
      </c>
      <c r="F334" s="320">
        <f>F289+200</f>
        <v>1200</v>
      </c>
      <c r="G334" s="12" t="s">
        <v>4566</v>
      </c>
      <c r="H334" s="56" t="s">
        <v>4992</v>
      </c>
      <c r="I334" s="38" t="s">
        <v>5126</v>
      </c>
      <c r="J334" s="30"/>
      <c r="K334" s="38" t="s">
        <v>5055</v>
      </c>
      <c r="L334" s="116" t="s">
        <v>4539</v>
      </c>
      <c r="M334" s="15">
        <v>43084</v>
      </c>
      <c r="N334" s="15">
        <v>43100</v>
      </c>
      <c r="O334" s="61" t="s">
        <v>4563</v>
      </c>
      <c r="P334" s="61"/>
      <c r="Q334" s="167"/>
      <c r="R334" s="21" t="s">
        <v>5124</v>
      </c>
      <c r="S334" s="327" t="s">
        <v>4561</v>
      </c>
      <c r="T334" s="933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  <c r="AX334" s="120"/>
      <c r="AY334" s="120"/>
      <c r="AZ334" s="120"/>
      <c r="BA334" s="120"/>
      <c r="BB334" s="120"/>
      <c r="BC334" s="120"/>
      <c r="BD334" s="120"/>
      <c r="BE334" s="120"/>
      <c r="BF334" s="120"/>
      <c r="BG334" s="120"/>
      <c r="BH334" s="120"/>
      <c r="BI334" s="120"/>
      <c r="BJ334" s="120"/>
      <c r="BK334" s="120"/>
      <c r="BL334" s="120"/>
      <c r="BM334" s="120"/>
      <c r="BN334" s="120"/>
      <c r="BO334" s="120"/>
      <c r="BP334" s="120"/>
    </row>
    <row r="335" spans="1:68" ht="20.100000000000001" customHeight="1">
      <c r="A335" s="1128" t="s">
        <v>5191</v>
      </c>
      <c r="B335" s="1128" t="s">
        <v>5182</v>
      </c>
      <c r="C335" s="1128" t="s">
        <v>5204</v>
      </c>
      <c r="D335" s="201">
        <f>D310+125</f>
        <v>850</v>
      </c>
      <c r="E335" s="201">
        <f>E310+250</f>
        <v>1500</v>
      </c>
      <c r="F335" s="201">
        <f>F310+250</f>
        <v>1550</v>
      </c>
      <c r="G335" s="217" t="s">
        <v>4572</v>
      </c>
      <c r="H335" s="56" t="s">
        <v>4552</v>
      </c>
      <c r="I335" s="10" t="s">
        <v>4885</v>
      </c>
      <c r="J335" s="30"/>
      <c r="K335" s="38">
        <v>37</v>
      </c>
      <c r="L335" s="116" t="s">
        <v>4539</v>
      </c>
      <c r="M335" s="15">
        <v>43060</v>
      </c>
      <c r="N335" s="15">
        <v>43076</v>
      </c>
      <c r="O335" s="61" t="s">
        <v>4545</v>
      </c>
      <c r="P335" s="61"/>
      <c r="Q335" s="167"/>
      <c r="R335" s="239" t="s">
        <v>4584</v>
      </c>
      <c r="S335" s="328" t="s">
        <v>4543</v>
      </c>
      <c r="T335" s="722"/>
      <c r="U335" s="42"/>
      <c r="AE335" s="115"/>
      <c r="AF335" s="115"/>
      <c r="AG335" s="115"/>
      <c r="AH335" s="115"/>
      <c r="AI335" s="115"/>
      <c r="AJ335" s="115"/>
      <c r="AK335" s="115"/>
      <c r="AL335" s="115"/>
      <c r="AM335" s="115"/>
      <c r="AN335" s="115"/>
      <c r="AO335" s="115"/>
      <c r="AP335" s="115"/>
      <c r="AQ335" s="115"/>
      <c r="AR335" s="115"/>
      <c r="AS335" s="115"/>
      <c r="AT335" s="115"/>
      <c r="AU335" s="115"/>
      <c r="AV335" s="115"/>
      <c r="AW335" s="115"/>
      <c r="AX335" s="115"/>
      <c r="AY335" s="115"/>
      <c r="AZ335" s="115"/>
      <c r="BA335" s="115"/>
      <c r="BB335" s="115"/>
      <c r="BC335" s="115"/>
      <c r="BD335" s="115"/>
      <c r="BE335" s="115"/>
      <c r="BF335" s="115"/>
      <c r="BG335" s="115"/>
      <c r="BH335" s="115"/>
      <c r="BI335" s="115"/>
      <c r="BJ335" s="115"/>
      <c r="BK335" s="115"/>
      <c r="BL335" s="115"/>
      <c r="BM335" s="115"/>
      <c r="BN335" s="115"/>
      <c r="BO335" s="115"/>
      <c r="BP335" s="115"/>
    </row>
    <row r="336" spans="1:68" s="121" customFormat="1" ht="20.100000000000001" customHeight="1">
      <c r="A336" s="1128" t="s">
        <v>5191</v>
      </c>
      <c r="B336" s="1128" t="s">
        <v>5182</v>
      </c>
      <c r="C336" s="1128" t="s">
        <v>5204</v>
      </c>
      <c r="D336" s="961">
        <v>650</v>
      </c>
      <c r="E336" s="961">
        <v>1300</v>
      </c>
      <c r="F336" s="961">
        <v>1350</v>
      </c>
      <c r="G336" s="3" t="s">
        <v>4553</v>
      </c>
      <c r="H336" s="56" t="s">
        <v>4580</v>
      </c>
      <c r="I336" s="38" t="s">
        <v>4879</v>
      </c>
      <c r="J336" s="30"/>
      <c r="K336" s="37">
        <v>27</v>
      </c>
      <c r="L336" s="116" t="s">
        <v>4539</v>
      </c>
      <c r="M336" s="6">
        <v>43085</v>
      </c>
      <c r="N336" s="6">
        <v>43100</v>
      </c>
      <c r="O336" s="61" t="s">
        <v>4545</v>
      </c>
      <c r="P336" s="61"/>
      <c r="Q336" s="171"/>
      <c r="R336" s="239" t="s">
        <v>4878</v>
      </c>
      <c r="S336" s="328" t="s">
        <v>4543</v>
      </c>
      <c r="T336" s="137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  <c r="AX336" s="120"/>
      <c r="AY336" s="120"/>
      <c r="AZ336" s="120"/>
      <c r="BA336" s="120"/>
      <c r="BB336" s="120"/>
      <c r="BC336" s="120"/>
      <c r="BD336" s="120"/>
      <c r="BE336" s="120"/>
      <c r="BF336" s="120"/>
      <c r="BG336" s="120"/>
      <c r="BH336" s="120"/>
      <c r="BI336" s="120"/>
      <c r="BJ336" s="120"/>
      <c r="BK336" s="120"/>
      <c r="BL336" s="120"/>
      <c r="BM336" s="120"/>
      <c r="BN336" s="120"/>
      <c r="BO336" s="120"/>
      <c r="BP336" s="120"/>
    </row>
    <row r="337" spans="1:68" s="121" customFormat="1" ht="20.100000000000001" customHeight="1">
      <c r="A337" s="1128" t="s">
        <v>5191</v>
      </c>
      <c r="B337" s="1128" t="s">
        <v>5182</v>
      </c>
      <c r="C337" s="1128" t="s">
        <v>5204</v>
      </c>
      <c r="D337" s="320" ph="1">
        <v>525</v>
      </c>
      <c r="E337" s="320" ph="1">
        <v>950</v>
      </c>
      <c r="F337" s="320" ph="1">
        <v>1000</v>
      </c>
      <c r="G337" s="915" t="s">
        <v>4566</v>
      </c>
      <c r="H337" s="56" t="s">
        <v>4992</v>
      </c>
      <c r="I337" s="38" t="s">
        <v>5126</v>
      </c>
      <c r="J337" s="30"/>
      <c r="K337" s="38" t="s">
        <v>5055</v>
      </c>
      <c r="L337" s="116" t="s">
        <v>4539</v>
      </c>
      <c r="M337" s="15">
        <v>43084</v>
      </c>
      <c r="N337" s="15">
        <v>43100</v>
      </c>
      <c r="O337" s="61" t="s">
        <v>4563</v>
      </c>
      <c r="P337" s="61"/>
      <c r="Q337" s="167"/>
      <c r="R337" s="239" t="s">
        <v>5124</v>
      </c>
      <c r="S337" s="327" t="s">
        <v>4561</v>
      </c>
      <c r="T337" s="933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  <c r="AX337" s="120"/>
      <c r="AY337" s="120"/>
      <c r="AZ337" s="120"/>
      <c r="BA337" s="120"/>
      <c r="BB337" s="120"/>
      <c r="BC337" s="120"/>
      <c r="BD337" s="120"/>
      <c r="BE337" s="120"/>
      <c r="BF337" s="120"/>
      <c r="BG337" s="120"/>
      <c r="BH337" s="120"/>
      <c r="BI337" s="120"/>
      <c r="BJ337" s="120"/>
      <c r="BK337" s="120"/>
      <c r="BL337" s="120"/>
      <c r="BM337" s="120"/>
      <c r="BN337" s="120"/>
      <c r="BO337" s="120"/>
      <c r="BP337" s="120"/>
    </row>
    <row r="338" spans="1:68" s="121" customFormat="1" ht="20.100000000000001" customHeight="1">
      <c r="A338" s="1128" t="s">
        <v>5198</v>
      </c>
      <c r="B338" s="1128" t="s">
        <v>5182</v>
      </c>
      <c r="C338" s="1128" t="s">
        <v>5203</v>
      </c>
      <c r="D338" s="365">
        <f>D289+175</f>
        <v>700</v>
      </c>
      <c r="E338" s="365">
        <f>E289+350</f>
        <v>1300</v>
      </c>
      <c r="F338" s="365">
        <f>F289+350</f>
        <v>1350</v>
      </c>
      <c r="G338" s="12" t="s">
        <v>4566</v>
      </c>
      <c r="H338" s="56" t="s">
        <v>4580</v>
      </c>
      <c r="I338" s="38" t="s">
        <v>5152</v>
      </c>
      <c r="J338" s="30"/>
      <c r="K338" s="38" t="s">
        <v>5055</v>
      </c>
      <c r="L338" s="116" t="s">
        <v>4539</v>
      </c>
      <c r="M338" s="15">
        <v>43084</v>
      </c>
      <c r="N338" s="15">
        <v>43100</v>
      </c>
      <c r="O338" s="61" t="s">
        <v>4563</v>
      </c>
      <c r="P338" s="61"/>
      <c r="Q338" s="167"/>
      <c r="R338" s="239" t="s">
        <v>4578</v>
      </c>
      <c r="S338" s="327" t="s">
        <v>4561</v>
      </c>
      <c r="T338" s="137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  <c r="AX338" s="120"/>
      <c r="AY338" s="120"/>
      <c r="AZ338" s="120"/>
      <c r="BA338" s="120"/>
      <c r="BB338" s="120"/>
      <c r="BC338" s="120"/>
      <c r="BD338" s="120"/>
      <c r="BE338" s="120"/>
      <c r="BF338" s="120"/>
      <c r="BG338" s="120"/>
      <c r="BH338" s="120"/>
      <c r="BI338" s="120"/>
      <c r="BJ338" s="120"/>
      <c r="BK338" s="120"/>
      <c r="BL338" s="120"/>
      <c r="BM338" s="120"/>
      <c r="BN338" s="120"/>
      <c r="BO338" s="120"/>
      <c r="BP338" s="120"/>
    </row>
    <row r="339" spans="1:68" s="121" customFormat="1" ht="20.100000000000001" customHeight="1">
      <c r="A339" s="1128" t="s">
        <v>5198</v>
      </c>
      <c r="B339" s="1128" t="s">
        <v>5182</v>
      </c>
      <c r="C339" s="1128" t="s">
        <v>5203</v>
      </c>
      <c r="D339" s="247">
        <v>675</v>
      </c>
      <c r="E339" s="247">
        <v>1050</v>
      </c>
      <c r="F339" s="247">
        <v>1050</v>
      </c>
      <c r="G339" s="224" t="s">
        <v>4569</v>
      </c>
      <c r="H339" s="69" t="s">
        <v>4580</v>
      </c>
      <c r="I339" s="38" t="s">
        <v>4725</v>
      </c>
      <c r="J339" s="39"/>
      <c r="K339" s="38" t="s">
        <v>5069</v>
      </c>
      <c r="L339" s="116" t="s">
        <v>4539</v>
      </c>
      <c r="M339" s="6">
        <v>43057</v>
      </c>
      <c r="N339" s="6">
        <v>43069</v>
      </c>
      <c r="O339" s="61" t="s">
        <v>4921</v>
      </c>
      <c r="P339" s="61"/>
      <c r="Q339" s="7"/>
      <c r="R339" s="239" t="s">
        <v>5095</v>
      </c>
      <c r="S339" s="328" t="s">
        <v>4543</v>
      </c>
      <c r="T339" s="137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  <c r="AX339" s="120"/>
      <c r="AY339" s="120"/>
      <c r="AZ339" s="120"/>
      <c r="BA339" s="120"/>
      <c r="BB339" s="120"/>
      <c r="BC339" s="120"/>
      <c r="BD339" s="120"/>
      <c r="BE339" s="120"/>
      <c r="BF339" s="120"/>
      <c r="BG339" s="120"/>
      <c r="BH339" s="120"/>
      <c r="BI339" s="120"/>
      <c r="BJ339" s="120"/>
      <c r="BK339" s="120"/>
      <c r="BL339" s="120"/>
      <c r="BM339" s="120"/>
      <c r="BN339" s="120"/>
      <c r="BO339" s="120"/>
      <c r="BP339" s="120"/>
    </row>
    <row r="340" spans="1:68" s="121" customFormat="1" ht="20.100000000000001" customHeight="1">
      <c r="A340" s="1128" t="s">
        <v>5198</v>
      </c>
      <c r="B340" s="1128" t="s">
        <v>5182</v>
      </c>
      <c r="C340" s="1128" t="s">
        <v>5203</v>
      </c>
      <c r="D340" s="961">
        <v>650</v>
      </c>
      <c r="E340" s="961">
        <v>1300</v>
      </c>
      <c r="F340" s="961">
        <v>1350</v>
      </c>
      <c r="G340" s="3" t="s">
        <v>4553</v>
      </c>
      <c r="H340" s="56">
        <v>4</v>
      </c>
      <c r="I340" s="51" t="s">
        <v>4725</v>
      </c>
      <c r="J340" s="34"/>
      <c r="K340" s="50" t="s">
        <v>5069</v>
      </c>
      <c r="L340" s="118" t="s">
        <v>4539</v>
      </c>
      <c r="M340" s="6">
        <v>43085</v>
      </c>
      <c r="N340" s="6">
        <v>43100</v>
      </c>
      <c r="O340" s="61" t="s">
        <v>4545</v>
      </c>
      <c r="P340" s="59"/>
      <c r="Q340" s="171"/>
      <c r="R340" s="239" t="s">
        <v>4878</v>
      </c>
      <c r="S340" s="328" t="s">
        <v>4543</v>
      </c>
      <c r="T340" s="137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  <c r="AX340" s="120"/>
      <c r="AY340" s="120"/>
      <c r="AZ340" s="120"/>
      <c r="BA340" s="120"/>
      <c r="BB340" s="120"/>
      <c r="BC340" s="120"/>
      <c r="BD340" s="120"/>
      <c r="BE340" s="120"/>
      <c r="BF340" s="120"/>
      <c r="BG340" s="120"/>
      <c r="BH340" s="120"/>
      <c r="BI340" s="120"/>
      <c r="BJ340" s="120"/>
      <c r="BK340" s="120"/>
      <c r="BL340" s="120"/>
      <c r="BM340" s="120"/>
      <c r="BN340" s="120"/>
      <c r="BO340" s="120"/>
      <c r="BP340" s="120"/>
    </row>
    <row r="341" spans="1:68" s="121" customFormat="1" ht="20.100000000000001" customHeight="1">
      <c r="A341" s="1128" t="s">
        <v>5198</v>
      </c>
      <c r="B341" s="1128" t="s">
        <v>5182</v>
      </c>
      <c r="C341" s="1128" t="s">
        <v>5203</v>
      </c>
      <c r="D341" s="961">
        <v>725</v>
      </c>
      <c r="E341" s="961">
        <v>1350</v>
      </c>
      <c r="F341" s="961">
        <v>1350</v>
      </c>
      <c r="G341" s="3" t="s">
        <v>4549</v>
      </c>
      <c r="H341" s="22">
        <v>4</v>
      </c>
      <c r="I341" s="51" t="s">
        <v>4725</v>
      </c>
      <c r="J341" s="34"/>
      <c r="K341" s="50" t="s">
        <v>5069</v>
      </c>
      <c r="L341" s="118" t="s">
        <v>4539</v>
      </c>
      <c r="M341" s="6">
        <v>43070</v>
      </c>
      <c r="N341" s="6">
        <v>43100</v>
      </c>
      <c r="O341" s="61" t="s">
        <v>4545</v>
      </c>
      <c r="P341" s="59"/>
      <c r="Q341" s="171"/>
      <c r="R341" s="239" t="s">
        <v>5099</v>
      </c>
      <c r="S341" s="328" t="s">
        <v>4543</v>
      </c>
      <c r="T341" s="137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  <c r="BN341" s="120"/>
      <c r="BO341" s="120"/>
      <c r="BP341" s="120"/>
    </row>
    <row r="342" spans="1:68" s="121" customFormat="1" ht="20.100000000000001" customHeight="1">
      <c r="A342" s="1128" t="s">
        <v>5198</v>
      </c>
      <c r="B342" s="1128" t="s">
        <v>5182</v>
      </c>
      <c r="C342" s="1128" t="s">
        <v>5203</v>
      </c>
      <c r="D342" s="247">
        <v>675</v>
      </c>
      <c r="E342" s="247">
        <v>1050</v>
      </c>
      <c r="F342" s="247">
        <v>1050</v>
      </c>
      <c r="G342" s="224" t="s">
        <v>4569</v>
      </c>
      <c r="H342" s="56" t="s">
        <v>4548</v>
      </c>
      <c r="I342" s="51" t="s">
        <v>4725</v>
      </c>
      <c r="J342" s="19"/>
      <c r="K342" s="51" t="s">
        <v>4601</v>
      </c>
      <c r="L342" s="116" t="s">
        <v>4539</v>
      </c>
      <c r="M342" s="6">
        <v>43057</v>
      </c>
      <c r="N342" s="6">
        <v>43069</v>
      </c>
      <c r="O342" s="61" t="s">
        <v>4921</v>
      </c>
      <c r="P342" s="61"/>
      <c r="Q342" s="167"/>
      <c r="R342" s="239" t="s">
        <v>1764</v>
      </c>
      <c r="S342" s="328" t="s">
        <v>4543</v>
      </c>
      <c r="T342" s="137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</row>
    <row r="343" spans="1:68" s="121" customFormat="1" ht="20.100000000000001" customHeight="1">
      <c r="A343" s="1128" t="s">
        <v>5198</v>
      </c>
      <c r="B343" s="1128" t="s">
        <v>5182</v>
      </c>
      <c r="C343" s="1128" t="s">
        <v>5203</v>
      </c>
      <c r="D343" s="961">
        <v>725</v>
      </c>
      <c r="E343" s="961">
        <v>1350</v>
      </c>
      <c r="F343" s="961">
        <v>1350</v>
      </c>
      <c r="G343" s="3" t="s">
        <v>4549</v>
      </c>
      <c r="H343" s="56" t="s">
        <v>4548</v>
      </c>
      <c r="I343" s="51" t="s">
        <v>4725</v>
      </c>
      <c r="J343" s="34"/>
      <c r="K343" s="51" t="s">
        <v>4601</v>
      </c>
      <c r="L343" s="118" t="s">
        <v>4539</v>
      </c>
      <c r="M343" s="6">
        <v>43070</v>
      </c>
      <c r="N343" s="6">
        <v>43100</v>
      </c>
      <c r="O343" s="61" t="s">
        <v>4545</v>
      </c>
      <c r="P343" s="59"/>
      <c r="Q343" s="167"/>
      <c r="R343" s="239" t="s">
        <v>5117</v>
      </c>
      <c r="S343" s="328" t="s">
        <v>4543</v>
      </c>
      <c r="T343" s="137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  <c r="AX343" s="120"/>
      <c r="AY343" s="120"/>
      <c r="AZ343" s="120"/>
      <c r="BA343" s="120"/>
      <c r="BB343" s="120"/>
      <c r="BC343" s="120"/>
      <c r="BD343" s="120"/>
      <c r="BE343" s="120"/>
      <c r="BF343" s="120"/>
      <c r="BG343" s="120"/>
      <c r="BH343" s="120"/>
      <c r="BI343" s="120"/>
      <c r="BJ343" s="120"/>
      <c r="BK343" s="120"/>
      <c r="BL343" s="120"/>
      <c r="BM343" s="120"/>
      <c r="BN343" s="120"/>
      <c r="BO343" s="120"/>
      <c r="BP343" s="120"/>
    </row>
    <row r="344" spans="1:68" s="121" customFormat="1" ht="20.100000000000001" customHeight="1">
      <c r="A344" s="897" t="s">
        <v>5191</v>
      </c>
      <c r="B344" s="897" t="s">
        <v>5182</v>
      </c>
      <c r="C344" s="897" t="s">
        <v>5202</v>
      </c>
      <c r="D344" s="949">
        <v>735</v>
      </c>
      <c r="E344" s="949">
        <v>1325</v>
      </c>
      <c r="F344" s="949">
        <v>1375</v>
      </c>
      <c r="G344" s="63" t="s">
        <v>4645</v>
      </c>
      <c r="H344" s="36" t="s">
        <v>4992</v>
      </c>
      <c r="I344" s="38" t="s">
        <v>5201</v>
      </c>
      <c r="J344" s="37"/>
      <c r="K344" s="10" t="s">
        <v>5200</v>
      </c>
      <c r="L344" s="116" t="s">
        <v>4539</v>
      </c>
      <c r="M344" s="6">
        <v>43060</v>
      </c>
      <c r="N344" s="6">
        <v>43093</v>
      </c>
      <c r="O344" s="61" t="s">
        <v>4961</v>
      </c>
      <c r="P344" s="129"/>
      <c r="Q344" s="167"/>
      <c r="R344" s="239" t="s">
        <v>5124</v>
      </c>
      <c r="S344" s="326" t="s">
        <v>4641</v>
      </c>
      <c r="T344" s="137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  <c r="BK344" s="120"/>
      <c r="BL344" s="120"/>
      <c r="BM344" s="120"/>
      <c r="BN344" s="120"/>
      <c r="BO344" s="120"/>
      <c r="BP344" s="120"/>
    </row>
    <row r="345" spans="1:68" s="121" customFormat="1" ht="20.100000000000001" customHeight="1">
      <c r="A345" s="1128" t="s">
        <v>5198</v>
      </c>
      <c r="B345" s="1128" t="s">
        <v>5182</v>
      </c>
      <c r="C345" s="1128" t="s">
        <v>5197</v>
      </c>
      <c r="D345" s="248">
        <f>D354+50</f>
        <v>700</v>
      </c>
      <c r="E345" s="248">
        <f>E354+100</f>
        <v>1200</v>
      </c>
      <c r="F345" s="248">
        <f>F354+100</f>
        <v>1250</v>
      </c>
      <c r="G345" s="217" t="s">
        <v>4572</v>
      </c>
      <c r="H345" s="56" t="s">
        <v>4552</v>
      </c>
      <c r="I345" s="20" t="s">
        <v>4885</v>
      </c>
      <c r="J345" s="50"/>
      <c r="K345" s="50">
        <v>36</v>
      </c>
      <c r="L345" s="118" t="s">
        <v>4539</v>
      </c>
      <c r="M345" s="15">
        <v>43060</v>
      </c>
      <c r="N345" s="15">
        <v>43076</v>
      </c>
      <c r="O345" s="61" t="s">
        <v>4545</v>
      </c>
      <c r="P345" s="61"/>
      <c r="Q345" s="167"/>
      <c r="R345" s="239" t="s">
        <v>4584</v>
      </c>
      <c r="S345" s="328" t="s">
        <v>4543</v>
      </c>
      <c r="T345" s="137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  <c r="BK345" s="120"/>
      <c r="BL345" s="120"/>
      <c r="BM345" s="120"/>
      <c r="BN345" s="120"/>
      <c r="BO345" s="120"/>
      <c r="BP345" s="120"/>
    </row>
    <row r="346" spans="1:68" s="121" customFormat="1" ht="20.100000000000001" customHeight="1">
      <c r="A346" s="1128" t="s">
        <v>5198</v>
      </c>
      <c r="B346" s="1128" t="s">
        <v>5182</v>
      </c>
      <c r="C346" s="1128" t="s">
        <v>5197</v>
      </c>
      <c r="D346" s="320">
        <v>725</v>
      </c>
      <c r="E346" s="320">
        <f>D346*2-100</f>
        <v>1350</v>
      </c>
      <c r="F346" s="320">
        <f>D346*2-50</f>
        <v>1400</v>
      </c>
      <c r="G346" s="234" t="s">
        <v>4575</v>
      </c>
      <c r="H346" s="245" t="s">
        <v>4912</v>
      </c>
      <c r="I346" s="51" t="s">
        <v>4885</v>
      </c>
      <c r="J346" s="51"/>
      <c r="K346" s="20" t="s">
        <v>4739</v>
      </c>
      <c r="L346" s="118" t="s">
        <v>4539</v>
      </c>
      <c r="M346" s="15">
        <v>43084</v>
      </c>
      <c r="N346" s="15">
        <v>43100</v>
      </c>
      <c r="O346" s="61" t="s">
        <v>4545</v>
      </c>
      <c r="P346" s="52"/>
      <c r="Q346" s="7"/>
      <c r="R346" s="239" t="s">
        <v>4911</v>
      </c>
      <c r="S346" s="327" t="s">
        <v>4576</v>
      </c>
      <c r="T346" s="137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  <c r="BN346" s="120"/>
      <c r="BO346" s="120"/>
      <c r="BP346" s="120"/>
    </row>
    <row r="347" spans="1:68" s="121" customFormat="1" ht="20.100000000000001" customHeight="1">
      <c r="A347" s="1128" t="s">
        <v>5198</v>
      </c>
      <c r="B347" s="1128" t="s">
        <v>5182</v>
      </c>
      <c r="C347" s="1128" t="s">
        <v>5197</v>
      </c>
      <c r="D347" s="247">
        <f>D277+50</f>
        <v>725</v>
      </c>
      <c r="E347" s="247">
        <f>E277+100</f>
        <v>1150</v>
      </c>
      <c r="F347" s="247">
        <f>F277+100</f>
        <v>1150</v>
      </c>
      <c r="G347" s="225" t="s">
        <v>4569</v>
      </c>
      <c r="H347" s="69" t="s">
        <v>4580</v>
      </c>
      <c r="I347" s="38" t="s">
        <v>5126</v>
      </c>
      <c r="J347" s="30"/>
      <c r="K347" s="30" t="s">
        <v>4739</v>
      </c>
      <c r="L347" s="116" t="s">
        <v>4539</v>
      </c>
      <c r="M347" s="6">
        <v>43057</v>
      </c>
      <c r="N347" s="6">
        <v>43069</v>
      </c>
      <c r="O347" s="61" t="s">
        <v>4921</v>
      </c>
      <c r="P347" s="61"/>
      <c r="Q347" s="7"/>
      <c r="R347" s="239" t="s">
        <v>5095</v>
      </c>
      <c r="S347" s="328" t="s">
        <v>4543</v>
      </c>
      <c r="T347" s="137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  <c r="BN347" s="120"/>
      <c r="BO347" s="120"/>
      <c r="BP347" s="120"/>
    </row>
    <row r="348" spans="1:68" s="121" customFormat="1" ht="20.100000000000001" customHeight="1">
      <c r="A348" s="1128" t="s">
        <v>5198</v>
      </c>
      <c r="B348" s="1128" t="s">
        <v>5182</v>
      </c>
      <c r="C348" s="1128" t="s">
        <v>5197</v>
      </c>
      <c r="D348" s="949">
        <v>750</v>
      </c>
      <c r="E348" s="949">
        <v>1400</v>
      </c>
      <c r="F348" s="949">
        <v>1450</v>
      </c>
      <c r="G348" s="63" t="s">
        <v>4645</v>
      </c>
      <c r="H348" s="36" t="s">
        <v>4992</v>
      </c>
      <c r="I348" s="38" t="s">
        <v>5199</v>
      </c>
      <c r="J348" s="37"/>
      <c r="K348" s="10" t="s">
        <v>4546</v>
      </c>
      <c r="L348" s="116" t="s">
        <v>4539</v>
      </c>
      <c r="M348" s="6">
        <v>43060</v>
      </c>
      <c r="N348" s="6">
        <v>43093</v>
      </c>
      <c r="O348" s="61" t="s">
        <v>4961</v>
      </c>
      <c r="P348" s="61"/>
      <c r="Q348" s="167"/>
      <c r="R348" s="239" t="s">
        <v>5124</v>
      </c>
      <c r="S348" s="326" t="s">
        <v>4641</v>
      </c>
      <c r="T348" s="137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  <c r="BN348" s="120"/>
      <c r="BO348" s="120"/>
      <c r="BP348" s="120"/>
    </row>
    <row r="349" spans="1:68" s="121" customFormat="1" ht="20.100000000000001" customHeight="1">
      <c r="A349" s="1128" t="s">
        <v>5198</v>
      </c>
      <c r="B349" s="1128" t="s">
        <v>5182</v>
      </c>
      <c r="C349" s="1128" t="s">
        <v>5197</v>
      </c>
      <c r="D349" s="320" ph="1">
        <v>525</v>
      </c>
      <c r="E349" s="320" ph="1">
        <v>950</v>
      </c>
      <c r="F349" s="320" ph="1">
        <v>1000</v>
      </c>
      <c r="G349" s="915" t="s">
        <v>4566</v>
      </c>
      <c r="H349" s="56" t="s">
        <v>4992</v>
      </c>
      <c r="I349" s="38" t="s">
        <v>5126</v>
      </c>
      <c r="J349" s="37"/>
      <c r="K349" s="38">
        <v>25</v>
      </c>
      <c r="L349" s="116" t="s">
        <v>4539</v>
      </c>
      <c r="M349" s="15">
        <v>43084</v>
      </c>
      <c r="N349" s="15">
        <v>43100</v>
      </c>
      <c r="O349" s="61" t="s">
        <v>4563</v>
      </c>
      <c r="P349" s="61"/>
      <c r="Q349" s="167"/>
      <c r="R349" s="21" t="s">
        <v>5124</v>
      </c>
      <c r="S349" s="327" t="s">
        <v>4561</v>
      </c>
      <c r="T349" s="137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  <c r="BN349" s="120"/>
      <c r="BO349" s="120"/>
      <c r="BP349" s="120"/>
    </row>
    <row r="350" spans="1:68" s="121" customFormat="1" ht="20.100000000000001" customHeight="1">
      <c r="A350" s="1128" t="s">
        <v>5198</v>
      </c>
      <c r="B350" s="1128" t="s">
        <v>5182</v>
      </c>
      <c r="C350" s="1128" t="s">
        <v>5197</v>
      </c>
      <c r="D350" s="949">
        <f>D522+200</f>
        <v>765</v>
      </c>
      <c r="E350" s="949">
        <f>E522+300</f>
        <v>1130</v>
      </c>
      <c r="F350" s="949">
        <f>F522+300</f>
        <v>1130</v>
      </c>
      <c r="G350" s="12" t="s">
        <v>4560</v>
      </c>
      <c r="H350" s="56" t="s">
        <v>4565</v>
      </c>
      <c r="I350" s="51" t="s">
        <v>5126</v>
      </c>
      <c r="J350" s="51"/>
      <c r="K350" s="10" t="s">
        <v>5196</v>
      </c>
      <c r="L350" s="116" t="s">
        <v>4539</v>
      </c>
      <c r="M350" s="15">
        <v>43084</v>
      </c>
      <c r="N350" s="15">
        <v>43100</v>
      </c>
      <c r="O350" s="61" t="s">
        <v>5005</v>
      </c>
      <c r="P350" s="61"/>
      <c r="Q350" s="7"/>
      <c r="R350" s="240" t="s">
        <v>4562</v>
      </c>
      <c r="S350" s="327" t="s">
        <v>5004</v>
      </c>
      <c r="T350" s="137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</row>
    <row r="351" spans="1:68" s="121" customFormat="1" ht="20.100000000000001" customHeight="1">
      <c r="A351" s="1128" t="s">
        <v>5191</v>
      </c>
      <c r="B351" s="1128" t="s">
        <v>5190</v>
      </c>
      <c r="C351" s="1128" t="s">
        <v>5189</v>
      </c>
      <c r="D351" s="248"/>
      <c r="E351" s="248"/>
      <c r="F351" s="248"/>
      <c r="G351" s="220" t="s">
        <v>5010</v>
      </c>
      <c r="H351" s="56" t="s">
        <v>4552</v>
      </c>
      <c r="I351" s="51" t="s">
        <v>5045</v>
      </c>
      <c r="J351" s="51"/>
      <c r="K351" s="50" t="s">
        <v>4895</v>
      </c>
      <c r="L351" s="19" t="s">
        <v>4539</v>
      </c>
      <c r="M351" s="6">
        <v>43070</v>
      </c>
      <c r="N351" s="6">
        <v>43083</v>
      </c>
      <c r="O351" s="61" t="s">
        <v>5008</v>
      </c>
      <c r="P351" s="61"/>
      <c r="Q351" s="167"/>
      <c r="R351" s="239" t="s">
        <v>5007</v>
      </c>
      <c r="S351" s="327" t="s">
        <v>5006</v>
      </c>
      <c r="T351" s="137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  <c r="BN351" s="120"/>
      <c r="BO351" s="120"/>
      <c r="BP351" s="120"/>
    </row>
    <row r="352" spans="1:68" s="121" customFormat="1" ht="20.100000000000001" customHeight="1">
      <c r="A352" s="1128" t="s">
        <v>5191</v>
      </c>
      <c r="B352" s="1128" t="s">
        <v>5190</v>
      </c>
      <c r="C352" s="1128" t="s">
        <v>5189</v>
      </c>
      <c r="D352" s="949">
        <v>575</v>
      </c>
      <c r="E352" s="949">
        <v>1050</v>
      </c>
      <c r="F352" s="949">
        <v>1050</v>
      </c>
      <c r="G352" s="63" t="s">
        <v>5022</v>
      </c>
      <c r="H352" s="211" t="s">
        <v>4552</v>
      </c>
      <c r="I352" s="38" t="s">
        <v>4725</v>
      </c>
      <c r="J352" s="30"/>
      <c r="K352" s="37">
        <v>32</v>
      </c>
      <c r="L352" s="116" t="s">
        <v>4539</v>
      </c>
      <c r="M352" s="6">
        <v>43073</v>
      </c>
      <c r="N352" s="6">
        <v>43083</v>
      </c>
      <c r="O352" s="61" t="s">
        <v>4961</v>
      </c>
      <c r="P352" s="61"/>
      <c r="Q352" s="167"/>
      <c r="R352" s="239" t="s">
        <v>5153</v>
      </c>
      <c r="S352" s="328" t="s">
        <v>1762</v>
      </c>
      <c r="T352" s="137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  <c r="BN352" s="120"/>
      <c r="BO352" s="120"/>
      <c r="BP352" s="120"/>
    </row>
    <row r="353" spans="1:68" s="121" customFormat="1" ht="20.100000000000001" customHeight="1">
      <c r="A353" s="1128" t="s">
        <v>5191</v>
      </c>
      <c r="B353" s="1128" t="s">
        <v>5190</v>
      </c>
      <c r="C353" s="1128" t="s">
        <v>5189</v>
      </c>
      <c r="D353" s="320">
        <v>725</v>
      </c>
      <c r="E353" s="320">
        <f>D353*2-100</f>
        <v>1350</v>
      </c>
      <c r="F353" s="320">
        <f>D353*2-50</f>
        <v>1400</v>
      </c>
      <c r="G353" s="234" t="s">
        <v>4575</v>
      </c>
      <c r="H353" s="194" t="s">
        <v>4552</v>
      </c>
      <c r="I353" s="38" t="s">
        <v>4725</v>
      </c>
      <c r="J353" s="30"/>
      <c r="K353" s="34" t="s">
        <v>4772</v>
      </c>
      <c r="L353" s="116" t="s">
        <v>4539</v>
      </c>
      <c r="M353" s="15">
        <v>43084</v>
      </c>
      <c r="N353" s="15">
        <v>43100</v>
      </c>
      <c r="O353" s="61" t="s">
        <v>4545</v>
      </c>
      <c r="P353" s="61"/>
      <c r="Q353" s="167"/>
      <c r="R353" s="239" t="s">
        <v>4583</v>
      </c>
      <c r="S353" s="327" t="s">
        <v>4576</v>
      </c>
      <c r="T353" s="137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  <c r="BN353" s="120"/>
      <c r="BO353" s="120"/>
      <c r="BP353" s="120"/>
    </row>
    <row r="354" spans="1:68" s="121" customFormat="1" ht="20.100000000000001" customHeight="1">
      <c r="A354" s="1128" t="s">
        <v>5191</v>
      </c>
      <c r="B354" s="1128" t="s">
        <v>5190</v>
      </c>
      <c r="C354" s="1128" t="s">
        <v>5189</v>
      </c>
      <c r="D354" s="248">
        <v>650</v>
      </c>
      <c r="E354" s="248">
        <v>1100</v>
      </c>
      <c r="F354" s="248">
        <v>1150</v>
      </c>
      <c r="G354" s="234" t="s">
        <v>4572</v>
      </c>
      <c r="H354" s="356" t="s">
        <v>4552</v>
      </c>
      <c r="I354" s="51" t="s">
        <v>4725</v>
      </c>
      <c r="J354" s="50"/>
      <c r="K354" s="51" t="s">
        <v>4772</v>
      </c>
      <c r="L354" s="118" t="s">
        <v>4539</v>
      </c>
      <c r="M354" s="15">
        <v>43060</v>
      </c>
      <c r="N354" s="15">
        <v>43076</v>
      </c>
      <c r="O354" s="61" t="s">
        <v>4545</v>
      </c>
      <c r="P354" s="61"/>
      <c r="Q354" s="167"/>
      <c r="R354" s="239" t="s">
        <v>4584</v>
      </c>
      <c r="S354" s="328" t="s">
        <v>4543</v>
      </c>
      <c r="T354" s="137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  <c r="BN354" s="120"/>
      <c r="BO354" s="120"/>
      <c r="BP354" s="120"/>
    </row>
    <row r="355" spans="1:68" s="121" customFormat="1" ht="20.100000000000001" customHeight="1">
      <c r="A355" s="1128" t="s">
        <v>5191</v>
      </c>
      <c r="B355" s="1128" t="s">
        <v>5190</v>
      </c>
      <c r="C355" s="1128" t="s">
        <v>5189</v>
      </c>
      <c r="D355" s="947">
        <v>525</v>
      </c>
      <c r="E355" s="947">
        <v>950</v>
      </c>
      <c r="F355" s="947">
        <v>950</v>
      </c>
      <c r="G355" s="234" t="s">
        <v>4904</v>
      </c>
      <c r="H355" s="36" t="s">
        <v>4552</v>
      </c>
      <c r="I355" s="38" t="s">
        <v>4725</v>
      </c>
      <c r="J355" s="38"/>
      <c r="K355" s="51" t="s">
        <v>4772</v>
      </c>
      <c r="L355" s="116" t="s">
        <v>4539</v>
      </c>
      <c r="M355" s="15">
        <v>43054</v>
      </c>
      <c r="N355" s="15">
        <v>43089</v>
      </c>
      <c r="O355" s="61" t="s">
        <v>4961</v>
      </c>
      <c r="P355" s="61"/>
      <c r="Q355" s="167"/>
      <c r="R355" s="239" t="s">
        <v>5104</v>
      </c>
      <c r="S355" s="336" t="s">
        <v>1952</v>
      </c>
      <c r="T355" s="137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  <c r="BN355" s="120"/>
      <c r="BO355" s="120"/>
      <c r="BP355" s="120"/>
    </row>
    <row r="356" spans="1:68" s="121" customFormat="1" ht="20.100000000000001" customHeight="1">
      <c r="A356" s="1128" t="s">
        <v>5191</v>
      </c>
      <c r="B356" s="1128" t="s">
        <v>5190</v>
      </c>
      <c r="C356" s="1128" t="s">
        <v>5189</v>
      </c>
      <c r="D356" s="247">
        <v>525</v>
      </c>
      <c r="E356" s="247">
        <v>950</v>
      </c>
      <c r="F356" s="247">
        <v>1000</v>
      </c>
      <c r="G356" s="29" t="s">
        <v>4542</v>
      </c>
      <c r="H356" s="48" t="s">
        <v>4552</v>
      </c>
      <c r="I356" s="38" t="s">
        <v>4725</v>
      </c>
      <c r="J356" s="30"/>
      <c r="K356" s="37">
        <v>32</v>
      </c>
      <c r="L356" s="116" t="s">
        <v>4539</v>
      </c>
      <c r="M356" s="15">
        <v>43080</v>
      </c>
      <c r="N356" s="15">
        <v>43083</v>
      </c>
      <c r="O356" s="61" t="s">
        <v>4961</v>
      </c>
      <c r="P356" s="61"/>
      <c r="Q356" s="167"/>
      <c r="R356" s="239" t="s">
        <v>5195</v>
      </c>
      <c r="S356" s="327" t="s">
        <v>5193</v>
      </c>
      <c r="T356" s="137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</row>
    <row r="357" spans="1:68" s="121" customFormat="1" ht="20.100000000000001" customHeight="1">
      <c r="A357" s="1128" t="s">
        <v>5191</v>
      </c>
      <c r="B357" s="1128" t="s">
        <v>5190</v>
      </c>
      <c r="C357" s="1128" t="s">
        <v>5189</v>
      </c>
      <c r="D357" s="247">
        <v>550</v>
      </c>
      <c r="E357" s="247">
        <v>1000</v>
      </c>
      <c r="F357" s="247">
        <v>1050</v>
      </c>
      <c r="G357" s="111" t="s">
        <v>4636</v>
      </c>
      <c r="H357" s="48" t="s">
        <v>4580</v>
      </c>
      <c r="I357" s="38" t="s">
        <v>4725</v>
      </c>
      <c r="J357" s="30"/>
      <c r="K357" s="51" t="s">
        <v>5025</v>
      </c>
      <c r="L357" s="116" t="s">
        <v>4539</v>
      </c>
      <c r="M357" s="6">
        <v>43051</v>
      </c>
      <c r="N357" s="6">
        <v>43100</v>
      </c>
      <c r="O357" s="61" t="s">
        <v>4961</v>
      </c>
      <c r="P357" s="61"/>
      <c r="Q357" s="171"/>
      <c r="R357" s="239" t="s">
        <v>5194</v>
      </c>
      <c r="S357" s="327" t="s">
        <v>4632</v>
      </c>
      <c r="T357" s="137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  <c r="BN357" s="120"/>
      <c r="BO357" s="120"/>
      <c r="BP357" s="120"/>
    </row>
    <row r="358" spans="1:68" s="121" customFormat="1" ht="20.100000000000001" customHeight="1">
      <c r="A358" s="1128" t="s">
        <v>5191</v>
      </c>
      <c r="B358" s="1128" t="s">
        <v>5190</v>
      </c>
      <c r="C358" s="1128" t="s">
        <v>5189</v>
      </c>
      <c r="D358" s="247">
        <v>675</v>
      </c>
      <c r="E358" s="247">
        <v>1050</v>
      </c>
      <c r="F358" s="247">
        <v>1050</v>
      </c>
      <c r="G358" s="224" t="s">
        <v>4569</v>
      </c>
      <c r="H358" s="36" t="s">
        <v>4580</v>
      </c>
      <c r="I358" s="38" t="s">
        <v>4725</v>
      </c>
      <c r="J358" s="38"/>
      <c r="K358" s="51" t="s">
        <v>5025</v>
      </c>
      <c r="L358" s="116" t="s">
        <v>4539</v>
      </c>
      <c r="M358" s="6">
        <v>43057</v>
      </c>
      <c r="N358" s="6">
        <v>43069</v>
      </c>
      <c r="O358" s="61" t="s">
        <v>4921</v>
      </c>
      <c r="P358" s="61"/>
      <c r="Q358" s="7"/>
      <c r="R358" s="239" t="s">
        <v>5095</v>
      </c>
      <c r="S358" s="328" t="s">
        <v>4543</v>
      </c>
      <c r="T358" s="137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  <c r="BN358" s="120"/>
      <c r="BO358" s="120"/>
      <c r="BP358" s="120"/>
    </row>
    <row r="359" spans="1:68" s="121" customFormat="1" ht="20.100000000000001" customHeight="1">
      <c r="A359" s="1128" t="s">
        <v>5191</v>
      </c>
      <c r="B359" s="1128" t="s">
        <v>5190</v>
      </c>
      <c r="C359" s="1128" t="s">
        <v>5189</v>
      </c>
      <c r="D359" s="961">
        <v>650</v>
      </c>
      <c r="E359" s="961">
        <v>1300</v>
      </c>
      <c r="F359" s="961">
        <v>1350</v>
      </c>
      <c r="G359" s="3" t="s">
        <v>4553</v>
      </c>
      <c r="H359" s="56">
        <v>4</v>
      </c>
      <c r="I359" s="51" t="s">
        <v>4725</v>
      </c>
      <c r="J359" s="34"/>
      <c r="K359" s="51" t="s">
        <v>5025</v>
      </c>
      <c r="L359" s="118" t="s">
        <v>4539</v>
      </c>
      <c r="M359" s="6">
        <v>43085</v>
      </c>
      <c r="N359" s="6">
        <v>43100</v>
      </c>
      <c r="O359" s="61" t="s">
        <v>4545</v>
      </c>
      <c r="P359" s="59"/>
      <c r="Q359" s="171"/>
      <c r="R359" s="239" t="s">
        <v>4878</v>
      </c>
      <c r="S359" s="328" t="s">
        <v>4543</v>
      </c>
      <c r="T359" s="137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  <c r="BN359" s="120"/>
      <c r="BO359" s="120"/>
      <c r="BP359" s="120"/>
    </row>
    <row r="360" spans="1:68" s="121" customFormat="1" ht="20.100000000000001" customHeight="1">
      <c r="A360" s="1128" t="s">
        <v>5191</v>
      </c>
      <c r="B360" s="1128" t="s">
        <v>5190</v>
      </c>
      <c r="C360" s="1128" t="s">
        <v>5189</v>
      </c>
      <c r="D360" s="961">
        <v>700</v>
      </c>
      <c r="E360" s="961">
        <v>1300</v>
      </c>
      <c r="F360" s="961">
        <v>1300</v>
      </c>
      <c r="G360" s="3" t="s">
        <v>4549</v>
      </c>
      <c r="H360" s="22" t="s">
        <v>4580</v>
      </c>
      <c r="I360" s="51" t="s">
        <v>4725</v>
      </c>
      <c r="J360" s="34"/>
      <c r="K360" s="51" t="s">
        <v>5025</v>
      </c>
      <c r="L360" s="118" t="s">
        <v>4539</v>
      </c>
      <c r="M360" s="6">
        <v>43070</v>
      </c>
      <c r="N360" s="6">
        <v>43100</v>
      </c>
      <c r="O360" s="61" t="s">
        <v>4545</v>
      </c>
      <c r="P360" s="59"/>
      <c r="Q360" s="171"/>
      <c r="R360" s="239" t="s">
        <v>5099</v>
      </c>
      <c r="S360" s="328" t="s">
        <v>4543</v>
      </c>
      <c r="T360" s="137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</row>
    <row r="361" spans="1:68" s="121" customFormat="1" ht="20.100000000000001" customHeight="1">
      <c r="A361" s="1128" t="s">
        <v>5191</v>
      </c>
      <c r="B361" s="1128" t="s">
        <v>5190</v>
      </c>
      <c r="C361" s="1128" t="s">
        <v>5189</v>
      </c>
      <c r="D361" s="949">
        <v>575</v>
      </c>
      <c r="E361" s="949">
        <v>1050</v>
      </c>
      <c r="F361" s="949">
        <v>1050</v>
      </c>
      <c r="G361" s="29" t="s">
        <v>5022</v>
      </c>
      <c r="H361" s="48" t="s">
        <v>4580</v>
      </c>
      <c r="I361" s="38" t="s">
        <v>4725</v>
      </c>
      <c r="J361" s="30"/>
      <c r="K361" s="51" t="s">
        <v>4940</v>
      </c>
      <c r="L361" s="116" t="s">
        <v>4539</v>
      </c>
      <c r="M361" s="6">
        <v>43073</v>
      </c>
      <c r="N361" s="6">
        <v>43083</v>
      </c>
      <c r="O361" s="61" t="s">
        <v>4961</v>
      </c>
      <c r="P361" s="59"/>
      <c r="Q361" s="167"/>
      <c r="R361" s="239" t="s">
        <v>5063</v>
      </c>
      <c r="S361" s="328" t="s">
        <v>1762</v>
      </c>
      <c r="T361" s="137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</row>
    <row r="362" spans="1:68" s="121" customFormat="1" ht="20.100000000000001" customHeight="1">
      <c r="A362" s="1128" t="s">
        <v>5191</v>
      </c>
      <c r="B362" s="1128" t="s">
        <v>5190</v>
      </c>
      <c r="C362" s="1128" t="s">
        <v>5189</v>
      </c>
      <c r="D362" s="320">
        <v>725</v>
      </c>
      <c r="E362" s="320">
        <f>D362*2-100</f>
        <v>1350</v>
      </c>
      <c r="F362" s="320">
        <f>D362*2-50</f>
        <v>1400</v>
      </c>
      <c r="G362" s="293" t="s">
        <v>4575</v>
      </c>
      <c r="H362" s="36" t="s">
        <v>4580</v>
      </c>
      <c r="I362" s="38" t="s">
        <v>4725</v>
      </c>
      <c r="J362" s="38"/>
      <c r="K362" s="51" t="s">
        <v>4940</v>
      </c>
      <c r="L362" s="116" t="s">
        <v>4539</v>
      </c>
      <c r="M362" s="15">
        <v>43084</v>
      </c>
      <c r="N362" s="15">
        <v>43100</v>
      </c>
      <c r="O362" s="61" t="s">
        <v>4545</v>
      </c>
      <c r="P362" s="74"/>
      <c r="Q362" s="167"/>
      <c r="R362" s="239" t="s">
        <v>5120</v>
      </c>
      <c r="S362" s="327" t="s">
        <v>4576</v>
      </c>
      <c r="T362" s="137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  <c r="BN362" s="120"/>
      <c r="BO362" s="120"/>
      <c r="BP362" s="120"/>
    </row>
    <row r="363" spans="1:68" s="121" customFormat="1" ht="20.100000000000001" customHeight="1">
      <c r="A363" s="1128" t="s">
        <v>5191</v>
      </c>
      <c r="B363" s="1128" t="s">
        <v>5190</v>
      </c>
      <c r="C363" s="1128" t="s">
        <v>5189</v>
      </c>
      <c r="D363" s="248">
        <v>650</v>
      </c>
      <c r="E363" s="248">
        <v>1100</v>
      </c>
      <c r="F363" s="248">
        <v>1150</v>
      </c>
      <c r="G363" s="234" t="s">
        <v>4572</v>
      </c>
      <c r="H363" s="56" t="s">
        <v>4580</v>
      </c>
      <c r="I363" s="38" t="s">
        <v>4725</v>
      </c>
      <c r="J363" s="38"/>
      <c r="K363" s="51" t="s">
        <v>4940</v>
      </c>
      <c r="L363" s="116" t="s">
        <v>4539</v>
      </c>
      <c r="M363" s="15">
        <v>43060</v>
      </c>
      <c r="N363" s="15">
        <v>43076</v>
      </c>
      <c r="O363" s="61" t="s">
        <v>4545</v>
      </c>
      <c r="P363" s="59"/>
      <c r="Q363" s="167"/>
      <c r="R363" s="239" t="s">
        <v>5002</v>
      </c>
      <c r="S363" s="328" t="s">
        <v>4543</v>
      </c>
      <c r="T363" s="137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  <c r="BN363" s="120"/>
      <c r="BO363" s="120"/>
      <c r="BP363" s="120"/>
    </row>
    <row r="364" spans="1:68" s="121" customFormat="1" ht="20.100000000000001" customHeight="1">
      <c r="A364" s="1128" t="s">
        <v>5191</v>
      </c>
      <c r="B364" s="1128" t="s">
        <v>5190</v>
      </c>
      <c r="C364" s="1128" t="s">
        <v>5189</v>
      </c>
      <c r="D364" s="947">
        <v>525</v>
      </c>
      <c r="E364" s="947">
        <v>950</v>
      </c>
      <c r="F364" s="947">
        <v>950</v>
      </c>
      <c r="G364" s="234" t="s">
        <v>4904</v>
      </c>
      <c r="H364" s="36" t="s">
        <v>4580</v>
      </c>
      <c r="I364" s="38" t="s">
        <v>4725</v>
      </c>
      <c r="J364" s="30"/>
      <c r="K364" s="51" t="s">
        <v>4940</v>
      </c>
      <c r="L364" s="116" t="s">
        <v>4539</v>
      </c>
      <c r="M364" s="15">
        <v>43054</v>
      </c>
      <c r="N364" s="15">
        <v>43089</v>
      </c>
      <c r="O364" s="61" t="s">
        <v>4961</v>
      </c>
      <c r="P364" s="28"/>
      <c r="Q364" s="167"/>
      <c r="R364" s="239" t="s">
        <v>5119</v>
      </c>
      <c r="S364" s="336" t="s">
        <v>1952</v>
      </c>
      <c r="T364" s="137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</row>
    <row r="365" spans="1:68" s="121" customFormat="1" ht="20.100000000000001" customHeight="1">
      <c r="A365" s="1128" t="s">
        <v>5191</v>
      </c>
      <c r="B365" s="1128" t="s">
        <v>5190</v>
      </c>
      <c r="C365" s="1128" t="s">
        <v>5189</v>
      </c>
      <c r="D365" s="247">
        <v>525</v>
      </c>
      <c r="E365" s="247">
        <v>950</v>
      </c>
      <c r="F365" s="247">
        <v>1000</v>
      </c>
      <c r="G365" s="70" t="s">
        <v>4542</v>
      </c>
      <c r="H365" s="48" t="s">
        <v>4580</v>
      </c>
      <c r="I365" s="38" t="s">
        <v>4725</v>
      </c>
      <c r="J365" s="30"/>
      <c r="K365" s="51" t="s">
        <v>4940</v>
      </c>
      <c r="L365" s="116" t="s">
        <v>4539</v>
      </c>
      <c r="M365" s="15">
        <v>43080</v>
      </c>
      <c r="N365" s="15">
        <v>43083</v>
      </c>
      <c r="O365" s="61" t="s">
        <v>4961</v>
      </c>
      <c r="P365" s="74"/>
      <c r="Q365" s="167"/>
      <c r="R365" s="239" t="s">
        <v>5118</v>
      </c>
      <c r="S365" s="327" t="s">
        <v>5193</v>
      </c>
      <c r="T365" s="933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  <c r="BN365" s="120"/>
      <c r="BO365" s="120"/>
      <c r="BP365" s="120"/>
    </row>
    <row r="366" spans="1:68" s="121" customFormat="1" ht="20.100000000000001" customHeight="1">
      <c r="A366" s="1128" t="s">
        <v>5191</v>
      </c>
      <c r="B366" s="1128" t="s">
        <v>5190</v>
      </c>
      <c r="C366" s="1128" t="s">
        <v>5189</v>
      </c>
      <c r="D366" s="247" ph="1">
        <v>550</v>
      </c>
      <c r="E366" s="247" ph="1">
        <v>1050</v>
      </c>
      <c r="F366" s="247" ph="1">
        <v>1100</v>
      </c>
      <c r="G366" s="111" t="s">
        <v>4566</v>
      </c>
      <c r="H366" s="56" t="s">
        <v>4580</v>
      </c>
      <c r="I366" s="38" t="s">
        <v>4725</v>
      </c>
      <c r="J366" s="30"/>
      <c r="K366" s="37" t="s">
        <v>5025</v>
      </c>
      <c r="L366" s="116" t="s">
        <v>4539</v>
      </c>
      <c r="M366" s="15">
        <v>43076</v>
      </c>
      <c r="N366" s="15">
        <v>43100</v>
      </c>
      <c r="O366" s="61" t="s">
        <v>4563</v>
      </c>
      <c r="P366" s="61"/>
      <c r="Q366" s="167"/>
      <c r="R366" s="21" t="s">
        <v>4578</v>
      </c>
      <c r="S366" s="327" t="s">
        <v>4561</v>
      </c>
      <c r="T366" s="933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  <c r="BN366" s="120"/>
      <c r="BO366" s="120"/>
      <c r="BP366" s="120"/>
    </row>
    <row r="367" spans="1:68" s="121" customFormat="1" ht="20.100000000000001" customHeight="1">
      <c r="A367" s="1128" t="s">
        <v>5191</v>
      </c>
      <c r="B367" s="1128" t="s">
        <v>5190</v>
      </c>
      <c r="C367" s="1128" t="s">
        <v>5189</v>
      </c>
      <c r="D367" s="953">
        <v>615</v>
      </c>
      <c r="E367" s="953">
        <v>1130</v>
      </c>
      <c r="F367" s="953">
        <v>1180</v>
      </c>
      <c r="G367" s="111" t="s">
        <v>4560</v>
      </c>
      <c r="H367" s="56" t="s">
        <v>4580</v>
      </c>
      <c r="I367" s="38" t="s">
        <v>4725</v>
      </c>
      <c r="J367" s="37"/>
      <c r="K367" s="34" t="s">
        <v>5025</v>
      </c>
      <c r="L367" s="116" t="s">
        <v>4539</v>
      </c>
      <c r="M367" s="15">
        <v>43084</v>
      </c>
      <c r="N367" s="15">
        <v>43100</v>
      </c>
      <c r="O367" s="61" t="s">
        <v>5005</v>
      </c>
      <c r="P367" s="61"/>
      <c r="Q367" s="167"/>
      <c r="R367" s="240" t="s">
        <v>4578</v>
      </c>
      <c r="S367" s="327" t="s">
        <v>5004</v>
      </c>
      <c r="T367" s="933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  <c r="AX367" s="120"/>
      <c r="AY367" s="120"/>
      <c r="AZ367" s="120"/>
      <c r="BA367" s="120"/>
      <c r="BB367" s="120"/>
      <c r="BC367" s="120"/>
      <c r="BD367" s="120"/>
      <c r="BE367" s="120"/>
      <c r="BF367" s="120"/>
      <c r="BG367" s="120"/>
      <c r="BH367" s="120"/>
      <c r="BI367" s="120"/>
      <c r="BJ367" s="120"/>
      <c r="BK367" s="120"/>
      <c r="BL367" s="120"/>
      <c r="BM367" s="120"/>
      <c r="BN367" s="120"/>
      <c r="BO367" s="120"/>
      <c r="BP367" s="120"/>
    </row>
    <row r="368" spans="1:68" s="121" customFormat="1" ht="20.100000000000001" customHeight="1">
      <c r="A368" s="1128" t="s">
        <v>5191</v>
      </c>
      <c r="B368" s="1128" t="s">
        <v>5190</v>
      </c>
      <c r="C368" s="1128" t="s">
        <v>5189</v>
      </c>
      <c r="D368" s="247">
        <v>550</v>
      </c>
      <c r="E368" s="247">
        <v>1000</v>
      </c>
      <c r="F368" s="247">
        <v>1000</v>
      </c>
      <c r="G368" s="234" t="s">
        <v>4557</v>
      </c>
      <c r="H368" s="48" t="s">
        <v>4580</v>
      </c>
      <c r="I368" s="38" t="s">
        <v>4725</v>
      </c>
      <c r="J368" s="30"/>
      <c r="K368" s="34" t="s">
        <v>5025</v>
      </c>
      <c r="L368" s="116" t="s">
        <v>4539</v>
      </c>
      <c r="M368" s="6">
        <v>43084</v>
      </c>
      <c r="N368" s="6">
        <v>43100</v>
      </c>
      <c r="O368" s="61" t="s">
        <v>4961</v>
      </c>
      <c r="P368" s="7"/>
      <c r="Q368" s="167"/>
      <c r="R368" s="239" t="s">
        <v>4578</v>
      </c>
      <c r="S368" s="327" t="s">
        <v>5192</v>
      </c>
      <c r="T368" s="933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  <c r="BK368" s="120"/>
      <c r="BL368" s="120"/>
      <c r="BM368" s="120"/>
      <c r="BN368" s="120"/>
      <c r="BO368" s="120"/>
      <c r="BP368" s="120"/>
    </row>
    <row r="369" spans="1:68" s="121" customFormat="1" ht="20.100000000000001" customHeight="1">
      <c r="A369" s="1128" t="s">
        <v>5191</v>
      </c>
      <c r="B369" s="1128" t="s">
        <v>5190</v>
      </c>
      <c r="C369" s="1128" t="s">
        <v>5189</v>
      </c>
      <c r="D369" s="247">
        <v>650</v>
      </c>
      <c r="E369" s="247">
        <v>1200</v>
      </c>
      <c r="F369" s="247">
        <v>1250</v>
      </c>
      <c r="G369" s="122" t="s">
        <v>4645</v>
      </c>
      <c r="H369" s="56" t="s">
        <v>4580</v>
      </c>
      <c r="I369" s="38" t="s">
        <v>4725</v>
      </c>
      <c r="J369" s="38"/>
      <c r="K369" s="34" t="s">
        <v>5025</v>
      </c>
      <c r="L369" s="116" t="s">
        <v>4539</v>
      </c>
      <c r="M369" s="6">
        <v>43060</v>
      </c>
      <c r="N369" s="6">
        <v>43093</v>
      </c>
      <c r="O369" s="61" t="s">
        <v>4961</v>
      </c>
      <c r="P369" s="7"/>
      <c r="Q369" s="167"/>
      <c r="R369" s="240" t="s">
        <v>4578</v>
      </c>
      <c r="S369" s="326" t="s">
        <v>4641</v>
      </c>
      <c r="T369" s="137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  <c r="AX369" s="120"/>
      <c r="AY369" s="120"/>
      <c r="AZ369" s="120"/>
      <c r="BA369" s="120"/>
      <c r="BB369" s="120"/>
      <c r="BC369" s="120"/>
      <c r="BD369" s="120"/>
      <c r="BE369" s="120"/>
      <c r="BF369" s="120"/>
      <c r="BG369" s="120"/>
      <c r="BH369" s="120"/>
      <c r="BI369" s="120"/>
      <c r="BJ369" s="120"/>
      <c r="BK369" s="120"/>
      <c r="BL369" s="120"/>
      <c r="BM369" s="120"/>
      <c r="BN369" s="120"/>
      <c r="BO369" s="120"/>
      <c r="BP369" s="120"/>
    </row>
    <row r="370" spans="1:68" s="121" customFormat="1" ht="20.100000000000001" customHeight="1">
      <c r="A370" s="1221" t="s">
        <v>5166</v>
      </c>
      <c r="B370" s="1221" t="s">
        <v>5182</v>
      </c>
      <c r="C370" s="1221" t="s">
        <v>5188</v>
      </c>
      <c r="D370" s="961">
        <v>650</v>
      </c>
      <c r="E370" s="961">
        <v>1300</v>
      </c>
      <c r="F370" s="961">
        <v>1350</v>
      </c>
      <c r="G370" s="3" t="s">
        <v>4553</v>
      </c>
      <c r="H370" s="56" t="s">
        <v>4635</v>
      </c>
      <c r="I370" s="51" t="s">
        <v>4725</v>
      </c>
      <c r="J370" s="34"/>
      <c r="K370" s="19" t="s">
        <v>4968</v>
      </c>
      <c r="L370" s="118" t="s">
        <v>4539</v>
      </c>
      <c r="M370" s="6">
        <v>43085</v>
      </c>
      <c r="N370" s="6">
        <v>43100</v>
      </c>
      <c r="O370" s="61" t="s">
        <v>4545</v>
      </c>
      <c r="P370" s="59"/>
      <c r="Q370" s="171"/>
      <c r="R370" s="239" t="s">
        <v>5143</v>
      </c>
      <c r="S370" s="328" t="s">
        <v>4543</v>
      </c>
      <c r="T370" s="137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  <c r="AX370" s="120"/>
      <c r="AY370" s="120"/>
      <c r="AZ370" s="120"/>
      <c r="BA370" s="120"/>
      <c r="BB370" s="120"/>
      <c r="BC370" s="120"/>
      <c r="BD370" s="120"/>
      <c r="BE370" s="120"/>
      <c r="BF370" s="120"/>
      <c r="BG370" s="120"/>
      <c r="BH370" s="120"/>
      <c r="BI370" s="120"/>
      <c r="BJ370" s="120"/>
      <c r="BK370" s="120"/>
      <c r="BL370" s="120"/>
      <c r="BM370" s="120"/>
      <c r="BN370" s="120"/>
      <c r="BO370" s="120"/>
      <c r="BP370" s="120"/>
    </row>
    <row r="371" spans="1:68" s="121" customFormat="1" ht="20.100000000000001" customHeight="1">
      <c r="A371" s="1221" t="s">
        <v>5166</v>
      </c>
      <c r="B371" s="1221" t="s">
        <v>5182</v>
      </c>
      <c r="C371" s="1221" t="s">
        <v>5188</v>
      </c>
      <c r="D371" s="961">
        <v>725</v>
      </c>
      <c r="E371" s="961">
        <v>1350</v>
      </c>
      <c r="F371" s="961">
        <v>1350</v>
      </c>
      <c r="G371" s="3" t="s">
        <v>4549</v>
      </c>
      <c r="H371" s="56" t="s">
        <v>4635</v>
      </c>
      <c r="I371" s="51" t="s">
        <v>4725</v>
      </c>
      <c r="J371" s="34"/>
      <c r="K371" s="19" t="s">
        <v>4968</v>
      </c>
      <c r="L371" s="118" t="s">
        <v>4539</v>
      </c>
      <c r="M371" s="6">
        <v>43070</v>
      </c>
      <c r="N371" s="6">
        <v>43100</v>
      </c>
      <c r="O371" s="61" t="s">
        <v>4545</v>
      </c>
      <c r="P371" s="59"/>
      <c r="Q371" s="171"/>
      <c r="R371" s="239" t="s">
        <v>5088</v>
      </c>
      <c r="S371" s="328" t="s">
        <v>4543</v>
      </c>
      <c r="T371" s="137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  <c r="AX371" s="120"/>
      <c r="AY371" s="120"/>
      <c r="AZ371" s="120"/>
      <c r="BA371" s="120"/>
      <c r="BB371" s="120"/>
      <c r="BC371" s="120"/>
      <c r="BD371" s="120"/>
      <c r="BE371" s="120"/>
      <c r="BF371" s="120"/>
      <c r="BG371" s="120"/>
      <c r="BH371" s="120"/>
      <c r="BI371" s="120"/>
      <c r="BJ371" s="120"/>
      <c r="BK371" s="120"/>
      <c r="BL371" s="120"/>
      <c r="BM371" s="120"/>
      <c r="BN371" s="120"/>
      <c r="BO371" s="120"/>
      <c r="BP371" s="120"/>
    </row>
    <row r="372" spans="1:68" s="121" customFormat="1" ht="20.100000000000001" customHeight="1">
      <c r="A372" s="1221" t="s">
        <v>5166</v>
      </c>
      <c r="B372" s="1221" t="s">
        <v>5182</v>
      </c>
      <c r="C372" s="1221" t="s">
        <v>5188</v>
      </c>
      <c r="D372" s="949">
        <v>575</v>
      </c>
      <c r="E372" s="949">
        <v>1050</v>
      </c>
      <c r="F372" s="949">
        <v>1050</v>
      </c>
      <c r="G372" s="3" t="s">
        <v>5022</v>
      </c>
      <c r="H372" s="36" t="s">
        <v>4580</v>
      </c>
      <c r="I372" s="51" t="s">
        <v>4725</v>
      </c>
      <c r="J372" s="50"/>
      <c r="K372" s="51" t="s">
        <v>4772</v>
      </c>
      <c r="L372" s="118" t="s">
        <v>4539</v>
      </c>
      <c r="M372" s="6">
        <v>43073</v>
      </c>
      <c r="N372" s="6">
        <v>43083</v>
      </c>
      <c r="O372" s="61" t="s">
        <v>4961</v>
      </c>
      <c r="P372" s="59"/>
      <c r="Q372" s="171"/>
      <c r="R372" s="239" t="s">
        <v>5140</v>
      </c>
      <c r="S372" s="328" t="s">
        <v>1762</v>
      </c>
      <c r="T372" s="137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  <c r="AX372" s="120"/>
      <c r="AY372" s="120"/>
      <c r="AZ372" s="120"/>
      <c r="BA372" s="120"/>
      <c r="BB372" s="120"/>
      <c r="BC372" s="120"/>
      <c r="BD372" s="120"/>
      <c r="BE372" s="120"/>
      <c r="BF372" s="120"/>
      <c r="BG372" s="120"/>
      <c r="BH372" s="120"/>
      <c r="BI372" s="120"/>
      <c r="BJ372" s="120"/>
      <c r="BK372" s="120"/>
      <c r="BL372" s="120"/>
      <c r="BM372" s="120"/>
      <c r="BN372" s="120"/>
      <c r="BO372" s="120"/>
      <c r="BP372" s="120"/>
    </row>
    <row r="373" spans="1:68" s="121" customFormat="1" ht="20.100000000000001" customHeight="1">
      <c r="A373" s="1221" t="s">
        <v>5166</v>
      </c>
      <c r="B373" s="1221" t="s">
        <v>5182</v>
      </c>
      <c r="C373" s="1221" t="s">
        <v>5188</v>
      </c>
      <c r="D373" s="248">
        <v>700</v>
      </c>
      <c r="E373" s="248">
        <v>1200</v>
      </c>
      <c r="F373" s="248">
        <v>1250</v>
      </c>
      <c r="G373" s="234" t="s">
        <v>4572</v>
      </c>
      <c r="H373" s="36" t="s">
        <v>4580</v>
      </c>
      <c r="I373" s="51" t="s">
        <v>4725</v>
      </c>
      <c r="J373" s="50"/>
      <c r="K373" s="51" t="s">
        <v>4772</v>
      </c>
      <c r="L373" s="118" t="s">
        <v>4539</v>
      </c>
      <c r="M373" s="15">
        <v>43060</v>
      </c>
      <c r="N373" s="15">
        <v>43076</v>
      </c>
      <c r="O373" s="61" t="s">
        <v>4545</v>
      </c>
      <c r="P373" s="128"/>
      <c r="Q373" s="171"/>
      <c r="R373" s="21" t="s">
        <v>4610</v>
      </c>
      <c r="S373" s="328" t="s">
        <v>4543</v>
      </c>
      <c r="T373" s="137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  <c r="BK373" s="120"/>
      <c r="BL373" s="120"/>
      <c r="BM373" s="120"/>
      <c r="BN373" s="120"/>
      <c r="BO373" s="120"/>
      <c r="BP373" s="120"/>
    </row>
    <row r="374" spans="1:68" s="121" customFormat="1" ht="20.100000000000001" customHeight="1">
      <c r="A374" s="1221" t="s">
        <v>5166</v>
      </c>
      <c r="B374" s="1221" t="s">
        <v>5182</v>
      </c>
      <c r="C374" s="1221" t="s">
        <v>5188</v>
      </c>
      <c r="D374" s="320">
        <v>725</v>
      </c>
      <c r="E374" s="320">
        <f>D374*2-100</f>
        <v>1350</v>
      </c>
      <c r="F374" s="320">
        <f>D374*2-50</f>
        <v>1400</v>
      </c>
      <c r="G374" s="293" t="s">
        <v>4575</v>
      </c>
      <c r="H374" s="36" t="s">
        <v>4580</v>
      </c>
      <c r="I374" s="51" t="s">
        <v>4725</v>
      </c>
      <c r="J374" s="50"/>
      <c r="K374" s="51" t="s">
        <v>4772</v>
      </c>
      <c r="L374" s="118" t="s">
        <v>4539</v>
      </c>
      <c r="M374" s="15">
        <v>43084</v>
      </c>
      <c r="N374" s="15">
        <v>43100</v>
      </c>
      <c r="O374" s="61" t="s">
        <v>4545</v>
      </c>
      <c r="P374" s="128"/>
      <c r="Q374" s="171"/>
      <c r="R374" s="21" t="s">
        <v>5139</v>
      </c>
      <c r="S374" s="327" t="s">
        <v>4576</v>
      </c>
      <c r="T374" s="137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  <c r="BK374" s="120"/>
      <c r="BL374" s="120"/>
      <c r="BM374" s="120"/>
      <c r="BN374" s="120"/>
      <c r="BO374" s="120"/>
      <c r="BP374" s="120"/>
    </row>
    <row r="375" spans="1:68" s="121" customFormat="1" ht="20.100000000000001" customHeight="1">
      <c r="A375" s="1221" t="s">
        <v>5166</v>
      </c>
      <c r="B375" s="1221" t="s">
        <v>5182</v>
      </c>
      <c r="C375" s="1221" t="s">
        <v>5188</v>
      </c>
      <c r="D375" s="947">
        <v>550</v>
      </c>
      <c r="E375" s="947">
        <v>1000</v>
      </c>
      <c r="F375" s="947">
        <v>1000</v>
      </c>
      <c r="G375" s="234" t="s">
        <v>4904</v>
      </c>
      <c r="H375" s="36" t="s">
        <v>4580</v>
      </c>
      <c r="I375" s="38" t="s">
        <v>4725</v>
      </c>
      <c r="J375" s="30"/>
      <c r="K375" s="34" t="s">
        <v>4772</v>
      </c>
      <c r="L375" s="116" t="s">
        <v>4539</v>
      </c>
      <c r="M375" s="15">
        <v>43054</v>
      </c>
      <c r="N375" s="15">
        <v>43089</v>
      </c>
      <c r="O375" s="61" t="s">
        <v>4961</v>
      </c>
      <c r="P375" s="128"/>
      <c r="Q375" s="171"/>
      <c r="R375" s="21" t="s">
        <v>5138</v>
      </c>
      <c r="S375" s="327" t="s">
        <v>5178</v>
      </c>
      <c r="T375" s="137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  <c r="BK375" s="120"/>
      <c r="BL375" s="120"/>
      <c r="BM375" s="120"/>
      <c r="BN375" s="120"/>
      <c r="BO375" s="120"/>
      <c r="BP375" s="120"/>
    </row>
    <row r="376" spans="1:68" s="121" customFormat="1" ht="20.100000000000001" customHeight="1">
      <c r="A376" s="1221" t="s">
        <v>5166</v>
      </c>
      <c r="B376" s="1221" t="s">
        <v>5182</v>
      </c>
      <c r="C376" s="1221" t="s">
        <v>5188</v>
      </c>
      <c r="D376" s="247">
        <v>625</v>
      </c>
      <c r="E376" s="247">
        <v>1150</v>
      </c>
      <c r="F376" s="247">
        <v>1200</v>
      </c>
      <c r="G376" s="29" t="s">
        <v>4542</v>
      </c>
      <c r="H376" s="36" t="s">
        <v>4580</v>
      </c>
      <c r="I376" s="51" t="s">
        <v>4725</v>
      </c>
      <c r="J376" s="50"/>
      <c r="K376" s="51" t="s">
        <v>4772</v>
      </c>
      <c r="L376" s="116" t="s">
        <v>4539</v>
      </c>
      <c r="M376" s="15">
        <v>43070</v>
      </c>
      <c r="N376" s="15">
        <v>43083</v>
      </c>
      <c r="O376" s="61" t="s">
        <v>4961</v>
      </c>
      <c r="P376" s="129"/>
      <c r="Q376" s="171"/>
      <c r="R376" s="239" t="s">
        <v>5132</v>
      </c>
      <c r="S376" s="327" t="s">
        <v>4959</v>
      </c>
      <c r="T376" s="137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  <c r="BK376" s="120"/>
      <c r="BL376" s="120"/>
      <c r="BM376" s="120"/>
      <c r="BN376" s="120"/>
      <c r="BO376" s="120"/>
      <c r="BP376" s="120"/>
    </row>
    <row r="377" spans="1:68" s="121" customFormat="1" ht="20.100000000000001" customHeight="1">
      <c r="A377" s="1221" t="s">
        <v>5166</v>
      </c>
      <c r="B377" s="1221" t="s">
        <v>5182</v>
      </c>
      <c r="C377" s="1221" t="s">
        <v>5187</v>
      </c>
      <c r="D377" s="248">
        <v>1250</v>
      </c>
      <c r="E377" s="248">
        <v>1900</v>
      </c>
      <c r="F377" s="248">
        <v>1900</v>
      </c>
      <c r="G377" s="218" t="s">
        <v>5010</v>
      </c>
      <c r="H377" s="56" t="s">
        <v>4552</v>
      </c>
      <c r="I377" s="51" t="s">
        <v>5045</v>
      </c>
      <c r="J377" s="50"/>
      <c r="K377" s="51">
        <v>27</v>
      </c>
      <c r="L377" s="19" t="s">
        <v>4539</v>
      </c>
      <c r="M377" s="6">
        <v>43070</v>
      </c>
      <c r="N377" s="6">
        <v>43083</v>
      </c>
      <c r="O377" s="61" t="s">
        <v>5008</v>
      </c>
      <c r="P377" s="59"/>
      <c r="Q377" s="167"/>
      <c r="R377" s="239" t="s">
        <v>5007</v>
      </c>
      <c r="S377" s="327" t="s">
        <v>5006</v>
      </c>
      <c r="T377" s="137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  <c r="BK377" s="120"/>
      <c r="BL377" s="120"/>
      <c r="BM377" s="120"/>
      <c r="BN377" s="120"/>
      <c r="BO377" s="120"/>
      <c r="BP377" s="120"/>
    </row>
    <row r="378" spans="1:68" s="121" customFormat="1" ht="20.100000000000001" customHeight="1">
      <c r="A378" s="1221" t="s">
        <v>5166</v>
      </c>
      <c r="B378" s="1221" t="s">
        <v>5182</v>
      </c>
      <c r="C378" s="1221" t="s">
        <v>5187</v>
      </c>
      <c r="D378" s="961">
        <f>D523+300</f>
        <v>950</v>
      </c>
      <c r="E378" s="961">
        <f>E523+500</f>
        <v>1400</v>
      </c>
      <c r="F378" s="961">
        <f>F523+500</f>
        <v>1400</v>
      </c>
      <c r="G378" s="217" t="s">
        <v>4557</v>
      </c>
      <c r="H378" s="36" t="s">
        <v>4649</v>
      </c>
      <c r="I378" s="38" t="s">
        <v>4902</v>
      </c>
      <c r="J378" s="30"/>
      <c r="K378" s="37" t="s">
        <v>5055</v>
      </c>
      <c r="L378" s="116" t="s">
        <v>4539</v>
      </c>
      <c r="M378" s="6">
        <v>43084</v>
      </c>
      <c r="N378" s="6">
        <v>43100</v>
      </c>
      <c r="O378" s="61" t="s">
        <v>4961</v>
      </c>
      <c r="P378" s="61"/>
      <c r="Q378" s="167"/>
      <c r="R378" s="240" t="s">
        <v>4998</v>
      </c>
      <c r="S378" s="327" t="s">
        <v>4973</v>
      </c>
      <c r="T378" s="137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</row>
    <row r="379" spans="1:68" s="121" customFormat="1" ht="20.100000000000001" customHeight="1">
      <c r="A379" s="1221" t="s">
        <v>5166</v>
      </c>
      <c r="B379" s="1221" t="s">
        <v>5182</v>
      </c>
      <c r="C379" s="1221" t="s">
        <v>5187</v>
      </c>
      <c r="D379" s="949">
        <v>800</v>
      </c>
      <c r="E379" s="949">
        <v>1500</v>
      </c>
      <c r="F379" s="949">
        <v>1550</v>
      </c>
      <c r="G379" s="122" t="s">
        <v>4645</v>
      </c>
      <c r="H379" s="22" t="s">
        <v>4649</v>
      </c>
      <c r="I379" s="51" t="s">
        <v>4902</v>
      </c>
      <c r="J379" s="51"/>
      <c r="K379" s="20" t="s">
        <v>4940</v>
      </c>
      <c r="L379" s="118" t="s">
        <v>4539</v>
      </c>
      <c r="M379" s="6">
        <v>43066</v>
      </c>
      <c r="N379" s="6">
        <v>43093</v>
      </c>
      <c r="O379" s="61" t="s">
        <v>4961</v>
      </c>
      <c r="P379" s="129"/>
      <c r="Q379" s="167"/>
      <c r="R379" s="240" t="s">
        <v>4998</v>
      </c>
      <c r="S379" s="326" t="s">
        <v>4641</v>
      </c>
      <c r="T379" s="137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  <c r="BK379" s="120"/>
      <c r="BL379" s="120"/>
      <c r="BM379" s="120"/>
      <c r="BN379" s="120"/>
      <c r="BO379" s="120"/>
      <c r="BP379" s="120"/>
    </row>
    <row r="380" spans="1:68" s="121" customFormat="1" ht="20.100000000000001" customHeight="1">
      <c r="A380" s="1221" t="s">
        <v>5166</v>
      </c>
      <c r="B380" s="1221" t="s">
        <v>5182</v>
      </c>
      <c r="C380" s="1221" t="s">
        <v>5187</v>
      </c>
      <c r="D380" s="320" ph="1">
        <v>525</v>
      </c>
      <c r="E380" s="320" ph="1">
        <v>950</v>
      </c>
      <c r="F380" s="320" ph="1">
        <v>1000</v>
      </c>
      <c r="G380" s="63" t="s">
        <v>4566</v>
      </c>
      <c r="H380" s="56" t="s">
        <v>4930</v>
      </c>
      <c r="I380" s="51" t="s">
        <v>5068</v>
      </c>
      <c r="J380" s="30"/>
      <c r="K380" s="30" t="s">
        <v>4739</v>
      </c>
      <c r="L380" s="116" t="s">
        <v>4539</v>
      </c>
      <c r="M380" s="15">
        <v>43084</v>
      </c>
      <c r="N380" s="15">
        <v>43100</v>
      </c>
      <c r="O380" s="61" t="s">
        <v>4563</v>
      </c>
      <c r="P380" s="61"/>
      <c r="Q380" s="7"/>
      <c r="R380" s="239" t="s">
        <v>4925</v>
      </c>
      <c r="S380" s="327" t="s">
        <v>4561</v>
      </c>
      <c r="T380" s="137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  <c r="BK380" s="120"/>
      <c r="BL380" s="120"/>
      <c r="BM380" s="120"/>
      <c r="BN380" s="120"/>
      <c r="BO380" s="120"/>
      <c r="BP380" s="120"/>
    </row>
    <row r="381" spans="1:68" s="121" customFormat="1" ht="20.100000000000001" customHeight="1">
      <c r="A381" s="1221" t="s">
        <v>5166</v>
      </c>
      <c r="B381" s="1221" t="s">
        <v>5182</v>
      </c>
      <c r="C381" s="1221" t="s">
        <v>5187</v>
      </c>
      <c r="D381" s="247">
        <v>990</v>
      </c>
      <c r="E381" s="247">
        <v>1730</v>
      </c>
      <c r="F381" s="247">
        <v>1730</v>
      </c>
      <c r="G381" s="111" t="s">
        <v>4560</v>
      </c>
      <c r="H381" s="56" t="s">
        <v>4649</v>
      </c>
      <c r="I381" s="51" t="s">
        <v>4902</v>
      </c>
      <c r="J381" s="30"/>
      <c r="K381" s="30" t="s">
        <v>4739</v>
      </c>
      <c r="L381" s="116" t="s">
        <v>4539</v>
      </c>
      <c r="M381" s="15">
        <v>43054</v>
      </c>
      <c r="N381" s="15">
        <v>43083</v>
      </c>
      <c r="O381" s="61" t="s">
        <v>5005</v>
      </c>
      <c r="P381" s="61"/>
      <c r="Q381" s="167"/>
      <c r="R381" s="240" t="s">
        <v>4998</v>
      </c>
      <c r="S381" s="327" t="s">
        <v>5004</v>
      </c>
      <c r="T381" s="137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  <c r="BN381" s="120"/>
      <c r="BO381" s="120"/>
      <c r="BP381" s="120"/>
    </row>
    <row r="382" spans="1:68" s="121" customFormat="1" ht="20.100000000000001" customHeight="1">
      <c r="A382" s="1221" t="s">
        <v>5166</v>
      </c>
      <c r="B382" s="1221" t="s">
        <v>5182</v>
      </c>
      <c r="C382" s="1221" t="s">
        <v>5187</v>
      </c>
      <c r="D382" s="320">
        <v>725</v>
      </c>
      <c r="E382" s="320">
        <f>D382*2-100</f>
        <v>1350</v>
      </c>
      <c r="F382" s="320">
        <f>D382*2-50</f>
        <v>1400</v>
      </c>
      <c r="G382" s="293" t="s">
        <v>4575</v>
      </c>
      <c r="H382" s="22" t="s">
        <v>5053</v>
      </c>
      <c r="I382" s="51" t="s">
        <v>4902</v>
      </c>
      <c r="J382" s="34"/>
      <c r="K382" s="34" t="s">
        <v>5025</v>
      </c>
      <c r="L382" s="118" t="s">
        <v>4539</v>
      </c>
      <c r="M382" s="15">
        <v>43084</v>
      </c>
      <c r="N382" s="15">
        <v>43100</v>
      </c>
      <c r="O382" s="61" t="s">
        <v>4545</v>
      </c>
      <c r="P382" s="129"/>
      <c r="Q382" s="923"/>
      <c r="R382" s="239" t="s">
        <v>5052</v>
      </c>
      <c r="S382" s="327" t="s">
        <v>4576</v>
      </c>
      <c r="T382" s="137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</row>
    <row r="383" spans="1:68" s="121" customFormat="1" ht="20.100000000000001" customHeight="1">
      <c r="A383" s="1221" t="s">
        <v>5166</v>
      </c>
      <c r="B383" s="1221" t="s">
        <v>5182</v>
      </c>
      <c r="C383" s="1221" t="s">
        <v>5187</v>
      </c>
      <c r="D383" s="961">
        <v>650</v>
      </c>
      <c r="E383" s="961">
        <v>1300</v>
      </c>
      <c r="F383" s="961">
        <v>1350</v>
      </c>
      <c r="G383" s="3" t="s">
        <v>4553</v>
      </c>
      <c r="H383" s="56" t="s">
        <v>4635</v>
      </c>
      <c r="I383" s="38" t="s">
        <v>4611</v>
      </c>
      <c r="J383" s="30"/>
      <c r="K383" s="37">
        <v>30</v>
      </c>
      <c r="L383" s="116" t="s">
        <v>4539</v>
      </c>
      <c r="M383" s="6">
        <v>43085</v>
      </c>
      <c r="N383" s="6">
        <v>43100</v>
      </c>
      <c r="O383" s="61" t="s">
        <v>4545</v>
      </c>
      <c r="P383" s="61"/>
      <c r="Q383" s="171"/>
      <c r="R383" s="239" t="s">
        <v>5143</v>
      </c>
      <c r="S383" s="328" t="s">
        <v>4543</v>
      </c>
      <c r="T383" s="137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</row>
    <row r="384" spans="1:68" s="121" customFormat="1" ht="20.100000000000001" customHeight="1">
      <c r="A384" s="1221" t="s">
        <v>5166</v>
      </c>
      <c r="B384" s="1221" t="s">
        <v>5182</v>
      </c>
      <c r="C384" s="1221" t="s">
        <v>5187</v>
      </c>
      <c r="D384" s="961">
        <v>725</v>
      </c>
      <c r="E384" s="961">
        <v>1350</v>
      </c>
      <c r="F384" s="961">
        <v>1350</v>
      </c>
      <c r="G384" s="3" t="s">
        <v>4549</v>
      </c>
      <c r="H384" s="56" t="s">
        <v>4635</v>
      </c>
      <c r="I384" s="38" t="s">
        <v>4611</v>
      </c>
      <c r="J384" s="30"/>
      <c r="K384" s="37" t="s">
        <v>5055</v>
      </c>
      <c r="L384" s="118" t="s">
        <v>4539</v>
      </c>
      <c r="M384" s="6">
        <v>43070</v>
      </c>
      <c r="N384" s="6">
        <v>43100</v>
      </c>
      <c r="O384" s="61" t="s">
        <v>4545</v>
      </c>
      <c r="P384" s="61"/>
      <c r="Q384" s="171"/>
      <c r="R384" s="239" t="s">
        <v>5088</v>
      </c>
      <c r="S384" s="328" t="s">
        <v>4543</v>
      </c>
      <c r="T384" s="137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</row>
    <row r="385" spans="1:68" s="121" customFormat="1" ht="20.100000000000001" customHeight="1">
      <c r="A385" s="1221" t="s">
        <v>5166</v>
      </c>
      <c r="B385" s="1221" t="s">
        <v>5182</v>
      </c>
      <c r="C385" s="1221" t="s">
        <v>5187</v>
      </c>
      <c r="D385" s="949">
        <v>575</v>
      </c>
      <c r="E385" s="949">
        <v>1050</v>
      </c>
      <c r="F385" s="949">
        <v>1050</v>
      </c>
      <c r="G385" s="29" t="s">
        <v>5022</v>
      </c>
      <c r="H385" s="48" t="s">
        <v>4580</v>
      </c>
      <c r="I385" s="38" t="s">
        <v>4725</v>
      </c>
      <c r="J385" s="30"/>
      <c r="K385" s="37" t="s">
        <v>4940</v>
      </c>
      <c r="L385" s="116" t="s">
        <v>4539</v>
      </c>
      <c r="M385" s="6">
        <v>43073</v>
      </c>
      <c r="N385" s="6">
        <v>43083</v>
      </c>
      <c r="O385" s="61" t="s">
        <v>4961</v>
      </c>
      <c r="P385" s="59"/>
      <c r="Q385" s="171"/>
      <c r="R385" s="239" t="s">
        <v>5140</v>
      </c>
      <c r="S385" s="328" t="s">
        <v>1762</v>
      </c>
      <c r="T385" s="137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</row>
    <row r="386" spans="1:68" s="121" customFormat="1" ht="20.100000000000001" customHeight="1">
      <c r="A386" s="1221" t="s">
        <v>5166</v>
      </c>
      <c r="B386" s="1221" t="s">
        <v>5182</v>
      </c>
      <c r="C386" s="1221" t="s">
        <v>5187</v>
      </c>
      <c r="D386" s="248">
        <v>700</v>
      </c>
      <c r="E386" s="248">
        <v>1200</v>
      </c>
      <c r="F386" s="248">
        <v>1250</v>
      </c>
      <c r="G386" s="234" t="s">
        <v>4572</v>
      </c>
      <c r="H386" s="56" t="s">
        <v>4580</v>
      </c>
      <c r="I386" s="264" t="s">
        <v>4725</v>
      </c>
      <c r="J386" s="50"/>
      <c r="K386" s="51" t="s">
        <v>4940</v>
      </c>
      <c r="L386" s="118" t="s">
        <v>4539</v>
      </c>
      <c r="M386" s="15">
        <v>43060</v>
      </c>
      <c r="N386" s="15">
        <v>43076</v>
      </c>
      <c r="O386" s="61" t="s">
        <v>4545</v>
      </c>
      <c r="P386" s="128"/>
      <c r="Q386" s="171"/>
      <c r="R386" s="239" t="s">
        <v>4610</v>
      </c>
      <c r="S386" s="328" t="s">
        <v>4543</v>
      </c>
      <c r="T386" s="137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</row>
    <row r="387" spans="1:68" s="121" customFormat="1" ht="20.100000000000001" customHeight="1">
      <c r="A387" s="1221" t="s">
        <v>5166</v>
      </c>
      <c r="B387" s="1221" t="s">
        <v>5182</v>
      </c>
      <c r="C387" s="1221" t="s">
        <v>5187</v>
      </c>
      <c r="D387" s="320">
        <v>725</v>
      </c>
      <c r="E387" s="320">
        <f>D387*2-100</f>
        <v>1350</v>
      </c>
      <c r="F387" s="320">
        <f>D387*2-50</f>
        <v>1400</v>
      </c>
      <c r="G387" s="293" t="s">
        <v>4575</v>
      </c>
      <c r="H387" s="36" t="s">
        <v>4580</v>
      </c>
      <c r="I387" s="51" t="s">
        <v>4725</v>
      </c>
      <c r="J387" s="50"/>
      <c r="K387" s="51" t="s">
        <v>4940</v>
      </c>
      <c r="L387" s="118" t="s">
        <v>4539</v>
      </c>
      <c r="M387" s="15">
        <v>43084</v>
      </c>
      <c r="N387" s="15">
        <v>43100</v>
      </c>
      <c r="O387" s="61" t="s">
        <v>4545</v>
      </c>
      <c r="P387" s="59"/>
      <c r="Q387" s="171"/>
      <c r="R387" s="239" t="s">
        <v>5139</v>
      </c>
      <c r="S387" s="327" t="s">
        <v>4576</v>
      </c>
      <c r="T387" s="137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</row>
    <row r="388" spans="1:68" s="121" customFormat="1" ht="20.100000000000001" customHeight="1">
      <c r="A388" s="1221" t="s">
        <v>5166</v>
      </c>
      <c r="B388" s="1221" t="s">
        <v>5182</v>
      </c>
      <c r="C388" s="1221" t="s">
        <v>5187</v>
      </c>
      <c r="D388" s="947">
        <v>550</v>
      </c>
      <c r="E388" s="947">
        <v>1000</v>
      </c>
      <c r="F388" s="947">
        <v>1000</v>
      </c>
      <c r="G388" s="234" t="s">
        <v>4904</v>
      </c>
      <c r="H388" s="36" t="s">
        <v>4580</v>
      </c>
      <c r="I388" s="38" t="s">
        <v>4725</v>
      </c>
      <c r="J388" s="34"/>
      <c r="K388" s="34" t="s">
        <v>4724</v>
      </c>
      <c r="L388" s="116" t="s">
        <v>4539</v>
      </c>
      <c r="M388" s="15">
        <v>43054</v>
      </c>
      <c r="N388" s="15">
        <v>43089</v>
      </c>
      <c r="O388" s="61" t="s">
        <v>5149</v>
      </c>
      <c r="P388" s="59"/>
      <c r="Q388" s="171"/>
      <c r="R388" s="21" t="s">
        <v>5138</v>
      </c>
      <c r="S388" s="327" t="s">
        <v>5178</v>
      </c>
      <c r="T388" s="137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</row>
    <row r="389" spans="1:68" s="121" customFormat="1" ht="20.100000000000001" customHeight="1">
      <c r="A389" s="1221" t="s">
        <v>5166</v>
      </c>
      <c r="B389" s="1221" t="s">
        <v>5182</v>
      </c>
      <c r="C389" s="1221" t="s">
        <v>5187</v>
      </c>
      <c r="D389" s="247">
        <v>625</v>
      </c>
      <c r="E389" s="247">
        <v>1150</v>
      </c>
      <c r="F389" s="247">
        <v>1200</v>
      </c>
      <c r="G389" s="29" t="s">
        <v>4542</v>
      </c>
      <c r="H389" s="36" t="s">
        <v>4580</v>
      </c>
      <c r="I389" s="51" t="s">
        <v>4725</v>
      </c>
      <c r="J389" s="50"/>
      <c r="K389" s="51" t="s">
        <v>4940</v>
      </c>
      <c r="L389" s="116" t="s">
        <v>4539</v>
      </c>
      <c r="M389" s="15">
        <v>43070</v>
      </c>
      <c r="N389" s="15">
        <v>43083</v>
      </c>
      <c r="O389" s="61" t="s">
        <v>4961</v>
      </c>
      <c r="P389" s="59"/>
      <c r="Q389" s="171"/>
      <c r="R389" s="239" t="s">
        <v>5132</v>
      </c>
      <c r="S389" s="327" t="s">
        <v>4959</v>
      </c>
      <c r="T389" s="137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</row>
    <row r="390" spans="1:68" s="121" customFormat="1" ht="20.100000000000001" customHeight="1">
      <c r="A390" s="1221" t="s">
        <v>5166</v>
      </c>
      <c r="B390" s="1221" t="s">
        <v>5182</v>
      </c>
      <c r="C390" s="1221" t="s">
        <v>5185</v>
      </c>
      <c r="D390" s="961">
        <f>D310+75</f>
        <v>800</v>
      </c>
      <c r="E390" s="961">
        <f>E310+150</f>
        <v>1400</v>
      </c>
      <c r="F390" s="961">
        <f>F310+150</f>
        <v>1450</v>
      </c>
      <c r="G390" s="217" t="s">
        <v>4572</v>
      </c>
      <c r="H390" s="56" t="s">
        <v>4552</v>
      </c>
      <c r="I390" s="20" t="s">
        <v>4885</v>
      </c>
      <c r="J390" s="34"/>
      <c r="K390" s="51">
        <v>40</v>
      </c>
      <c r="L390" s="118" t="s">
        <v>4539</v>
      </c>
      <c r="M390" s="15">
        <v>43060</v>
      </c>
      <c r="N390" s="15">
        <v>43076</v>
      </c>
      <c r="O390" s="61" t="s">
        <v>4545</v>
      </c>
      <c r="P390" s="59"/>
      <c r="Q390" s="167"/>
      <c r="R390" s="239" t="s">
        <v>4584</v>
      </c>
      <c r="S390" s="328" t="s">
        <v>4543</v>
      </c>
      <c r="T390" s="137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</row>
    <row r="391" spans="1:68" s="121" customFormat="1" ht="20.100000000000001" customHeight="1">
      <c r="A391" s="1221" t="s">
        <v>5166</v>
      </c>
      <c r="B391" s="1221" t="s">
        <v>5182</v>
      </c>
      <c r="C391" s="1221" t="s">
        <v>5185</v>
      </c>
      <c r="D391" s="248"/>
      <c r="E391" s="248"/>
      <c r="F391" s="248"/>
      <c r="G391" s="218" t="s">
        <v>5010</v>
      </c>
      <c r="H391" s="56" t="s">
        <v>4552</v>
      </c>
      <c r="I391" s="51" t="s">
        <v>5045</v>
      </c>
      <c r="J391" s="50"/>
      <c r="K391" s="51">
        <v>27</v>
      </c>
      <c r="L391" s="19" t="s">
        <v>4539</v>
      </c>
      <c r="M391" s="6">
        <v>43070</v>
      </c>
      <c r="N391" s="6">
        <v>43083</v>
      </c>
      <c r="O391" s="61" t="s">
        <v>5008</v>
      </c>
      <c r="P391" s="59"/>
      <c r="Q391" s="167"/>
      <c r="R391" s="239" t="s">
        <v>5007</v>
      </c>
      <c r="S391" s="327" t="s">
        <v>5006</v>
      </c>
      <c r="T391" s="137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</row>
    <row r="392" spans="1:68" s="121" customFormat="1" ht="20.100000000000001" customHeight="1">
      <c r="A392" s="1221" t="s">
        <v>5166</v>
      </c>
      <c r="B392" s="1221" t="s">
        <v>5182</v>
      </c>
      <c r="C392" s="1221" t="s">
        <v>5185</v>
      </c>
      <c r="D392" s="320">
        <v>775</v>
      </c>
      <c r="E392" s="320">
        <f>D392*2-100</f>
        <v>1450</v>
      </c>
      <c r="F392" s="320">
        <f>D392*2-50</f>
        <v>1500</v>
      </c>
      <c r="G392" s="293" t="s">
        <v>4575</v>
      </c>
      <c r="H392" s="22" t="s">
        <v>5053</v>
      </c>
      <c r="I392" s="51" t="s">
        <v>4902</v>
      </c>
      <c r="J392" s="34"/>
      <c r="K392" s="34" t="s">
        <v>5025</v>
      </c>
      <c r="L392" s="118" t="s">
        <v>4539</v>
      </c>
      <c r="M392" s="15">
        <v>43084</v>
      </c>
      <c r="N392" s="15">
        <v>43100</v>
      </c>
      <c r="O392" s="61" t="s">
        <v>4545</v>
      </c>
      <c r="P392" s="129"/>
      <c r="Q392" s="923"/>
      <c r="R392" s="239" t="s">
        <v>5052</v>
      </c>
      <c r="S392" s="327" t="s">
        <v>4576</v>
      </c>
      <c r="T392" s="137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</row>
    <row r="393" spans="1:68" s="121" customFormat="1" ht="20.100000000000001" customHeight="1">
      <c r="A393" s="1221" t="s">
        <v>5166</v>
      </c>
      <c r="B393" s="1221" t="s">
        <v>5182</v>
      </c>
      <c r="C393" s="1221" t="s">
        <v>5185</v>
      </c>
      <c r="D393" s="947">
        <v>575</v>
      </c>
      <c r="E393" s="947">
        <v>1050</v>
      </c>
      <c r="F393" s="947">
        <v>1050</v>
      </c>
      <c r="G393" s="234" t="s">
        <v>4904</v>
      </c>
      <c r="H393" s="22" t="s">
        <v>4903</v>
      </c>
      <c r="I393" s="51" t="s">
        <v>4902</v>
      </c>
      <c r="J393" s="50"/>
      <c r="K393" s="50" t="s">
        <v>5186</v>
      </c>
      <c r="L393" s="118" t="s">
        <v>4539</v>
      </c>
      <c r="M393" s="15">
        <v>43054</v>
      </c>
      <c r="N393" s="15">
        <v>43089</v>
      </c>
      <c r="O393" s="61" t="s">
        <v>4961</v>
      </c>
      <c r="P393" s="59"/>
      <c r="Q393" s="7"/>
      <c r="R393" s="239" t="s">
        <v>5183</v>
      </c>
      <c r="S393" s="327" t="s">
        <v>4632</v>
      </c>
      <c r="T393" s="137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</row>
    <row r="394" spans="1:68" s="121" customFormat="1" ht="20.100000000000001" customHeight="1">
      <c r="A394" s="1221" t="s">
        <v>5166</v>
      </c>
      <c r="B394" s="1221" t="s">
        <v>5182</v>
      </c>
      <c r="C394" s="1221" t="s">
        <v>5185</v>
      </c>
      <c r="D394" s="961">
        <v>650</v>
      </c>
      <c r="E394" s="961">
        <v>1300</v>
      </c>
      <c r="F394" s="961">
        <v>1350</v>
      </c>
      <c r="G394" s="3" t="s">
        <v>4553</v>
      </c>
      <c r="H394" s="56" t="s">
        <v>4635</v>
      </c>
      <c r="I394" s="51" t="s">
        <v>4611</v>
      </c>
      <c r="J394" s="34"/>
      <c r="K394" s="50">
        <v>26</v>
      </c>
      <c r="L394" s="118" t="s">
        <v>4539</v>
      </c>
      <c r="M394" s="6">
        <v>43085</v>
      </c>
      <c r="N394" s="6">
        <v>43100</v>
      </c>
      <c r="O394" s="61" t="s">
        <v>4545</v>
      </c>
      <c r="P394" s="61"/>
      <c r="Q394" s="171"/>
      <c r="R394" s="239" t="s">
        <v>5143</v>
      </c>
      <c r="S394" s="328" t="s">
        <v>4543</v>
      </c>
      <c r="T394" s="137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</row>
    <row r="395" spans="1:68" s="121" customFormat="1" ht="20.100000000000001" customHeight="1">
      <c r="A395" s="1221" t="s">
        <v>5166</v>
      </c>
      <c r="B395" s="1221" t="s">
        <v>5182</v>
      </c>
      <c r="C395" s="1221" t="s">
        <v>5185</v>
      </c>
      <c r="D395" s="961">
        <v>725</v>
      </c>
      <c r="E395" s="961">
        <v>1350</v>
      </c>
      <c r="F395" s="961">
        <v>1350</v>
      </c>
      <c r="G395" s="3" t="s">
        <v>4549</v>
      </c>
      <c r="H395" s="56" t="s">
        <v>4635</v>
      </c>
      <c r="I395" s="51" t="s">
        <v>4611</v>
      </c>
      <c r="J395" s="34"/>
      <c r="K395" s="50" t="s">
        <v>5025</v>
      </c>
      <c r="L395" s="118" t="s">
        <v>4539</v>
      </c>
      <c r="M395" s="6">
        <v>43070</v>
      </c>
      <c r="N395" s="6">
        <v>43100</v>
      </c>
      <c r="O395" s="61" t="s">
        <v>4545</v>
      </c>
      <c r="P395" s="61"/>
      <c r="Q395" s="171"/>
      <c r="R395" s="239" t="s">
        <v>5088</v>
      </c>
      <c r="S395" s="328" t="s">
        <v>4543</v>
      </c>
      <c r="T395" s="137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</row>
    <row r="396" spans="1:68" s="121" customFormat="1" ht="20.100000000000001" customHeight="1">
      <c r="A396" s="1221" t="s">
        <v>5166</v>
      </c>
      <c r="B396" s="1221" t="s">
        <v>5182</v>
      </c>
      <c r="C396" s="1221" t="s">
        <v>5181</v>
      </c>
      <c r="D396" s="248">
        <f>D310+100</f>
        <v>825</v>
      </c>
      <c r="E396" s="248">
        <f>E310+200</f>
        <v>1450</v>
      </c>
      <c r="F396" s="248">
        <f>F310+200</f>
        <v>1500</v>
      </c>
      <c r="G396" s="217" t="s">
        <v>4572</v>
      </c>
      <c r="H396" s="56" t="s">
        <v>4552</v>
      </c>
      <c r="I396" s="20" t="s">
        <v>4885</v>
      </c>
      <c r="J396" s="34"/>
      <c r="K396" s="50">
        <v>36</v>
      </c>
      <c r="L396" s="118" t="s">
        <v>4539</v>
      </c>
      <c r="M396" s="15">
        <v>43060</v>
      </c>
      <c r="N396" s="15">
        <v>43076</v>
      </c>
      <c r="O396" s="61" t="s">
        <v>4545</v>
      </c>
      <c r="P396" s="131"/>
      <c r="Q396" s="167"/>
      <c r="R396" s="239" t="s">
        <v>4584</v>
      </c>
      <c r="S396" s="328" t="s">
        <v>4543</v>
      </c>
      <c r="T396" s="137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</row>
    <row r="397" spans="1:68" s="121" customFormat="1" ht="20.100000000000001" customHeight="1">
      <c r="A397" s="1221" t="s">
        <v>5166</v>
      </c>
      <c r="B397" s="1221" t="s">
        <v>5182</v>
      </c>
      <c r="C397" s="1221" t="s">
        <v>5181</v>
      </c>
      <c r="D397" s="320" ph="1">
        <v>525</v>
      </c>
      <c r="E397" s="320" ph="1">
        <v>950</v>
      </c>
      <c r="F397" s="320" ph="1">
        <v>1000</v>
      </c>
      <c r="G397" s="63" t="s">
        <v>4566</v>
      </c>
      <c r="H397" s="56" t="s">
        <v>4930</v>
      </c>
      <c r="I397" s="51" t="s">
        <v>5068</v>
      </c>
      <c r="J397" s="30"/>
      <c r="K397" s="30" t="s">
        <v>4739</v>
      </c>
      <c r="L397" s="116" t="s">
        <v>4539</v>
      </c>
      <c r="M397" s="15">
        <v>43084</v>
      </c>
      <c r="N397" s="15">
        <v>43100</v>
      </c>
      <c r="O397" s="61" t="s">
        <v>4563</v>
      </c>
      <c r="P397" s="61"/>
      <c r="Q397" s="7"/>
      <c r="R397" s="239" t="s">
        <v>4925</v>
      </c>
      <c r="S397" s="327" t="s">
        <v>4561</v>
      </c>
      <c r="T397" s="137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</row>
    <row r="398" spans="1:68" s="121" customFormat="1" ht="20.100000000000001" customHeight="1">
      <c r="A398" s="1221" t="s">
        <v>5166</v>
      </c>
      <c r="B398" s="1221" t="s">
        <v>5182</v>
      </c>
      <c r="C398" s="1221" t="s">
        <v>5181</v>
      </c>
      <c r="D398" s="320">
        <v>775</v>
      </c>
      <c r="E398" s="320">
        <f>D398*2-100</f>
        <v>1450</v>
      </c>
      <c r="F398" s="320">
        <f>D398*2-50</f>
        <v>1500</v>
      </c>
      <c r="G398" s="293" t="s">
        <v>4575</v>
      </c>
      <c r="H398" s="22" t="s">
        <v>5053</v>
      </c>
      <c r="I398" s="51" t="s">
        <v>4902</v>
      </c>
      <c r="J398" s="34"/>
      <c r="K398" s="34" t="s">
        <v>4772</v>
      </c>
      <c r="L398" s="118" t="s">
        <v>4539</v>
      </c>
      <c r="M398" s="15">
        <v>43084</v>
      </c>
      <c r="N398" s="15">
        <v>43100</v>
      </c>
      <c r="O398" s="61" t="s">
        <v>4545</v>
      </c>
      <c r="P398" s="130"/>
      <c r="Q398" s="923"/>
      <c r="R398" s="239" t="s">
        <v>5052</v>
      </c>
      <c r="S398" s="327" t="s">
        <v>4576</v>
      </c>
      <c r="T398" s="137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</row>
    <row r="399" spans="1:68" s="121" customFormat="1" ht="20.100000000000001" customHeight="1">
      <c r="A399" s="1221" t="s">
        <v>5166</v>
      </c>
      <c r="B399" s="1221" t="s">
        <v>5182</v>
      </c>
      <c r="C399" s="1221" t="s">
        <v>5181</v>
      </c>
      <c r="D399" s="947">
        <v>575</v>
      </c>
      <c r="E399" s="947">
        <v>1050</v>
      </c>
      <c r="F399" s="947">
        <v>1050</v>
      </c>
      <c r="G399" s="234" t="s">
        <v>4904</v>
      </c>
      <c r="H399" s="22" t="s">
        <v>4903</v>
      </c>
      <c r="I399" s="51" t="s">
        <v>4902</v>
      </c>
      <c r="J399" s="50"/>
      <c r="K399" s="50" t="s">
        <v>5184</v>
      </c>
      <c r="L399" s="118" t="s">
        <v>4539</v>
      </c>
      <c r="M399" s="15">
        <v>43054</v>
      </c>
      <c r="N399" s="15">
        <v>43089</v>
      </c>
      <c r="O399" s="61" t="s">
        <v>4961</v>
      </c>
      <c r="P399" s="131"/>
      <c r="Q399" s="7"/>
      <c r="R399" s="239" t="s">
        <v>5183</v>
      </c>
      <c r="S399" s="327" t="s">
        <v>4632</v>
      </c>
      <c r="T399" s="137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</row>
    <row r="400" spans="1:68" s="121" customFormat="1" ht="20.100000000000001" customHeight="1">
      <c r="A400" s="1221" t="s">
        <v>5166</v>
      </c>
      <c r="B400" s="1221" t="s">
        <v>5182</v>
      </c>
      <c r="C400" s="1221" t="s">
        <v>5181</v>
      </c>
      <c r="D400" s="961">
        <v>725</v>
      </c>
      <c r="E400" s="961">
        <v>1350</v>
      </c>
      <c r="F400" s="961">
        <v>1350</v>
      </c>
      <c r="G400" s="29" t="s">
        <v>4549</v>
      </c>
      <c r="H400" s="56" t="s">
        <v>4635</v>
      </c>
      <c r="I400" s="38" t="s">
        <v>4611</v>
      </c>
      <c r="J400" s="37"/>
      <c r="K400" s="50" t="s">
        <v>5055</v>
      </c>
      <c r="L400" s="118" t="s">
        <v>4539</v>
      </c>
      <c r="M400" s="6">
        <v>43070</v>
      </c>
      <c r="N400" s="6">
        <v>43100</v>
      </c>
      <c r="O400" s="61" t="s">
        <v>4545</v>
      </c>
      <c r="P400" s="130"/>
      <c r="Q400" s="171"/>
      <c r="R400" s="239" t="s">
        <v>5088</v>
      </c>
      <c r="S400" s="328" t="s">
        <v>4543</v>
      </c>
      <c r="T400" s="137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</row>
    <row r="401" spans="1:68" s="121" customFormat="1" ht="20.100000000000001" customHeight="1">
      <c r="A401" s="1221" t="s">
        <v>5166</v>
      </c>
      <c r="B401" s="1221" t="s">
        <v>5182</v>
      </c>
      <c r="C401" s="1221" t="s">
        <v>5181</v>
      </c>
      <c r="D401" s="961">
        <v>650</v>
      </c>
      <c r="E401" s="961">
        <v>1300</v>
      </c>
      <c r="F401" s="961">
        <v>1350</v>
      </c>
      <c r="G401" s="3" t="s">
        <v>4553</v>
      </c>
      <c r="H401" s="56" t="s">
        <v>4580</v>
      </c>
      <c r="I401" s="51" t="s">
        <v>4879</v>
      </c>
      <c r="J401" s="34"/>
      <c r="K401" s="50">
        <v>27</v>
      </c>
      <c r="L401" s="118" t="s">
        <v>4539</v>
      </c>
      <c r="M401" s="6">
        <v>43085</v>
      </c>
      <c r="N401" s="6">
        <v>43100</v>
      </c>
      <c r="O401" s="61" t="s">
        <v>4545</v>
      </c>
      <c r="P401" s="59"/>
      <c r="Q401" s="171"/>
      <c r="R401" s="239" t="s">
        <v>4878</v>
      </c>
      <c r="S401" s="328" t="s">
        <v>4543</v>
      </c>
      <c r="T401" s="137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</row>
    <row r="402" spans="1:68" s="121" customFormat="1" ht="20.100000000000001" customHeight="1">
      <c r="A402" s="1221" t="s">
        <v>5166</v>
      </c>
      <c r="B402" s="1221" t="s">
        <v>5180</v>
      </c>
      <c r="C402" s="1221" t="s">
        <v>5179</v>
      </c>
      <c r="D402" s="248">
        <v>1250</v>
      </c>
      <c r="E402" s="248">
        <v>1900</v>
      </c>
      <c r="F402" s="248">
        <v>1900</v>
      </c>
      <c r="G402" s="218" t="s">
        <v>5010</v>
      </c>
      <c r="H402" s="56" t="s">
        <v>4552</v>
      </c>
      <c r="I402" s="51" t="s">
        <v>5045</v>
      </c>
      <c r="J402" s="50"/>
      <c r="K402" s="51">
        <v>27</v>
      </c>
      <c r="L402" s="19" t="s">
        <v>4539</v>
      </c>
      <c r="M402" s="6">
        <v>43070</v>
      </c>
      <c r="N402" s="6">
        <v>43083</v>
      </c>
      <c r="O402" s="61" t="s">
        <v>5008</v>
      </c>
      <c r="P402" s="59"/>
      <c r="Q402" s="167"/>
      <c r="R402" s="239" t="s">
        <v>5007</v>
      </c>
      <c r="S402" s="327" t="s">
        <v>5006</v>
      </c>
      <c r="T402" s="137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</row>
    <row r="403" spans="1:68" s="121" customFormat="1" ht="20.100000000000001" customHeight="1">
      <c r="A403" s="1221" t="s">
        <v>5166</v>
      </c>
      <c r="B403" s="1221" t="s">
        <v>5180</v>
      </c>
      <c r="C403" s="1221" t="s">
        <v>5179</v>
      </c>
      <c r="D403" s="320" ph="1">
        <v>550</v>
      </c>
      <c r="E403" s="320" ph="1">
        <v>1000</v>
      </c>
      <c r="F403" s="320" ph="1">
        <v>1050</v>
      </c>
      <c r="G403" s="63" t="s">
        <v>4566</v>
      </c>
      <c r="H403" s="56" t="s">
        <v>4930</v>
      </c>
      <c r="I403" s="51" t="s">
        <v>5068</v>
      </c>
      <c r="J403" s="30"/>
      <c r="K403" s="30" t="s">
        <v>4739</v>
      </c>
      <c r="L403" s="116" t="s">
        <v>4539</v>
      </c>
      <c r="M403" s="15">
        <v>43084</v>
      </c>
      <c r="N403" s="15">
        <v>43100</v>
      </c>
      <c r="O403" s="61" t="s">
        <v>4563</v>
      </c>
      <c r="P403" s="59"/>
      <c r="Q403" s="7"/>
      <c r="R403" s="239" t="s">
        <v>4925</v>
      </c>
      <c r="S403" s="327" t="s">
        <v>4561</v>
      </c>
      <c r="T403" s="137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</row>
    <row r="404" spans="1:68" s="121" customFormat="1" ht="20.100000000000001" customHeight="1">
      <c r="A404" s="1221" t="s">
        <v>5166</v>
      </c>
      <c r="B404" s="1221" t="s">
        <v>5180</v>
      </c>
      <c r="C404" s="1221" t="s">
        <v>5179</v>
      </c>
      <c r="D404" s="247">
        <f>D494+400</f>
        <v>965</v>
      </c>
      <c r="E404" s="247">
        <f>E494+650</f>
        <v>1480</v>
      </c>
      <c r="F404" s="247">
        <f>F494+650</f>
        <v>1480</v>
      </c>
      <c r="G404" s="705" t="s">
        <v>4560</v>
      </c>
      <c r="H404" s="56" t="s">
        <v>4649</v>
      </c>
      <c r="I404" s="51" t="s">
        <v>4902</v>
      </c>
      <c r="J404" s="30"/>
      <c r="K404" s="30" t="s">
        <v>4739</v>
      </c>
      <c r="L404" s="116" t="s">
        <v>4539</v>
      </c>
      <c r="M404" s="15">
        <v>43075</v>
      </c>
      <c r="N404" s="15">
        <v>43083</v>
      </c>
      <c r="O404" s="61" t="s">
        <v>5005</v>
      </c>
      <c r="P404" s="59"/>
      <c r="Q404" s="167"/>
      <c r="R404" s="240" t="s">
        <v>4998</v>
      </c>
      <c r="S404" s="327" t="s">
        <v>5004</v>
      </c>
      <c r="T404" s="137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</row>
    <row r="405" spans="1:68" s="121" customFormat="1" ht="20.100000000000001" customHeight="1">
      <c r="A405" s="1221" t="s">
        <v>5166</v>
      </c>
      <c r="B405" s="1221" t="s">
        <v>5180</v>
      </c>
      <c r="C405" s="1221" t="s">
        <v>5179</v>
      </c>
      <c r="D405" s="247">
        <f>D523+350</f>
        <v>1000</v>
      </c>
      <c r="E405" s="247">
        <f>E523+600</f>
        <v>1500</v>
      </c>
      <c r="F405" s="247">
        <f>F523+600</f>
        <v>1500</v>
      </c>
      <c r="G405" s="217" t="s">
        <v>4557</v>
      </c>
      <c r="H405" s="36" t="s">
        <v>4649</v>
      </c>
      <c r="I405" s="38" t="s">
        <v>4902</v>
      </c>
      <c r="J405" s="30"/>
      <c r="K405" s="37" t="s">
        <v>5055</v>
      </c>
      <c r="L405" s="116" t="s">
        <v>4539</v>
      </c>
      <c r="M405" s="6">
        <v>43084</v>
      </c>
      <c r="N405" s="6">
        <v>43100</v>
      </c>
      <c r="O405" s="61" t="s">
        <v>4961</v>
      </c>
      <c r="P405" s="59"/>
      <c r="Q405" s="167"/>
      <c r="R405" s="240" t="s">
        <v>4998</v>
      </c>
      <c r="S405" s="327" t="s">
        <v>4973</v>
      </c>
      <c r="T405" s="933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</row>
    <row r="406" spans="1:68" s="121" customFormat="1" ht="20.100000000000001" customHeight="1">
      <c r="A406" s="1221" t="s">
        <v>5166</v>
      </c>
      <c r="B406" s="1221" t="s">
        <v>5180</v>
      </c>
      <c r="C406" s="1221" t="s">
        <v>5179</v>
      </c>
      <c r="D406" s="961">
        <v>700</v>
      </c>
      <c r="E406" s="961">
        <v>1400</v>
      </c>
      <c r="F406" s="961">
        <v>1450</v>
      </c>
      <c r="G406" s="3" t="s">
        <v>4553</v>
      </c>
      <c r="H406" s="56" t="s">
        <v>4635</v>
      </c>
      <c r="I406" s="51" t="s">
        <v>4725</v>
      </c>
      <c r="J406" s="34"/>
      <c r="K406" s="51" t="s">
        <v>4895</v>
      </c>
      <c r="L406" s="118" t="s">
        <v>4539</v>
      </c>
      <c r="M406" s="6">
        <v>43085</v>
      </c>
      <c r="N406" s="6">
        <v>43100</v>
      </c>
      <c r="O406" s="61" t="s">
        <v>4545</v>
      </c>
      <c r="P406" s="59"/>
      <c r="Q406" s="171"/>
      <c r="R406" s="239" t="s">
        <v>5143</v>
      </c>
      <c r="S406" s="328" t="s">
        <v>4543</v>
      </c>
      <c r="T406" s="137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</row>
    <row r="407" spans="1:68" s="121" customFormat="1" ht="20.100000000000001" customHeight="1">
      <c r="A407" s="1221" t="s">
        <v>5166</v>
      </c>
      <c r="B407" s="1221" t="s">
        <v>5180</v>
      </c>
      <c r="C407" s="1221" t="s">
        <v>5179</v>
      </c>
      <c r="D407" s="961">
        <v>750</v>
      </c>
      <c r="E407" s="961">
        <v>1200</v>
      </c>
      <c r="F407" s="961">
        <v>1200</v>
      </c>
      <c r="G407" s="3" t="s">
        <v>4549</v>
      </c>
      <c r="H407" s="56" t="s">
        <v>4635</v>
      </c>
      <c r="I407" s="51" t="s">
        <v>4725</v>
      </c>
      <c r="J407" s="34"/>
      <c r="K407" s="51" t="s">
        <v>4895</v>
      </c>
      <c r="L407" s="118" t="s">
        <v>4539</v>
      </c>
      <c r="M407" s="6">
        <v>43078</v>
      </c>
      <c r="N407" s="6">
        <v>43100</v>
      </c>
      <c r="O407" s="61" t="s">
        <v>4545</v>
      </c>
      <c r="P407" s="59"/>
      <c r="Q407" s="171"/>
      <c r="R407" s="239" t="s">
        <v>5088</v>
      </c>
      <c r="S407" s="328" t="s">
        <v>4543</v>
      </c>
      <c r="T407" s="137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</row>
    <row r="408" spans="1:68" s="121" customFormat="1" ht="20.100000000000001" customHeight="1">
      <c r="A408" s="1221" t="s">
        <v>5166</v>
      </c>
      <c r="B408" s="1221" t="s">
        <v>5180</v>
      </c>
      <c r="C408" s="1221" t="s">
        <v>5179</v>
      </c>
      <c r="D408" s="949">
        <v>575</v>
      </c>
      <c r="E408" s="949">
        <v>1050</v>
      </c>
      <c r="F408" s="949">
        <v>1050</v>
      </c>
      <c r="G408" s="29" t="s">
        <v>5022</v>
      </c>
      <c r="H408" s="48" t="s">
        <v>4580</v>
      </c>
      <c r="I408" s="38" t="s">
        <v>4725</v>
      </c>
      <c r="J408" s="30"/>
      <c r="K408" s="37" t="s">
        <v>5055</v>
      </c>
      <c r="L408" s="116" t="s">
        <v>4539</v>
      </c>
      <c r="M408" s="6">
        <v>43073</v>
      </c>
      <c r="N408" s="6">
        <v>43083</v>
      </c>
      <c r="O408" s="61" t="s">
        <v>4961</v>
      </c>
      <c r="P408" s="61"/>
      <c r="Q408" s="171"/>
      <c r="R408" s="239" t="s">
        <v>5140</v>
      </c>
      <c r="S408" s="328" t="s">
        <v>1762</v>
      </c>
      <c r="T408" s="933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</row>
    <row r="409" spans="1:68" s="121" customFormat="1" ht="20.100000000000001" customHeight="1">
      <c r="A409" s="1221" t="s">
        <v>5166</v>
      </c>
      <c r="B409" s="1221" t="s">
        <v>5180</v>
      </c>
      <c r="C409" s="1221" t="s">
        <v>5179</v>
      </c>
      <c r="D409" s="248">
        <v>700</v>
      </c>
      <c r="E409" s="248">
        <v>1200</v>
      </c>
      <c r="F409" s="248">
        <v>1250</v>
      </c>
      <c r="G409" s="234" t="s">
        <v>4572</v>
      </c>
      <c r="H409" s="36" t="s">
        <v>4580</v>
      </c>
      <c r="I409" s="51" t="s">
        <v>4725</v>
      </c>
      <c r="J409" s="132"/>
      <c r="K409" s="51" t="s">
        <v>5055</v>
      </c>
      <c r="L409" s="118" t="s">
        <v>4539</v>
      </c>
      <c r="M409" s="15">
        <v>43060</v>
      </c>
      <c r="N409" s="15">
        <v>43076</v>
      </c>
      <c r="O409" s="61" t="s">
        <v>4545</v>
      </c>
      <c r="P409" s="128"/>
      <c r="Q409" s="171"/>
      <c r="R409" s="21" t="s">
        <v>4610</v>
      </c>
      <c r="S409" s="328" t="s">
        <v>4543</v>
      </c>
      <c r="T409" s="933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</row>
    <row r="410" spans="1:68" s="121" customFormat="1" ht="20.100000000000001" customHeight="1">
      <c r="A410" s="1221" t="s">
        <v>5166</v>
      </c>
      <c r="B410" s="1221" t="s">
        <v>5180</v>
      </c>
      <c r="C410" s="1221" t="s">
        <v>5179</v>
      </c>
      <c r="D410" s="320">
        <v>775</v>
      </c>
      <c r="E410" s="320">
        <f>D410*2-100</f>
        <v>1450</v>
      </c>
      <c r="F410" s="320">
        <f>D410*2-50</f>
        <v>1500</v>
      </c>
      <c r="G410" s="293" t="s">
        <v>4575</v>
      </c>
      <c r="H410" s="36" t="s">
        <v>4580</v>
      </c>
      <c r="I410" s="51" t="s">
        <v>4725</v>
      </c>
      <c r="J410" s="132"/>
      <c r="K410" s="51" t="s">
        <v>5055</v>
      </c>
      <c r="L410" s="118" t="s">
        <v>4539</v>
      </c>
      <c r="M410" s="15">
        <v>43084</v>
      </c>
      <c r="N410" s="15">
        <v>43100</v>
      </c>
      <c r="O410" s="134" t="s">
        <v>4545</v>
      </c>
      <c r="P410" s="128"/>
      <c r="Q410" s="171"/>
      <c r="R410" s="21" t="s">
        <v>5139</v>
      </c>
      <c r="S410" s="327" t="s">
        <v>4576</v>
      </c>
      <c r="T410" s="933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</row>
    <row r="411" spans="1:68" s="121" customFormat="1" ht="20.100000000000001" customHeight="1">
      <c r="A411" s="1221" t="s">
        <v>5166</v>
      </c>
      <c r="B411" s="1221" t="s">
        <v>5180</v>
      </c>
      <c r="C411" s="1221" t="s">
        <v>5179</v>
      </c>
      <c r="D411" s="947">
        <v>575</v>
      </c>
      <c r="E411" s="947">
        <v>1050</v>
      </c>
      <c r="F411" s="947">
        <v>1050</v>
      </c>
      <c r="G411" s="234" t="s">
        <v>4904</v>
      </c>
      <c r="H411" s="36" t="s">
        <v>4580</v>
      </c>
      <c r="I411" s="38" t="s">
        <v>4725</v>
      </c>
      <c r="J411" s="34"/>
      <c r="K411" s="34" t="s">
        <v>5055</v>
      </c>
      <c r="L411" s="116" t="s">
        <v>4539</v>
      </c>
      <c r="M411" s="15">
        <v>43054</v>
      </c>
      <c r="N411" s="15">
        <v>43089</v>
      </c>
      <c r="O411" s="61" t="s">
        <v>5149</v>
      </c>
      <c r="P411" s="128"/>
      <c r="Q411" s="171"/>
      <c r="R411" s="21" t="s">
        <v>5138</v>
      </c>
      <c r="S411" s="327" t="s">
        <v>5178</v>
      </c>
      <c r="T411" s="933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</row>
    <row r="412" spans="1:68" s="121" customFormat="1" ht="20.100000000000001" customHeight="1">
      <c r="A412" s="1221" t="s">
        <v>5166</v>
      </c>
      <c r="B412" s="1221" t="s">
        <v>5180</v>
      </c>
      <c r="C412" s="1221" t="s">
        <v>5179</v>
      </c>
      <c r="D412" s="247">
        <v>625</v>
      </c>
      <c r="E412" s="247">
        <v>1150</v>
      </c>
      <c r="F412" s="247">
        <v>1200</v>
      </c>
      <c r="G412" s="29" t="s">
        <v>5111</v>
      </c>
      <c r="H412" s="36" t="s">
        <v>4580</v>
      </c>
      <c r="I412" s="51" t="s">
        <v>4725</v>
      </c>
      <c r="J412" s="34"/>
      <c r="K412" s="51" t="s">
        <v>5055</v>
      </c>
      <c r="L412" s="118" t="s">
        <v>4539</v>
      </c>
      <c r="M412" s="15">
        <v>43070</v>
      </c>
      <c r="N412" s="15">
        <v>43083</v>
      </c>
      <c r="O412" s="61" t="s">
        <v>4961</v>
      </c>
      <c r="P412" s="133"/>
      <c r="Q412" s="171"/>
      <c r="R412" s="239" t="s">
        <v>5132</v>
      </c>
      <c r="S412" s="327" t="s">
        <v>4959</v>
      </c>
      <c r="T412" s="933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</row>
    <row r="413" spans="1:68" s="121" customFormat="1" ht="20.100000000000001" customHeight="1">
      <c r="A413" s="1221" t="s">
        <v>5166</v>
      </c>
      <c r="B413" s="1221" t="s">
        <v>5180</v>
      </c>
      <c r="C413" s="1221" t="s">
        <v>5179</v>
      </c>
      <c r="D413" s="961">
        <v>700</v>
      </c>
      <c r="E413" s="961">
        <v>1400</v>
      </c>
      <c r="F413" s="961">
        <v>1450</v>
      </c>
      <c r="G413" s="3" t="s">
        <v>4553</v>
      </c>
      <c r="H413" s="56" t="s">
        <v>4580</v>
      </c>
      <c r="I413" s="51" t="s">
        <v>4879</v>
      </c>
      <c r="J413" s="34"/>
      <c r="K413" s="50">
        <v>27</v>
      </c>
      <c r="L413" s="116" t="s">
        <v>4539</v>
      </c>
      <c r="M413" s="6">
        <v>43085</v>
      </c>
      <c r="N413" s="6">
        <v>43100</v>
      </c>
      <c r="O413" s="61" t="s">
        <v>4545</v>
      </c>
      <c r="P413" s="59"/>
      <c r="Q413" s="171"/>
      <c r="R413" s="239" t="s">
        <v>4878</v>
      </c>
      <c r="S413" s="328" t="s">
        <v>4543</v>
      </c>
      <c r="T413" s="933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</row>
    <row r="414" spans="1:68" s="121" customFormat="1" ht="20.100000000000001" customHeight="1">
      <c r="A414" s="1221" t="s">
        <v>5166</v>
      </c>
      <c r="B414" s="1221" t="s">
        <v>5172</v>
      </c>
      <c r="C414" s="1221" t="s">
        <v>5177</v>
      </c>
      <c r="D414" s="949">
        <v>800</v>
      </c>
      <c r="E414" s="949">
        <v>1500</v>
      </c>
      <c r="F414" s="949">
        <v>1550</v>
      </c>
      <c r="G414" s="122" t="s">
        <v>4645</v>
      </c>
      <c r="H414" s="22" t="s">
        <v>4649</v>
      </c>
      <c r="I414" s="38" t="s">
        <v>4902</v>
      </c>
      <c r="J414" s="38"/>
      <c r="K414" s="10" t="s">
        <v>5025</v>
      </c>
      <c r="L414" s="116" t="s">
        <v>4539</v>
      </c>
      <c r="M414" s="6">
        <v>43066</v>
      </c>
      <c r="N414" s="6">
        <v>43093</v>
      </c>
      <c r="O414" s="61" t="s">
        <v>4961</v>
      </c>
      <c r="P414" s="59"/>
      <c r="Q414" s="167"/>
      <c r="R414" s="240" t="s">
        <v>4998</v>
      </c>
      <c r="S414" s="326" t="s">
        <v>4641</v>
      </c>
      <c r="T414" s="137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</row>
    <row r="415" spans="1:68" s="121" customFormat="1" ht="20.100000000000001" customHeight="1">
      <c r="A415" s="1221" t="s">
        <v>5166</v>
      </c>
      <c r="B415" s="1221" t="s">
        <v>5172</v>
      </c>
      <c r="C415" s="1221" t="s">
        <v>5177</v>
      </c>
      <c r="D415" s="320" ph="1">
        <v>550</v>
      </c>
      <c r="E415" s="320" ph="1">
        <v>1000</v>
      </c>
      <c r="F415" s="320" ph="1">
        <v>1050</v>
      </c>
      <c r="G415" s="63" t="s">
        <v>4566</v>
      </c>
      <c r="H415" s="56" t="s">
        <v>4930</v>
      </c>
      <c r="I415" s="51" t="s">
        <v>5068</v>
      </c>
      <c r="J415" s="30"/>
      <c r="K415" s="30" t="s">
        <v>4739</v>
      </c>
      <c r="L415" s="116" t="s">
        <v>4539</v>
      </c>
      <c r="M415" s="15">
        <v>43084</v>
      </c>
      <c r="N415" s="15">
        <v>43100</v>
      </c>
      <c r="O415" s="61" t="s">
        <v>4563</v>
      </c>
      <c r="P415" s="59"/>
      <c r="Q415" s="167"/>
      <c r="R415" s="239" t="s">
        <v>4925</v>
      </c>
      <c r="S415" s="327" t="s">
        <v>4561</v>
      </c>
      <c r="T415" s="137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</row>
    <row r="416" spans="1:68" s="121" customFormat="1" ht="20.100000000000001" customHeight="1">
      <c r="A416" s="1221" t="s">
        <v>5166</v>
      </c>
      <c r="B416" s="1221" t="s">
        <v>5172</v>
      </c>
      <c r="C416" s="1221" t="s">
        <v>5177</v>
      </c>
      <c r="D416" s="961">
        <v>700</v>
      </c>
      <c r="E416" s="961">
        <v>1400</v>
      </c>
      <c r="F416" s="961">
        <v>1450</v>
      </c>
      <c r="G416" s="3" t="s">
        <v>4553</v>
      </c>
      <c r="H416" s="56" t="s">
        <v>4635</v>
      </c>
      <c r="I416" s="51" t="s">
        <v>4725</v>
      </c>
      <c r="J416" s="127"/>
      <c r="K416" s="51" t="s">
        <v>5025</v>
      </c>
      <c r="L416" s="118" t="s">
        <v>4539</v>
      </c>
      <c r="M416" s="6">
        <v>43085</v>
      </c>
      <c r="N416" s="6">
        <v>43100</v>
      </c>
      <c r="O416" s="61" t="s">
        <v>4545</v>
      </c>
      <c r="P416" s="59"/>
      <c r="Q416" s="171"/>
      <c r="R416" s="239" t="s">
        <v>5143</v>
      </c>
      <c r="S416" s="328" t="s">
        <v>4543</v>
      </c>
      <c r="T416" s="137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</row>
    <row r="417" spans="1:68" s="121" customFormat="1" ht="20.100000000000001" customHeight="1">
      <c r="A417" s="1221" t="s">
        <v>5166</v>
      </c>
      <c r="B417" s="1221" t="s">
        <v>5172</v>
      </c>
      <c r="C417" s="1221" t="s">
        <v>5177</v>
      </c>
      <c r="D417" s="961">
        <v>725</v>
      </c>
      <c r="E417" s="961">
        <v>1150</v>
      </c>
      <c r="F417" s="961">
        <v>1150</v>
      </c>
      <c r="G417" s="3" t="s">
        <v>4549</v>
      </c>
      <c r="H417" s="56" t="s">
        <v>4635</v>
      </c>
      <c r="I417" s="51" t="s">
        <v>4725</v>
      </c>
      <c r="J417" s="127"/>
      <c r="K417" s="51" t="s">
        <v>5025</v>
      </c>
      <c r="L417" s="118" t="s">
        <v>4539</v>
      </c>
      <c r="M417" s="6">
        <v>43070</v>
      </c>
      <c r="N417" s="6">
        <v>43100</v>
      </c>
      <c r="O417" s="61" t="s">
        <v>4545</v>
      </c>
      <c r="P417" s="59"/>
      <c r="Q417" s="171"/>
      <c r="R417" s="239" t="s">
        <v>5088</v>
      </c>
      <c r="S417" s="328" t="s">
        <v>4543</v>
      </c>
      <c r="T417" s="137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</row>
    <row r="418" spans="1:68" s="121" customFormat="1" ht="20.100000000000001" customHeight="1">
      <c r="A418" s="1221" t="s">
        <v>5166</v>
      </c>
      <c r="B418" s="1221" t="s">
        <v>5172</v>
      </c>
      <c r="C418" s="1221" t="s">
        <v>5177</v>
      </c>
      <c r="D418" s="949">
        <v>575</v>
      </c>
      <c r="E418" s="949">
        <v>1050</v>
      </c>
      <c r="F418" s="949">
        <v>1050</v>
      </c>
      <c r="G418" s="29" t="s">
        <v>5022</v>
      </c>
      <c r="H418" s="48" t="s">
        <v>4580</v>
      </c>
      <c r="I418" s="38" t="s">
        <v>4725</v>
      </c>
      <c r="J418" s="30"/>
      <c r="K418" s="37" t="s">
        <v>4739</v>
      </c>
      <c r="L418" s="116" t="s">
        <v>4539</v>
      </c>
      <c r="M418" s="6">
        <v>43073</v>
      </c>
      <c r="N418" s="6">
        <v>43083</v>
      </c>
      <c r="O418" s="61" t="s">
        <v>4961</v>
      </c>
      <c r="P418" s="59"/>
      <c r="Q418" s="171"/>
      <c r="R418" s="239" t="s">
        <v>5140</v>
      </c>
      <c r="S418" s="328" t="s">
        <v>1762</v>
      </c>
      <c r="T418" s="137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</row>
    <row r="419" spans="1:68" s="121" customFormat="1" ht="20.100000000000001" customHeight="1">
      <c r="A419" s="1221" t="s">
        <v>5166</v>
      </c>
      <c r="B419" s="1221" t="s">
        <v>5172</v>
      </c>
      <c r="C419" s="1221" t="s">
        <v>5177</v>
      </c>
      <c r="D419" s="320">
        <v>725</v>
      </c>
      <c r="E419" s="320">
        <f>D419*2-100</f>
        <v>1350</v>
      </c>
      <c r="F419" s="320">
        <f>D419*2-50</f>
        <v>1400</v>
      </c>
      <c r="G419" s="293" t="s">
        <v>4575</v>
      </c>
      <c r="H419" s="36" t="s">
        <v>4580</v>
      </c>
      <c r="I419" s="38" t="s">
        <v>4725</v>
      </c>
      <c r="J419" s="30"/>
      <c r="K419" s="30" t="s">
        <v>4739</v>
      </c>
      <c r="L419" s="118" t="s">
        <v>4539</v>
      </c>
      <c r="M419" s="15">
        <v>43084</v>
      </c>
      <c r="N419" s="15">
        <v>43100</v>
      </c>
      <c r="O419" s="134" t="s">
        <v>4545</v>
      </c>
      <c r="P419" s="59"/>
      <c r="Q419" s="171"/>
      <c r="R419" s="239" t="s">
        <v>5139</v>
      </c>
      <c r="S419" s="327" t="s">
        <v>4576</v>
      </c>
      <c r="T419" s="137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</row>
    <row r="420" spans="1:68" s="121" customFormat="1" ht="20.100000000000001" customHeight="1">
      <c r="A420" s="1221" t="s">
        <v>5166</v>
      </c>
      <c r="B420" s="1221" t="s">
        <v>5172</v>
      </c>
      <c r="C420" s="1221" t="s">
        <v>5177</v>
      </c>
      <c r="D420" s="248">
        <v>700</v>
      </c>
      <c r="E420" s="248">
        <v>1200</v>
      </c>
      <c r="F420" s="248">
        <v>1250</v>
      </c>
      <c r="G420" s="234" t="s">
        <v>4572</v>
      </c>
      <c r="H420" s="36" t="s">
        <v>4580</v>
      </c>
      <c r="I420" s="20" t="s">
        <v>4725</v>
      </c>
      <c r="J420" s="34"/>
      <c r="K420" s="30" t="s">
        <v>4739</v>
      </c>
      <c r="L420" s="118" t="s">
        <v>4539</v>
      </c>
      <c r="M420" s="15">
        <v>43060</v>
      </c>
      <c r="N420" s="15">
        <v>43076</v>
      </c>
      <c r="O420" s="61" t="s">
        <v>4545</v>
      </c>
      <c r="P420" s="59"/>
      <c r="Q420" s="171"/>
      <c r="R420" s="21" t="s">
        <v>4610</v>
      </c>
      <c r="S420" s="328" t="s">
        <v>4543</v>
      </c>
      <c r="T420" s="137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</row>
    <row r="421" spans="1:68" s="121" customFormat="1" ht="20.100000000000001" customHeight="1">
      <c r="A421" s="1221" t="s">
        <v>5166</v>
      </c>
      <c r="B421" s="1221" t="s">
        <v>5172</v>
      </c>
      <c r="C421" s="1221" t="s">
        <v>5177</v>
      </c>
      <c r="D421" s="947">
        <v>575</v>
      </c>
      <c r="E421" s="947">
        <v>1050</v>
      </c>
      <c r="F421" s="947">
        <v>1050</v>
      </c>
      <c r="G421" s="234" t="s">
        <v>4904</v>
      </c>
      <c r="H421" s="36" t="s">
        <v>4580</v>
      </c>
      <c r="I421" s="38" t="s">
        <v>4725</v>
      </c>
      <c r="J421" s="30"/>
      <c r="K421" s="30" t="s">
        <v>4739</v>
      </c>
      <c r="L421" s="116" t="s">
        <v>4539</v>
      </c>
      <c r="M421" s="15">
        <v>43054</v>
      </c>
      <c r="N421" s="15">
        <v>43089</v>
      </c>
      <c r="O421" s="61" t="s">
        <v>4961</v>
      </c>
      <c r="P421" s="59"/>
      <c r="Q421" s="171"/>
      <c r="R421" s="21" t="s">
        <v>5138</v>
      </c>
      <c r="S421" s="327" t="s">
        <v>5178</v>
      </c>
      <c r="T421" s="137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</row>
    <row r="422" spans="1:68" s="121" customFormat="1" ht="20.100000000000001" customHeight="1">
      <c r="A422" s="1221" t="s">
        <v>5166</v>
      </c>
      <c r="B422" s="1221" t="s">
        <v>5172</v>
      </c>
      <c r="C422" s="1221" t="s">
        <v>5177</v>
      </c>
      <c r="D422" s="247">
        <v>625</v>
      </c>
      <c r="E422" s="247">
        <v>1150</v>
      </c>
      <c r="F422" s="247">
        <v>1200</v>
      </c>
      <c r="G422" s="29" t="s">
        <v>5111</v>
      </c>
      <c r="H422" s="36" t="s">
        <v>4580</v>
      </c>
      <c r="I422" s="51" t="s">
        <v>4725</v>
      </c>
      <c r="J422" s="34"/>
      <c r="K422" s="30" t="s">
        <v>4739</v>
      </c>
      <c r="L422" s="118" t="s">
        <v>4539</v>
      </c>
      <c r="M422" s="15">
        <v>43070</v>
      </c>
      <c r="N422" s="15">
        <v>43083</v>
      </c>
      <c r="O422" s="61" t="s">
        <v>4961</v>
      </c>
      <c r="P422" s="59"/>
      <c r="Q422" s="171"/>
      <c r="R422" s="239" t="s">
        <v>5132</v>
      </c>
      <c r="S422" s="327" t="s">
        <v>4959</v>
      </c>
      <c r="T422" s="137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</row>
    <row r="423" spans="1:68" s="121" customFormat="1" ht="20.100000000000001" customHeight="1">
      <c r="A423" s="916" t="s">
        <v>5176</v>
      </c>
      <c r="B423" s="916" t="s">
        <v>5172</v>
      </c>
      <c r="C423" s="916" t="s">
        <v>5175</v>
      </c>
      <c r="D423" s="961">
        <f>D420+(500+150)*1.2</f>
        <v>1480</v>
      </c>
      <c r="E423" s="961">
        <f>E420+(550+150)*1.2</f>
        <v>2040</v>
      </c>
      <c r="F423" s="961">
        <f>F420+(550+150)*1.2</f>
        <v>2090</v>
      </c>
      <c r="G423" s="217" t="s">
        <v>4572</v>
      </c>
      <c r="H423" s="56" t="s">
        <v>4580</v>
      </c>
      <c r="I423" s="51" t="s">
        <v>5174</v>
      </c>
      <c r="J423" s="51"/>
      <c r="K423" s="51">
        <v>34</v>
      </c>
      <c r="L423" s="118" t="s">
        <v>4539</v>
      </c>
      <c r="M423" s="15">
        <v>43060</v>
      </c>
      <c r="N423" s="15">
        <v>43076</v>
      </c>
      <c r="O423" s="61" t="s">
        <v>4545</v>
      </c>
      <c r="P423" s="61" t="s">
        <v>4598</v>
      </c>
      <c r="Q423" s="59" t="s">
        <v>4585</v>
      </c>
      <c r="R423" s="21" t="s">
        <v>4610</v>
      </c>
      <c r="S423" s="328" t="s">
        <v>4543</v>
      </c>
      <c r="T423" s="137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</row>
    <row r="424" spans="1:68" s="121" customFormat="1" ht="20.100000000000001" customHeight="1">
      <c r="A424" s="1221" t="s">
        <v>5166</v>
      </c>
      <c r="B424" s="1221" t="s">
        <v>5172</v>
      </c>
      <c r="C424" s="1221" t="s">
        <v>5173</v>
      </c>
      <c r="D424" s="962">
        <f>D373+200</f>
        <v>900</v>
      </c>
      <c r="E424" s="962">
        <f>E373+400</f>
        <v>1600</v>
      </c>
      <c r="F424" s="962">
        <f>F373+400</f>
        <v>1650</v>
      </c>
      <c r="G424" s="217" t="s">
        <v>4572</v>
      </c>
      <c r="H424" s="56" t="s">
        <v>4552</v>
      </c>
      <c r="I424" s="51" t="s">
        <v>4885</v>
      </c>
      <c r="J424" s="50"/>
      <c r="K424" s="50">
        <v>36</v>
      </c>
      <c r="L424" s="118" t="s">
        <v>4539</v>
      </c>
      <c r="M424" s="15">
        <v>43060</v>
      </c>
      <c r="N424" s="15">
        <v>43076</v>
      </c>
      <c r="O424" s="61" t="s">
        <v>4545</v>
      </c>
      <c r="P424" s="59"/>
      <c r="Q424" s="167"/>
      <c r="R424" s="239" t="s">
        <v>4584</v>
      </c>
      <c r="S424" s="328" t="s">
        <v>4543</v>
      </c>
      <c r="T424" s="137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</row>
    <row r="425" spans="1:68" s="121" customFormat="1" ht="20.100000000000001" customHeight="1">
      <c r="A425" s="1221" t="s">
        <v>5166</v>
      </c>
      <c r="B425" s="1221" t="s">
        <v>5172</v>
      </c>
      <c r="C425" s="1221" t="s">
        <v>5173</v>
      </c>
      <c r="D425" s="962"/>
      <c r="E425" s="962"/>
      <c r="F425" s="962"/>
      <c r="G425" s="3" t="s">
        <v>4566</v>
      </c>
      <c r="H425" s="56" t="s">
        <v>4580</v>
      </c>
      <c r="I425" s="51" t="s">
        <v>4881</v>
      </c>
      <c r="J425" s="30"/>
      <c r="K425" s="10" t="s">
        <v>4772</v>
      </c>
      <c r="L425" s="116" t="s">
        <v>4539</v>
      </c>
      <c r="M425" s="15">
        <v>43084</v>
      </c>
      <c r="N425" s="15">
        <v>43100</v>
      </c>
      <c r="O425" s="61" t="s">
        <v>4563</v>
      </c>
      <c r="P425" s="59"/>
      <c r="Q425" s="7" t="s">
        <v>5170</v>
      </c>
      <c r="R425" s="58" t="s">
        <v>4578</v>
      </c>
      <c r="S425" s="327" t="s">
        <v>4561</v>
      </c>
      <c r="T425" s="137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</row>
    <row r="426" spans="1:68" s="121" customFormat="1" ht="20.100000000000001" customHeight="1">
      <c r="A426" s="1221" t="s">
        <v>5166</v>
      </c>
      <c r="B426" s="1221" t="s">
        <v>5172</v>
      </c>
      <c r="C426" s="1221" t="s">
        <v>5173</v>
      </c>
      <c r="D426" s="961">
        <v>775</v>
      </c>
      <c r="E426" s="961">
        <v>1550</v>
      </c>
      <c r="F426" s="961">
        <v>1600</v>
      </c>
      <c r="G426" s="3" t="s">
        <v>4553</v>
      </c>
      <c r="H426" s="56" t="s">
        <v>4580</v>
      </c>
      <c r="I426" s="51" t="s">
        <v>4879</v>
      </c>
      <c r="J426" s="127"/>
      <c r="K426" s="51">
        <v>30</v>
      </c>
      <c r="L426" s="118" t="s">
        <v>4539</v>
      </c>
      <c r="M426" s="6">
        <v>43085</v>
      </c>
      <c r="N426" s="6">
        <v>43100</v>
      </c>
      <c r="O426" s="61" t="s">
        <v>4545</v>
      </c>
      <c r="P426" s="59"/>
      <c r="Q426" s="171"/>
      <c r="R426" s="239" t="s">
        <v>4878</v>
      </c>
      <c r="S426" s="328" t="s">
        <v>4543</v>
      </c>
      <c r="T426" s="137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</row>
    <row r="427" spans="1:68" s="121" customFormat="1" ht="20.100000000000001" customHeight="1">
      <c r="A427" s="1221" t="s">
        <v>5166</v>
      </c>
      <c r="B427" s="1221" t="s">
        <v>5172</v>
      </c>
      <c r="C427" s="1221" t="s">
        <v>5171</v>
      </c>
      <c r="D427" s="962">
        <f>D373+250</f>
        <v>950</v>
      </c>
      <c r="E427" s="962">
        <f>E373+500</f>
        <v>1700</v>
      </c>
      <c r="F427" s="962">
        <f>F373+500</f>
        <v>1750</v>
      </c>
      <c r="G427" s="217" t="s">
        <v>4572</v>
      </c>
      <c r="H427" s="56" t="s">
        <v>4552</v>
      </c>
      <c r="I427" s="51" t="s">
        <v>4885</v>
      </c>
      <c r="J427" s="50"/>
      <c r="K427" s="50">
        <v>36</v>
      </c>
      <c r="L427" s="118" t="s">
        <v>4539</v>
      </c>
      <c r="M427" s="15">
        <v>43060</v>
      </c>
      <c r="N427" s="15">
        <v>43076</v>
      </c>
      <c r="O427" s="61" t="s">
        <v>4545</v>
      </c>
      <c r="P427" s="59"/>
      <c r="Q427" s="167"/>
      <c r="R427" s="239" t="s">
        <v>4584</v>
      </c>
      <c r="S427" s="328" t="s">
        <v>4543</v>
      </c>
      <c r="T427" s="137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</row>
    <row r="428" spans="1:68" s="121" customFormat="1" ht="20.100000000000001" customHeight="1">
      <c r="A428" s="1221" t="s">
        <v>5166</v>
      </c>
      <c r="B428" s="1221" t="s">
        <v>5172</v>
      </c>
      <c r="C428" s="1221" t="s">
        <v>5171</v>
      </c>
      <c r="D428" s="962"/>
      <c r="E428" s="962"/>
      <c r="F428" s="962"/>
      <c r="G428" s="3" t="s">
        <v>4566</v>
      </c>
      <c r="H428" s="56" t="s">
        <v>4580</v>
      </c>
      <c r="I428" s="51" t="s">
        <v>4881</v>
      </c>
      <c r="J428" s="30"/>
      <c r="K428" s="10" t="s">
        <v>4772</v>
      </c>
      <c r="L428" s="116" t="s">
        <v>4539</v>
      </c>
      <c r="M428" s="15">
        <v>43084</v>
      </c>
      <c r="N428" s="15">
        <v>43100</v>
      </c>
      <c r="O428" s="61" t="s">
        <v>4563</v>
      </c>
      <c r="P428" s="59"/>
      <c r="Q428" s="7" t="s">
        <v>5170</v>
      </c>
      <c r="R428" s="58" t="s">
        <v>4578</v>
      </c>
      <c r="S428" s="327" t="s">
        <v>4561</v>
      </c>
      <c r="T428" s="137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</row>
    <row r="429" spans="1:68" s="121" customFormat="1" ht="20.100000000000001" customHeight="1">
      <c r="A429" s="1221" t="s">
        <v>5166</v>
      </c>
      <c r="B429" s="1221" t="s">
        <v>5169</v>
      </c>
      <c r="C429" s="1221" t="s">
        <v>5168</v>
      </c>
      <c r="D429" s="962">
        <f>D373+200</f>
        <v>900</v>
      </c>
      <c r="E429" s="962">
        <f>E373+400</f>
        <v>1600</v>
      </c>
      <c r="F429" s="962">
        <f>F373+400</f>
        <v>1650</v>
      </c>
      <c r="G429" s="217" t="s">
        <v>4572</v>
      </c>
      <c r="H429" s="56" t="s">
        <v>4552</v>
      </c>
      <c r="I429" s="51" t="s">
        <v>4885</v>
      </c>
      <c r="J429" s="50"/>
      <c r="K429" s="50">
        <v>36</v>
      </c>
      <c r="L429" s="118" t="s">
        <v>4539</v>
      </c>
      <c r="M429" s="15">
        <v>43060</v>
      </c>
      <c r="N429" s="15">
        <v>43076</v>
      </c>
      <c r="O429" s="61" t="s">
        <v>4545</v>
      </c>
      <c r="P429" s="59"/>
      <c r="Q429" s="167"/>
      <c r="R429" s="239" t="s">
        <v>4584</v>
      </c>
      <c r="S429" s="328" t="s">
        <v>4543</v>
      </c>
      <c r="T429" s="137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</row>
    <row r="430" spans="1:68" s="121" customFormat="1" ht="20.100000000000001" customHeight="1">
      <c r="A430" s="1221" t="s">
        <v>5166</v>
      </c>
      <c r="B430" s="1221" t="s">
        <v>5169</v>
      </c>
      <c r="C430" s="1221" t="s">
        <v>5168</v>
      </c>
      <c r="D430" s="248">
        <v>1275</v>
      </c>
      <c r="E430" s="248">
        <v>1950</v>
      </c>
      <c r="F430" s="248">
        <v>1950</v>
      </c>
      <c r="G430" s="220" t="s">
        <v>5010</v>
      </c>
      <c r="H430" s="56" t="s">
        <v>4552</v>
      </c>
      <c r="I430" s="51" t="s">
        <v>5045</v>
      </c>
      <c r="J430" s="50"/>
      <c r="K430" s="51">
        <v>27</v>
      </c>
      <c r="L430" s="116" t="s">
        <v>4539</v>
      </c>
      <c r="M430" s="6">
        <v>43070</v>
      </c>
      <c r="N430" s="6">
        <v>43083</v>
      </c>
      <c r="O430" s="61" t="s">
        <v>5008</v>
      </c>
      <c r="P430" s="59"/>
      <c r="Q430" s="167"/>
      <c r="R430" s="239" t="s">
        <v>5007</v>
      </c>
      <c r="S430" s="327" t="s">
        <v>5006</v>
      </c>
      <c r="T430" s="137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</row>
    <row r="431" spans="1:68" s="121" customFormat="1" ht="20.100000000000001" customHeight="1">
      <c r="A431" s="1221" t="s">
        <v>5166</v>
      </c>
      <c r="B431" s="1221" t="s">
        <v>5169</v>
      </c>
      <c r="C431" s="1221" t="s">
        <v>5168</v>
      </c>
      <c r="D431" s="247">
        <v>775</v>
      </c>
      <c r="E431" s="247">
        <v>1600</v>
      </c>
      <c r="F431" s="247">
        <v>1600</v>
      </c>
      <c r="G431" s="3" t="s">
        <v>4566</v>
      </c>
      <c r="H431" s="56" t="s">
        <v>4649</v>
      </c>
      <c r="I431" s="51" t="s">
        <v>4902</v>
      </c>
      <c r="J431" s="30"/>
      <c r="K431" s="10" t="s">
        <v>4772</v>
      </c>
      <c r="L431" s="116" t="s">
        <v>4539</v>
      </c>
      <c r="M431" s="15">
        <v>43073</v>
      </c>
      <c r="N431" s="15">
        <v>43100</v>
      </c>
      <c r="O431" s="61" t="s">
        <v>4563</v>
      </c>
      <c r="P431" s="61"/>
      <c r="Q431" s="167"/>
      <c r="R431" s="239" t="s">
        <v>4998</v>
      </c>
      <c r="S431" s="327" t="s">
        <v>4561</v>
      </c>
      <c r="T431" s="137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</row>
    <row r="432" spans="1:68" s="121" customFormat="1" ht="20.100000000000001" customHeight="1">
      <c r="A432" s="1221" t="s">
        <v>5166</v>
      </c>
      <c r="B432" s="1221" t="s">
        <v>5169</v>
      </c>
      <c r="C432" s="1221" t="s">
        <v>5168</v>
      </c>
      <c r="D432" s="961">
        <v>775</v>
      </c>
      <c r="E432" s="961">
        <v>1550</v>
      </c>
      <c r="F432" s="961">
        <v>1600</v>
      </c>
      <c r="G432" s="3" t="s">
        <v>4553</v>
      </c>
      <c r="H432" s="56" t="s">
        <v>4580</v>
      </c>
      <c r="I432" s="51" t="s">
        <v>4879</v>
      </c>
      <c r="J432" s="50"/>
      <c r="K432" s="50">
        <v>28</v>
      </c>
      <c r="L432" s="116" t="s">
        <v>4539</v>
      </c>
      <c r="M432" s="6">
        <v>43085</v>
      </c>
      <c r="N432" s="6">
        <v>43100</v>
      </c>
      <c r="O432" s="134" t="s">
        <v>4545</v>
      </c>
      <c r="P432" s="59"/>
      <c r="Q432" s="171"/>
      <c r="R432" s="239" t="s">
        <v>4878</v>
      </c>
      <c r="S432" s="328" t="s">
        <v>4543</v>
      </c>
      <c r="T432" s="137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</row>
    <row r="433" spans="1:68" s="121" customFormat="1" ht="20.100000000000001" customHeight="1">
      <c r="A433" s="1221" t="s">
        <v>5166</v>
      </c>
      <c r="B433" s="1221" t="s">
        <v>5165</v>
      </c>
      <c r="C433" s="1221" t="s">
        <v>5164</v>
      </c>
      <c r="D433" s="962">
        <f>D373+200</f>
        <v>900</v>
      </c>
      <c r="E433" s="962">
        <f>E373+400</f>
        <v>1600</v>
      </c>
      <c r="F433" s="962">
        <f>F373+400</f>
        <v>1650</v>
      </c>
      <c r="G433" s="217" t="s">
        <v>4572</v>
      </c>
      <c r="H433" s="56" t="s">
        <v>4552</v>
      </c>
      <c r="I433" s="51" t="s">
        <v>4885</v>
      </c>
      <c r="J433" s="50"/>
      <c r="K433" s="50">
        <v>36</v>
      </c>
      <c r="L433" s="118" t="s">
        <v>4539</v>
      </c>
      <c r="M433" s="15">
        <v>43060</v>
      </c>
      <c r="N433" s="15">
        <v>43076</v>
      </c>
      <c r="O433" s="61" t="s">
        <v>4545</v>
      </c>
      <c r="P433" s="59"/>
      <c r="Q433" s="167"/>
      <c r="R433" s="239" t="s">
        <v>4584</v>
      </c>
      <c r="S433" s="328" t="s">
        <v>4543</v>
      </c>
      <c r="T433" s="933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</row>
    <row r="434" spans="1:68" s="121" customFormat="1" ht="20.100000000000001" customHeight="1">
      <c r="A434" s="1221" t="s">
        <v>5166</v>
      </c>
      <c r="B434" s="1221" t="s">
        <v>5165</v>
      </c>
      <c r="C434" s="1221" t="s">
        <v>5164</v>
      </c>
      <c r="D434" s="961">
        <v>1275</v>
      </c>
      <c r="E434" s="961">
        <v>2400</v>
      </c>
      <c r="F434" s="961">
        <v>2400</v>
      </c>
      <c r="G434" s="3" t="s">
        <v>4566</v>
      </c>
      <c r="H434" s="48" t="s">
        <v>4580</v>
      </c>
      <c r="I434" s="38" t="s">
        <v>5167</v>
      </c>
      <c r="J434" s="30"/>
      <c r="K434" s="34" t="s">
        <v>4939</v>
      </c>
      <c r="L434" s="116" t="s">
        <v>4539</v>
      </c>
      <c r="M434" s="15">
        <v>43073</v>
      </c>
      <c r="N434" s="15">
        <v>43100</v>
      </c>
      <c r="O434" s="61" t="s">
        <v>4563</v>
      </c>
      <c r="P434" s="61"/>
      <c r="Q434" s="167"/>
      <c r="R434" s="239" t="s">
        <v>4578</v>
      </c>
      <c r="S434" s="327" t="s">
        <v>4561</v>
      </c>
      <c r="T434" s="933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</row>
    <row r="435" spans="1:68" s="121" customFormat="1" ht="20.100000000000001" customHeight="1">
      <c r="A435" s="1221" t="s">
        <v>5166</v>
      </c>
      <c r="B435" s="1221" t="s">
        <v>5165</v>
      </c>
      <c r="C435" s="1221" t="s">
        <v>5164</v>
      </c>
      <c r="D435" s="961">
        <v>775</v>
      </c>
      <c r="E435" s="961">
        <v>1550</v>
      </c>
      <c r="F435" s="961">
        <v>1600</v>
      </c>
      <c r="G435" s="3" t="s">
        <v>4553</v>
      </c>
      <c r="H435" s="56" t="s">
        <v>4580</v>
      </c>
      <c r="I435" s="51" t="s">
        <v>4879</v>
      </c>
      <c r="J435" s="127"/>
      <c r="K435" s="51">
        <v>29</v>
      </c>
      <c r="L435" s="116" t="s">
        <v>4539</v>
      </c>
      <c r="M435" s="6">
        <v>43085</v>
      </c>
      <c r="N435" s="6">
        <v>43100</v>
      </c>
      <c r="O435" s="134" t="s">
        <v>4545</v>
      </c>
      <c r="P435" s="59"/>
      <c r="Q435" s="171"/>
      <c r="R435" s="239" t="s">
        <v>4878</v>
      </c>
      <c r="S435" s="328" t="s">
        <v>4543</v>
      </c>
      <c r="T435" s="933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</row>
    <row r="436" spans="1:68" s="121" customFormat="1" ht="20.100000000000001" customHeight="1">
      <c r="A436" s="1127" t="s">
        <v>5040</v>
      </c>
      <c r="B436" s="1127" t="s">
        <v>5156</v>
      </c>
      <c r="C436" s="1127" t="s">
        <v>5159</v>
      </c>
      <c r="D436" s="894">
        <v>1200</v>
      </c>
      <c r="E436" s="894">
        <v>1600</v>
      </c>
      <c r="F436" s="894">
        <v>1600</v>
      </c>
      <c r="G436" s="220" t="s">
        <v>5010</v>
      </c>
      <c r="H436" s="56" t="s">
        <v>4552</v>
      </c>
      <c r="I436" s="38" t="s">
        <v>4725</v>
      </c>
      <c r="J436" s="30"/>
      <c r="K436" s="19" t="s">
        <v>5102</v>
      </c>
      <c r="L436" s="39" t="s">
        <v>4539</v>
      </c>
      <c r="M436" s="6">
        <v>43087</v>
      </c>
      <c r="N436" s="6">
        <v>43087</v>
      </c>
      <c r="O436" s="61" t="s">
        <v>5024</v>
      </c>
      <c r="P436" s="61"/>
      <c r="Q436" s="167"/>
      <c r="R436" s="239" t="s">
        <v>5007</v>
      </c>
      <c r="S436" s="327" t="s">
        <v>5006</v>
      </c>
      <c r="T436" s="933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</row>
    <row r="437" spans="1:68" s="121" customFormat="1" ht="20.100000000000001" customHeight="1">
      <c r="A437" s="1127" t="s">
        <v>5040</v>
      </c>
      <c r="B437" s="1127" t="s">
        <v>5156</v>
      </c>
      <c r="C437" s="1127" t="s">
        <v>5159</v>
      </c>
      <c r="D437" s="320">
        <v>750</v>
      </c>
      <c r="E437" s="320">
        <v>1000</v>
      </c>
      <c r="F437" s="320">
        <v>1000</v>
      </c>
      <c r="G437" s="3" t="s">
        <v>4566</v>
      </c>
      <c r="H437" s="56" t="s">
        <v>4649</v>
      </c>
      <c r="I437" s="51" t="s">
        <v>5163</v>
      </c>
      <c r="J437" s="30"/>
      <c r="K437" s="10" t="s">
        <v>4772</v>
      </c>
      <c r="L437" s="116" t="s">
        <v>4539</v>
      </c>
      <c r="M437" s="15">
        <v>43084</v>
      </c>
      <c r="N437" s="15">
        <v>43100</v>
      </c>
      <c r="O437" s="61" t="s">
        <v>4563</v>
      </c>
      <c r="P437" s="7"/>
      <c r="Q437" s="167"/>
      <c r="R437" s="239" t="s">
        <v>4998</v>
      </c>
      <c r="S437" s="327" t="s">
        <v>4561</v>
      </c>
      <c r="T437" s="933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</row>
    <row r="438" spans="1:68" s="121" customFormat="1" ht="20.100000000000001" customHeight="1">
      <c r="A438" s="1127" t="s">
        <v>5040</v>
      </c>
      <c r="B438" s="1127" t="s">
        <v>5156</v>
      </c>
      <c r="C438" s="1127" t="s">
        <v>5159</v>
      </c>
      <c r="D438" s="953">
        <v>815</v>
      </c>
      <c r="E438" s="953">
        <v>1130</v>
      </c>
      <c r="F438" s="953">
        <v>1130</v>
      </c>
      <c r="G438" s="109" t="s">
        <v>4560</v>
      </c>
      <c r="H438" s="36" t="s">
        <v>4649</v>
      </c>
      <c r="I438" s="38" t="s">
        <v>5162</v>
      </c>
      <c r="J438" s="30"/>
      <c r="K438" s="117" t="s">
        <v>4975</v>
      </c>
      <c r="L438" s="116" t="s">
        <v>4539</v>
      </c>
      <c r="M438" s="15">
        <v>43084</v>
      </c>
      <c r="N438" s="15">
        <v>43100</v>
      </c>
      <c r="O438" s="61" t="s">
        <v>5158</v>
      </c>
      <c r="P438" s="61"/>
      <c r="Q438" s="167"/>
      <c r="R438" s="240" t="s">
        <v>4998</v>
      </c>
      <c r="S438" s="327" t="s">
        <v>5004</v>
      </c>
      <c r="T438" s="933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</row>
    <row r="439" spans="1:68" s="121" customFormat="1" ht="20.100000000000001" customHeight="1">
      <c r="A439" s="1127" t="s">
        <v>5040</v>
      </c>
      <c r="B439" s="1127" t="s">
        <v>5156</v>
      </c>
      <c r="C439" s="1127" t="s">
        <v>5159</v>
      </c>
      <c r="D439" s="953">
        <f>D450+100</f>
        <v>750</v>
      </c>
      <c r="E439" s="953">
        <f>E450+200</f>
        <v>1100</v>
      </c>
      <c r="F439" s="953">
        <f>F450+200</f>
        <v>1100</v>
      </c>
      <c r="G439" s="217" t="s">
        <v>4557</v>
      </c>
      <c r="H439" s="36" t="s">
        <v>4649</v>
      </c>
      <c r="I439" s="38" t="s">
        <v>5162</v>
      </c>
      <c r="J439" s="30"/>
      <c r="K439" s="117" t="s">
        <v>5069</v>
      </c>
      <c r="L439" s="116" t="s">
        <v>4539</v>
      </c>
      <c r="M439" s="6">
        <v>43084</v>
      </c>
      <c r="N439" s="6">
        <v>43100</v>
      </c>
      <c r="O439" s="61" t="s">
        <v>4961</v>
      </c>
      <c r="P439" s="61"/>
      <c r="Q439" s="167"/>
      <c r="R439" s="240" t="s">
        <v>4998</v>
      </c>
      <c r="S439" s="327" t="s">
        <v>4973</v>
      </c>
      <c r="T439" s="933" t="s">
        <v>4907</v>
      </c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</row>
    <row r="440" spans="1:68" s="121" customFormat="1" ht="20.100000000000001" customHeight="1">
      <c r="A440" s="1127" t="s">
        <v>5040</v>
      </c>
      <c r="B440" s="1127" t="s">
        <v>5156</v>
      </c>
      <c r="C440" s="1127" t="s">
        <v>5159</v>
      </c>
      <c r="D440" s="949">
        <v>750</v>
      </c>
      <c r="E440" s="949">
        <v>1000</v>
      </c>
      <c r="F440" s="949">
        <v>1000</v>
      </c>
      <c r="G440" s="109" t="s">
        <v>4645</v>
      </c>
      <c r="H440" s="36" t="s">
        <v>4930</v>
      </c>
      <c r="I440" s="38" t="s">
        <v>5161</v>
      </c>
      <c r="J440" s="30"/>
      <c r="K440" s="20" t="s">
        <v>5160</v>
      </c>
      <c r="L440" s="116" t="s">
        <v>4539</v>
      </c>
      <c r="M440" s="6">
        <v>43077</v>
      </c>
      <c r="N440" s="6">
        <v>43093</v>
      </c>
      <c r="O440" s="61" t="s">
        <v>5154</v>
      </c>
      <c r="P440" s="61"/>
      <c r="Q440" s="171"/>
      <c r="R440" s="239" t="s">
        <v>4925</v>
      </c>
      <c r="S440" s="326" t="s">
        <v>4641</v>
      </c>
      <c r="T440" s="933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</row>
    <row r="441" spans="1:68" s="121" customFormat="1" ht="20.100000000000001" customHeight="1">
      <c r="A441" s="1127" t="s">
        <v>5040</v>
      </c>
      <c r="B441" s="1127" t="s">
        <v>5156</v>
      </c>
      <c r="C441" s="1127" t="s">
        <v>5159</v>
      </c>
      <c r="D441" s="952">
        <v>1125</v>
      </c>
      <c r="E441" s="952">
        <v>1450</v>
      </c>
      <c r="F441" s="952">
        <v>1450</v>
      </c>
      <c r="G441" s="3" t="s">
        <v>4553</v>
      </c>
      <c r="H441" s="56" t="s">
        <v>4635</v>
      </c>
      <c r="I441" s="51" t="s">
        <v>4725</v>
      </c>
      <c r="J441" s="34"/>
      <c r="K441" s="34" t="s">
        <v>5102</v>
      </c>
      <c r="L441" s="116" t="s">
        <v>4539</v>
      </c>
      <c r="M441" s="6">
        <v>43085</v>
      </c>
      <c r="N441" s="6">
        <v>43100</v>
      </c>
      <c r="O441" s="61" t="s">
        <v>5157</v>
      </c>
      <c r="P441" s="59"/>
      <c r="Q441" s="171"/>
      <c r="R441" s="239" t="s">
        <v>5143</v>
      </c>
      <c r="S441" s="326" t="s">
        <v>4987</v>
      </c>
      <c r="T441" s="933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</row>
    <row r="442" spans="1:68" s="121" customFormat="1" ht="20.100000000000001" customHeight="1">
      <c r="A442" s="1127" t="s">
        <v>5040</v>
      </c>
      <c r="B442" s="1127" t="s">
        <v>5156</v>
      </c>
      <c r="C442" s="1127" t="s">
        <v>5159</v>
      </c>
      <c r="D442" s="956">
        <v>1275</v>
      </c>
      <c r="E442" s="956">
        <v>1750</v>
      </c>
      <c r="F442" s="956">
        <v>1750</v>
      </c>
      <c r="G442" s="3" t="s">
        <v>4549</v>
      </c>
      <c r="H442" s="56" t="s">
        <v>4635</v>
      </c>
      <c r="I442" s="51" t="s">
        <v>4725</v>
      </c>
      <c r="J442" s="34"/>
      <c r="K442" s="34" t="s">
        <v>5102</v>
      </c>
      <c r="L442" s="118" t="s">
        <v>4539</v>
      </c>
      <c r="M442" s="6">
        <v>43085</v>
      </c>
      <c r="N442" s="6">
        <v>43100</v>
      </c>
      <c r="O442" s="61" t="s">
        <v>4545</v>
      </c>
      <c r="P442" s="59"/>
      <c r="Q442" s="171"/>
      <c r="R442" s="239" t="s">
        <v>5088</v>
      </c>
      <c r="S442" s="328" t="s">
        <v>4543</v>
      </c>
      <c r="T442" s="933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</row>
    <row r="443" spans="1:68" s="121" customFormat="1" ht="20.100000000000001" customHeight="1">
      <c r="A443" s="1127" t="s">
        <v>5040</v>
      </c>
      <c r="B443" s="1127" t="s">
        <v>5156</v>
      </c>
      <c r="C443" s="1127" t="s">
        <v>5159</v>
      </c>
      <c r="D443" s="320">
        <v>750</v>
      </c>
      <c r="E443" s="320">
        <v>1000</v>
      </c>
      <c r="F443" s="320">
        <v>1000</v>
      </c>
      <c r="G443" s="3" t="s">
        <v>4566</v>
      </c>
      <c r="H443" s="36" t="s">
        <v>4580</v>
      </c>
      <c r="I443" s="51" t="s">
        <v>4881</v>
      </c>
      <c r="J443" s="30"/>
      <c r="K443" s="10" t="s">
        <v>4772</v>
      </c>
      <c r="L443" s="116" t="s">
        <v>4539</v>
      </c>
      <c r="M443" s="15">
        <v>43084</v>
      </c>
      <c r="N443" s="15">
        <v>43100</v>
      </c>
      <c r="O443" s="61" t="s">
        <v>4563</v>
      </c>
      <c r="P443" s="7"/>
      <c r="Q443" s="167"/>
      <c r="R443" s="239" t="s">
        <v>4578</v>
      </c>
      <c r="S443" s="327" t="s">
        <v>4561</v>
      </c>
      <c r="T443" s="933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</row>
    <row r="444" spans="1:68" s="121" customFormat="1" ht="20.100000000000001" customHeight="1">
      <c r="A444" s="1127" t="s">
        <v>5040</v>
      </c>
      <c r="B444" s="1127" t="s">
        <v>5156</v>
      </c>
      <c r="C444" s="1127" t="s">
        <v>5159</v>
      </c>
      <c r="D444" s="320">
        <v>975</v>
      </c>
      <c r="E444" s="320">
        <f>D444*2-800</f>
        <v>1150</v>
      </c>
      <c r="F444" s="320">
        <f>D444*2-750</f>
        <v>1200</v>
      </c>
      <c r="G444" s="293" t="s">
        <v>4575</v>
      </c>
      <c r="H444" s="22" t="s">
        <v>4992</v>
      </c>
      <c r="I444" s="38" t="s">
        <v>4725</v>
      </c>
      <c r="J444" s="37"/>
      <c r="K444" s="38" t="s">
        <v>5069</v>
      </c>
      <c r="L444" s="116" t="s">
        <v>4539</v>
      </c>
      <c r="M444" s="15">
        <v>43084</v>
      </c>
      <c r="N444" s="15">
        <v>43100</v>
      </c>
      <c r="O444" s="61" t="s">
        <v>4545</v>
      </c>
      <c r="P444" s="61"/>
      <c r="Q444" s="167"/>
      <c r="R444" s="239" t="s">
        <v>4990</v>
      </c>
      <c r="S444" s="327" t="s">
        <v>4576</v>
      </c>
      <c r="T444" s="933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</row>
    <row r="445" spans="1:68" s="121" customFormat="1" ht="20.100000000000001" customHeight="1">
      <c r="A445" s="1127" t="s">
        <v>5040</v>
      </c>
      <c r="B445" s="1127" t="s">
        <v>5156</v>
      </c>
      <c r="C445" s="1127" t="s">
        <v>5159</v>
      </c>
      <c r="D445" s="947">
        <v>775</v>
      </c>
      <c r="E445" s="947">
        <v>950</v>
      </c>
      <c r="F445" s="947">
        <v>950</v>
      </c>
      <c r="G445" s="234" t="s">
        <v>4904</v>
      </c>
      <c r="H445" s="36" t="s">
        <v>4992</v>
      </c>
      <c r="I445" s="38" t="s">
        <v>4725</v>
      </c>
      <c r="J445" s="34"/>
      <c r="K445" s="38" t="s">
        <v>5069</v>
      </c>
      <c r="L445" s="116" t="s">
        <v>4539</v>
      </c>
      <c r="M445" s="15">
        <v>43054</v>
      </c>
      <c r="N445" s="15">
        <v>43089</v>
      </c>
      <c r="O445" s="61" t="s">
        <v>5149</v>
      </c>
      <c r="P445" s="61"/>
      <c r="Q445" s="167"/>
      <c r="R445" s="239" t="s">
        <v>5112</v>
      </c>
      <c r="S445" s="327" t="s">
        <v>4632</v>
      </c>
      <c r="T445" s="933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</row>
    <row r="446" spans="1:68" s="121" customFormat="1" ht="20.100000000000001" customHeight="1">
      <c r="A446" s="1127" t="s">
        <v>5040</v>
      </c>
      <c r="B446" s="1127" t="s">
        <v>5156</v>
      </c>
      <c r="C446" s="1127" t="s">
        <v>5159</v>
      </c>
      <c r="D446" s="246">
        <v>825</v>
      </c>
      <c r="E446" s="246">
        <v>800</v>
      </c>
      <c r="F446" s="246">
        <v>800</v>
      </c>
      <c r="G446" s="29" t="s">
        <v>4542</v>
      </c>
      <c r="H446" s="69" t="s">
        <v>4992</v>
      </c>
      <c r="I446" s="38" t="s">
        <v>4725</v>
      </c>
      <c r="J446" s="30"/>
      <c r="K446" s="38" t="s">
        <v>5069</v>
      </c>
      <c r="L446" s="116" t="s">
        <v>4539</v>
      </c>
      <c r="M446" s="15">
        <v>43065</v>
      </c>
      <c r="N446" s="15">
        <v>43083</v>
      </c>
      <c r="O446" s="61" t="s">
        <v>5154</v>
      </c>
      <c r="P446" s="61"/>
      <c r="Q446" s="167"/>
      <c r="R446" s="239" t="s">
        <v>5116</v>
      </c>
      <c r="S446" s="327" t="s">
        <v>4959</v>
      </c>
      <c r="T446" s="933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</row>
    <row r="447" spans="1:68" s="121" customFormat="1" ht="20.100000000000001" customHeight="1">
      <c r="A447" s="1127" t="s">
        <v>5040</v>
      </c>
      <c r="B447" s="1127" t="s">
        <v>5156</v>
      </c>
      <c r="C447" s="1127" t="s">
        <v>5155</v>
      </c>
      <c r="D447" s="894">
        <v>1200</v>
      </c>
      <c r="E447" s="894">
        <v>1600</v>
      </c>
      <c r="F447" s="894">
        <v>1600</v>
      </c>
      <c r="G447" s="220" t="s">
        <v>5010</v>
      </c>
      <c r="H447" s="56" t="s">
        <v>4552</v>
      </c>
      <c r="I447" s="38" t="s">
        <v>4725</v>
      </c>
      <c r="J447" s="30"/>
      <c r="K447" s="19" t="s">
        <v>5096</v>
      </c>
      <c r="L447" s="39" t="s">
        <v>4539</v>
      </c>
      <c r="M447" s="6">
        <v>43087</v>
      </c>
      <c r="N447" s="6">
        <v>43087</v>
      </c>
      <c r="O447" s="61" t="s">
        <v>5024</v>
      </c>
      <c r="P447" s="61"/>
      <c r="Q447" s="167"/>
      <c r="R447" s="239" t="s">
        <v>5007</v>
      </c>
      <c r="S447" s="327" t="s">
        <v>5006</v>
      </c>
      <c r="T447" s="933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</row>
    <row r="448" spans="1:68" s="121" customFormat="1" ht="20.100000000000001" customHeight="1">
      <c r="A448" s="1127" t="s">
        <v>5040</v>
      </c>
      <c r="B448" s="1127" t="s">
        <v>5156</v>
      </c>
      <c r="C448" s="1127" t="s">
        <v>5155</v>
      </c>
      <c r="D448" s="320">
        <v>625</v>
      </c>
      <c r="E448" s="320">
        <v>750</v>
      </c>
      <c r="F448" s="320">
        <v>750</v>
      </c>
      <c r="G448" s="3" t="s">
        <v>4566</v>
      </c>
      <c r="H448" s="56" t="s">
        <v>4649</v>
      </c>
      <c r="I448" s="51" t="s">
        <v>4725</v>
      </c>
      <c r="J448" s="30"/>
      <c r="K448" s="30" t="s">
        <v>4724</v>
      </c>
      <c r="L448" s="116" t="s">
        <v>4539</v>
      </c>
      <c r="M448" s="15">
        <v>43084</v>
      </c>
      <c r="N448" s="15">
        <v>43100</v>
      </c>
      <c r="O448" s="61" t="s">
        <v>4563</v>
      </c>
      <c r="P448" s="61"/>
      <c r="Q448" s="167"/>
      <c r="R448" s="239" t="s">
        <v>4998</v>
      </c>
      <c r="S448" s="327" t="s">
        <v>4561</v>
      </c>
      <c r="T448" s="933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</row>
    <row r="449" spans="1:68" s="121" customFormat="1" ht="20.100000000000001" customHeight="1">
      <c r="A449" s="1127" t="s">
        <v>5040</v>
      </c>
      <c r="B449" s="1127" t="s">
        <v>5156</v>
      </c>
      <c r="C449" s="1127" t="s">
        <v>5155</v>
      </c>
      <c r="D449" s="953">
        <v>565</v>
      </c>
      <c r="E449" s="953">
        <v>830</v>
      </c>
      <c r="F449" s="953">
        <v>830</v>
      </c>
      <c r="G449" s="29" t="s">
        <v>4560</v>
      </c>
      <c r="H449" s="36" t="s">
        <v>4649</v>
      </c>
      <c r="I449" s="38" t="s">
        <v>4725</v>
      </c>
      <c r="J449" s="30"/>
      <c r="K449" s="20" t="s">
        <v>4724</v>
      </c>
      <c r="L449" s="116" t="s">
        <v>4539</v>
      </c>
      <c r="M449" s="15">
        <v>43084</v>
      </c>
      <c r="N449" s="15">
        <v>43100</v>
      </c>
      <c r="O449" s="61" t="s">
        <v>5158</v>
      </c>
      <c r="P449" s="61"/>
      <c r="Q449" s="167"/>
      <c r="R449" s="239" t="s">
        <v>4998</v>
      </c>
      <c r="S449" s="327" t="s">
        <v>5004</v>
      </c>
      <c r="T449" s="933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</row>
    <row r="450" spans="1:68" s="121" customFormat="1" ht="20.100000000000001" customHeight="1">
      <c r="A450" s="1127" t="s">
        <v>5040</v>
      </c>
      <c r="B450" s="1127" t="s">
        <v>5156</v>
      </c>
      <c r="C450" s="1127" t="s">
        <v>5155</v>
      </c>
      <c r="D450" s="247">
        <v>650</v>
      </c>
      <c r="E450" s="247">
        <v>900</v>
      </c>
      <c r="F450" s="247">
        <v>900</v>
      </c>
      <c r="G450" s="234" t="s">
        <v>4557</v>
      </c>
      <c r="H450" s="36" t="s">
        <v>4649</v>
      </c>
      <c r="I450" s="38" t="s">
        <v>4725</v>
      </c>
      <c r="J450" s="30"/>
      <c r="K450" s="34" t="s">
        <v>4724</v>
      </c>
      <c r="L450" s="116" t="s">
        <v>4539</v>
      </c>
      <c r="M450" s="6">
        <v>43084</v>
      </c>
      <c r="N450" s="6">
        <v>43100</v>
      </c>
      <c r="O450" s="61" t="s">
        <v>4961</v>
      </c>
      <c r="P450" s="61"/>
      <c r="Q450" s="167"/>
      <c r="R450" s="239" t="s">
        <v>4998</v>
      </c>
      <c r="S450" s="327" t="s">
        <v>4973</v>
      </c>
      <c r="T450" s="933" t="s">
        <v>4907</v>
      </c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</row>
    <row r="451" spans="1:68" s="121" customFormat="1" ht="20.100000000000001" customHeight="1">
      <c r="A451" s="1127" t="s">
        <v>5040</v>
      </c>
      <c r="B451" s="1127" t="s">
        <v>5156</v>
      </c>
      <c r="C451" s="1127" t="s">
        <v>5155</v>
      </c>
      <c r="D451" s="949">
        <v>675</v>
      </c>
      <c r="E451" s="949">
        <v>850</v>
      </c>
      <c r="F451" s="949">
        <v>850</v>
      </c>
      <c r="G451" s="109" t="s">
        <v>4645</v>
      </c>
      <c r="H451" s="36" t="s">
        <v>4649</v>
      </c>
      <c r="I451" s="38" t="s">
        <v>4725</v>
      </c>
      <c r="J451" s="30"/>
      <c r="K451" s="20" t="s">
        <v>4724</v>
      </c>
      <c r="L451" s="116" t="s">
        <v>4539</v>
      </c>
      <c r="M451" s="6">
        <v>43077</v>
      </c>
      <c r="N451" s="6">
        <v>43093</v>
      </c>
      <c r="O451" s="61" t="s">
        <v>5154</v>
      </c>
      <c r="P451" s="61"/>
      <c r="Q451" s="167"/>
      <c r="R451" s="239" t="s">
        <v>4998</v>
      </c>
      <c r="S451" s="326" t="s">
        <v>4641</v>
      </c>
      <c r="T451" s="137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  <c r="BN451" s="120"/>
      <c r="BO451" s="120"/>
      <c r="BP451" s="120"/>
    </row>
    <row r="452" spans="1:68" s="121" customFormat="1" ht="20.100000000000001" customHeight="1">
      <c r="A452" s="1127" t="s">
        <v>5040</v>
      </c>
      <c r="B452" s="1127" t="s">
        <v>5156</v>
      </c>
      <c r="C452" s="1127" t="s">
        <v>5155</v>
      </c>
      <c r="D452" s="952">
        <v>1125</v>
      </c>
      <c r="E452" s="952">
        <v>1450</v>
      </c>
      <c r="F452" s="952">
        <v>1450</v>
      </c>
      <c r="G452" s="3" t="s">
        <v>4553</v>
      </c>
      <c r="H452" s="56" t="s">
        <v>4635</v>
      </c>
      <c r="I452" s="51" t="s">
        <v>5045</v>
      </c>
      <c r="J452" s="30"/>
      <c r="K452" s="39">
        <v>23</v>
      </c>
      <c r="L452" s="116" t="s">
        <v>4539</v>
      </c>
      <c r="M452" s="6">
        <v>43085</v>
      </c>
      <c r="N452" s="6">
        <v>43100</v>
      </c>
      <c r="O452" s="61" t="s">
        <v>5157</v>
      </c>
      <c r="P452" s="61"/>
      <c r="Q452" s="171"/>
      <c r="R452" s="239" t="s">
        <v>5143</v>
      </c>
      <c r="S452" s="326" t="s">
        <v>4987</v>
      </c>
      <c r="T452" s="933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  <c r="BN452" s="120"/>
      <c r="BO452" s="120"/>
      <c r="BP452" s="120"/>
    </row>
    <row r="453" spans="1:68" s="121" customFormat="1" ht="20.100000000000001" customHeight="1">
      <c r="A453" s="1127" t="s">
        <v>5040</v>
      </c>
      <c r="B453" s="1127" t="s">
        <v>5156</v>
      </c>
      <c r="C453" s="1127" t="s">
        <v>5155</v>
      </c>
      <c r="D453" s="956">
        <v>1275</v>
      </c>
      <c r="E453" s="956">
        <v>1750</v>
      </c>
      <c r="F453" s="956">
        <v>1750</v>
      </c>
      <c r="G453" s="3" t="s">
        <v>4549</v>
      </c>
      <c r="H453" s="56" t="s">
        <v>4635</v>
      </c>
      <c r="I453" s="51" t="s">
        <v>5045</v>
      </c>
      <c r="J453" s="30"/>
      <c r="K453" s="39" t="s">
        <v>4970</v>
      </c>
      <c r="L453" s="118" t="s">
        <v>4539</v>
      </c>
      <c r="M453" s="6">
        <v>43085</v>
      </c>
      <c r="N453" s="6">
        <v>43100</v>
      </c>
      <c r="O453" s="61" t="s">
        <v>4545</v>
      </c>
      <c r="P453" s="61"/>
      <c r="Q453" s="171"/>
      <c r="R453" s="239" t="s">
        <v>5088</v>
      </c>
      <c r="S453" s="328" t="s">
        <v>4543</v>
      </c>
      <c r="T453" s="933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</row>
    <row r="454" spans="1:68" s="121" customFormat="1" ht="20.100000000000001" customHeight="1">
      <c r="A454" s="1127" t="s">
        <v>5040</v>
      </c>
      <c r="B454" s="1127" t="s">
        <v>5156</v>
      </c>
      <c r="C454" s="1127" t="s">
        <v>5155</v>
      </c>
      <c r="D454" s="320">
        <v>975</v>
      </c>
      <c r="E454" s="320">
        <f>D454*2-800</f>
        <v>1150</v>
      </c>
      <c r="F454" s="320">
        <f>D454*2-750</f>
        <v>1200</v>
      </c>
      <c r="G454" s="234" t="s">
        <v>4575</v>
      </c>
      <c r="H454" s="36" t="s">
        <v>4992</v>
      </c>
      <c r="I454" s="51" t="s">
        <v>4725</v>
      </c>
      <c r="J454" s="34"/>
      <c r="K454" s="34" t="s">
        <v>4970</v>
      </c>
      <c r="L454" s="116" t="s">
        <v>4539</v>
      </c>
      <c r="M454" s="15">
        <v>43084</v>
      </c>
      <c r="N454" s="15">
        <v>43100</v>
      </c>
      <c r="O454" s="61" t="s">
        <v>4545</v>
      </c>
      <c r="P454" s="61"/>
      <c r="Q454" s="167"/>
      <c r="R454" s="239" t="s">
        <v>4990</v>
      </c>
      <c r="S454" s="327" t="s">
        <v>4576</v>
      </c>
      <c r="T454" s="137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  <c r="BN454" s="120"/>
      <c r="BO454" s="120"/>
      <c r="BP454" s="120"/>
    </row>
    <row r="455" spans="1:68" s="121" customFormat="1" ht="20.100000000000001" customHeight="1">
      <c r="A455" s="1127" t="s">
        <v>5040</v>
      </c>
      <c r="B455" s="1127" t="s">
        <v>5156</v>
      </c>
      <c r="C455" s="1127" t="s">
        <v>5155</v>
      </c>
      <c r="D455" s="947">
        <v>775</v>
      </c>
      <c r="E455" s="947">
        <v>950</v>
      </c>
      <c r="F455" s="947">
        <v>950</v>
      </c>
      <c r="G455" s="234" t="s">
        <v>4904</v>
      </c>
      <c r="H455" s="36" t="s">
        <v>4992</v>
      </c>
      <c r="I455" s="51" t="s">
        <v>4725</v>
      </c>
      <c r="J455" s="34"/>
      <c r="K455" s="34" t="s">
        <v>4970</v>
      </c>
      <c r="L455" s="116" t="s">
        <v>4539</v>
      </c>
      <c r="M455" s="15">
        <v>43054</v>
      </c>
      <c r="N455" s="15">
        <v>43089</v>
      </c>
      <c r="O455" s="61" t="s">
        <v>5149</v>
      </c>
      <c r="P455" s="61"/>
      <c r="Q455" s="167"/>
      <c r="R455" s="239" t="s">
        <v>5112</v>
      </c>
      <c r="S455" s="327" t="s">
        <v>4632</v>
      </c>
      <c r="T455" s="137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  <c r="BN455" s="120"/>
      <c r="BO455" s="120"/>
      <c r="BP455" s="120"/>
    </row>
    <row r="456" spans="1:68" s="121" customFormat="1" ht="20.100000000000001" customHeight="1">
      <c r="A456" s="1127" t="s">
        <v>5040</v>
      </c>
      <c r="B456" s="1127" t="s">
        <v>5156</v>
      </c>
      <c r="C456" s="1127" t="s">
        <v>5155</v>
      </c>
      <c r="D456" s="246">
        <v>825</v>
      </c>
      <c r="E456" s="246">
        <v>800</v>
      </c>
      <c r="F456" s="246">
        <v>800</v>
      </c>
      <c r="G456" s="29" t="s">
        <v>4542</v>
      </c>
      <c r="H456" s="36" t="s">
        <v>4992</v>
      </c>
      <c r="I456" s="38" t="s">
        <v>4725</v>
      </c>
      <c r="J456" s="30"/>
      <c r="K456" s="19" t="s">
        <v>4970</v>
      </c>
      <c r="L456" s="39" t="s">
        <v>4539</v>
      </c>
      <c r="M456" s="15">
        <v>43065</v>
      </c>
      <c r="N456" s="15">
        <v>43083</v>
      </c>
      <c r="O456" s="61" t="s">
        <v>5154</v>
      </c>
      <c r="P456" s="61"/>
      <c r="Q456" s="167"/>
      <c r="R456" s="239" t="s">
        <v>5116</v>
      </c>
      <c r="S456" s="327" t="s">
        <v>4959</v>
      </c>
      <c r="T456" s="137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  <c r="BN456" s="120"/>
      <c r="BO456" s="120"/>
      <c r="BP456" s="120"/>
    </row>
    <row r="457" spans="1:68" s="121" customFormat="1" ht="20.100000000000001" customHeight="1">
      <c r="A457" s="1127" t="s">
        <v>5040</v>
      </c>
      <c r="B457" s="1127" t="s">
        <v>5146</v>
      </c>
      <c r="C457" s="1127" t="s">
        <v>5145</v>
      </c>
      <c r="D457" s="949">
        <v>600</v>
      </c>
      <c r="E457" s="949">
        <v>1050</v>
      </c>
      <c r="F457" s="949">
        <v>1150</v>
      </c>
      <c r="G457" s="29" t="s">
        <v>5022</v>
      </c>
      <c r="H457" s="48" t="s">
        <v>4552</v>
      </c>
      <c r="I457" s="38" t="s">
        <v>4725</v>
      </c>
      <c r="J457" s="30"/>
      <c r="K457" s="50" t="s">
        <v>4975</v>
      </c>
      <c r="L457" s="116" t="s">
        <v>4539</v>
      </c>
      <c r="M457" s="6">
        <v>43073</v>
      </c>
      <c r="N457" s="6">
        <v>43083</v>
      </c>
      <c r="O457" s="61" t="s">
        <v>4961</v>
      </c>
      <c r="P457" s="61"/>
      <c r="Q457" s="167"/>
      <c r="R457" s="239" t="s">
        <v>5153</v>
      </c>
      <c r="S457" s="328" t="s">
        <v>1762</v>
      </c>
      <c r="T457" s="137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  <c r="BN457" s="120"/>
      <c r="BO457" s="120"/>
      <c r="BP457" s="120"/>
    </row>
    <row r="458" spans="1:68" s="121" customFormat="1" ht="20.100000000000001" customHeight="1">
      <c r="A458" s="1127" t="s">
        <v>5040</v>
      </c>
      <c r="B458" s="1127" t="s">
        <v>5146</v>
      </c>
      <c r="C458" s="1127" t="s">
        <v>5145</v>
      </c>
      <c r="D458" s="320">
        <v>725</v>
      </c>
      <c r="E458" s="320">
        <f>D458*2-100</f>
        <v>1350</v>
      </c>
      <c r="F458" s="320">
        <f>D458*2-50</f>
        <v>1400</v>
      </c>
      <c r="G458" s="234" t="s">
        <v>4575</v>
      </c>
      <c r="H458" s="245" t="s">
        <v>4552</v>
      </c>
      <c r="I458" s="51" t="s">
        <v>4725</v>
      </c>
      <c r="J458" s="50"/>
      <c r="K458" s="50" t="s">
        <v>4975</v>
      </c>
      <c r="L458" s="118" t="s">
        <v>4539</v>
      </c>
      <c r="M458" s="15">
        <v>43084</v>
      </c>
      <c r="N458" s="15">
        <v>43100</v>
      </c>
      <c r="O458" s="59" t="s">
        <v>5151</v>
      </c>
      <c r="P458" s="167"/>
      <c r="Q458" s="167"/>
      <c r="R458" s="239" t="s">
        <v>4583</v>
      </c>
      <c r="S458" s="327" t="s">
        <v>4576</v>
      </c>
      <c r="T458" s="137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20"/>
    </row>
    <row r="459" spans="1:68" s="121" customFormat="1" ht="20.100000000000001" customHeight="1">
      <c r="A459" s="1127" t="s">
        <v>5040</v>
      </c>
      <c r="B459" s="1127" t="s">
        <v>5146</v>
      </c>
      <c r="C459" s="1127" t="s">
        <v>5145</v>
      </c>
      <c r="D459" s="248">
        <v>650</v>
      </c>
      <c r="E459" s="248">
        <v>1100</v>
      </c>
      <c r="F459" s="248">
        <v>1150</v>
      </c>
      <c r="G459" s="234" t="s">
        <v>4572</v>
      </c>
      <c r="H459" s="36" t="s">
        <v>4552</v>
      </c>
      <c r="I459" s="51" t="s">
        <v>4725</v>
      </c>
      <c r="J459" s="50"/>
      <c r="K459" s="50" t="s">
        <v>4975</v>
      </c>
      <c r="L459" s="118" t="s">
        <v>4539</v>
      </c>
      <c r="M459" s="15">
        <v>43060</v>
      </c>
      <c r="N459" s="15">
        <v>43076</v>
      </c>
      <c r="O459" s="61" t="s">
        <v>4545</v>
      </c>
      <c r="P459" s="167"/>
      <c r="Q459" s="167"/>
      <c r="R459" s="239" t="s">
        <v>4584</v>
      </c>
      <c r="S459" s="328" t="s">
        <v>4543</v>
      </c>
      <c r="T459" s="137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  <c r="BN459" s="120"/>
      <c r="BO459" s="120"/>
      <c r="BP459" s="120"/>
    </row>
    <row r="460" spans="1:68" s="121" customFormat="1" ht="20.100000000000001" customHeight="1">
      <c r="A460" s="1127" t="s">
        <v>5040</v>
      </c>
      <c r="B460" s="1127" t="s">
        <v>5146</v>
      </c>
      <c r="C460" s="1127" t="s">
        <v>5145</v>
      </c>
      <c r="D460" s="947">
        <v>575</v>
      </c>
      <c r="E460" s="947">
        <v>1050</v>
      </c>
      <c r="F460" s="947">
        <v>1050</v>
      </c>
      <c r="G460" s="234" t="s">
        <v>4904</v>
      </c>
      <c r="H460" s="36" t="s">
        <v>4552</v>
      </c>
      <c r="I460" s="51" t="s">
        <v>4725</v>
      </c>
      <c r="J460" s="34"/>
      <c r="K460" s="50" t="s">
        <v>4975</v>
      </c>
      <c r="L460" s="116" t="s">
        <v>4539</v>
      </c>
      <c r="M460" s="15">
        <v>43054</v>
      </c>
      <c r="N460" s="15">
        <v>43089</v>
      </c>
      <c r="O460" s="61" t="s">
        <v>5149</v>
      </c>
      <c r="P460" s="167"/>
      <c r="Q460" s="167"/>
      <c r="R460" s="239" t="s">
        <v>5104</v>
      </c>
      <c r="S460" s="327" t="s">
        <v>4632</v>
      </c>
      <c r="T460" s="137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</row>
    <row r="461" spans="1:68" s="121" customFormat="1" ht="20.100000000000001" customHeight="1">
      <c r="A461" s="1127" t="s">
        <v>5040</v>
      </c>
      <c r="B461" s="1127" t="s">
        <v>5146</v>
      </c>
      <c r="C461" s="1127" t="s">
        <v>5145</v>
      </c>
      <c r="D461" s="247">
        <v>625</v>
      </c>
      <c r="E461" s="247">
        <v>1100</v>
      </c>
      <c r="F461" s="247">
        <v>1100</v>
      </c>
      <c r="G461" s="29" t="s">
        <v>4566</v>
      </c>
      <c r="H461" s="36" t="s">
        <v>4580</v>
      </c>
      <c r="I461" s="38" t="s">
        <v>5152</v>
      </c>
      <c r="J461" s="30"/>
      <c r="K461" s="34" t="s">
        <v>5055</v>
      </c>
      <c r="L461" s="116" t="s">
        <v>4539</v>
      </c>
      <c r="M461" s="15">
        <v>43073</v>
      </c>
      <c r="N461" s="15">
        <v>43100</v>
      </c>
      <c r="O461" s="61" t="s">
        <v>4563</v>
      </c>
      <c r="P461" s="61"/>
      <c r="Q461" s="167"/>
      <c r="R461" s="239" t="s">
        <v>4578</v>
      </c>
      <c r="S461" s="327" t="s">
        <v>4561</v>
      </c>
      <c r="T461" s="137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  <c r="BN461" s="120"/>
      <c r="BO461" s="120"/>
      <c r="BP461" s="120"/>
    </row>
    <row r="462" spans="1:68" s="121" customFormat="1" ht="20.100000000000001" customHeight="1">
      <c r="A462" s="1127" t="s">
        <v>5040</v>
      </c>
      <c r="B462" s="1127" t="s">
        <v>5146</v>
      </c>
      <c r="C462" s="1127" t="s">
        <v>5145</v>
      </c>
      <c r="D462" s="949">
        <v>600</v>
      </c>
      <c r="E462" s="949">
        <v>1050</v>
      </c>
      <c r="F462" s="949">
        <v>1150</v>
      </c>
      <c r="G462" s="29" t="s">
        <v>5022</v>
      </c>
      <c r="H462" s="18" t="s">
        <v>4580</v>
      </c>
      <c r="I462" s="38" t="s">
        <v>4725</v>
      </c>
      <c r="J462" s="30"/>
      <c r="K462" s="37" t="s">
        <v>4975</v>
      </c>
      <c r="L462" s="116" t="s">
        <v>4539</v>
      </c>
      <c r="M462" s="6">
        <v>43073</v>
      </c>
      <c r="N462" s="6">
        <v>43083</v>
      </c>
      <c r="O462" s="61" t="s">
        <v>4961</v>
      </c>
      <c r="P462" s="167"/>
      <c r="Q462" s="171"/>
      <c r="R462" s="239" t="s">
        <v>5140</v>
      </c>
      <c r="S462" s="328" t="s">
        <v>1762</v>
      </c>
      <c r="T462" s="933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  <c r="BN462" s="120"/>
      <c r="BO462" s="120"/>
      <c r="BP462" s="120"/>
    </row>
    <row r="463" spans="1:68" s="121" customFormat="1" ht="20.100000000000001" customHeight="1">
      <c r="A463" s="1127" t="s">
        <v>5040</v>
      </c>
      <c r="B463" s="1127" t="s">
        <v>5146</v>
      </c>
      <c r="C463" s="1127" t="s">
        <v>5145</v>
      </c>
      <c r="D463" s="320">
        <v>725</v>
      </c>
      <c r="E463" s="320">
        <f>D463*2-100</f>
        <v>1350</v>
      </c>
      <c r="F463" s="320">
        <f>D463*2-50</f>
        <v>1400</v>
      </c>
      <c r="G463" s="234" t="s">
        <v>4575</v>
      </c>
      <c r="H463" s="194" t="s">
        <v>4580</v>
      </c>
      <c r="I463" s="51" t="s">
        <v>4725</v>
      </c>
      <c r="J463" s="50"/>
      <c r="K463" s="37" t="s">
        <v>4975</v>
      </c>
      <c r="L463" s="118" t="s">
        <v>4539</v>
      </c>
      <c r="M463" s="15">
        <v>43084</v>
      </c>
      <c r="N463" s="15">
        <v>43100</v>
      </c>
      <c r="O463" s="61" t="s">
        <v>5151</v>
      </c>
      <c r="P463" s="167"/>
      <c r="Q463" s="171"/>
      <c r="R463" s="239" t="s">
        <v>5139</v>
      </c>
      <c r="S463" s="327" t="s">
        <v>4576</v>
      </c>
      <c r="T463" s="933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</row>
    <row r="464" spans="1:68" s="121" customFormat="1" ht="20.100000000000001" customHeight="1">
      <c r="A464" s="1127" t="s">
        <v>5040</v>
      </c>
      <c r="B464" s="1127" t="s">
        <v>5146</v>
      </c>
      <c r="C464" s="1127" t="s">
        <v>5145</v>
      </c>
      <c r="D464" s="248">
        <v>650</v>
      </c>
      <c r="E464" s="248">
        <v>1100</v>
      </c>
      <c r="F464" s="248">
        <v>1150</v>
      </c>
      <c r="G464" s="234" t="s">
        <v>4572</v>
      </c>
      <c r="H464" s="194" t="s">
        <v>4580</v>
      </c>
      <c r="I464" s="51" t="s">
        <v>4725</v>
      </c>
      <c r="J464" s="50"/>
      <c r="K464" s="37" t="s">
        <v>4975</v>
      </c>
      <c r="L464" s="118" t="s">
        <v>4539</v>
      </c>
      <c r="M464" s="15">
        <v>43060</v>
      </c>
      <c r="N464" s="15">
        <v>43076</v>
      </c>
      <c r="O464" s="61" t="s">
        <v>4545</v>
      </c>
      <c r="P464" s="167"/>
      <c r="Q464" s="171"/>
      <c r="R464" s="239" t="s">
        <v>4610</v>
      </c>
      <c r="S464" s="328" t="s">
        <v>4543</v>
      </c>
      <c r="T464" s="933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  <c r="BN464" s="120"/>
      <c r="BO464" s="120"/>
      <c r="BP464" s="120"/>
    </row>
    <row r="465" spans="1:68" s="121" customFormat="1" ht="20.100000000000001" customHeight="1">
      <c r="A465" s="1127" t="s">
        <v>5040</v>
      </c>
      <c r="B465" s="1127" t="s">
        <v>5146</v>
      </c>
      <c r="C465" s="1127" t="s">
        <v>5145</v>
      </c>
      <c r="D465" s="947">
        <v>575</v>
      </c>
      <c r="E465" s="947">
        <v>1050</v>
      </c>
      <c r="F465" s="947">
        <v>1050</v>
      </c>
      <c r="G465" s="234" t="s">
        <v>4904</v>
      </c>
      <c r="H465" s="36" t="s">
        <v>4580</v>
      </c>
      <c r="I465" s="51" t="s">
        <v>4725</v>
      </c>
      <c r="J465" s="34"/>
      <c r="K465" s="37" t="s">
        <v>4975</v>
      </c>
      <c r="L465" s="116" t="s">
        <v>4539</v>
      </c>
      <c r="M465" s="15">
        <v>43054</v>
      </c>
      <c r="N465" s="15">
        <v>43089</v>
      </c>
      <c r="O465" s="61" t="s">
        <v>5149</v>
      </c>
      <c r="P465" s="167"/>
      <c r="Q465" s="171"/>
      <c r="R465" s="21" t="s">
        <v>5138</v>
      </c>
      <c r="S465" s="327" t="s">
        <v>4632</v>
      </c>
      <c r="T465" s="933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  <c r="BN465" s="120"/>
      <c r="BO465" s="120"/>
      <c r="BP465" s="120"/>
    </row>
    <row r="466" spans="1:68" s="121" customFormat="1" ht="20.100000000000001" customHeight="1">
      <c r="A466" s="1127" t="s">
        <v>5040</v>
      </c>
      <c r="B466" s="1127" t="s">
        <v>5146</v>
      </c>
      <c r="C466" s="1127" t="s">
        <v>5145</v>
      </c>
      <c r="D466" s="961">
        <v>700</v>
      </c>
      <c r="E466" s="961">
        <v>1300</v>
      </c>
      <c r="F466" s="961">
        <v>1300</v>
      </c>
      <c r="G466" s="29" t="s">
        <v>4549</v>
      </c>
      <c r="H466" s="194" t="s">
        <v>4580</v>
      </c>
      <c r="I466" s="38" t="s">
        <v>4725</v>
      </c>
      <c r="J466" s="30"/>
      <c r="K466" s="34" t="s">
        <v>4665</v>
      </c>
      <c r="L466" s="118" t="s">
        <v>4539</v>
      </c>
      <c r="M466" s="6">
        <v>43070</v>
      </c>
      <c r="N466" s="6">
        <v>43100</v>
      </c>
      <c r="O466" s="61" t="s">
        <v>4545</v>
      </c>
      <c r="P466" s="61"/>
      <c r="Q466" s="171"/>
      <c r="R466" s="239" t="s">
        <v>5099</v>
      </c>
      <c r="S466" s="328" t="s">
        <v>4543</v>
      </c>
      <c r="T466" s="933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  <c r="BN466" s="120"/>
      <c r="BO466" s="120"/>
      <c r="BP466" s="120"/>
    </row>
    <row r="467" spans="1:68" s="121" customFormat="1" ht="20.100000000000001" customHeight="1">
      <c r="A467" s="1127" t="s">
        <v>5040</v>
      </c>
      <c r="B467" s="1127" t="s">
        <v>5146</v>
      </c>
      <c r="C467" s="1127" t="s">
        <v>5145</v>
      </c>
      <c r="D467" s="947">
        <v>575</v>
      </c>
      <c r="E467" s="947">
        <v>1050</v>
      </c>
      <c r="F467" s="947">
        <v>1050</v>
      </c>
      <c r="G467" s="234" t="s">
        <v>4904</v>
      </c>
      <c r="H467" s="36" t="s">
        <v>5150</v>
      </c>
      <c r="I467" s="51" t="s">
        <v>4725</v>
      </c>
      <c r="J467" s="34"/>
      <c r="K467" s="34" t="s">
        <v>5102</v>
      </c>
      <c r="L467" s="116" t="s">
        <v>4539</v>
      </c>
      <c r="M467" s="15">
        <v>43054</v>
      </c>
      <c r="N467" s="15">
        <v>43089</v>
      </c>
      <c r="O467" s="61" t="s">
        <v>5149</v>
      </c>
      <c r="P467" s="167"/>
      <c r="Q467" s="167"/>
      <c r="R467" s="21" t="s">
        <v>5148</v>
      </c>
      <c r="S467" s="327" t="s">
        <v>4632</v>
      </c>
      <c r="T467" s="933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  <c r="BN467" s="120"/>
      <c r="BO467" s="120"/>
      <c r="BP467" s="120"/>
    </row>
    <row r="468" spans="1:68" s="121" customFormat="1" ht="20.100000000000001" customHeight="1">
      <c r="A468" s="1127" t="s">
        <v>5040</v>
      </c>
      <c r="B468" s="1127" t="s">
        <v>5146</v>
      </c>
      <c r="C468" s="1127" t="s">
        <v>5145</v>
      </c>
      <c r="D468" s="958"/>
      <c r="E468" s="958"/>
      <c r="F468" s="958"/>
      <c r="G468" s="224" t="s">
        <v>4569</v>
      </c>
      <c r="H468" s="56" t="s">
        <v>4548</v>
      </c>
      <c r="I468" s="51" t="s">
        <v>4725</v>
      </c>
      <c r="J468" s="34"/>
      <c r="K468" s="34" t="s">
        <v>4724</v>
      </c>
      <c r="L468" s="116" t="s">
        <v>4539</v>
      </c>
      <c r="M468" s="6">
        <v>43057</v>
      </c>
      <c r="N468" s="6">
        <v>43069</v>
      </c>
      <c r="O468" s="14" t="s">
        <v>4921</v>
      </c>
      <c r="P468" s="61"/>
      <c r="Q468" s="167"/>
      <c r="R468" s="240" t="s">
        <v>5147</v>
      </c>
      <c r="S468" s="328" t="s">
        <v>4543</v>
      </c>
      <c r="T468" s="933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  <c r="BK468" s="120"/>
      <c r="BL468" s="120"/>
      <c r="BM468" s="120"/>
      <c r="BN468" s="120"/>
      <c r="BO468" s="120"/>
      <c r="BP468" s="120"/>
    </row>
    <row r="469" spans="1:68" s="121" customFormat="1" ht="20.100000000000001" customHeight="1">
      <c r="A469" s="1127" t="s">
        <v>5040</v>
      </c>
      <c r="B469" s="1127" t="s">
        <v>5146</v>
      </c>
      <c r="C469" s="1127" t="s">
        <v>5145</v>
      </c>
      <c r="D469" s="961">
        <v>700</v>
      </c>
      <c r="E469" s="961">
        <v>1300</v>
      </c>
      <c r="F469" s="961">
        <v>1300</v>
      </c>
      <c r="G469" s="29" t="s">
        <v>4549</v>
      </c>
      <c r="H469" s="56" t="s">
        <v>4548</v>
      </c>
      <c r="I469" s="51" t="s">
        <v>4725</v>
      </c>
      <c r="J469" s="34"/>
      <c r="K469" s="34" t="s">
        <v>4724</v>
      </c>
      <c r="L469" s="118" t="s">
        <v>4539</v>
      </c>
      <c r="M469" s="6">
        <v>43070</v>
      </c>
      <c r="N469" s="6">
        <v>43100</v>
      </c>
      <c r="O469" s="61" t="s">
        <v>4545</v>
      </c>
      <c r="P469" s="61"/>
      <c r="Q469" s="167"/>
      <c r="R469" s="239" t="s">
        <v>5117</v>
      </c>
      <c r="S469" s="328" t="s">
        <v>4543</v>
      </c>
      <c r="T469" s="933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  <c r="BK469" s="120"/>
      <c r="BL469" s="120"/>
      <c r="BM469" s="120"/>
      <c r="BN469" s="120"/>
      <c r="BO469" s="120"/>
      <c r="BP469" s="120"/>
    </row>
    <row r="470" spans="1:68" s="121" customFormat="1" ht="20.100000000000001" customHeight="1">
      <c r="A470" s="1127" t="s">
        <v>5040</v>
      </c>
      <c r="B470" s="1127" t="s">
        <v>5146</v>
      </c>
      <c r="C470" s="1127" t="s">
        <v>5145</v>
      </c>
      <c r="D470" s="961">
        <v>650</v>
      </c>
      <c r="E470" s="961">
        <v>1300</v>
      </c>
      <c r="F470" s="961">
        <v>1350</v>
      </c>
      <c r="G470" s="3" t="s">
        <v>4553</v>
      </c>
      <c r="H470" s="56" t="s">
        <v>4548</v>
      </c>
      <c r="I470" s="38" t="s">
        <v>4725</v>
      </c>
      <c r="J470" s="30"/>
      <c r="K470" s="34" t="s">
        <v>4724</v>
      </c>
      <c r="L470" s="118" t="s">
        <v>4539</v>
      </c>
      <c r="M470" s="6">
        <v>43085</v>
      </c>
      <c r="N470" s="6">
        <v>43100</v>
      </c>
      <c r="O470" s="61" t="s">
        <v>4545</v>
      </c>
      <c r="P470" s="59"/>
      <c r="Q470" s="167"/>
      <c r="R470" s="239" t="s">
        <v>5144</v>
      </c>
      <c r="S470" s="326" t="s">
        <v>4987</v>
      </c>
      <c r="T470" s="933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  <c r="BK470" s="120"/>
      <c r="BL470" s="120"/>
      <c r="BM470" s="120"/>
      <c r="BN470" s="120"/>
      <c r="BO470" s="120"/>
      <c r="BP470" s="120"/>
    </row>
    <row r="471" spans="1:68" s="121" customFormat="1" ht="20.100000000000001" customHeight="1">
      <c r="A471" s="1127" t="s">
        <v>5040</v>
      </c>
      <c r="B471" s="1127" t="s">
        <v>5128</v>
      </c>
      <c r="C471" s="1127" t="s">
        <v>5135</v>
      </c>
      <c r="D471" s="952">
        <v>1225</v>
      </c>
      <c r="E471" s="952">
        <v>1650</v>
      </c>
      <c r="F471" s="952">
        <v>1650</v>
      </c>
      <c r="G471" s="3" t="s">
        <v>4553</v>
      </c>
      <c r="H471" s="56" t="s">
        <v>4635</v>
      </c>
      <c r="I471" s="38" t="s">
        <v>4725</v>
      </c>
      <c r="J471" s="34" t="s">
        <v>5137</v>
      </c>
      <c r="K471" s="34" t="s">
        <v>5096</v>
      </c>
      <c r="L471" s="116" t="s">
        <v>4539</v>
      </c>
      <c r="M471" s="6">
        <v>43085</v>
      </c>
      <c r="N471" s="6">
        <v>43100</v>
      </c>
      <c r="O471" s="134" t="s">
        <v>4545</v>
      </c>
      <c r="P471" s="59"/>
      <c r="Q471" s="171"/>
      <c r="R471" s="239" t="s">
        <v>5143</v>
      </c>
      <c r="S471" s="326" t="s">
        <v>4987</v>
      </c>
      <c r="T471" s="933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  <c r="BK471" s="120"/>
      <c r="BL471" s="120"/>
      <c r="BM471" s="120"/>
      <c r="BN471" s="120"/>
      <c r="BO471" s="120"/>
      <c r="BP471" s="120"/>
    </row>
    <row r="472" spans="1:68" s="121" customFormat="1" ht="20.100000000000001" customHeight="1">
      <c r="A472" s="1127" t="s">
        <v>5040</v>
      </c>
      <c r="B472" s="1127" t="s">
        <v>5128</v>
      </c>
      <c r="C472" s="1127" t="s">
        <v>5135</v>
      </c>
      <c r="D472" s="956">
        <v>1375</v>
      </c>
      <c r="E472" s="956">
        <v>1950</v>
      </c>
      <c r="F472" s="956">
        <v>1950</v>
      </c>
      <c r="G472" s="29" t="s">
        <v>4549</v>
      </c>
      <c r="H472" s="56" t="s">
        <v>4635</v>
      </c>
      <c r="I472" s="38" t="s">
        <v>4725</v>
      </c>
      <c r="J472" s="34" t="s">
        <v>5137</v>
      </c>
      <c r="K472" s="34" t="s">
        <v>5096</v>
      </c>
      <c r="L472" s="118" t="s">
        <v>4539</v>
      </c>
      <c r="M472" s="6">
        <v>43085</v>
      </c>
      <c r="N472" s="6">
        <v>43100</v>
      </c>
      <c r="O472" s="61" t="s">
        <v>4545</v>
      </c>
      <c r="P472" s="59"/>
      <c r="Q472" s="171"/>
      <c r="R472" s="239" t="s">
        <v>5088</v>
      </c>
      <c r="S472" s="328" t="s">
        <v>4543</v>
      </c>
      <c r="T472" s="933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  <c r="BK472" s="120"/>
      <c r="BL472" s="120"/>
      <c r="BM472" s="120"/>
      <c r="BN472" s="120"/>
      <c r="BO472" s="120"/>
      <c r="BP472" s="120"/>
    </row>
    <row r="473" spans="1:68" s="121" customFormat="1" ht="20.100000000000001" customHeight="1">
      <c r="A473" s="1127" t="s">
        <v>5040</v>
      </c>
      <c r="B473" s="1127" t="s">
        <v>5128</v>
      </c>
      <c r="C473" s="1127" t="s">
        <v>5135</v>
      </c>
      <c r="D473" s="247">
        <v>875</v>
      </c>
      <c r="E473" s="247">
        <v>1200</v>
      </c>
      <c r="F473" s="247">
        <v>1200</v>
      </c>
      <c r="G473" s="29" t="s">
        <v>4566</v>
      </c>
      <c r="H473" s="48" t="s">
        <v>4580</v>
      </c>
      <c r="I473" s="38" t="s">
        <v>4881</v>
      </c>
      <c r="J473" s="30" t="s">
        <v>5137</v>
      </c>
      <c r="K473" s="30">
        <v>24</v>
      </c>
      <c r="L473" s="116" t="s">
        <v>4539</v>
      </c>
      <c r="M473" s="15">
        <v>43073</v>
      </c>
      <c r="N473" s="15">
        <v>43100</v>
      </c>
      <c r="O473" s="61" t="s">
        <v>4563</v>
      </c>
      <c r="P473" s="74"/>
      <c r="Q473" s="167"/>
      <c r="R473" s="239" t="s">
        <v>4578</v>
      </c>
      <c r="S473" s="327" t="s">
        <v>4561</v>
      </c>
      <c r="T473" s="933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  <c r="BK473" s="120"/>
      <c r="BL473" s="120"/>
      <c r="BM473" s="120"/>
      <c r="BN473" s="120"/>
      <c r="BO473" s="120"/>
      <c r="BP473" s="120"/>
    </row>
    <row r="474" spans="1:68" s="121" customFormat="1" ht="20.100000000000001" customHeight="1">
      <c r="A474" s="1127" t="s">
        <v>5040</v>
      </c>
      <c r="B474" s="1127" t="s">
        <v>5128</v>
      </c>
      <c r="C474" s="1127" t="s">
        <v>5135</v>
      </c>
      <c r="D474" s="949">
        <v>900</v>
      </c>
      <c r="E474" s="949">
        <v>1250</v>
      </c>
      <c r="F474" s="949">
        <v>1250</v>
      </c>
      <c r="G474" s="136" t="s">
        <v>4645</v>
      </c>
      <c r="H474" s="36" t="s">
        <v>4580</v>
      </c>
      <c r="I474" s="38" t="s">
        <v>4881</v>
      </c>
      <c r="J474" s="30" t="s">
        <v>5137</v>
      </c>
      <c r="K474" s="117" t="s">
        <v>5096</v>
      </c>
      <c r="L474" s="116" t="s">
        <v>4539</v>
      </c>
      <c r="M474" s="6">
        <v>43077</v>
      </c>
      <c r="N474" s="6">
        <v>43093</v>
      </c>
      <c r="O474" s="61" t="s">
        <v>4961</v>
      </c>
      <c r="P474" s="74"/>
      <c r="Q474" s="167"/>
      <c r="R474" s="239" t="s">
        <v>4578</v>
      </c>
      <c r="S474" s="326" t="s">
        <v>4641</v>
      </c>
      <c r="T474" s="933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  <c r="BK474" s="120"/>
      <c r="BL474" s="120"/>
      <c r="BM474" s="120"/>
      <c r="BN474" s="120"/>
      <c r="BO474" s="120"/>
      <c r="BP474" s="120"/>
    </row>
    <row r="475" spans="1:68" s="121" customFormat="1" ht="20.100000000000001" customHeight="1">
      <c r="A475" s="1127" t="s">
        <v>5040</v>
      </c>
      <c r="B475" s="1127" t="s">
        <v>5128</v>
      </c>
      <c r="C475" s="1127" t="s">
        <v>5135</v>
      </c>
      <c r="D475" s="247">
        <v>725</v>
      </c>
      <c r="E475" s="247">
        <v>1000</v>
      </c>
      <c r="F475" s="247">
        <v>1000</v>
      </c>
      <c r="G475" s="224" t="s">
        <v>4569</v>
      </c>
      <c r="H475" s="36" t="s">
        <v>4580</v>
      </c>
      <c r="I475" s="38" t="s">
        <v>4725</v>
      </c>
      <c r="J475" s="34" t="s">
        <v>5137</v>
      </c>
      <c r="K475" s="30" t="s">
        <v>5141</v>
      </c>
      <c r="L475" s="116" t="s">
        <v>4539</v>
      </c>
      <c r="M475" s="6">
        <v>43057</v>
      </c>
      <c r="N475" s="6">
        <v>43069</v>
      </c>
      <c r="O475" s="61" t="s">
        <v>5142</v>
      </c>
      <c r="P475" s="61"/>
      <c r="Q475" s="7"/>
      <c r="R475" s="239" t="s">
        <v>5095</v>
      </c>
      <c r="S475" s="328" t="s">
        <v>4543</v>
      </c>
      <c r="T475" s="933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  <c r="BK475" s="120"/>
      <c r="BL475" s="120"/>
      <c r="BM475" s="120"/>
      <c r="BN475" s="120"/>
      <c r="BO475" s="120"/>
      <c r="BP475" s="120"/>
    </row>
    <row r="476" spans="1:68" s="121" customFormat="1" ht="20.100000000000001" customHeight="1">
      <c r="A476" s="1127" t="s">
        <v>5040</v>
      </c>
      <c r="B476" s="1127" t="s">
        <v>5128</v>
      </c>
      <c r="C476" s="1127" t="s">
        <v>5135</v>
      </c>
      <c r="D476" s="956">
        <v>1375</v>
      </c>
      <c r="E476" s="956">
        <v>1950</v>
      </c>
      <c r="F476" s="956">
        <v>1950</v>
      </c>
      <c r="G476" s="3" t="s">
        <v>4549</v>
      </c>
      <c r="H476" s="56" t="s">
        <v>4580</v>
      </c>
      <c r="I476" s="51" t="s">
        <v>4725</v>
      </c>
      <c r="J476" s="34" t="s">
        <v>5137</v>
      </c>
      <c r="K476" s="30" t="s">
        <v>5141</v>
      </c>
      <c r="L476" s="118" t="s">
        <v>4539</v>
      </c>
      <c r="M476" s="6">
        <v>43085</v>
      </c>
      <c r="N476" s="6">
        <v>43100</v>
      </c>
      <c r="O476" s="61" t="s">
        <v>4545</v>
      </c>
      <c r="P476" s="61"/>
      <c r="Q476" s="171"/>
      <c r="R476" s="239" t="s">
        <v>5099</v>
      </c>
      <c r="S476" s="328" t="s">
        <v>4543</v>
      </c>
      <c r="T476" s="933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  <c r="BN476" s="120"/>
      <c r="BO476" s="120"/>
      <c r="BP476" s="120"/>
    </row>
    <row r="477" spans="1:68" s="121" customFormat="1" ht="20.100000000000001" customHeight="1">
      <c r="A477" s="1127" t="s">
        <v>5040</v>
      </c>
      <c r="B477" s="1127" t="s">
        <v>5128</v>
      </c>
      <c r="C477" s="1127" t="s">
        <v>5135</v>
      </c>
      <c r="D477" s="949">
        <v>800</v>
      </c>
      <c r="E477" s="949">
        <v>1050</v>
      </c>
      <c r="F477" s="949">
        <v>1050</v>
      </c>
      <c r="G477" s="3" t="s">
        <v>5022</v>
      </c>
      <c r="H477" s="48" t="s">
        <v>4580</v>
      </c>
      <c r="I477" s="38" t="s">
        <v>4725</v>
      </c>
      <c r="J477" s="30" t="s">
        <v>5137</v>
      </c>
      <c r="K477" s="30">
        <v>24</v>
      </c>
      <c r="L477" s="116" t="s">
        <v>4539</v>
      </c>
      <c r="M477" s="6">
        <v>43073</v>
      </c>
      <c r="N477" s="6">
        <v>43083</v>
      </c>
      <c r="O477" s="61" t="s">
        <v>4961</v>
      </c>
      <c r="P477" s="61"/>
      <c r="Q477" s="171"/>
      <c r="R477" s="239" t="s">
        <v>5140</v>
      </c>
      <c r="S477" s="328" t="s">
        <v>1762</v>
      </c>
      <c r="T477" s="933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  <c r="BN477" s="120"/>
      <c r="BO477" s="120"/>
      <c r="BP477" s="120"/>
    </row>
    <row r="478" spans="1:68" s="121" customFormat="1" ht="20.100000000000001" customHeight="1">
      <c r="A478" s="1127" t="s">
        <v>5040</v>
      </c>
      <c r="B478" s="1127" t="s">
        <v>5128</v>
      </c>
      <c r="C478" s="1127" t="s">
        <v>5135</v>
      </c>
      <c r="D478" s="248">
        <v>1050</v>
      </c>
      <c r="E478" s="248">
        <v>1300</v>
      </c>
      <c r="F478" s="248">
        <v>1300</v>
      </c>
      <c r="G478" s="234" t="s">
        <v>4572</v>
      </c>
      <c r="H478" s="36" t="s">
        <v>4580</v>
      </c>
      <c r="I478" s="51" t="s">
        <v>4725</v>
      </c>
      <c r="J478" s="30" t="s">
        <v>5137</v>
      </c>
      <c r="K478" s="30" t="s">
        <v>4724</v>
      </c>
      <c r="L478" s="116" t="s">
        <v>4539</v>
      </c>
      <c r="M478" s="15">
        <v>43054</v>
      </c>
      <c r="N478" s="15">
        <v>43076</v>
      </c>
      <c r="O478" s="134" t="s">
        <v>4545</v>
      </c>
      <c r="P478" s="74"/>
      <c r="Q478" s="171"/>
      <c r="R478" s="239" t="s">
        <v>4610</v>
      </c>
      <c r="S478" s="328" t="s">
        <v>4543</v>
      </c>
      <c r="T478" s="933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0"/>
      <c r="BM478" s="120"/>
      <c r="BN478" s="120"/>
      <c r="BO478" s="120"/>
      <c r="BP478" s="120"/>
    </row>
    <row r="479" spans="1:68" s="121" customFormat="1" ht="20.100000000000001" customHeight="1">
      <c r="A479" s="1127" t="s">
        <v>5040</v>
      </c>
      <c r="B479" s="1127" t="s">
        <v>5128</v>
      </c>
      <c r="C479" s="1127" t="s">
        <v>5135</v>
      </c>
      <c r="D479" s="320">
        <v>1075</v>
      </c>
      <c r="E479" s="320">
        <f>D479*2-800</f>
        <v>1350</v>
      </c>
      <c r="F479" s="320">
        <f>D479*2-750</f>
        <v>1400</v>
      </c>
      <c r="G479" s="234" t="s">
        <v>4575</v>
      </c>
      <c r="H479" s="36" t="s">
        <v>4580</v>
      </c>
      <c r="I479" s="51" t="s">
        <v>4725</v>
      </c>
      <c r="J479" s="30" t="s">
        <v>5137</v>
      </c>
      <c r="K479" s="24" t="s">
        <v>4724</v>
      </c>
      <c r="L479" s="116" t="s">
        <v>4539</v>
      </c>
      <c r="M479" s="15">
        <v>43084</v>
      </c>
      <c r="N479" s="15">
        <v>43100</v>
      </c>
      <c r="O479" s="61" t="s">
        <v>4545</v>
      </c>
      <c r="P479" s="74"/>
      <c r="Q479" s="171"/>
      <c r="R479" s="239" t="s">
        <v>5139</v>
      </c>
      <c r="S479" s="327" t="s">
        <v>4576</v>
      </c>
      <c r="T479" s="933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  <c r="BK479" s="120"/>
      <c r="BL479" s="120"/>
      <c r="BM479" s="120"/>
      <c r="BN479" s="120"/>
      <c r="BO479" s="120"/>
      <c r="BP479" s="120"/>
    </row>
    <row r="480" spans="1:68" s="121" customFormat="1" ht="20.100000000000001" customHeight="1">
      <c r="A480" s="1127" t="s">
        <v>5040</v>
      </c>
      <c r="B480" s="1127" t="s">
        <v>5128</v>
      </c>
      <c r="C480" s="1127" t="s">
        <v>5135</v>
      </c>
      <c r="D480" s="947">
        <v>775</v>
      </c>
      <c r="E480" s="947">
        <v>950</v>
      </c>
      <c r="F480" s="947">
        <v>950</v>
      </c>
      <c r="G480" s="234" t="s">
        <v>4904</v>
      </c>
      <c r="H480" s="36" t="s">
        <v>4580</v>
      </c>
      <c r="I480" s="51" t="s">
        <v>4725</v>
      </c>
      <c r="J480" s="34" t="s">
        <v>5137</v>
      </c>
      <c r="K480" s="34" t="s">
        <v>4724</v>
      </c>
      <c r="L480" s="116" t="s">
        <v>4539</v>
      </c>
      <c r="M480" s="15">
        <v>43079</v>
      </c>
      <c r="N480" s="15">
        <v>43089</v>
      </c>
      <c r="O480" s="61" t="s">
        <v>4961</v>
      </c>
      <c r="P480" s="74"/>
      <c r="Q480" s="171"/>
      <c r="R480" s="21" t="s">
        <v>5138</v>
      </c>
      <c r="S480" s="327" t="s">
        <v>4632</v>
      </c>
      <c r="T480" s="933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  <c r="BN480" s="120"/>
      <c r="BO480" s="120"/>
      <c r="BP480" s="120"/>
    </row>
    <row r="481" spans="1:68" s="121" customFormat="1" ht="20.100000000000001" customHeight="1">
      <c r="A481" s="1127" t="s">
        <v>5040</v>
      </c>
      <c r="B481" s="1127" t="s">
        <v>5128</v>
      </c>
      <c r="C481" s="1127" t="s">
        <v>5135</v>
      </c>
      <c r="D481" s="247">
        <v>850</v>
      </c>
      <c r="E481" s="247">
        <v>1000</v>
      </c>
      <c r="F481" s="247">
        <v>1000</v>
      </c>
      <c r="G481" s="64" t="s">
        <v>4542</v>
      </c>
      <c r="H481" s="48" t="s">
        <v>4580</v>
      </c>
      <c r="I481" s="38" t="s">
        <v>4725</v>
      </c>
      <c r="J481" s="30" t="s">
        <v>5137</v>
      </c>
      <c r="K481" s="30">
        <v>24</v>
      </c>
      <c r="L481" s="116" t="s">
        <v>4539</v>
      </c>
      <c r="M481" s="15">
        <v>43065</v>
      </c>
      <c r="N481" s="15">
        <v>43083</v>
      </c>
      <c r="O481" s="134" t="s">
        <v>4961</v>
      </c>
      <c r="P481" s="74"/>
      <c r="Q481" s="171"/>
      <c r="R481" s="239" t="s">
        <v>5132</v>
      </c>
      <c r="S481" s="327" t="s">
        <v>4959</v>
      </c>
      <c r="T481" s="319" t="s">
        <v>5136</v>
      </c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0"/>
      <c r="BM481" s="120"/>
      <c r="BN481" s="120"/>
      <c r="BO481" s="120"/>
      <c r="BP481" s="120"/>
    </row>
    <row r="482" spans="1:68" s="121" customFormat="1" ht="20.100000000000001" customHeight="1">
      <c r="A482" s="1127" t="s">
        <v>5040</v>
      </c>
      <c r="B482" s="1127" t="s">
        <v>5128</v>
      </c>
      <c r="C482" s="1127" t="s">
        <v>5135</v>
      </c>
      <c r="D482" s="949">
        <v>800</v>
      </c>
      <c r="E482" s="949">
        <v>1050</v>
      </c>
      <c r="F482" s="949">
        <v>1050</v>
      </c>
      <c r="G482" s="29" t="s">
        <v>5022</v>
      </c>
      <c r="H482" s="36" t="s">
        <v>4635</v>
      </c>
      <c r="I482" s="51" t="s">
        <v>4725</v>
      </c>
      <c r="J482" s="30" t="s">
        <v>5134</v>
      </c>
      <c r="K482" s="24" t="s">
        <v>4970</v>
      </c>
      <c r="L482" s="116" t="s">
        <v>4539</v>
      </c>
      <c r="M482" s="6">
        <v>43073</v>
      </c>
      <c r="N482" s="6">
        <v>43083</v>
      </c>
      <c r="O482" s="61" t="s">
        <v>4961</v>
      </c>
      <c r="P482" s="61"/>
      <c r="Q482" s="167"/>
      <c r="R482" s="239" t="s">
        <v>4997</v>
      </c>
      <c r="S482" s="328" t="s">
        <v>1762</v>
      </c>
      <c r="T482" s="137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  <c r="BK482" s="120"/>
      <c r="BL482" s="120"/>
      <c r="BM482" s="120"/>
      <c r="BN482" s="120"/>
      <c r="BO482" s="120"/>
      <c r="BP482" s="120"/>
    </row>
    <row r="483" spans="1:68" s="121" customFormat="1" ht="20.100000000000001" customHeight="1">
      <c r="A483" s="1127" t="s">
        <v>5040</v>
      </c>
      <c r="B483" s="1127" t="s">
        <v>5128</v>
      </c>
      <c r="C483" s="1127" t="s">
        <v>5135</v>
      </c>
      <c r="D483" s="320">
        <v>1075</v>
      </c>
      <c r="E483" s="320">
        <f>D483*2-800</f>
        <v>1350</v>
      </c>
      <c r="F483" s="320">
        <f>D483*2-750</f>
        <v>1400</v>
      </c>
      <c r="G483" s="234" t="s">
        <v>4575</v>
      </c>
      <c r="H483" s="36" t="s">
        <v>4635</v>
      </c>
      <c r="I483" s="51" t="s">
        <v>4725</v>
      </c>
      <c r="J483" s="30" t="s">
        <v>5134</v>
      </c>
      <c r="K483" s="24" t="s">
        <v>4970</v>
      </c>
      <c r="L483" s="116" t="s">
        <v>4539</v>
      </c>
      <c r="M483" s="15">
        <v>43084</v>
      </c>
      <c r="N483" s="15">
        <v>43100</v>
      </c>
      <c r="O483" s="61" t="s">
        <v>4545</v>
      </c>
      <c r="P483" s="167"/>
      <c r="Q483" s="167"/>
      <c r="R483" s="239" t="s">
        <v>4882</v>
      </c>
      <c r="S483" s="327" t="s">
        <v>4576</v>
      </c>
      <c r="T483" s="137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0"/>
      <c r="BM483" s="120"/>
      <c r="BN483" s="120"/>
      <c r="BO483" s="120"/>
      <c r="BP483" s="120"/>
    </row>
    <row r="484" spans="1:68" s="121" customFormat="1" ht="20.100000000000001" customHeight="1">
      <c r="A484" s="1127" t="s">
        <v>5040</v>
      </c>
      <c r="B484" s="1127" t="s">
        <v>5128</v>
      </c>
      <c r="C484" s="1127" t="s">
        <v>5135</v>
      </c>
      <c r="D484" s="248">
        <v>1050</v>
      </c>
      <c r="E484" s="248">
        <v>1300</v>
      </c>
      <c r="F484" s="248">
        <v>1300</v>
      </c>
      <c r="G484" s="234" t="s">
        <v>4572</v>
      </c>
      <c r="H484" s="56" t="s">
        <v>4635</v>
      </c>
      <c r="I484" s="51" t="s">
        <v>4725</v>
      </c>
      <c r="J484" s="30" t="s">
        <v>5134</v>
      </c>
      <c r="K484" s="30" t="s">
        <v>4970</v>
      </c>
      <c r="L484" s="116" t="s">
        <v>4539</v>
      </c>
      <c r="M484" s="15">
        <v>43054</v>
      </c>
      <c r="N484" s="15">
        <v>43076</v>
      </c>
      <c r="O484" s="134" t="s">
        <v>4545</v>
      </c>
      <c r="P484" s="167"/>
      <c r="Q484" s="167"/>
      <c r="R484" s="239" t="s">
        <v>4997</v>
      </c>
      <c r="S484" s="328" t="s">
        <v>4543</v>
      </c>
      <c r="T484" s="137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0"/>
      <c r="BM484" s="120"/>
      <c r="BN484" s="120"/>
      <c r="BO484" s="120"/>
      <c r="BP484" s="120"/>
    </row>
    <row r="485" spans="1:68" s="121" customFormat="1" ht="20.100000000000001" customHeight="1">
      <c r="A485" s="1127" t="s">
        <v>5040</v>
      </c>
      <c r="B485" s="1127" t="s">
        <v>5128</v>
      </c>
      <c r="C485" s="1127" t="s">
        <v>5135</v>
      </c>
      <c r="D485" s="947">
        <v>775</v>
      </c>
      <c r="E485" s="947">
        <v>950</v>
      </c>
      <c r="F485" s="947">
        <v>950</v>
      </c>
      <c r="G485" s="234" t="s">
        <v>4904</v>
      </c>
      <c r="H485" s="69" t="s">
        <v>4635</v>
      </c>
      <c r="I485" s="51" t="s">
        <v>4725</v>
      </c>
      <c r="J485" s="30" t="s">
        <v>5134</v>
      </c>
      <c r="K485" s="30" t="s">
        <v>4970</v>
      </c>
      <c r="L485" s="116" t="s">
        <v>4539</v>
      </c>
      <c r="M485" s="15">
        <v>43054</v>
      </c>
      <c r="N485" s="15">
        <v>43089</v>
      </c>
      <c r="O485" s="61" t="s">
        <v>4961</v>
      </c>
      <c r="P485" s="74"/>
      <c r="Q485" s="167"/>
      <c r="R485" s="239" t="s">
        <v>5021</v>
      </c>
      <c r="S485" s="327" t="s">
        <v>4632</v>
      </c>
      <c r="T485" s="933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  <c r="BN485" s="120"/>
      <c r="BO485" s="120"/>
      <c r="BP485" s="120"/>
    </row>
    <row r="486" spans="1:68" s="121" customFormat="1" ht="20.100000000000001" customHeight="1">
      <c r="A486" s="1127" t="s">
        <v>5040</v>
      </c>
      <c r="B486" s="1127" t="s">
        <v>5128</v>
      </c>
      <c r="C486" s="1127" t="s">
        <v>5135</v>
      </c>
      <c r="D486" s="247">
        <v>850</v>
      </c>
      <c r="E486" s="247">
        <v>1000</v>
      </c>
      <c r="F486" s="247">
        <v>1000</v>
      </c>
      <c r="G486" s="64" t="s">
        <v>4542</v>
      </c>
      <c r="H486" s="56" t="s">
        <v>4635</v>
      </c>
      <c r="I486" s="51" t="s">
        <v>4725</v>
      </c>
      <c r="J486" s="30" t="s">
        <v>5134</v>
      </c>
      <c r="K486" s="30" t="s">
        <v>4970</v>
      </c>
      <c r="L486" s="116" t="s">
        <v>4539</v>
      </c>
      <c r="M486" s="15">
        <v>43065</v>
      </c>
      <c r="N486" s="15">
        <v>43083</v>
      </c>
      <c r="O486" s="61" t="s">
        <v>4961</v>
      </c>
      <c r="P486" s="74"/>
      <c r="Q486" s="167"/>
      <c r="R486" s="239" t="s">
        <v>5020</v>
      </c>
      <c r="S486" s="327" t="s">
        <v>4959</v>
      </c>
      <c r="T486" s="319" t="s">
        <v>5136</v>
      </c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  <c r="BK486" s="120"/>
      <c r="BL486" s="120"/>
      <c r="BM486" s="120"/>
      <c r="BN486" s="120"/>
      <c r="BO486" s="120"/>
      <c r="BP486" s="120"/>
    </row>
    <row r="487" spans="1:68" s="121" customFormat="1" ht="20.100000000000001" customHeight="1">
      <c r="A487" s="1127" t="s">
        <v>5040</v>
      </c>
      <c r="B487" s="1127" t="s">
        <v>5128</v>
      </c>
      <c r="C487" s="1127" t="s">
        <v>5135</v>
      </c>
      <c r="D487" s="956">
        <v>1375</v>
      </c>
      <c r="E487" s="956">
        <v>1950</v>
      </c>
      <c r="F487" s="956">
        <v>1950</v>
      </c>
      <c r="G487" s="3" t="s">
        <v>4549</v>
      </c>
      <c r="H487" s="56" t="s">
        <v>4890</v>
      </c>
      <c r="I487" s="51" t="s">
        <v>4884</v>
      </c>
      <c r="J487" s="34" t="s">
        <v>5134</v>
      </c>
      <c r="K487" s="34" t="s">
        <v>5102</v>
      </c>
      <c r="L487" s="118" t="s">
        <v>4539</v>
      </c>
      <c r="M487" s="6">
        <v>43085</v>
      </c>
      <c r="N487" s="6">
        <v>43100</v>
      </c>
      <c r="O487" s="61" t="s">
        <v>4545</v>
      </c>
      <c r="P487" s="61"/>
      <c r="Q487" s="52"/>
      <c r="R487" s="239" t="s">
        <v>5050</v>
      </c>
      <c r="S487" s="328" t="s">
        <v>4543</v>
      </c>
      <c r="T487" s="137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  <c r="BK487" s="120"/>
      <c r="BL487" s="120"/>
      <c r="BM487" s="120"/>
      <c r="BN487" s="120"/>
      <c r="BO487" s="120"/>
      <c r="BP487" s="120"/>
    </row>
    <row r="488" spans="1:68" s="121" customFormat="1" ht="20.100000000000001" customHeight="1">
      <c r="A488" s="1127" t="s">
        <v>5040</v>
      </c>
      <c r="B488" s="1127" t="s">
        <v>5128</v>
      </c>
      <c r="C488" s="1127" t="s">
        <v>5135</v>
      </c>
      <c r="D488" s="952">
        <v>1275</v>
      </c>
      <c r="E488" s="952">
        <v>1750</v>
      </c>
      <c r="F488" s="952">
        <v>1750</v>
      </c>
      <c r="G488" s="3" t="s">
        <v>4553</v>
      </c>
      <c r="H488" s="56" t="s">
        <v>4580</v>
      </c>
      <c r="I488" s="51" t="s">
        <v>5031</v>
      </c>
      <c r="J488" s="34" t="s">
        <v>5134</v>
      </c>
      <c r="K488" s="34" t="s">
        <v>4895</v>
      </c>
      <c r="L488" s="116" t="s">
        <v>4539</v>
      </c>
      <c r="M488" s="6">
        <v>43085</v>
      </c>
      <c r="N488" s="6">
        <v>43100</v>
      </c>
      <c r="O488" s="134" t="s">
        <v>4545</v>
      </c>
      <c r="P488" s="61"/>
      <c r="Q488" s="171"/>
      <c r="R488" s="239" t="s">
        <v>4878</v>
      </c>
      <c r="S488" s="326" t="s">
        <v>4987</v>
      </c>
      <c r="T488" s="137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  <c r="BK488" s="120"/>
      <c r="BL488" s="120"/>
      <c r="BM488" s="120"/>
      <c r="BN488" s="120"/>
      <c r="BO488" s="120"/>
      <c r="BP488" s="120"/>
    </row>
    <row r="489" spans="1:68" s="121" customFormat="1" ht="20.100000000000001" customHeight="1">
      <c r="A489" s="1127" t="s">
        <v>5040</v>
      </c>
      <c r="B489" s="1127" t="s">
        <v>5128</v>
      </c>
      <c r="C489" s="1127" t="s">
        <v>5135</v>
      </c>
      <c r="D489" s="949">
        <v>900</v>
      </c>
      <c r="E489" s="949">
        <v>1250</v>
      </c>
      <c r="F489" s="949">
        <v>1250</v>
      </c>
      <c r="G489" s="136" t="s">
        <v>4645</v>
      </c>
      <c r="H489" s="36" t="s">
        <v>4580</v>
      </c>
      <c r="I489" s="38" t="s">
        <v>4881</v>
      </c>
      <c r="J489" s="30" t="s">
        <v>5134</v>
      </c>
      <c r="K489" s="117" t="s">
        <v>4724</v>
      </c>
      <c r="L489" s="116" t="s">
        <v>4539</v>
      </c>
      <c r="M489" s="6">
        <v>43077</v>
      </c>
      <c r="N489" s="6">
        <v>43093</v>
      </c>
      <c r="O489" s="61" t="s">
        <v>4961</v>
      </c>
      <c r="P489" s="74"/>
      <c r="Q489" s="167"/>
      <c r="R489" s="239" t="s">
        <v>4578</v>
      </c>
      <c r="S489" s="326" t="s">
        <v>4641</v>
      </c>
      <c r="T489" s="779" t="s">
        <v>5133</v>
      </c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  <c r="BN489" s="120"/>
      <c r="BO489" s="120"/>
      <c r="BP489" s="120"/>
    </row>
    <row r="490" spans="1:68" s="121" customFormat="1" ht="20.100000000000001" customHeight="1">
      <c r="A490" s="1127" t="s">
        <v>5040</v>
      </c>
      <c r="B490" s="1127" t="s">
        <v>5128</v>
      </c>
      <c r="C490" s="1127" t="s">
        <v>5131</v>
      </c>
      <c r="D490" s="248">
        <v>1050</v>
      </c>
      <c r="E490" s="248">
        <v>1300</v>
      </c>
      <c r="F490" s="248">
        <v>1300</v>
      </c>
      <c r="G490" s="234" t="s">
        <v>4572</v>
      </c>
      <c r="H490" s="56" t="s">
        <v>4552</v>
      </c>
      <c r="I490" s="51" t="s">
        <v>4885</v>
      </c>
      <c r="J490" s="50"/>
      <c r="K490" s="50">
        <v>36</v>
      </c>
      <c r="L490" s="118" t="s">
        <v>4539</v>
      </c>
      <c r="M490" s="15">
        <v>43054</v>
      </c>
      <c r="N490" s="15">
        <v>43076</v>
      </c>
      <c r="O490" s="134" t="s">
        <v>4545</v>
      </c>
      <c r="P490" s="59"/>
      <c r="Q490" s="167"/>
      <c r="R490" s="239" t="s">
        <v>4584</v>
      </c>
      <c r="S490" s="328" t="s">
        <v>4543</v>
      </c>
      <c r="T490" s="137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0"/>
      <c r="BM490" s="120"/>
      <c r="BN490" s="120"/>
      <c r="BO490" s="120"/>
      <c r="BP490" s="120"/>
    </row>
    <row r="491" spans="1:68" s="121" customFormat="1" ht="20.100000000000001" customHeight="1">
      <c r="A491" s="1127" t="s">
        <v>5040</v>
      </c>
      <c r="B491" s="1127" t="s">
        <v>5128</v>
      </c>
      <c r="C491" s="1127" t="s">
        <v>5131</v>
      </c>
      <c r="D491" s="956">
        <v>1375</v>
      </c>
      <c r="E491" s="956">
        <v>1950</v>
      </c>
      <c r="F491" s="956">
        <v>1950</v>
      </c>
      <c r="G491" s="193" t="s">
        <v>4549</v>
      </c>
      <c r="H491" s="56" t="s">
        <v>4635</v>
      </c>
      <c r="I491" s="51" t="s">
        <v>4884</v>
      </c>
      <c r="J491" s="30"/>
      <c r="K491" s="30" t="s">
        <v>5055</v>
      </c>
      <c r="L491" s="118" t="s">
        <v>4539</v>
      </c>
      <c r="M491" s="6">
        <v>43085</v>
      </c>
      <c r="N491" s="6">
        <v>43100</v>
      </c>
      <c r="O491" s="61" t="s">
        <v>4545</v>
      </c>
      <c r="P491" s="74"/>
      <c r="Q491" s="171"/>
      <c r="R491" s="239" t="s">
        <v>5088</v>
      </c>
      <c r="S491" s="328" t="s">
        <v>4543</v>
      </c>
      <c r="T491" s="137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  <c r="BK491" s="120"/>
      <c r="BL491" s="120"/>
      <c r="BM491" s="120"/>
      <c r="BN491" s="120"/>
      <c r="BO491" s="120"/>
      <c r="BP491" s="120"/>
    </row>
    <row r="492" spans="1:68" s="121" customFormat="1" ht="20.100000000000001" customHeight="1">
      <c r="A492" s="1127" t="s">
        <v>5040</v>
      </c>
      <c r="B492" s="1127" t="s">
        <v>5128</v>
      </c>
      <c r="C492" s="1127" t="s">
        <v>5131</v>
      </c>
      <c r="D492" s="320">
        <v>1075</v>
      </c>
      <c r="E492" s="320">
        <f>D492*2-800</f>
        <v>1350</v>
      </c>
      <c r="F492" s="320">
        <f>D492*2-750</f>
        <v>1400</v>
      </c>
      <c r="G492" s="234" t="s">
        <v>4575</v>
      </c>
      <c r="H492" s="36" t="s">
        <v>4890</v>
      </c>
      <c r="I492" s="51" t="s">
        <v>4885</v>
      </c>
      <c r="J492" s="30"/>
      <c r="K492" s="24">
        <v>29</v>
      </c>
      <c r="L492" s="116" t="s">
        <v>4539</v>
      </c>
      <c r="M492" s="15">
        <v>43084</v>
      </c>
      <c r="N492" s="15">
        <v>43100</v>
      </c>
      <c r="O492" s="61" t="s">
        <v>4545</v>
      </c>
      <c r="P492" s="167"/>
      <c r="Q492" s="7"/>
      <c r="R492" s="239" t="s">
        <v>4889</v>
      </c>
      <c r="S492" s="327" t="s">
        <v>4576</v>
      </c>
      <c r="T492" s="137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0"/>
      <c r="BM492" s="120"/>
      <c r="BN492" s="120"/>
      <c r="BO492" s="120"/>
      <c r="BP492" s="120"/>
    </row>
    <row r="493" spans="1:68" s="121" customFormat="1" ht="20.100000000000001" customHeight="1">
      <c r="A493" s="1127" t="s">
        <v>5040</v>
      </c>
      <c r="B493" s="1127" t="s">
        <v>5128</v>
      </c>
      <c r="C493" s="1127" t="s">
        <v>5131</v>
      </c>
      <c r="D493" s="247">
        <v>825</v>
      </c>
      <c r="E493" s="247">
        <v>1150</v>
      </c>
      <c r="F493" s="247">
        <v>1150</v>
      </c>
      <c r="G493" s="66" t="s">
        <v>4566</v>
      </c>
      <c r="H493" s="56" t="s">
        <v>4580</v>
      </c>
      <c r="I493" s="38" t="s">
        <v>4725</v>
      </c>
      <c r="J493" s="30"/>
      <c r="K493" s="30" t="s">
        <v>5113</v>
      </c>
      <c r="L493" s="116" t="s">
        <v>4539</v>
      </c>
      <c r="M493" s="15">
        <v>43076</v>
      </c>
      <c r="N493" s="15">
        <v>43100</v>
      </c>
      <c r="O493" s="61" t="s">
        <v>4563</v>
      </c>
      <c r="P493" s="61"/>
      <c r="Q493" s="167"/>
      <c r="R493" s="239" t="s">
        <v>4578</v>
      </c>
      <c r="S493" s="327" t="s">
        <v>4561</v>
      </c>
      <c r="T493" s="137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0"/>
      <c r="BM493" s="120"/>
      <c r="BN493" s="120"/>
      <c r="BO493" s="120"/>
      <c r="BP493" s="120"/>
    </row>
    <row r="494" spans="1:68" s="121" customFormat="1" ht="20.100000000000001" customHeight="1">
      <c r="A494" s="1127" t="s">
        <v>5040</v>
      </c>
      <c r="B494" s="1127" t="s">
        <v>5128</v>
      </c>
      <c r="C494" s="1127" t="s">
        <v>5131</v>
      </c>
      <c r="D494" s="953">
        <v>565</v>
      </c>
      <c r="E494" s="953">
        <v>830</v>
      </c>
      <c r="F494" s="953">
        <v>830</v>
      </c>
      <c r="G494" s="111" t="s">
        <v>4560</v>
      </c>
      <c r="H494" s="56" t="s">
        <v>4580</v>
      </c>
      <c r="I494" s="38" t="s">
        <v>4725</v>
      </c>
      <c r="J494" s="30"/>
      <c r="K494" s="30" t="s">
        <v>5113</v>
      </c>
      <c r="L494" s="116" t="s">
        <v>4539</v>
      </c>
      <c r="M494" s="15">
        <v>43084</v>
      </c>
      <c r="N494" s="15">
        <v>43100</v>
      </c>
      <c r="O494" s="61" t="s">
        <v>5005</v>
      </c>
      <c r="P494" s="61"/>
      <c r="Q494" s="167"/>
      <c r="R494" s="239" t="s">
        <v>4578</v>
      </c>
      <c r="S494" s="327" t="s">
        <v>5004</v>
      </c>
      <c r="T494" s="137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  <c r="BK494" s="120"/>
      <c r="BL494" s="120"/>
      <c r="BM494" s="120"/>
      <c r="BN494" s="120"/>
      <c r="BO494" s="120"/>
      <c r="BP494" s="120"/>
    </row>
    <row r="495" spans="1:68" s="121" customFormat="1" ht="20.100000000000001" customHeight="1">
      <c r="A495" s="1127" t="s">
        <v>5040</v>
      </c>
      <c r="B495" s="1127" t="s">
        <v>5128</v>
      </c>
      <c r="C495" s="1127" t="s">
        <v>5131</v>
      </c>
      <c r="D495" s="247">
        <v>750</v>
      </c>
      <c r="E495" s="247">
        <v>1200</v>
      </c>
      <c r="F495" s="247">
        <v>1200</v>
      </c>
      <c r="G495" s="234" t="s">
        <v>4557</v>
      </c>
      <c r="H495" s="56" t="s">
        <v>4580</v>
      </c>
      <c r="I495" s="38" t="s">
        <v>4725</v>
      </c>
      <c r="J495" s="30"/>
      <c r="K495" s="30" t="s">
        <v>5113</v>
      </c>
      <c r="L495" s="116" t="s">
        <v>4539</v>
      </c>
      <c r="M495" s="6">
        <v>43084</v>
      </c>
      <c r="N495" s="6">
        <v>43100</v>
      </c>
      <c r="O495" s="134" t="s">
        <v>4961</v>
      </c>
      <c r="P495" s="74"/>
      <c r="Q495" s="167"/>
      <c r="R495" s="239" t="s">
        <v>4578</v>
      </c>
      <c r="S495" s="327" t="s">
        <v>4973</v>
      </c>
      <c r="T495" s="933" t="s">
        <v>4907</v>
      </c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0"/>
      <c r="BM495" s="120"/>
      <c r="BN495" s="120"/>
      <c r="BO495" s="120"/>
      <c r="BP495" s="120"/>
    </row>
    <row r="496" spans="1:68" s="121" customFormat="1" ht="20.100000000000001" customHeight="1">
      <c r="A496" s="1127" t="s">
        <v>5040</v>
      </c>
      <c r="B496" s="1127" t="s">
        <v>5128</v>
      </c>
      <c r="C496" s="1127" t="s">
        <v>5131</v>
      </c>
      <c r="D496" s="949">
        <v>800</v>
      </c>
      <c r="E496" s="949">
        <v>1050</v>
      </c>
      <c r="F496" s="949">
        <v>1050</v>
      </c>
      <c r="G496" s="136" t="s">
        <v>4645</v>
      </c>
      <c r="H496" s="36" t="s">
        <v>4580</v>
      </c>
      <c r="I496" s="51" t="s">
        <v>4725</v>
      </c>
      <c r="J496" s="37"/>
      <c r="K496" s="117" t="s">
        <v>5113</v>
      </c>
      <c r="L496" s="116" t="s">
        <v>4539</v>
      </c>
      <c r="M496" s="6">
        <v>43077</v>
      </c>
      <c r="N496" s="6">
        <v>43093</v>
      </c>
      <c r="O496" s="61" t="s">
        <v>4961</v>
      </c>
      <c r="P496" s="7"/>
      <c r="Q496" s="167"/>
      <c r="R496" s="240" t="s">
        <v>4578</v>
      </c>
      <c r="S496" s="326" t="s">
        <v>4641</v>
      </c>
      <c r="T496" s="137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0"/>
      <c r="BM496" s="120"/>
      <c r="BN496" s="120"/>
      <c r="BO496" s="120"/>
      <c r="BP496" s="120"/>
    </row>
    <row r="497" spans="1:68" s="121" customFormat="1" ht="20.100000000000001" customHeight="1">
      <c r="A497" s="1127" t="s">
        <v>5040</v>
      </c>
      <c r="B497" s="1127" t="s">
        <v>5128</v>
      </c>
      <c r="C497" s="1127" t="s">
        <v>5131</v>
      </c>
      <c r="D497" s="949">
        <v>1225</v>
      </c>
      <c r="E497" s="949">
        <v>1650</v>
      </c>
      <c r="F497" s="949">
        <v>1700</v>
      </c>
      <c r="G497" s="65" t="s">
        <v>4542</v>
      </c>
      <c r="H497" s="48" t="s">
        <v>4580</v>
      </c>
      <c r="I497" s="38" t="s">
        <v>4884</v>
      </c>
      <c r="J497" s="30"/>
      <c r="K497" s="30">
        <v>31</v>
      </c>
      <c r="L497" s="116" t="s">
        <v>4539</v>
      </c>
      <c r="M497" s="15">
        <v>43065</v>
      </c>
      <c r="N497" s="15">
        <v>43083</v>
      </c>
      <c r="O497" s="61" t="s">
        <v>4961</v>
      </c>
      <c r="P497" s="74"/>
      <c r="Q497" s="171"/>
      <c r="R497" s="239" t="s">
        <v>5132</v>
      </c>
      <c r="S497" s="327" t="s">
        <v>4959</v>
      </c>
      <c r="T497" s="137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  <c r="BN497" s="120"/>
      <c r="BO497" s="120"/>
      <c r="BP497" s="120"/>
    </row>
    <row r="498" spans="1:68" s="121" customFormat="1" ht="20.100000000000001" customHeight="1">
      <c r="A498" s="1127" t="s">
        <v>5040</v>
      </c>
      <c r="B498" s="1127" t="s">
        <v>5128</v>
      </c>
      <c r="C498" s="1127" t="s">
        <v>5131</v>
      </c>
      <c r="D498" s="247">
        <f>D475</f>
        <v>725</v>
      </c>
      <c r="E498" s="247">
        <f>E475</f>
        <v>1000</v>
      </c>
      <c r="F498" s="247">
        <f>F475</f>
        <v>1000</v>
      </c>
      <c r="G498" s="225" t="s">
        <v>4569</v>
      </c>
      <c r="H498" s="36" t="s">
        <v>4580</v>
      </c>
      <c r="I498" s="38" t="s">
        <v>4884</v>
      </c>
      <c r="J498" s="34"/>
      <c r="K498" s="34" t="s">
        <v>4724</v>
      </c>
      <c r="L498" s="116" t="s">
        <v>4539</v>
      </c>
      <c r="M498" s="6">
        <v>43057</v>
      </c>
      <c r="N498" s="6">
        <v>43069</v>
      </c>
      <c r="O498" s="61" t="s">
        <v>5130</v>
      </c>
      <c r="P498" s="61"/>
      <c r="Q498" s="7"/>
      <c r="R498" s="239" t="s">
        <v>1761</v>
      </c>
      <c r="S498" s="328" t="s">
        <v>4543</v>
      </c>
      <c r="T498" s="137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  <c r="BK498" s="120"/>
      <c r="BL498" s="120"/>
      <c r="BM498" s="120"/>
      <c r="BN498" s="120"/>
      <c r="BO498" s="120"/>
      <c r="BP498" s="120"/>
    </row>
    <row r="499" spans="1:68" s="121" customFormat="1" ht="20.100000000000001" customHeight="1">
      <c r="A499" s="1127" t="s">
        <v>5040</v>
      </c>
      <c r="B499" s="1127" t="s">
        <v>5128</v>
      </c>
      <c r="C499" s="1127" t="s">
        <v>5127</v>
      </c>
      <c r="D499" s="248"/>
      <c r="E499" s="248"/>
      <c r="F499" s="248"/>
      <c r="G499" s="218" t="s">
        <v>5010</v>
      </c>
      <c r="H499" s="56" t="s">
        <v>4552</v>
      </c>
      <c r="I499" s="51" t="s">
        <v>5045</v>
      </c>
      <c r="J499" s="50" t="s">
        <v>5129</v>
      </c>
      <c r="K499" s="34" t="s">
        <v>5025</v>
      </c>
      <c r="L499" s="19" t="s">
        <v>4539</v>
      </c>
      <c r="M499" s="6">
        <v>43070</v>
      </c>
      <c r="N499" s="6">
        <v>43083</v>
      </c>
      <c r="O499" s="61" t="s">
        <v>5024</v>
      </c>
      <c r="P499" s="52"/>
      <c r="Q499" s="167"/>
      <c r="R499" s="239" t="s">
        <v>5007</v>
      </c>
      <c r="S499" s="327" t="s">
        <v>5006</v>
      </c>
      <c r="T499" s="137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  <c r="BK499" s="120"/>
      <c r="BL499" s="120"/>
      <c r="BM499" s="120"/>
      <c r="BN499" s="120"/>
      <c r="BO499" s="120"/>
      <c r="BP499" s="120"/>
    </row>
    <row r="500" spans="1:68" s="121" customFormat="1" ht="20.100000000000001" customHeight="1">
      <c r="A500" s="1127" t="s">
        <v>5040</v>
      </c>
      <c r="B500" s="1127" t="s">
        <v>5128</v>
      </c>
      <c r="C500" s="1127" t="s">
        <v>5127</v>
      </c>
      <c r="D500" s="956">
        <v>1375</v>
      </c>
      <c r="E500" s="956">
        <v>1950</v>
      </c>
      <c r="F500" s="956">
        <v>1950</v>
      </c>
      <c r="G500" s="192" t="s">
        <v>4549</v>
      </c>
      <c r="H500" s="56" t="s">
        <v>4635</v>
      </c>
      <c r="I500" s="51" t="s">
        <v>4884</v>
      </c>
      <c r="J500" s="50" t="s">
        <v>5129</v>
      </c>
      <c r="K500" s="24" t="s">
        <v>5055</v>
      </c>
      <c r="L500" s="118" t="s">
        <v>4539</v>
      </c>
      <c r="M500" s="6">
        <v>43085</v>
      </c>
      <c r="N500" s="6">
        <v>43100</v>
      </c>
      <c r="O500" s="61" t="s">
        <v>4545</v>
      </c>
      <c r="P500" s="74"/>
      <c r="Q500" s="171"/>
      <c r="R500" s="239" t="s">
        <v>5088</v>
      </c>
      <c r="S500" s="328" t="s">
        <v>4543</v>
      </c>
      <c r="T500" s="137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  <c r="BK500" s="120"/>
      <c r="BL500" s="120"/>
      <c r="BM500" s="120"/>
      <c r="BN500" s="120"/>
      <c r="BO500" s="120"/>
      <c r="BP500" s="120"/>
    </row>
    <row r="501" spans="1:68" s="121" customFormat="1" ht="20.100000000000001" customHeight="1">
      <c r="A501" s="1127" t="s">
        <v>5040</v>
      </c>
      <c r="B501" s="1127" t="s">
        <v>5128</v>
      </c>
      <c r="C501" s="1127" t="s">
        <v>5127</v>
      </c>
      <c r="D501" s="320">
        <v>1325</v>
      </c>
      <c r="E501" s="320">
        <f>D501*2-1000</f>
        <v>1650</v>
      </c>
      <c r="F501" s="320">
        <f>D501*2-950</f>
        <v>1700</v>
      </c>
      <c r="G501" s="234" t="s">
        <v>4575</v>
      </c>
      <c r="H501" s="36" t="s">
        <v>4890</v>
      </c>
      <c r="I501" s="51" t="s">
        <v>4884</v>
      </c>
      <c r="J501" s="50" t="s">
        <v>5129</v>
      </c>
      <c r="K501" s="24">
        <v>29</v>
      </c>
      <c r="L501" s="118" t="s">
        <v>4539</v>
      </c>
      <c r="M501" s="15">
        <v>43084</v>
      </c>
      <c r="N501" s="15">
        <v>43100</v>
      </c>
      <c r="O501" s="61" t="s">
        <v>4545</v>
      </c>
      <c r="P501" s="167"/>
      <c r="Q501" s="7"/>
      <c r="R501" s="239" t="s">
        <v>4889</v>
      </c>
      <c r="S501" s="327" t="s">
        <v>4576</v>
      </c>
      <c r="T501" s="137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  <c r="BK501" s="120"/>
      <c r="BL501" s="120"/>
      <c r="BM501" s="120"/>
      <c r="BN501" s="120"/>
      <c r="BO501" s="120"/>
      <c r="BP501" s="120"/>
    </row>
    <row r="502" spans="1:68" s="121" customFormat="1" ht="20.100000000000001" customHeight="1">
      <c r="A502" s="1127" t="s">
        <v>5040</v>
      </c>
      <c r="B502" s="1127" t="s">
        <v>5128</v>
      </c>
      <c r="C502" s="1127" t="s">
        <v>5127</v>
      </c>
      <c r="D502" s="248">
        <v>1050</v>
      </c>
      <c r="E502" s="248">
        <v>1300</v>
      </c>
      <c r="F502" s="248">
        <v>1300</v>
      </c>
      <c r="G502" s="234" t="s">
        <v>4572</v>
      </c>
      <c r="H502" s="56" t="s">
        <v>4635</v>
      </c>
      <c r="I502" s="51" t="s">
        <v>5031</v>
      </c>
      <c r="J502" s="50" t="s">
        <v>5129</v>
      </c>
      <c r="K502" s="51">
        <v>26</v>
      </c>
      <c r="L502" s="118" t="s">
        <v>4539</v>
      </c>
      <c r="M502" s="15">
        <v>43054</v>
      </c>
      <c r="N502" s="15">
        <v>43076</v>
      </c>
      <c r="O502" s="134" t="s">
        <v>4545</v>
      </c>
      <c r="P502" s="128"/>
      <c r="Q502" s="167"/>
      <c r="R502" s="239" t="s">
        <v>4997</v>
      </c>
      <c r="S502" s="328" t="s">
        <v>4543</v>
      </c>
      <c r="T502" s="137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  <c r="BK502" s="120"/>
      <c r="BL502" s="120"/>
      <c r="BM502" s="120"/>
      <c r="BN502" s="120"/>
      <c r="BO502" s="120"/>
      <c r="BP502" s="120"/>
    </row>
    <row r="503" spans="1:68" s="121" customFormat="1" ht="20.100000000000001" customHeight="1">
      <c r="A503" s="1127" t="s">
        <v>5040</v>
      </c>
      <c r="B503" s="1127" t="s">
        <v>5128</v>
      </c>
      <c r="C503" s="1127" t="s">
        <v>5127</v>
      </c>
      <c r="D503" s="952">
        <v>1225</v>
      </c>
      <c r="E503" s="952">
        <v>1650</v>
      </c>
      <c r="F503" s="952">
        <v>1650</v>
      </c>
      <c r="G503" s="65" t="s">
        <v>4553</v>
      </c>
      <c r="H503" s="56" t="s">
        <v>4580</v>
      </c>
      <c r="I503" s="51" t="s">
        <v>5031</v>
      </c>
      <c r="J503" s="37" t="s">
        <v>5129</v>
      </c>
      <c r="K503" s="30">
        <v>27</v>
      </c>
      <c r="L503" s="116" t="s">
        <v>4539</v>
      </c>
      <c r="M503" s="6">
        <v>43085</v>
      </c>
      <c r="N503" s="6">
        <v>43100</v>
      </c>
      <c r="O503" s="134" t="s">
        <v>4545</v>
      </c>
      <c r="P503" s="61"/>
      <c r="Q503" s="171"/>
      <c r="R503" s="239" t="s">
        <v>4878</v>
      </c>
      <c r="S503" s="326" t="s">
        <v>4987</v>
      </c>
      <c r="T503" s="137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  <c r="BK503" s="120"/>
      <c r="BL503" s="120"/>
      <c r="BM503" s="120"/>
      <c r="BN503" s="120"/>
      <c r="BO503" s="120"/>
      <c r="BP503" s="120"/>
    </row>
    <row r="504" spans="1:68" s="121" customFormat="1" ht="20.100000000000001" customHeight="1">
      <c r="A504" s="1127" t="s">
        <v>5040</v>
      </c>
      <c r="B504" s="1127" t="s">
        <v>5128</v>
      </c>
      <c r="C504" s="1127" t="s">
        <v>5127</v>
      </c>
      <c r="D504" s="952">
        <f>D495+200</f>
        <v>950</v>
      </c>
      <c r="E504" s="952">
        <f>E495+400</f>
        <v>1600</v>
      </c>
      <c r="F504" s="952">
        <f>F495+400</f>
        <v>1600</v>
      </c>
      <c r="G504" s="217" t="s">
        <v>4557</v>
      </c>
      <c r="H504" s="36" t="s">
        <v>4580</v>
      </c>
      <c r="I504" s="38" t="s">
        <v>4881</v>
      </c>
      <c r="J504" s="37" t="s">
        <v>5129</v>
      </c>
      <c r="K504" s="34" t="s">
        <v>4968</v>
      </c>
      <c r="L504" s="116" t="s">
        <v>4539</v>
      </c>
      <c r="M504" s="6">
        <v>43084</v>
      </c>
      <c r="N504" s="6">
        <v>43100</v>
      </c>
      <c r="O504" s="134" t="s">
        <v>4961</v>
      </c>
      <c r="P504" s="61"/>
      <c r="Q504" s="167"/>
      <c r="R504" s="239" t="s">
        <v>4578</v>
      </c>
      <c r="S504" s="327" t="s">
        <v>4973</v>
      </c>
      <c r="T504" s="933" t="s">
        <v>4907</v>
      </c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  <c r="BK504" s="120"/>
      <c r="BL504" s="120"/>
      <c r="BM504" s="120"/>
      <c r="BN504" s="120"/>
      <c r="BO504" s="120"/>
      <c r="BP504" s="120"/>
    </row>
    <row r="505" spans="1:68" s="121" customFormat="1" ht="20.100000000000001" customHeight="1">
      <c r="A505" s="1127" t="s">
        <v>5040</v>
      </c>
      <c r="B505" s="1127" t="s">
        <v>5128</v>
      </c>
      <c r="C505" s="1127" t="s">
        <v>5127</v>
      </c>
      <c r="D505" s="949">
        <v>900</v>
      </c>
      <c r="E505" s="949">
        <v>1250</v>
      </c>
      <c r="F505" s="949">
        <v>1250</v>
      </c>
      <c r="G505" s="136" t="s">
        <v>4645</v>
      </c>
      <c r="H505" s="36" t="s">
        <v>4580</v>
      </c>
      <c r="I505" s="38" t="s">
        <v>4881</v>
      </c>
      <c r="J505" s="37" t="s">
        <v>5129</v>
      </c>
      <c r="K505" s="117" t="s">
        <v>5096</v>
      </c>
      <c r="L505" s="116" t="s">
        <v>4539</v>
      </c>
      <c r="M505" s="6">
        <v>43077</v>
      </c>
      <c r="N505" s="6">
        <v>43093</v>
      </c>
      <c r="O505" s="61" t="s">
        <v>4961</v>
      </c>
      <c r="P505" s="61"/>
      <c r="Q505" s="167"/>
      <c r="R505" s="239" t="s">
        <v>4578</v>
      </c>
      <c r="S505" s="326" t="s">
        <v>4641</v>
      </c>
      <c r="T505" s="137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  <c r="BK505" s="120"/>
      <c r="BL505" s="120"/>
      <c r="BM505" s="120"/>
      <c r="BN505" s="120"/>
      <c r="BO505" s="120"/>
      <c r="BP505" s="120"/>
    </row>
    <row r="506" spans="1:68" s="121" customFormat="1" ht="20.100000000000001" customHeight="1">
      <c r="A506" s="1127" t="s">
        <v>5040</v>
      </c>
      <c r="B506" s="1127" t="s">
        <v>5128</v>
      </c>
      <c r="C506" s="1127" t="s">
        <v>5127</v>
      </c>
      <c r="D506" s="320">
        <v>1075</v>
      </c>
      <c r="E506" s="320">
        <f>D506*2-800</f>
        <v>1350</v>
      </c>
      <c r="F506" s="320">
        <f>D506*2-750</f>
        <v>1400</v>
      </c>
      <c r="G506" s="234" t="s">
        <v>4575</v>
      </c>
      <c r="H506" s="36" t="s">
        <v>4992</v>
      </c>
      <c r="I506" s="51" t="s">
        <v>4725</v>
      </c>
      <c r="J506" s="50" t="s">
        <v>5129</v>
      </c>
      <c r="K506" s="20" t="s">
        <v>4975</v>
      </c>
      <c r="L506" s="116" t="s">
        <v>4539</v>
      </c>
      <c r="M506" s="15">
        <v>43084</v>
      </c>
      <c r="N506" s="15">
        <v>43100</v>
      </c>
      <c r="O506" s="61" t="s">
        <v>4545</v>
      </c>
      <c r="P506" s="167"/>
      <c r="Q506" s="167"/>
      <c r="R506" s="239" t="s">
        <v>4990</v>
      </c>
      <c r="S506" s="327" t="s">
        <v>4576</v>
      </c>
      <c r="T506" s="137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  <c r="BK506" s="120"/>
      <c r="BL506" s="120"/>
      <c r="BM506" s="120"/>
      <c r="BN506" s="120"/>
      <c r="BO506" s="120"/>
      <c r="BP506" s="120"/>
    </row>
    <row r="507" spans="1:68" s="121" customFormat="1" ht="20.100000000000001" customHeight="1">
      <c r="A507" s="1127" t="s">
        <v>5040</v>
      </c>
      <c r="B507" s="1127" t="s">
        <v>5128</v>
      </c>
      <c r="C507" s="1127" t="s">
        <v>5127</v>
      </c>
      <c r="D507" s="947">
        <v>775</v>
      </c>
      <c r="E507" s="947">
        <v>950</v>
      </c>
      <c r="F507" s="947">
        <v>950</v>
      </c>
      <c r="G507" s="234" t="s">
        <v>4904</v>
      </c>
      <c r="H507" s="36" t="s">
        <v>4992</v>
      </c>
      <c r="I507" s="51" t="s">
        <v>4725</v>
      </c>
      <c r="J507" s="50" t="s">
        <v>5129</v>
      </c>
      <c r="K507" s="20" t="s">
        <v>4975</v>
      </c>
      <c r="L507" s="116" t="s">
        <v>4539</v>
      </c>
      <c r="M507" s="15">
        <v>43054</v>
      </c>
      <c r="N507" s="15">
        <v>43089</v>
      </c>
      <c r="O507" s="134" t="s">
        <v>4961</v>
      </c>
      <c r="P507" s="129"/>
      <c r="Q507" s="167"/>
      <c r="R507" s="239" t="s">
        <v>5112</v>
      </c>
      <c r="S507" s="327" t="s">
        <v>4632</v>
      </c>
      <c r="T507" s="137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  <c r="BN507" s="120"/>
      <c r="BO507" s="120"/>
      <c r="BP507" s="120"/>
    </row>
    <row r="508" spans="1:68" s="121" customFormat="1" ht="20.100000000000001" customHeight="1">
      <c r="A508" s="1127" t="s">
        <v>5040</v>
      </c>
      <c r="B508" s="1127" t="s">
        <v>5128</v>
      </c>
      <c r="C508" s="1127" t="s">
        <v>5127</v>
      </c>
      <c r="D508" s="247">
        <v>850</v>
      </c>
      <c r="E508" s="247">
        <v>1000</v>
      </c>
      <c r="F508" s="247">
        <v>1000</v>
      </c>
      <c r="G508" s="64" t="s">
        <v>4542</v>
      </c>
      <c r="H508" s="56" t="s">
        <v>4992</v>
      </c>
      <c r="I508" s="51" t="s">
        <v>4725</v>
      </c>
      <c r="J508" s="50" t="s">
        <v>5129</v>
      </c>
      <c r="K508" s="20" t="s">
        <v>4975</v>
      </c>
      <c r="L508" s="116" t="s">
        <v>4539</v>
      </c>
      <c r="M508" s="15">
        <v>43065</v>
      </c>
      <c r="N508" s="15">
        <v>43083</v>
      </c>
      <c r="O508" s="134" t="s">
        <v>4961</v>
      </c>
      <c r="P508" s="129"/>
      <c r="Q508" s="167"/>
      <c r="R508" s="239" t="s">
        <v>5116</v>
      </c>
      <c r="S508" s="327" t="s">
        <v>4959</v>
      </c>
      <c r="T508" s="137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  <c r="BK508" s="120"/>
      <c r="BL508" s="120"/>
      <c r="BM508" s="120"/>
      <c r="BN508" s="120"/>
      <c r="BO508" s="120"/>
      <c r="BP508" s="120"/>
    </row>
    <row r="509" spans="1:68" s="121" customFormat="1" ht="20.100000000000001" customHeight="1">
      <c r="A509" s="1127" t="s">
        <v>5040</v>
      </c>
      <c r="B509" s="1127" t="s">
        <v>5128</v>
      </c>
      <c r="C509" s="1127" t="s">
        <v>5127</v>
      </c>
      <c r="D509" s="952">
        <v>1225</v>
      </c>
      <c r="E509" s="952">
        <v>1650</v>
      </c>
      <c r="F509" s="952">
        <v>1650</v>
      </c>
      <c r="G509" s="3" t="s">
        <v>4553</v>
      </c>
      <c r="H509" s="56" t="s">
        <v>4649</v>
      </c>
      <c r="I509" s="38" t="s">
        <v>4989</v>
      </c>
      <c r="J509" s="37" t="s">
        <v>5125</v>
      </c>
      <c r="K509" s="30" t="s">
        <v>4975</v>
      </c>
      <c r="L509" s="116" t="s">
        <v>4539</v>
      </c>
      <c r="M509" s="6">
        <v>43085</v>
      </c>
      <c r="N509" s="6">
        <v>43100</v>
      </c>
      <c r="O509" s="134" t="s">
        <v>4545</v>
      </c>
      <c r="P509" s="61"/>
      <c r="Q509" s="171"/>
      <c r="R509" s="239" t="s">
        <v>4988</v>
      </c>
      <c r="S509" s="326" t="s">
        <v>4987</v>
      </c>
      <c r="T509" s="137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  <c r="BK509" s="120"/>
      <c r="BL509" s="120"/>
      <c r="BM509" s="120"/>
      <c r="BN509" s="120"/>
      <c r="BO509" s="120"/>
      <c r="BP509" s="120"/>
    </row>
    <row r="510" spans="1:68" s="121" customFormat="1" ht="20.100000000000001" customHeight="1">
      <c r="A510" s="1127" t="s">
        <v>5040</v>
      </c>
      <c r="B510" s="1127" t="s">
        <v>5128</v>
      </c>
      <c r="C510" s="1127" t="s">
        <v>5127</v>
      </c>
      <c r="D510" s="956">
        <v>1375</v>
      </c>
      <c r="E510" s="956">
        <v>1950</v>
      </c>
      <c r="F510" s="956">
        <v>1950</v>
      </c>
      <c r="G510" s="192" t="s">
        <v>4549</v>
      </c>
      <c r="H510" s="56" t="s">
        <v>4635</v>
      </c>
      <c r="I510" s="51" t="s">
        <v>4884</v>
      </c>
      <c r="J510" s="37" t="s">
        <v>5125</v>
      </c>
      <c r="K510" s="30" t="s">
        <v>4975</v>
      </c>
      <c r="L510" s="118" t="s">
        <v>4539</v>
      </c>
      <c r="M510" s="6">
        <v>43085</v>
      </c>
      <c r="N510" s="6">
        <v>43100</v>
      </c>
      <c r="O510" s="61" t="s">
        <v>4545</v>
      </c>
      <c r="P510" s="74"/>
      <c r="Q510" s="171"/>
      <c r="R510" s="239" t="s">
        <v>5088</v>
      </c>
      <c r="S510" s="328" t="s">
        <v>4543</v>
      </c>
      <c r="T510" s="137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  <c r="BN510" s="120"/>
      <c r="BO510" s="120"/>
      <c r="BP510" s="120"/>
    </row>
    <row r="511" spans="1:68" s="121" customFormat="1" ht="20.100000000000001" customHeight="1">
      <c r="A511" s="1127" t="s">
        <v>5040</v>
      </c>
      <c r="B511" s="1127" t="s">
        <v>5128</v>
      </c>
      <c r="C511" s="1127" t="s">
        <v>5127</v>
      </c>
      <c r="D511" s="320">
        <v>1325</v>
      </c>
      <c r="E511" s="320">
        <f>D511*2-1000</f>
        <v>1650</v>
      </c>
      <c r="F511" s="320">
        <f>D511*2-950</f>
        <v>1700</v>
      </c>
      <c r="G511" s="234" t="s">
        <v>4575</v>
      </c>
      <c r="H511" s="36" t="s">
        <v>4890</v>
      </c>
      <c r="I511" s="51" t="s">
        <v>4884</v>
      </c>
      <c r="J511" s="30" t="s">
        <v>5125</v>
      </c>
      <c r="K511" s="24">
        <v>29</v>
      </c>
      <c r="L511" s="116" t="s">
        <v>4539</v>
      </c>
      <c r="M511" s="15">
        <v>43084</v>
      </c>
      <c r="N511" s="15">
        <v>43100</v>
      </c>
      <c r="O511" s="61" t="s">
        <v>4545</v>
      </c>
      <c r="P511" s="167"/>
      <c r="Q511" s="7"/>
      <c r="R511" s="239" t="s">
        <v>4889</v>
      </c>
      <c r="S511" s="327" t="s">
        <v>4576</v>
      </c>
      <c r="T511" s="137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  <c r="BK511" s="120"/>
      <c r="BL511" s="120"/>
      <c r="BM511" s="120"/>
      <c r="BN511" s="120"/>
      <c r="BO511" s="120"/>
      <c r="BP511" s="120"/>
    </row>
    <row r="512" spans="1:68" s="121" customFormat="1" ht="20.100000000000001" customHeight="1">
      <c r="A512" s="1127" t="s">
        <v>5040</v>
      </c>
      <c r="B512" s="1127" t="s">
        <v>5128</v>
      </c>
      <c r="C512" s="1127" t="s">
        <v>5127</v>
      </c>
      <c r="D512" s="952">
        <f>D495+200</f>
        <v>950</v>
      </c>
      <c r="E512" s="952">
        <f>E495+400</f>
        <v>1600</v>
      </c>
      <c r="F512" s="952">
        <f>F495+400</f>
        <v>1600</v>
      </c>
      <c r="G512" s="217" t="s">
        <v>4557</v>
      </c>
      <c r="H512" s="36" t="s">
        <v>4580</v>
      </c>
      <c r="I512" s="38" t="s">
        <v>4881</v>
      </c>
      <c r="J512" s="50" t="s">
        <v>5125</v>
      </c>
      <c r="K512" s="34" t="s">
        <v>4968</v>
      </c>
      <c r="L512" s="116" t="s">
        <v>4539</v>
      </c>
      <c r="M512" s="6">
        <v>43084</v>
      </c>
      <c r="N512" s="6">
        <v>43100</v>
      </c>
      <c r="O512" s="134" t="s">
        <v>4961</v>
      </c>
      <c r="P512" s="61"/>
      <c r="Q512" s="167"/>
      <c r="R512" s="239" t="s">
        <v>4578</v>
      </c>
      <c r="S512" s="327" t="s">
        <v>4973</v>
      </c>
      <c r="T512" s="933" t="s">
        <v>4907</v>
      </c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  <c r="BK512" s="120"/>
      <c r="BL512" s="120"/>
      <c r="BM512" s="120"/>
      <c r="BN512" s="120"/>
      <c r="BO512" s="120"/>
      <c r="BP512" s="120"/>
    </row>
    <row r="513" spans="1:68" s="121" customFormat="1" ht="20.100000000000001" customHeight="1">
      <c r="A513" s="1127" t="s">
        <v>5040</v>
      </c>
      <c r="B513" s="1127" t="s">
        <v>5128</v>
      </c>
      <c r="C513" s="1127" t="s">
        <v>5127</v>
      </c>
      <c r="D513" s="949">
        <v>900</v>
      </c>
      <c r="E513" s="949">
        <v>1250</v>
      </c>
      <c r="F513" s="949">
        <v>1250</v>
      </c>
      <c r="G513" s="136" t="s">
        <v>4645</v>
      </c>
      <c r="H513" s="36" t="s">
        <v>4580</v>
      </c>
      <c r="I513" s="38" t="s">
        <v>4881</v>
      </c>
      <c r="J513" s="50" t="s">
        <v>5125</v>
      </c>
      <c r="K513" s="117" t="s">
        <v>4970</v>
      </c>
      <c r="L513" s="116" t="s">
        <v>4539</v>
      </c>
      <c r="M513" s="6">
        <v>43077</v>
      </c>
      <c r="N513" s="6">
        <v>43093</v>
      </c>
      <c r="O513" s="61" t="s">
        <v>4961</v>
      </c>
      <c r="P513" s="61"/>
      <c r="Q513" s="167"/>
      <c r="R513" s="239" t="s">
        <v>4578</v>
      </c>
      <c r="S513" s="326" t="s">
        <v>4641</v>
      </c>
      <c r="T513" s="137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  <c r="BK513" s="120"/>
      <c r="BL513" s="120"/>
      <c r="BM513" s="120"/>
      <c r="BN513" s="120"/>
      <c r="BO513" s="120"/>
      <c r="BP513" s="120"/>
    </row>
    <row r="514" spans="1:68" s="121" customFormat="1" ht="20.100000000000001" customHeight="1">
      <c r="A514" s="1127" t="s">
        <v>5040</v>
      </c>
      <c r="B514" s="1127" t="s">
        <v>5128</v>
      </c>
      <c r="C514" s="1127" t="s">
        <v>5127</v>
      </c>
      <c r="D514" s="247">
        <v>825</v>
      </c>
      <c r="E514" s="247">
        <v>1100</v>
      </c>
      <c r="F514" s="247">
        <v>1100</v>
      </c>
      <c r="G514" s="64" t="s">
        <v>4566</v>
      </c>
      <c r="H514" s="56" t="s">
        <v>4992</v>
      </c>
      <c r="I514" s="38" t="s">
        <v>5126</v>
      </c>
      <c r="J514" s="50" t="s">
        <v>5125</v>
      </c>
      <c r="K514" s="30" t="s">
        <v>5055</v>
      </c>
      <c r="L514" s="116" t="s">
        <v>4539</v>
      </c>
      <c r="M514" s="15">
        <v>43073</v>
      </c>
      <c r="N514" s="15">
        <v>43100</v>
      </c>
      <c r="O514" s="61" t="s">
        <v>4563</v>
      </c>
      <c r="P514" s="61"/>
      <c r="Q514" s="167"/>
      <c r="R514" s="239" t="s">
        <v>5124</v>
      </c>
      <c r="S514" s="327" t="s">
        <v>4561</v>
      </c>
      <c r="T514" s="137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  <c r="BN514" s="120"/>
      <c r="BO514" s="120"/>
      <c r="BP514" s="120"/>
    </row>
    <row r="515" spans="1:68" s="121" customFormat="1" ht="20.100000000000001" customHeight="1">
      <c r="A515" s="1127" t="s">
        <v>5040</v>
      </c>
      <c r="B515" s="1127" t="s">
        <v>5108</v>
      </c>
      <c r="C515" s="1127" t="s">
        <v>5114</v>
      </c>
      <c r="D515" s="248">
        <v>1125</v>
      </c>
      <c r="E515" s="248">
        <v>1650</v>
      </c>
      <c r="F515" s="248">
        <v>1650</v>
      </c>
      <c r="G515" s="220" t="s">
        <v>5010</v>
      </c>
      <c r="H515" s="56" t="s">
        <v>4552</v>
      </c>
      <c r="I515" s="51" t="s">
        <v>5045</v>
      </c>
      <c r="J515" s="50"/>
      <c r="K515" s="51">
        <v>27</v>
      </c>
      <c r="L515" s="19" t="s">
        <v>4539</v>
      </c>
      <c r="M515" s="6">
        <v>43070</v>
      </c>
      <c r="N515" s="6">
        <v>43083</v>
      </c>
      <c r="O515" s="61" t="s">
        <v>5008</v>
      </c>
      <c r="P515" s="59"/>
      <c r="Q515" s="167"/>
      <c r="R515" s="239" t="s">
        <v>5007</v>
      </c>
      <c r="S515" s="327" t="s">
        <v>5006</v>
      </c>
      <c r="T515" s="933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  <c r="BK515" s="120"/>
      <c r="BL515" s="120"/>
      <c r="BM515" s="120"/>
      <c r="BN515" s="120"/>
      <c r="BO515" s="120"/>
      <c r="BP515" s="120"/>
    </row>
    <row r="516" spans="1:68" s="121" customFormat="1" ht="20.100000000000001" customHeight="1">
      <c r="A516" s="1127" t="s">
        <v>5040</v>
      </c>
      <c r="B516" s="1127" t="s">
        <v>5108</v>
      </c>
      <c r="C516" s="1127" t="s">
        <v>5114</v>
      </c>
      <c r="D516" s="952">
        <v>725</v>
      </c>
      <c r="E516" s="952">
        <v>1350</v>
      </c>
      <c r="F516" s="952">
        <v>1350</v>
      </c>
      <c r="G516" s="65" t="s">
        <v>4553</v>
      </c>
      <c r="H516" s="56" t="s">
        <v>4649</v>
      </c>
      <c r="I516" s="264" t="s">
        <v>5041</v>
      </c>
      <c r="J516" s="34"/>
      <c r="K516" s="34" t="s">
        <v>5025</v>
      </c>
      <c r="L516" s="116" t="s">
        <v>4539</v>
      </c>
      <c r="M516" s="6">
        <v>43085</v>
      </c>
      <c r="N516" s="6">
        <v>43100</v>
      </c>
      <c r="O516" s="61" t="s">
        <v>4545</v>
      </c>
      <c r="P516" s="61"/>
      <c r="Q516" s="171"/>
      <c r="R516" s="239" t="s">
        <v>4988</v>
      </c>
      <c r="S516" s="326" t="s">
        <v>4987</v>
      </c>
      <c r="T516" s="933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  <c r="BK516" s="120"/>
      <c r="BL516" s="120"/>
      <c r="BM516" s="120"/>
      <c r="BN516" s="120"/>
      <c r="BO516" s="120"/>
      <c r="BP516" s="120"/>
    </row>
    <row r="517" spans="1:68" s="121" customFormat="1" ht="20.100000000000001" customHeight="1">
      <c r="A517" s="1127" t="s">
        <v>5040</v>
      </c>
      <c r="B517" s="1127" t="s">
        <v>5108</v>
      </c>
      <c r="C517" s="1127" t="s">
        <v>5114</v>
      </c>
      <c r="D517" s="960">
        <v>975</v>
      </c>
      <c r="E517" s="960">
        <v>1650</v>
      </c>
      <c r="F517" s="960">
        <v>1650</v>
      </c>
      <c r="G517" s="65" t="s">
        <v>4549</v>
      </c>
      <c r="H517" s="56" t="s">
        <v>4649</v>
      </c>
      <c r="I517" s="51" t="s">
        <v>4725</v>
      </c>
      <c r="J517" s="34"/>
      <c r="K517" s="34" t="s">
        <v>5025</v>
      </c>
      <c r="L517" s="118" t="s">
        <v>4539</v>
      </c>
      <c r="M517" s="6">
        <v>43085</v>
      </c>
      <c r="N517" s="6">
        <v>43100</v>
      </c>
      <c r="O517" s="61" t="s">
        <v>4545</v>
      </c>
      <c r="P517" s="61"/>
      <c r="Q517" s="171"/>
      <c r="R517" s="239" t="s">
        <v>5001</v>
      </c>
      <c r="S517" s="328" t="s">
        <v>4543</v>
      </c>
      <c r="T517" s="933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  <c r="BN517" s="120"/>
      <c r="BO517" s="120"/>
      <c r="BP517" s="120"/>
    </row>
    <row r="518" spans="1:68" s="121" customFormat="1" ht="20.100000000000001" customHeight="1">
      <c r="A518" s="1127" t="s">
        <v>5040</v>
      </c>
      <c r="B518" s="1127" t="s">
        <v>5108</v>
      </c>
      <c r="C518" s="1127" t="s">
        <v>5114</v>
      </c>
      <c r="D518" s="320">
        <v>775</v>
      </c>
      <c r="E518" s="320">
        <f>D518*2-200</f>
        <v>1350</v>
      </c>
      <c r="F518" s="320">
        <f>D518*2-150</f>
        <v>1400</v>
      </c>
      <c r="G518" s="293" t="s">
        <v>4575</v>
      </c>
      <c r="H518" s="22" t="s">
        <v>4649</v>
      </c>
      <c r="I518" s="38" t="s">
        <v>4725</v>
      </c>
      <c r="J518" s="30"/>
      <c r="K518" s="34" t="s">
        <v>4724</v>
      </c>
      <c r="L518" s="116" t="s">
        <v>4539</v>
      </c>
      <c r="M518" s="15">
        <v>43084</v>
      </c>
      <c r="N518" s="15">
        <v>43100</v>
      </c>
      <c r="O518" s="61" t="s">
        <v>4545</v>
      </c>
      <c r="P518" s="61"/>
      <c r="Q518" s="173"/>
      <c r="R518" s="239" t="s">
        <v>5123</v>
      </c>
      <c r="S518" s="327" t="s">
        <v>4576</v>
      </c>
      <c r="T518" s="933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  <c r="BK518" s="120"/>
      <c r="BL518" s="120"/>
      <c r="BM518" s="120"/>
      <c r="BN518" s="120"/>
      <c r="BO518" s="120"/>
      <c r="BP518" s="120"/>
    </row>
    <row r="519" spans="1:68" s="121" customFormat="1" ht="20.100000000000001" customHeight="1">
      <c r="A519" s="1127" t="s">
        <v>5040</v>
      </c>
      <c r="B519" s="1127" t="s">
        <v>5108</v>
      </c>
      <c r="C519" s="1127" t="s">
        <v>5114</v>
      </c>
      <c r="D519" s="248">
        <v>650</v>
      </c>
      <c r="E519" s="248">
        <v>950</v>
      </c>
      <c r="F519" s="248">
        <v>950</v>
      </c>
      <c r="G519" s="29" t="s">
        <v>5111</v>
      </c>
      <c r="H519" s="36" t="s">
        <v>4649</v>
      </c>
      <c r="I519" s="51" t="s">
        <v>4725</v>
      </c>
      <c r="J519" s="34"/>
      <c r="K519" s="51" t="s">
        <v>4724</v>
      </c>
      <c r="L519" s="118" t="s">
        <v>4539</v>
      </c>
      <c r="M519" s="15">
        <v>43082</v>
      </c>
      <c r="N519" s="15">
        <v>43083</v>
      </c>
      <c r="O519" s="61" t="s">
        <v>4961</v>
      </c>
      <c r="P519" s="107"/>
      <c r="Q519" s="173"/>
      <c r="R519" s="239" t="s">
        <v>5122</v>
      </c>
      <c r="S519" s="327" t="s">
        <v>4959</v>
      </c>
      <c r="T519" s="933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  <c r="BK519" s="120"/>
      <c r="BL519" s="120"/>
      <c r="BM519" s="120"/>
      <c r="BN519" s="120"/>
      <c r="BO519" s="120"/>
      <c r="BP519" s="120"/>
    </row>
    <row r="520" spans="1:68" s="121" customFormat="1" ht="20.100000000000001" customHeight="1">
      <c r="A520" s="1127" t="s">
        <v>5040</v>
      </c>
      <c r="B520" s="1127" t="s">
        <v>5108</v>
      </c>
      <c r="C520" s="1127" t="s">
        <v>5114</v>
      </c>
      <c r="D520" s="947">
        <v>775</v>
      </c>
      <c r="E520" s="947">
        <v>950</v>
      </c>
      <c r="F520" s="947">
        <v>950</v>
      </c>
      <c r="G520" s="234" t="s">
        <v>4904</v>
      </c>
      <c r="H520" s="22" t="s">
        <v>4649</v>
      </c>
      <c r="I520" s="38" t="s">
        <v>4725</v>
      </c>
      <c r="J520" s="30"/>
      <c r="K520" s="34" t="s">
        <v>4724</v>
      </c>
      <c r="L520" s="116" t="s">
        <v>4539</v>
      </c>
      <c r="M520" s="15">
        <v>43054</v>
      </c>
      <c r="N520" s="15">
        <v>43089</v>
      </c>
      <c r="O520" s="59" t="s">
        <v>4961</v>
      </c>
      <c r="P520" s="61"/>
      <c r="Q520" s="173"/>
      <c r="R520" s="21" t="s">
        <v>5121</v>
      </c>
      <c r="S520" s="327" t="s">
        <v>4632</v>
      </c>
      <c r="T520" s="933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  <c r="BK520" s="120"/>
      <c r="BL520" s="120"/>
      <c r="BM520" s="120"/>
      <c r="BN520" s="120"/>
      <c r="BO520" s="120"/>
      <c r="BP520" s="120"/>
    </row>
    <row r="521" spans="1:68" s="121" customFormat="1" ht="20.100000000000001" customHeight="1">
      <c r="A521" s="1127" t="s">
        <v>5040</v>
      </c>
      <c r="B521" s="1127" t="s">
        <v>5108</v>
      </c>
      <c r="C521" s="1127" t="s">
        <v>5114</v>
      </c>
      <c r="D521" s="247">
        <v>575</v>
      </c>
      <c r="E521" s="247">
        <v>800</v>
      </c>
      <c r="F521" s="247">
        <v>800</v>
      </c>
      <c r="G521" s="29" t="s">
        <v>4566</v>
      </c>
      <c r="H521" s="56" t="s">
        <v>4649</v>
      </c>
      <c r="I521" s="38" t="s">
        <v>4725</v>
      </c>
      <c r="J521" s="30"/>
      <c r="K521" s="34" t="s">
        <v>4968</v>
      </c>
      <c r="L521" s="116" t="s">
        <v>4539</v>
      </c>
      <c r="M521" s="15">
        <v>43076</v>
      </c>
      <c r="N521" s="15">
        <v>43100</v>
      </c>
      <c r="O521" s="61" t="s">
        <v>4563</v>
      </c>
      <c r="P521" s="59"/>
      <c r="Q521" s="167"/>
      <c r="R521" s="239" t="s">
        <v>4998</v>
      </c>
      <c r="S521" s="327" t="s">
        <v>4561</v>
      </c>
      <c r="T521" s="137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  <c r="BK521" s="120"/>
      <c r="BL521" s="120"/>
      <c r="BM521" s="120"/>
      <c r="BN521" s="120"/>
      <c r="BO521" s="120"/>
      <c r="BP521" s="120"/>
    </row>
    <row r="522" spans="1:68" s="121" customFormat="1" ht="20.100000000000001" customHeight="1">
      <c r="A522" s="1127" t="s">
        <v>5040</v>
      </c>
      <c r="B522" s="1127" t="s">
        <v>5108</v>
      </c>
      <c r="C522" s="1127" t="s">
        <v>5114</v>
      </c>
      <c r="D522" s="953">
        <v>565</v>
      </c>
      <c r="E522" s="953">
        <v>830</v>
      </c>
      <c r="F522" s="953">
        <v>830</v>
      </c>
      <c r="G522" s="109" t="s">
        <v>4560</v>
      </c>
      <c r="H522" s="36" t="s">
        <v>4649</v>
      </c>
      <c r="I522" s="51" t="s">
        <v>4725</v>
      </c>
      <c r="J522" s="34"/>
      <c r="K522" s="34" t="s">
        <v>4968</v>
      </c>
      <c r="L522" s="118" t="s">
        <v>4539</v>
      </c>
      <c r="M522" s="15">
        <v>43084</v>
      </c>
      <c r="N522" s="15">
        <v>43100</v>
      </c>
      <c r="O522" s="61" t="s">
        <v>5005</v>
      </c>
      <c r="P522" s="61"/>
      <c r="Q522" s="167"/>
      <c r="R522" s="240" t="s">
        <v>4998</v>
      </c>
      <c r="S522" s="327" t="s">
        <v>5004</v>
      </c>
      <c r="T522" s="137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  <c r="BN522" s="120"/>
      <c r="BO522" s="120"/>
      <c r="BP522" s="120"/>
    </row>
    <row r="523" spans="1:68" s="121" customFormat="1" ht="20.100000000000001" customHeight="1">
      <c r="A523" s="1127" t="s">
        <v>5040</v>
      </c>
      <c r="B523" s="1127" t="s">
        <v>5108</v>
      </c>
      <c r="C523" s="1127" t="s">
        <v>5114</v>
      </c>
      <c r="D523" s="247">
        <v>650</v>
      </c>
      <c r="E523" s="247">
        <v>900</v>
      </c>
      <c r="F523" s="247">
        <v>900</v>
      </c>
      <c r="G523" s="234" t="s">
        <v>4557</v>
      </c>
      <c r="H523" s="36" t="s">
        <v>4649</v>
      </c>
      <c r="I523" s="38" t="s">
        <v>4725</v>
      </c>
      <c r="J523" s="37"/>
      <c r="K523" s="34" t="s">
        <v>4968</v>
      </c>
      <c r="L523" s="116" t="s">
        <v>4539</v>
      </c>
      <c r="M523" s="6">
        <v>43084</v>
      </c>
      <c r="N523" s="6">
        <v>43100</v>
      </c>
      <c r="O523" s="61" t="s">
        <v>4961</v>
      </c>
      <c r="P523" s="61"/>
      <c r="Q523" s="167"/>
      <c r="R523" s="240" t="s">
        <v>4998</v>
      </c>
      <c r="S523" s="327" t="s">
        <v>4973</v>
      </c>
      <c r="T523" s="137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  <c r="BN523" s="120"/>
      <c r="BO523" s="120"/>
      <c r="BP523" s="120"/>
    </row>
    <row r="524" spans="1:68" s="121" customFormat="1" ht="20.100000000000001" customHeight="1">
      <c r="A524" s="1127" t="s">
        <v>5040</v>
      </c>
      <c r="B524" s="1127" t="s">
        <v>5108</v>
      </c>
      <c r="C524" s="1127" t="s">
        <v>5114</v>
      </c>
      <c r="D524" s="949">
        <v>750</v>
      </c>
      <c r="E524" s="949">
        <v>1000</v>
      </c>
      <c r="F524" s="949">
        <v>1000</v>
      </c>
      <c r="G524" s="109" t="s">
        <v>4645</v>
      </c>
      <c r="H524" s="36" t="s">
        <v>4649</v>
      </c>
      <c r="I524" s="51" t="s">
        <v>4725</v>
      </c>
      <c r="J524" s="50"/>
      <c r="K524" s="34" t="s">
        <v>4968</v>
      </c>
      <c r="L524" s="116" t="s">
        <v>4539</v>
      </c>
      <c r="M524" s="6">
        <v>43066</v>
      </c>
      <c r="N524" s="6">
        <v>43093</v>
      </c>
      <c r="O524" s="61" t="s">
        <v>4961</v>
      </c>
      <c r="P524" s="59"/>
      <c r="Q524" s="167"/>
      <c r="R524" s="239" t="s">
        <v>4998</v>
      </c>
      <c r="S524" s="326" t="s">
        <v>4641</v>
      </c>
      <c r="T524" s="137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  <c r="BK524" s="120"/>
      <c r="BL524" s="120"/>
      <c r="BM524" s="120"/>
      <c r="BN524" s="120"/>
      <c r="BO524" s="120"/>
      <c r="BP524" s="120"/>
    </row>
    <row r="525" spans="1:68" s="121" customFormat="1" ht="20.100000000000001" customHeight="1">
      <c r="A525" s="1127" t="s">
        <v>5040</v>
      </c>
      <c r="B525" s="1127" t="s">
        <v>5108</v>
      </c>
      <c r="C525" s="1127" t="s">
        <v>5114</v>
      </c>
      <c r="D525" s="949">
        <v>600</v>
      </c>
      <c r="E525" s="949">
        <v>1050</v>
      </c>
      <c r="F525" s="949">
        <v>1050</v>
      </c>
      <c r="G525" s="29" t="s">
        <v>5022</v>
      </c>
      <c r="H525" s="236" t="s">
        <v>4635</v>
      </c>
      <c r="I525" s="38" t="s">
        <v>4725</v>
      </c>
      <c r="J525" s="50"/>
      <c r="K525" s="30" t="s">
        <v>4968</v>
      </c>
      <c r="L525" s="116" t="s">
        <v>4539</v>
      </c>
      <c r="M525" s="6">
        <v>43073</v>
      </c>
      <c r="N525" s="6">
        <v>43083</v>
      </c>
      <c r="O525" s="61" t="s">
        <v>4961</v>
      </c>
      <c r="P525" s="61"/>
      <c r="Q525" s="167"/>
      <c r="R525" s="239" t="s">
        <v>4997</v>
      </c>
      <c r="S525" s="328" t="s">
        <v>1762</v>
      </c>
      <c r="T525" s="933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  <c r="BN525" s="120"/>
      <c r="BO525" s="120"/>
      <c r="BP525" s="120"/>
    </row>
    <row r="526" spans="1:68" s="121" customFormat="1" ht="20.100000000000001" customHeight="1">
      <c r="A526" s="1127" t="s">
        <v>5040</v>
      </c>
      <c r="B526" s="1127" t="s">
        <v>5108</v>
      </c>
      <c r="C526" s="1127" t="s">
        <v>5114</v>
      </c>
      <c r="D526" s="320">
        <v>775</v>
      </c>
      <c r="E526" s="320">
        <f>D526*2-200</f>
        <v>1350</v>
      </c>
      <c r="F526" s="320">
        <f>D526*2-150</f>
        <v>1400</v>
      </c>
      <c r="G526" s="234" t="s">
        <v>4575</v>
      </c>
      <c r="H526" s="210" t="s">
        <v>4635</v>
      </c>
      <c r="I526" s="51" t="s">
        <v>4725</v>
      </c>
      <c r="J526" s="50"/>
      <c r="K526" s="51" t="s">
        <v>4968</v>
      </c>
      <c r="L526" s="116" t="s">
        <v>4539</v>
      </c>
      <c r="M526" s="15">
        <v>43084</v>
      </c>
      <c r="N526" s="15">
        <v>43100</v>
      </c>
      <c r="O526" s="61" t="s">
        <v>4545</v>
      </c>
      <c r="P526" s="61"/>
      <c r="Q526" s="167"/>
      <c r="R526" s="239" t="s">
        <v>4882</v>
      </c>
      <c r="S526" s="327" t="s">
        <v>4576</v>
      </c>
      <c r="T526" s="933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  <c r="BK526" s="120"/>
      <c r="BL526" s="120"/>
      <c r="BM526" s="120"/>
      <c r="BN526" s="120"/>
      <c r="BO526" s="120"/>
      <c r="BP526" s="120"/>
    </row>
    <row r="527" spans="1:68" s="121" customFormat="1" ht="20.100000000000001" customHeight="1">
      <c r="A527" s="1127" t="s">
        <v>5040</v>
      </c>
      <c r="B527" s="1127" t="s">
        <v>5108</v>
      </c>
      <c r="C527" s="1127" t="s">
        <v>5114</v>
      </c>
      <c r="D527" s="248">
        <v>700</v>
      </c>
      <c r="E527" s="248">
        <v>1200</v>
      </c>
      <c r="F527" s="248">
        <v>1250</v>
      </c>
      <c r="G527" s="234" t="s">
        <v>4572</v>
      </c>
      <c r="H527" s="210" t="s">
        <v>4635</v>
      </c>
      <c r="I527" s="51" t="s">
        <v>4725</v>
      </c>
      <c r="J527" s="30"/>
      <c r="K527" s="34" t="s">
        <v>4968</v>
      </c>
      <c r="L527" s="116" t="s">
        <v>4539</v>
      </c>
      <c r="M527" s="15">
        <v>43054</v>
      </c>
      <c r="N527" s="15">
        <v>43076</v>
      </c>
      <c r="O527" s="61" t="s">
        <v>4545</v>
      </c>
      <c r="P527" s="105"/>
      <c r="Q527" s="167"/>
      <c r="R527" s="239" t="s">
        <v>4997</v>
      </c>
      <c r="S527" s="328" t="s">
        <v>4543</v>
      </c>
      <c r="T527" s="933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  <c r="BN527" s="120"/>
      <c r="BO527" s="120"/>
      <c r="BP527" s="120"/>
    </row>
    <row r="528" spans="1:68" s="121" customFormat="1" ht="20.100000000000001" customHeight="1">
      <c r="A528" s="1127" t="s">
        <v>5040</v>
      </c>
      <c r="B528" s="1127" t="s">
        <v>5108</v>
      </c>
      <c r="C528" s="1127" t="s">
        <v>5114</v>
      </c>
      <c r="D528" s="947">
        <v>775</v>
      </c>
      <c r="E528" s="947">
        <v>950</v>
      </c>
      <c r="F528" s="947">
        <v>950</v>
      </c>
      <c r="G528" s="234" t="s">
        <v>4904</v>
      </c>
      <c r="H528" s="194" t="s">
        <v>4635</v>
      </c>
      <c r="I528" s="51" t="s">
        <v>4725</v>
      </c>
      <c r="J528" s="50"/>
      <c r="K528" s="34" t="s">
        <v>4968</v>
      </c>
      <c r="L528" s="116" t="s">
        <v>4539</v>
      </c>
      <c r="M528" s="15">
        <v>43054</v>
      </c>
      <c r="N528" s="15">
        <v>43089</v>
      </c>
      <c r="O528" s="61" t="s">
        <v>4961</v>
      </c>
      <c r="P528" s="129"/>
      <c r="Q528" s="167"/>
      <c r="R528" s="239" t="s">
        <v>5021</v>
      </c>
      <c r="S528" s="327" t="s">
        <v>4632</v>
      </c>
      <c r="T528" s="933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  <c r="BK528" s="120"/>
      <c r="BL528" s="120"/>
      <c r="BM528" s="120"/>
      <c r="BN528" s="120"/>
      <c r="BO528" s="120"/>
      <c r="BP528" s="120"/>
    </row>
    <row r="529" spans="1:68" s="121" customFormat="1" ht="20.100000000000001" customHeight="1">
      <c r="A529" s="1127" t="s">
        <v>5040</v>
      </c>
      <c r="B529" s="1127" t="s">
        <v>5108</v>
      </c>
      <c r="C529" s="1127" t="s">
        <v>5114</v>
      </c>
      <c r="D529" s="248">
        <v>650</v>
      </c>
      <c r="E529" s="248">
        <v>950</v>
      </c>
      <c r="F529" s="248">
        <v>950</v>
      </c>
      <c r="G529" s="29" t="s">
        <v>5111</v>
      </c>
      <c r="H529" s="36" t="s">
        <v>4635</v>
      </c>
      <c r="I529" s="51" t="s">
        <v>4725</v>
      </c>
      <c r="J529" s="34"/>
      <c r="K529" s="51" t="s">
        <v>4968</v>
      </c>
      <c r="L529" s="118" t="s">
        <v>4539</v>
      </c>
      <c r="M529" s="15">
        <v>43082</v>
      </c>
      <c r="N529" s="15">
        <v>43083</v>
      </c>
      <c r="O529" s="61" t="s">
        <v>4961</v>
      </c>
      <c r="P529" s="61"/>
      <c r="Q529" s="167"/>
      <c r="R529" s="239" t="s">
        <v>5020</v>
      </c>
      <c r="S529" s="327" t="s">
        <v>4959</v>
      </c>
      <c r="T529" s="137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  <c r="BK529" s="120"/>
      <c r="BL529" s="120"/>
      <c r="BM529" s="120"/>
      <c r="BN529" s="120"/>
      <c r="BO529" s="120"/>
      <c r="BP529" s="120"/>
    </row>
    <row r="530" spans="1:68" s="121" customFormat="1" ht="20.100000000000001" customHeight="1">
      <c r="A530" s="1127" t="s">
        <v>5040</v>
      </c>
      <c r="B530" s="1127" t="s">
        <v>5108</v>
      </c>
      <c r="C530" s="1127" t="s">
        <v>5114</v>
      </c>
      <c r="D530" s="949">
        <v>600</v>
      </c>
      <c r="E530" s="949">
        <v>1050</v>
      </c>
      <c r="F530" s="949">
        <v>1050</v>
      </c>
      <c r="G530" s="29" t="s">
        <v>5022</v>
      </c>
      <c r="H530" s="69" t="s">
        <v>4580</v>
      </c>
      <c r="I530" s="38" t="s">
        <v>4725</v>
      </c>
      <c r="J530" s="50"/>
      <c r="K530" s="30" t="s">
        <v>4895</v>
      </c>
      <c r="L530" s="116" t="s">
        <v>4539</v>
      </c>
      <c r="M530" s="6">
        <v>43073</v>
      </c>
      <c r="N530" s="6">
        <v>43083</v>
      </c>
      <c r="O530" s="61" t="s">
        <v>4961</v>
      </c>
      <c r="P530" s="59"/>
      <c r="Q530" s="167"/>
      <c r="R530" s="239" t="s">
        <v>5063</v>
      </c>
      <c r="S530" s="328" t="s">
        <v>1762</v>
      </c>
      <c r="T530" s="137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  <c r="BK530" s="120"/>
      <c r="BL530" s="120"/>
      <c r="BM530" s="120"/>
      <c r="BN530" s="120"/>
      <c r="BO530" s="120"/>
      <c r="BP530" s="120"/>
    </row>
    <row r="531" spans="1:68" s="121" customFormat="1" ht="20.100000000000001" customHeight="1">
      <c r="A531" s="1127" t="s">
        <v>5040</v>
      </c>
      <c r="B531" s="1127" t="s">
        <v>5108</v>
      </c>
      <c r="C531" s="1127" t="s">
        <v>5114</v>
      </c>
      <c r="D531" s="320">
        <v>775</v>
      </c>
      <c r="E531" s="320">
        <f>D531*2-200</f>
        <v>1350</v>
      </c>
      <c r="F531" s="320">
        <f>D531*2-150</f>
        <v>1400</v>
      </c>
      <c r="G531" s="234" t="s">
        <v>4575</v>
      </c>
      <c r="H531" s="244" t="s">
        <v>4580</v>
      </c>
      <c r="I531" s="51" t="s">
        <v>4725</v>
      </c>
      <c r="J531" s="50"/>
      <c r="K531" s="51" t="s">
        <v>4895</v>
      </c>
      <c r="L531" s="116" t="s">
        <v>4539</v>
      </c>
      <c r="M531" s="15">
        <v>43084</v>
      </c>
      <c r="N531" s="15">
        <v>43100</v>
      </c>
      <c r="O531" s="61" t="s">
        <v>4545</v>
      </c>
      <c r="P531" s="59"/>
      <c r="Q531" s="167"/>
      <c r="R531" s="239" t="s">
        <v>5120</v>
      </c>
      <c r="S531" s="327" t="s">
        <v>4576</v>
      </c>
      <c r="T531" s="137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  <c r="BN531" s="120"/>
      <c r="BO531" s="120"/>
      <c r="BP531" s="120"/>
    </row>
    <row r="532" spans="1:68" s="121" customFormat="1" ht="20.100000000000001" customHeight="1">
      <c r="A532" s="1127" t="s">
        <v>5040</v>
      </c>
      <c r="B532" s="1127" t="s">
        <v>5108</v>
      </c>
      <c r="C532" s="1127" t="s">
        <v>5114</v>
      </c>
      <c r="D532" s="248">
        <v>700</v>
      </c>
      <c r="E532" s="248">
        <v>1200</v>
      </c>
      <c r="F532" s="248">
        <v>1250</v>
      </c>
      <c r="G532" s="234" t="s">
        <v>4572</v>
      </c>
      <c r="H532" s="56" t="s">
        <v>4580</v>
      </c>
      <c r="I532" s="51" t="s">
        <v>4725</v>
      </c>
      <c r="J532" s="30"/>
      <c r="K532" s="34" t="s">
        <v>4895</v>
      </c>
      <c r="L532" s="116" t="s">
        <v>4539</v>
      </c>
      <c r="M532" s="15">
        <v>43054</v>
      </c>
      <c r="N532" s="15">
        <v>43076</v>
      </c>
      <c r="O532" s="61" t="s">
        <v>4545</v>
      </c>
      <c r="P532" s="107"/>
      <c r="Q532" s="167"/>
      <c r="R532" s="239" t="s">
        <v>5002</v>
      </c>
      <c r="S532" s="328" t="s">
        <v>4543</v>
      </c>
      <c r="T532" s="137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  <c r="BK532" s="120"/>
      <c r="BL532" s="120"/>
      <c r="BM532" s="120"/>
      <c r="BN532" s="120"/>
      <c r="BO532" s="120"/>
      <c r="BP532" s="120"/>
    </row>
    <row r="533" spans="1:68" s="121" customFormat="1" ht="20.100000000000001" customHeight="1">
      <c r="A533" s="1127" t="s">
        <v>5040</v>
      </c>
      <c r="B533" s="1127" t="s">
        <v>5108</v>
      </c>
      <c r="C533" s="1127" t="s">
        <v>5114</v>
      </c>
      <c r="D533" s="947">
        <v>775</v>
      </c>
      <c r="E533" s="947">
        <v>950</v>
      </c>
      <c r="F533" s="947">
        <v>950</v>
      </c>
      <c r="G533" s="234" t="s">
        <v>4904</v>
      </c>
      <c r="H533" s="36" t="s">
        <v>4580</v>
      </c>
      <c r="I533" s="51" t="s">
        <v>4725</v>
      </c>
      <c r="J533" s="34"/>
      <c r="K533" s="34" t="s">
        <v>4895</v>
      </c>
      <c r="L533" s="118" t="s">
        <v>4539</v>
      </c>
      <c r="M533" s="15">
        <v>43054</v>
      </c>
      <c r="N533" s="15">
        <v>43089</v>
      </c>
      <c r="O533" s="59" t="s">
        <v>4961</v>
      </c>
      <c r="P533" s="61"/>
      <c r="Q533" s="167"/>
      <c r="R533" s="239" t="s">
        <v>5119</v>
      </c>
      <c r="S533" s="327" t="s">
        <v>4632</v>
      </c>
      <c r="T533" s="137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  <c r="BK533" s="120"/>
      <c r="BL533" s="120"/>
      <c r="BM533" s="120"/>
      <c r="BN533" s="120"/>
      <c r="BO533" s="120"/>
      <c r="BP533" s="120"/>
    </row>
    <row r="534" spans="1:68" s="121" customFormat="1" ht="20.100000000000001" customHeight="1">
      <c r="A534" s="1127" t="s">
        <v>5040</v>
      </c>
      <c r="B534" s="1127" t="s">
        <v>5108</v>
      </c>
      <c r="C534" s="1127" t="s">
        <v>5114</v>
      </c>
      <c r="D534" s="248">
        <v>650</v>
      </c>
      <c r="E534" s="248">
        <v>950</v>
      </c>
      <c r="F534" s="248">
        <v>950</v>
      </c>
      <c r="G534" s="29" t="s">
        <v>5111</v>
      </c>
      <c r="H534" s="36" t="s">
        <v>4580</v>
      </c>
      <c r="I534" s="51" t="s">
        <v>4725</v>
      </c>
      <c r="J534" s="34"/>
      <c r="K534" s="51" t="s">
        <v>4895</v>
      </c>
      <c r="L534" s="118" t="s">
        <v>4539</v>
      </c>
      <c r="M534" s="15">
        <v>43082</v>
      </c>
      <c r="N534" s="15">
        <v>43083</v>
      </c>
      <c r="O534" s="61" t="s">
        <v>4961</v>
      </c>
      <c r="P534" s="59"/>
      <c r="Q534" s="167"/>
      <c r="R534" s="239" t="s">
        <v>5118</v>
      </c>
      <c r="S534" s="327" t="s">
        <v>4959</v>
      </c>
      <c r="T534" s="137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  <c r="BK534" s="120"/>
      <c r="BL534" s="120"/>
      <c r="BM534" s="120"/>
      <c r="BN534" s="120"/>
      <c r="BO534" s="120"/>
      <c r="BP534" s="120"/>
    </row>
    <row r="535" spans="1:68" s="121" customFormat="1" ht="20.100000000000001" customHeight="1">
      <c r="A535" s="1127" t="s">
        <v>5040</v>
      </c>
      <c r="B535" s="1127" t="s">
        <v>5108</v>
      </c>
      <c r="C535" s="1127" t="s">
        <v>5114</v>
      </c>
      <c r="D535" s="960">
        <v>975</v>
      </c>
      <c r="E535" s="960">
        <v>1650</v>
      </c>
      <c r="F535" s="960">
        <v>1650</v>
      </c>
      <c r="G535" s="29" t="s">
        <v>4549</v>
      </c>
      <c r="H535" s="56" t="s">
        <v>4548</v>
      </c>
      <c r="I535" s="38" t="s">
        <v>4725</v>
      </c>
      <c r="J535" s="30"/>
      <c r="K535" s="34" t="s">
        <v>4940</v>
      </c>
      <c r="L535" s="118" t="s">
        <v>4539</v>
      </c>
      <c r="M535" s="6">
        <v>43085</v>
      </c>
      <c r="N535" s="6">
        <v>43100</v>
      </c>
      <c r="O535" s="61" t="s">
        <v>4545</v>
      </c>
      <c r="P535" s="61"/>
      <c r="Q535" s="167"/>
      <c r="R535" s="239" t="s">
        <v>5117</v>
      </c>
      <c r="S535" s="328" t="s">
        <v>4543</v>
      </c>
      <c r="T535" s="933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  <c r="BN535" s="120"/>
      <c r="BO535" s="120"/>
      <c r="BP535" s="120"/>
    </row>
    <row r="536" spans="1:68" s="121" customFormat="1" ht="20.100000000000001" customHeight="1">
      <c r="A536" s="1127" t="s">
        <v>5040</v>
      </c>
      <c r="B536" s="1127" t="s">
        <v>5108</v>
      </c>
      <c r="C536" s="1127" t="s">
        <v>5114</v>
      </c>
      <c r="D536" s="248">
        <v>650</v>
      </c>
      <c r="E536" s="248">
        <v>950</v>
      </c>
      <c r="F536" s="248">
        <v>950</v>
      </c>
      <c r="G536" s="29" t="s">
        <v>5111</v>
      </c>
      <c r="H536" s="36" t="s">
        <v>4992</v>
      </c>
      <c r="I536" s="51" t="s">
        <v>4725</v>
      </c>
      <c r="J536" s="34"/>
      <c r="K536" s="34" t="s">
        <v>5113</v>
      </c>
      <c r="L536" s="118" t="s">
        <v>4539</v>
      </c>
      <c r="M536" s="15">
        <v>43082</v>
      </c>
      <c r="N536" s="15">
        <v>43083</v>
      </c>
      <c r="O536" s="61" t="s">
        <v>4961</v>
      </c>
      <c r="P536" s="107"/>
      <c r="Q536" s="167"/>
      <c r="R536" s="239" t="s">
        <v>5116</v>
      </c>
      <c r="S536" s="327" t="s">
        <v>4959</v>
      </c>
      <c r="T536" s="933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  <c r="BK536" s="120"/>
      <c r="BL536" s="120"/>
      <c r="BM536" s="120"/>
      <c r="BN536" s="120"/>
      <c r="BO536" s="120"/>
      <c r="BP536" s="120"/>
    </row>
    <row r="537" spans="1:68" s="121" customFormat="1" ht="20.100000000000001" customHeight="1">
      <c r="A537" s="1127" t="s">
        <v>5040</v>
      </c>
      <c r="B537" s="1127" t="s">
        <v>5108</v>
      </c>
      <c r="C537" s="1127" t="s">
        <v>5114</v>
      </c>
      <c r="D537" s="320">
        <v>775</v>
      </c>
      <c r="E537" s="320">
        <f>D537*2-200</f>
        <v>1350</v>
      </c>
      <c r="F537" s="320">
        <f>D537*2-150</f>
        <v>1400</v>
      </c>
      <c r="G537" s="234" t="s">
        <v>4575</v>
      </c>
      <c r="H537" s="36" t="s">
        <v>4992</v>
      </c>
      <c r="I537" s="51" t="s">
        <v>4725</v>
      </c>
      <c r="J537" s="34"/>
      <c r="K537" s="34" t="s">
        <v>5113</v>
      </c>
      <c r="L537" s="118" t="s">
        <v>4539</v>
      </c>
      <c r="M537" s="15">
        <v>43084</v>
      </c>
      <c r="N537" s="15">
        <v>43100</v>
      </c>
      <c r="O537" s="61" t="s">
        <v>4545</v>
      </c>
      <c r="P537" s="61"/>
      <c r="Q537" s="171"/>
      <c r="R537" s="239" t="s">
        <v>5115</v>
      </c>
      <c r="S537" s="327" t="s">
        <v>4576</v>
      </c>
      <c r="T537" s="933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  <c r="BK537" s="120"/>
      <c r="BL537" s="120"/>
      <c r="BM537" s="120"/>
      <c r="BN537" s="120"/>
      <c r="BO537" s="120"/>
      <c r="BP537" s="120"/>
    </row>
    <row r="538" spans="1:68" s="121" customFormat="1" ht="20.100000000000001" customHeight="1">
      <c r="A538" s="1127" t="s">
        <v>5040</v>
      </c>
      <c r="B538" s="1127" t="s">
        <v>5108</v>
      </c>
      <c r="C538" s="1127" t="s">
        <v>5114</v>
      </c>
      <c r="D538" s="947">
        <v>775</v>
      </c>
      <c r="E538" s="947">
        <v>950</v>
      </c>
      <c r="F538" s="947">
        <v>950</v>
      </c>
      <c r="G538" s="234" t="s">
        <v>4904</v>
      </c>
      <c r="H538" s="56" t="s">
        <v>4992</v>
      </c>
      <c r="I538" s="51" t="s">
        <v>4725</v>
      </c>
      <c r="J538" s="50"/>
      <c r="K538" s="34" t="s">
        <v>5113</v>
      </c>
      <c r="L538" s="116" t="s">
        <v>4539</v>
      </c>
      <c r="M538" s="15">
        <v>43054</v>
      </c>
      <c r="N538" s="15">
        <v>43089</v>
      </c>
      <c r="O538" s="59" t="s">
        <v>4961</v>
      </c>
      <c r="P538" s="61"/>
      <c r="Q538" s="167"/>
      <c r="R538" s="239" t="s">
        <v>5112</v>
      </c>
      <c r="S538" s="327" t="s">
        <v>4632</v>
      </c>
      <c r="T538" s="933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  <c r="BK538" s="120"/>
      <c r="BL538" s="120"/>
      <c r="BM538" s="120"/>
      <c r="BN538" s="120"/>
      <c r="BO538" s="120"/>
      <c r="BP538" s="120"/>
    </row>
    <row r="539" spans="1:68" s="121" customFormat="1" ht="20.100000000000001" customHeight="1">
      <c r="A539" s="1127" t="s">
        <v>5040</v>
      </c>
      <c r="B539" s="1127" t="s">
        <v>5108</v>
      </c>
      <c r="C539" s="1127" t="s">
        <v>5107</v>
      </c>
      <c r="D539" s="248">
        <v>775</v>
      </c>
      <c r="E539" s="248">
        <v>1350</v>
      </c>
      <c r="F539" s="248">
        <v>1400</v>
      </c>
      <c r="G539" s="234" t="s">
        <v>4572</v>
      </c>
      <c r="H539" s="56" t="s">
        <v>4552</v>
      </c>
      <c r="I539" s="51" t="s">
        <v>4885</v>
      </c>
      <c r="J539" s="34"/>
      <c r="K539" s="34">
        <v>31</v>
      </c>
      <c r="L539" s="118" t="s">
        <v>4539</v>
      </c>
      <c r="M539" s="15">
        <v>43054</v>
      </c>
      <c r="N539" s="15">
        <v>43076</v>
      </c>
      <c r="O539" s="61" t="s">
        <v>4545</v>
      </c>
      <c r="P539" s="59"/>
      <c r="Q539" s="167"/>
      <c r="R539" s="239" t="s">
        <v>4584</v>
      </c>
      <c r="S539" s="328" t="s">
        <v>4543</v>
      </c>
      <c r="T539" s="933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  <c r="BK539" s="120"/>
      <c r="BL539" s="120"/>
      <c r="BM539" s="120"/>
      <c r="BN539" s="120"/>
      <c r="BO539" s="120"/>
      <c r="BP539" s="120"/>
    </row>
    <row r="540" spans="1:68" s="121" customFormat="1" ht="20.100000000000001" customHeight="1">
      <c r="A540" s="1127" t="s">
        <v>5040</v>
      </c>
      <c r="B540" s="1127" t="s">
        <v>5108</v>
      </c>
      <c r="C540" s="1127" t="s">
        <v>5107</v>
      </c>
      <c r="D540" s="248"/>
      <c r="E540" s="248"/>
      <c r="F540" s="248"/>
      <c r="G540" s="220" t="s">
        <v>5010</v>
      </c>
      <c r="H540" s="56" t="s">
        <v>4552</v>
      </c>
      <c r="I540" s="51" t="s">
        <v>5009</v>
      </c>
      <c r="J540" s="50"/>
      <c r="K540" s="51">
        <v>27</v>
      </c>
      <c r="L540" s="116" t="s">
        <v>4539</v>
      </c>
      <c r="M540" s="6">
        <v>43070</v>
      </c>
      <c r="N540" s="6">
        <v>43083</v>
      </c>
      <c r="O540" s="61" t="s">
        <v>5008</v>
      </c>
      <c r="P540" s="59"/>
      <c r="Q540" s="167"/>
      <c r="R540" s="239" t="s">
        <v>5007</v>
      </c>
      <c r="S540" s="327" t="s">
        <v>5006</v>
      </c>
      <c r="T540" s="933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  <c r="BK540" s="120"/>
      <c r="BL540" s="120"/>
      <c r="BM540" s="120"/>
      <c r="BN540" s="120"/>
      <c r="BO540" s="120"/>
      <c r="BP540" s="120"/>
    </row>
    <row r="541" spans="1:68" s="121" customFormat="1" ht="20.100000000000001" customHeight="1">
      <c r="A541" s="1127" t="s">
        <v>5040</v>
      </c>
      <c r="B541" s="1127" t="s">
        <v>5108</v>
      </c>
      <c r="C541" s="1127" t="s">
        <v>5107</v>
      </c>
      <c r="D541" s="247">
        <v>725</v>
      </c>
      <c r="E541" s="247">
        <v>1100</v>
      </c>
      <c r="F541" s="247">
        <v>1100</v>
      </c>
      <c r="G541" s="29" t="s">
        <v>4566</v>
      </c>
      <c r="H541" s="56" t="s">
        <v>4649</v>
      </c>
      <c r="I541" s="51" t="s">
        <v>4902</v>
      </c>
      <c r="J541" s="30"/>
      <c r="K541" s="30" t="s">
        <v>4739</v>
      </c>
      <c r="L541" s="116" t="s">
        <v>4539</v>
      </c>
      <c r="M541" s="15">
        <v>43076</v>
      </c>
      <c r="N541" s="15">
        <v>43100</v>
      </c>
      <c r="O541" s="61" t="s">
        <v>4563</v>
      </c>
      <c r="P541" s="61"/>
      <c r="Q541" s="167"/>
      <c r="R541" s="239" t="s">
        <v>4998</v>
      </c>
      <c r="S541" s="327" t="s">
        <v>4561</v>
      </c>
      <c r="T541" s="933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  <c r="BK541" s="120"/>
      <c r="BL541" s="120"/>
      <c r="BM541" s="120"/>
      <c r="BN541" s="120"/>
      <c r="BO541" s="120"/>
      <c r="BP541" s="120"/>
    </row>
    <row r="542" spans="1:68" s="121" customFormat="1" ht="20.100000000000001" customHeight="1">
      <c r="A542" s="1127" t="s">
        <v>5040</v>
      </c>
      <c r="B542" s="1127" t="s">
        <v>5108</v>
      </c>
      <c r="C542" s="1127" t="s">
        <v>5107</v>
      </c>
      <c r="D542" s="952">
        <v>725</v>
      </c>
      <c r="E542" s="952">
        <v>1350</v>
      </c>
      <c r="F542" s="952">
        <v>1350</v>
      </c>
      <c r="G542" s="65" t="s">
        <v>4553</v>
      </c>
      <c r="H542" s="56" t="s">
        <v>4649</v>
      </c>
      <c r="I542" s="51" t="s">
        <v>4989</v>
      </c>
      <c r="J542" s="30"/>
      <c r="K542" s="30">
        <v>31</v>
      </c>
      <c r="L542" s="116" t="s">
        <v>4539</v>
      </c>
      <c r="M542" s="6">
        <v>43085</v>
      </c>
      <c r="N542" s="6">
        <v>43100</v>
      </c>
      <c r="O542" s="61" t="s">
        <v>4545</v>
      </c>
      <c r="P542" s="61"/>
      <c r="Q542" s="171"/>
      <c r="R542" s="239" t="s">
        <v>4988</v>
      </c>
      <c r="S542" s="326" t="s">
        <v>4987</v>
      </c>
      <c r="T542" s="933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  <c r="BK542" s="120"/>
      <c r="BL542" s="120"/>
      <c r="BM542" s="120"/>
      <c r="BN542" s="120"/>
      <c r="BO542" s="120"/>
      <c r="BP542" s="120"/>
    </row>
    <row r="543" spans="1:68" s="121" customFormat="1" ht="20.100000000000001" customHeight="1">
      <c r="A543" s="1127" t="s">
        <v>5040</v>
      </c>
      <c r="B543" s="1127" t="s">
        <v>5108</v>
      </c>
      <c r="C543" s="1127" t="s">
        <v>5107</v>
      </c>
      <c r="D543" s="320">
        <v>825</v>
      </c>
      <c r="E543" s="320">
        <f>D543*2-200</f>
        <v>1450</v>
      </c>
      <c r="F543" s="320">
        <f>D543*2-150</f>
        <v>1500</v>
      </c>
      <c r="G543" s="234" t="s">
        <v>4575</v>
      </c>
      <c r="H543" s="22" t="s">
        <v>5053</v>
      </c>
      <c r="I543" s="51" t="s">
        <v>4902</v>
      </c>
      <c r="J543" s="30"/>
      <c r="K543" s="30" t="s">
        <v>5055</v>
      </c>
      <c r="L543" s="116" t="s">
        <v>4539</v>
      </c>
      <c r="M543" s="15">
        <v>43084</v>
      </c>
      <c r="N543" s="15">
        <v>43100</v>
      </c>
      <c r="O543" s="61" t="s">
        <v>4545</v>
      </c>
      <c r="P543" s="61"/>
      <c r="Q543" s="137"/>
      <c r="R543" s="239" t="s">
        <v>5052</v>
      </c>
      <c r="S543" s="327" t="s">
        <v>4576</v>
      </c>
      <c r="T543" s="933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  <c r="BK543" s="120"/>
      <c r="BL543" s="120"/>
      <c r="BM543" s="120"/>
      <c r="BN543" s="120"/>
      <c r="BO543" s="120"/>
      <c r="BP543" s="120"/>
    </row>
    <row r="544" spans="1:68" s="121" customFormat="1" ht="20.100000000000001" customHeight="1">
      <c r="A544" s="1127" t="s">
        <v>5040</v>
      </c>
      <c r="B544" s="1127" t="s">
        <v>5108</v>
      </c>
      <c r="C544" s="1127" t="s">
        <v>5107</v>
      </c>
      <c r="D544" s="947">
        <v>775</v>
      </c>
      <c r="E544" s="947">
        <v>950</v>
      </c>
      <c r="F544" s="947">
        <v>950</v>
      </c>
      <c r="G544" s="234" t="s">
        <v>4904</v>
      </c>
      <c r="H544" s="22" t="s">
        <v>4903</v>
      </c>
      <c r="I544" s="51" t="s">
        <v>4902</v>
      </c>
      <c r="J544" s="50"/>
      <c r="K544" s="50">
        <v>26</v>
      </c>
      <c r="L544" s="116" t="s">
        <v>4539</v>
      </c>
      <c r="M544" s="15">
        <v>43054</v>
      </c>
      <c r="N544" s="15">
        <v>43089</v>
      </c>
      <c r="O544" s="61" t="s">
        <v>4961</v>
      </c>
      <c r="P544" s="59"/>
      <c r="Q544" s="52"/>
      <c r="R544" s="239" t="s">
        <v>4899</v>
      </c>
      <c r="S544" s="327" t="s">
        <v>4632</v>
      </c>
      <c r="T544" s="933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  <c r="BK544" s="120"/>
      <c r="BL544" s="120"/>
      <c r="BM544" s="120"/>
      <c r="BN544" s="120"/>
      <c r="BO544" s="120"/>
      <c r="BP544" s="120"/>
    </row>
    <row r="545" spans="1:68" s="121" customFormat="1" ht="20.100000000000001" customHeight="1">
      <c r="A545" s="1127" t="s">
        <v>5040</v>
      </c>
      <c r="B545" s="1127" t="s">
        <v>5108</v>
      </c>
      <c r="C545" s="1127" t="s">
        <v>5107</v>
      </c>
      <c r="D545" s="952">
        <v>850</v>
      </c>
      <c r="E545" s="952">
        <v>1100</v>
      </c>
      <c r="F545" s="952">
        <v>1100</v>
      </c>
      <c r="G545" s="29" t="s">
        <v>5111</v>
      </c>
      <c r="H545" s="22" t="s">
        <v>5110</v>
      </c>
      <c r="I545" s="38" t="s">
        <v>4902</v>
      </c>
      <c r="J545" s="34"/>
      <c r="K545" s="34" t="s">
        <v>5069</v>
      </c>
      <c r="L545" s="118" t="s">
        <v>4539</v>
      </c>
      <c r="M545" s="15">
        <v>43082</v>
      </c>
      <c r="N545" s="15">
        <v>43083</v>
      </c>
      <c r="O545" s="61" t="s">
        <v>4961</v>
      </c>
      <c r="P545" s="59"/>
      <c r="Q545" s="52"/>
      <c r="R545" s="239" t="s">
        <v>5109</v>
      </c>
      <c r="S545" s="327" t="s">
        <v>5027</v>
      </c>
      <c r="T545" s="933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  <c r="BK545" s="120"/>
      <c r="BL545" s="120"/>
      <c r="BM545" s="120"/>
      <c r="BN545" s="120"/>
      <c r="BO545" s="120"/>
      <c r="BP545" s="120"/>
    </row>
    <row r="546" spans="1:68" s="121" customFormat="1" ht="20.100000000000001" customHeight="1">
      <c r="A546" s="1127" t="s">
        <v>5040</v>
      </c>
      <c r="B546" s="1127" t="s">
        <v>5108</v>
      </c>
      <c r="C546" s="1127" t="s">
        <v>5107</v>
      </c>
      <c r="D546" s="949">
        <v>800</v>
      </c>
      <c r="E546" s="949">
        <v>1100</v>
      </c>
      <c r="F546" s="949">
        <v>1100</v>
      </c>
      <c r="G546" s="65" t="s">
        <v>4645</v>
      </c>
      <c r="H546" s="36" t="s">
        <v>4649</v>
      </c>
      <c r="I546" s="51" t="s">
        <v>4902</v>
      </c>
      <c r="J546" s="30"/>
      <c r="K546" s="30" t="s">
        <v>5055</v>
      </c>
      <c r="L546" s="116" t="s">
        <v>4539</v>
      </c>
      <c r="M546" s="6">
        <v>43066</v>
      </c>
      <c r="N546" s="6">
        <v>43093</v>
      </c>
      <c r="O546" s="61" t="s">
        <v>4961</v>
      </c>
      <c r="P546" s="61"/>
      <c r="Q546" s="167"/>
      <c r="R546" s="240" t="s">
        <v>4998</v>
      </c>
      <c r="S546" s="326" t="s">
        <v>4641</v>
      </c>
      <c r="T546" s="933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  <c r="BK546" s="120"/>
      <c r="BL546" s="120"/>
      <c r="BM546" s="120"/>
      <c r="BN546" s="120"/>
      <c r="BO546" s="120"/>
      <c r="BP546" s="120"/>
    </row>
    <row r="547" spans="1:68" s="121" customFormat="1" ht="20.100000000000001" customHeight="1">
      <c r="A547" s="1127" t="s">
        <v>5040</v>
      </c>
      <c r="B547" s="1127" t="s">
        <v>5108</v>
      </c>
      <c r="C547" s="1127" t="s">
        <v>5107</v>
      </c>
      <c r="D547" s="960">
        <v>1025</v>
      </c>
      <c r="E547" s="960">
        <v>1750</v>
      </c>
      <c r="F547" s="960">
        <v>1750</v>
      </c>
      <c r="G547" s="65" t="s">
        <v>4549</v>
      </c>
      <c r="H547" s="56" t="s">
        <v>4589</v>
      </c>
      <c r="I547" s="50" t="s">
        <v>4885</v>
      </c>
      <c r="J547" s="30"/>
      <c r="K547" s="30" t="s">
        <v>5023</v>
      </c>
      <c r="L547" s="118" t="s">
        <v>4539</v>
      </c>
      <c r="M547" s="6">
        <v>43085</v>
      </c>
      <c r="N547" s="6">
        <v>43100</v>
      </c>
      <c r="O547" s="61" t="s">
        <v>4545</v>
      </c>
      <c r="P547" s="61"/>
      <c r="Q547" s="52"/>
      <c r="R547" s="238" t="s">
        <v>4894</v>
      </c>
      <c r="S547" s="328" t="s">
        <v>4543</v>
      </c>
      <c r="T547" s="933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  <c r="BK547" s="120"/>
      <c r="BL547" s="120"/>
      <c r="BM547" s="120"/>
      <c r="BN547" s="120"/>
      <c r="BO547" s="120"/>
      <c r="BP547" s="120"/>
    </row>
    <row r="548" spans="1:68" s="121" customFormat="1" ht="20.100000000000001" customHeight="1">
      <c r="A548" s="1174" t="s">
        <v>5106</v>
      </c>
      <c r="B548" s="1127" t="s">
        <v>5094</v>
      </c>
      <c r="C548" s="1127" t="s">
        <v>5097</v>
      </c>
      <c r="D548" s="320">
        <v>1025</v>
      </c>
      <c r="E548" s="320">
        <f>D548*2-700</f>
        <v>1350</v>
      </c>
      <c r="F548" s="320">
        <f>D548*2-650</f>
        <v>1400</v>
      </c>
      <c r="G548" s="234" t="s">
        <v>4575</v>
      </c>
      <c r="H548" s="245" t="s">
        <v>4552</v>
      </c>
      <c r="I548" s="38" t="s">
        <v>4725</v>
      </c>
      <c r="J548" s="30"/>
      <c r="K548" s="24" t="s">
        <v>5105</v>
      </c>
      <c r="L548" s="116" t="s">
        <v>4539</v>
      </c>
      <c r="M548" s="15">
        <v>43084</v>
      </c>
      <c r="N548" s="15">
        <v>43100</v>
      </c>
      <c r="O548" s="61" t="s">
        <v>4545</v>
      </c>
      <c r="P548" s="105"/>
      <c r="Q548" s="167"/>
      <c r="R548" s="239" t="s">
        <v>4583</v>
      </c>
      <c r="S548" s="327" t="s">
        <v>4576</v>
      </c>
      <c r="T548" s="933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  <c r="BN548" s="120"/>
      <c r="BO548" s="120"/>
      <c r="BP548" s="120"/>
    </row>
    <row r="549" spans="1:68" s="121" customFormat="1" ht="20.100000000000001" customHeight="1">
      <c r="A549" s="1127" t="s">
        <v>5040</v>
      </c>
      <c r="B549" s="1127" t="s">
        <v>5094</v>
      </c>
      <c r="C549" s="1127" t="s">
        <v>5097</v>
      </c>
      <c r="D549" s="947">
        <v>775</v>
      </c>
      <c r="E549" s="947">
        <v>950</v>
      </c>
      <c r="F549" s="947">
        <v>950</v>
      </c>
      <c r="G549" s="234" t="s">
        <v>4904</v>
      </c>
      <c r="H549" s="245" t="s">
        <v>4552</v>
      </c>
      <c r="I549" s="38" t="s">
        <v>4725</v>
      </c>
      <c r="J549" s="30"/>
      <c r="K549" s="24" t="s">
        <v>5105</v>
      </c>
      <c r="L549" s="116" t="s">
        <v>4539</v>
      </c>
      <c r="M549" s="15">
        <v>43054</v>
      </c>
      <c r="N549" s="15">
        <v>43089</v>
      </c>
      <c r="O549" s="61" t="s">
        <v>4961</v>
      </c>
      <c r="P549" s="105"/>
      <c r="Q549" s="167"/>
      <c r="R549" s="239" t="s">
        <v>5104</v>
      </c>
      <c r="S549" s="327" t="s">
        <v>4632</v>
      </c>
      <c r="T549" s="933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  <c r="BK549" s="120"/>
      <c r="BL549" s="120"/>
      <c r="BM549" s="120"/>
      <c r="BN549" s="120"/>
      <c r="BO549" s="120"/>
      <c r="BP549" s="120"/>
    </row>
    <row r="550" spans="1:68" s="121" customFormat="1" ht="20.100000000000001" customHeight="1">
      <c r="A550" s="1127" t="s">
        <v>5040</v>
      </c>
      <c r="B550" s="1127" t="s">
        <v>5094</v>
      </c>
      <c r="C550" s="1127" t="s">
        <v>5097</v>
      </c>
      <c r="D550" s="247">
        <v>725</v>
      </c>
      <c r="E550" s="247">
        <v>900</v>
      </c>
      <c r="F550" s="247">
        <v>900</v>
      </c>
      <c r="G550" s="29" t="s">
        <v>4566</v>
      </c>
      <c r="H550" s="56" t="s">
        <v>4580</v>
      </c>
      <c r="I550" s="51" t="s">
        <v>4881</v>
      </c>
      <c r="J550" s="34"/>
      <c r="K550" s="34" t="s">
        <v>4940</v>
      </c>
      <c r="L550" s="116" t="s">
        <v>4539</v>
      </c>
      <c r="M550" s="15">
        <v>43076</v>
      </c>
      <c r="N550" s="15">
        <v>43100</v>
      </c>
      <c r="O550" s="61" t="s">
        <v>4563</v>
      </c>
      <c r="P550" s="59"/>
      <c r="Q550" s="167"/>
      <c r="R550" s="239" t="s">
        <v>4578</v>
      </c>
      <c r="S550" s="327" t="s">
        <v>4561</v>
      </c>
      <c r="T550" s="933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  <c r="BK550" s="120"/>
      <c r="BL550" s="120"/>
      <c r="BM550" s="120"/>
      <c r="BN550" s="120"/>
      <c r="BO550" s="120"/>
      <c r="BP550" s="120"/>
    </row>
    <row r="551" spans="1:68" s="121" customFormat="1" ht="20.100000000000001" customHeight="1">
      <c r="A551" s="1127" t="s">
        <v>5040</v>
      </c>
      <c r="B551" s="1127" t="s">
        <v>5094</v>
      </c>
      <c r="C551" s="1127" t="s">
        <v>5097</v>
      </c>
      <c r="D551" s="247">
        <f>D523+200</f>
        <v>850</v>
      </c>
      <c r="E551" s="247">
        <f>E523+400</f>
        <v>1300</v>
      </c>
      <c r="F551" s="247">
        <f>F523+400</f>
        <v>1300</v>
      </c>
      <c r="G551" s="217" t="s">
        <v>4557</v>
      </c>
      <c r="H551" s="36" t="s">
        <v>4649</v>
      </c>
      <c r="I551" s="38" t="s">
        <v>4902</v>
      </c>
      <c r="J551" s="30" t="s">
        <v>5079</v>
      </c>
      <c r="K551" s="34" t="s">
        <v>5055</v>
      </c>
      <c r="L551" s="116" t="s">
        <v>4539</v>
      </c>
      <c r="M551" s="6">
        <v>43084</v>
      </c>
      <c r="N551" s="6">
        <v>43100</v>
      </c>
      <c r="O551" s="61" t="s">
        <v>4961</v>
      </c>
      <c r="P551" s="129"/>
      <c r="Q551" s="167"/>
      <c r="R551" s="239" t="s">
        <v>4998</v>
      </c>
      <c r="S551" s="327" t="s">
        <v>4973</v>
      </c>
      <c r="T551" s="933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  <c r="BK551" s="120"/>
      <c r="BL551" s="120"/>
      <c r="BM551" s="120"/>
      <c r="BN551" s="120"/>
      <c r="BO551" s="120"/>
      <c r="BP551" s="120"/>
    </row>
    <row r="552" spans="1:68" s="121" customFormat="1" ht="20.100000000000001" customHeight="1">
      <c r="A552" s="1127" t="s">
        <v>5040</v>
      </c>
      <c r="B552" s="1127" t="s">
        <v>5094</v>
      </c>
      <c r="C552" s="1127" t="s">
        <v>5097</v>
      </c>
      <c r="D552" s="947">
        <v>775</v>
      </c>
      <c r="E552" s="947">
        <v>950</v>
      </c>
      <c r="F552" s="947">
        <v>950</v>
      </c>
      <c r="G552" s="234" t="s">
        <v>4904</v>
      </c>
      <c r="H552" s="245" t="s">
        <v>4903</v>
      </c>
      <c r="I552" s="51" t="s">
        <v>4902</v>
      </c>
      <c r="J552" s="30"/>
      <c r="K552" s="24" t="s">
        <v>4772</v>
      </c>
      <c r="L552" s="116" t="s">
        <v>4539</v>
      </c>
      <c r="M552" s="15">
        <v>43054</v>
      </c>
      <c r="N552" s="15">
        <v>43089</v>
      </c>
      <c r="O552" s="61" t="s">
        <v>4961</v>
      </c>
      <c r="P552" s="105"/>
      <c r="Q552" s="7"/>
      <c r="R552" s="239" t="s">
        <v>4899</v>
      </c>
      <c r="S552" s="327" t="s">
        <v>4632</v>
      </c>
      <c r="T552" s="933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  <c r="BN552" s="120"/>
      <c r="BO552" s="120"/>
      <c r="BP552" s="120"/>
    </row>
    <row r="553" spans="1:68" s="121" customFormat="1" ht="20.100000000000001" customHeight="1">
      <c r="A553" s="1127" t="s">
        <v>5040</v>
      </c>
      <c r="B553" s="1127" t="s">
        <v>5094</v>
      </c>
      <c r="C553" s="1127" t="s">
        <v>5097</v>
      </c>
      <c r="D553" s="949">
        <v>850</v>
      </c>
      <c r="E553" s="949">
        <v>1200</v>
      </c>
      <c r="F553" s="949">
        <v>1200</v>
      </c>
      <c r="G553" s="65" t="s">
        <v>5022</v>
      </c>
      <c r="H553" s="56" t="s">
        <v>4635</v>
      </c>
      <c r="I553" s="38" t="s">
        <v>4725</v>
      </c>
      <c r="J553" s="34"/>
      <c r="K553" s="24" t="s">
        <v>5069</v>
      </c>
      <c r="L553" s="116" t="s">
        <v>4539</v>
      </c>
      <c r="M553" s="6">
        <v>43073</v>
      </c>
      <c r="N553" s="6">
        <v>43083</v>
      </c>
      <c r="O553" s="61" t="s">
        <v>4961</v>
      </c>
      <c r="P553" s="61"/>
      <c r="Q553" s="167"/>
      <c r="R553" s="239" t="s">
        <v>4997</v>
      </c>
      <c r="S553" s="328" t="s">
        <v>1762</v>
      </c>
      <c r="T553" s="933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  <c r="AX553" s="120"/>
      <c r="AY553" s="120"/>
      <c r="AZ553" s="120"/>
      <c r="BA553" s="120"/>
      <c r="BB553" s="120"/>
      <c r="BC553" s="120"/>
      <c r="BD553" s="120"/>
      <c r="BE553" s="120"/>
      <c r="BF553" s="120"/>
      <c r="BG553" s="120"/>
      <c r="BH553" s="120"/>
      <c r="BI553" s="120"/>
      <c r="BJ553" s="120"/>
      <c r="BK553" s="120"/>
      <c r="BL553" s="120"/>
      <c r="BM553" s="120"/>
      <c r="BN553" s="120"/>
      <c r="BO553" s="120"/>
      <c r="BP553" s="120"/>
    </row>
    <row r="554" spans="1:68" s="121" customFormat="1" ht="20.100000000000001" customHeight="1">
      <c r="A554" s="1127" t="s">
        <v>5040</v>
      </c>
      <c r="B554" s="1127" t="s">
        <v>5094</v>
      </c>
      <c r="C554" s="1127" t="s">
        <v>5097</v>
      </c>
      <c r="D554" s="248">
        <v>950</v>
      </c>
      <c r="E554" s="248">
        <v>1200</v>
      </c>
      <c r="F554" s="248">
        <v>1200</v>
      </c>
      <c r="G554" s="234" t="s">
        <v>4572</v>
      </c>
      <c r="H554" s="36" t="s">
        <v>4635</v>
      </c>
      <c r="I554" s="51" t="s">
        <v>4725</v>
      </c>
      <c r="J554" s="34"/>
      <c r="K554" s="24" t="s">
        <v>5069</v>
      </c>
      <c r="L554" s="118" t="s">
        <v>4539</v>
      </c>
      <c r="M554" s="15">
        <v>43060</v>
      </c>
      <c r="N554" s="15">
        <v>43076</v>
      </c>
      <c r="O554" s="134" t="s">
        <v>4545</v>
      </c>
      <c r="P554" s="59"/>
      <c r="Q554" s="167"/>
      <c r="R554" s="239" t="s">
        <v>4997</v>
      </c>
      <c r="S554" s="328" t="s">
        <v>4543</v>
      </c>
      <c r="T554" s="933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  <c r="AX554" s="120"/>
      <c r="AY554" s="120"/>
      <c r="AZ554" s="120"/>
      <c r="BA554" s="120"/>
      <c r="BB554" s="120"/>
      <c r="BC554" s="120"/>
      <c r="BD554" s="120"/>
      <c r="BE554" s="120"/>
      <c r="BF554" s="120"/>
      <c r="BG554" s="120"/>
      <c r="BH554" s="120"/>
      <c r="BI554" s="120"/>
      <c r="BJ554" s="120"/>
      <c r="BK554" s="120"/>
      <c r="BL554" s="120"/>
      <c r="BM554" s="120"/>
      <c r="BN554" s="120"/>
      <c r="BO554" s="120"/>
      <c r="BP554" s="120"/>
    </row>
    <row r="555" spans="1:68" s="121" customFormat="1" ht="20.100000000000001" customHeight="1">
      <c r="A555" s="1127" t="s">
        <v>5040</v>
      </c>
      <c r="B555" s="1127" t="s">
        <v>5094</v>
      </c>
      <c r="C555" s="1127" t="s">
        <v>5097</v>
      </c>
      <c r="D555" s="320">
        <v>1025</v>
      </c>
      <c r="E555" s="320">
        <f>D555*2-700</f>
        <v>1350</v>
      </c>
      <c r="F555" s="320">
        <f>D555*2-650</f>
        <v>1400</v>
      </c>
      <c r="G555" s="234" t="s">
        <v>4575</v>
      </c>
      <c r="H555" s="245" t="s">
        <v>4635</v>
      </c>
      <c r="I555" s="38" t="s">
        <v>4725</v>
      </c>
      <c r="J555" s="30"/>
      <c r="K555" s="24" t="s">
        <v>5069</v>
      </c>
      <c r="L555" s="116" t="s">
        <v>4539</v>
      </c>
      <c r="M555" s="15">
        <v>43084</v>
      </c>
      <c r="N555" s="15">
        <v>43100</v>
      </c>
      <c r="O555" s="61" t="s">
        <v>4545</v>
      </c>
      <c r="P555" s="61"/>
      <c r="Q555" s="167"/>
      <c r="R555" s="239" t="s">
        <v>4882</v>
      </c>
      <c r="S555" s="327" t="s">
        <v>4576</v>
      </c>
      <c r="T555" s="933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  <c r="AX555" s="120"/>
      <c r="AY555" s="120"/>
      <c r="AZ555" s="120"/>
      <c r="BA555" s="120"/>
      <c r="BB555" s="120"/>
      <c r="BC555" s="120"/>
      <c r="BD555" s="120"/>
      <c r="BE555" s="120"/>
      <c r="BF555" s="120"/>
      <c r="BG555" s="120"/>
      <c r="BH555" s="120"/>
      <c r="BI555" s="120"/>
      <c r="BJ555" s="120"/>
      <c r="BK555" s="120"/>
      <c r="BL555" s="120"/>
      <c r="BM555" s="120"/>
      <c r="BN555" s="120"/>
      <c r="BO555" s="120"/>
      <c r="BP555" s="120"/>
    </row>
    <row r="556" spans="1:68" s="121" customFormat="1" ht="20.100000000000001" customHeight="1">
      <c r="A556" s="1127" t="s">
        <v>5040</v>
      </c>
      <c r="B556" s="1127" t="s">
        <v>5094</v>
      </c>
      <c r="C556" s="1127" t="s">
        <v>5097</v>
      </c>
      <c r="D556" s="947">
        <v>775</v>
      </c>
      <c r="E556" s="947">
        <v>950</v>
      </c>
      <c r="F556" s="947">
        <v>950</v>
      </c>
      <c r="G556" s="234" t="s">
        <v>4904</v>
      </c>
      <c r="H556" s="22" t="s">
        <v>4635</v>
      </c>
      <c r="I556" s="51" t="s">
        <v>4725</v>
      </c>
      <c r="J556" s="50"/>
      <c r="K556" s="50" t="s">
        <v>4665</v>
      </c>
      <c r="L556" s="116" t="s">
        <v>4539</v>
      </c>
      <c r="M556" s="15">
        <v>43054</v>
      </c>
      <c r="N556" s="15">
        <v>43089</v>
      </c>
      <c r="O556" s="61" t="s">
        <v>4961</v>
      </c>
      <c r="P556" s="128"/>
      <c r="Q556" s="167"/>
      <c r="R556" s="239" t="s">
        <v>5021</v>
      </c>
      <c r="S556" s="327" t="s">
        <v>4632</v>
      </c>
      <c r="T556" s="933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  <c r="AX556" s="120"/>
      <c r="AY556" s="120"/>
      <c r="AZ556" s="120"/>
      <c r="BA556" s="120"/>
      <c r="BB556" s="120"/>
      <c r="BC556" s="120"/>
      <c r="BD556" s="120"/>
      <c r="BE556" s="120"/>
      <c r="BF556" s="120"/>
      <c r="BG556" s="120"/>
      <c r="BH556" s="120"/>
      <c r="BI556" s="120"/>
      <c r="BJ556" s="120"/>
      <c r="BK556" s="120"/>
      <c r="BL556" s="120"/>
      <c r="BM556" s="120"/>
      <c r="BN556" s="120"/>
      <c r="BO556" s="120"/>
      <c r="BP556" s="120"/>
    </row>
    <row r="557" spans="1:68" s="121" customFormat="1" ht="20.100000000000001" customHeight="1">
      <c r="A557" s="1127" t="s">
        <v>5040</v>
      </c>
      <c r="B557" s="1127" t="s">
        <v>5094</v>
      </c>
      <c r="C557" s="1127" t="s">
        <v>5097</v>
      </c>
      <c r="D557" s="953">
        <v>665</v>
      </c>
      <c r="E557" s="953">
        <v>1030</v>
      </c>
      <c r="F557" s="953">
        <v>1030</v>
      </c>
      <c r="G557" s="29" t="s">
        <v>4560</v>
      </c>
      <c r="H557" s="36" t="s">
        <v>4930</v>
      </c>
      <c r="I557" s="51" t="s">
        <v>5068</v>
      </c>
      <c r="J557" s="34"/>
      <c r="K557" s="34" t="s">
        <v>5069</v>
      </c>
      <c r="L557" s="116" t="s">
        <v>4539</v>
      </c>
      <c r="M557" s="15">
        <v>43084</v>
      </c>
      <c r="N557" s="15">
        <v>43100</v>
      </c>
      <c r="O557" s="14" t="s">
        <v>5103</v>
      </c>
      <c r="P557" s="59"/>
      <c r="Q557" s="171"/>
      <c r="R557" s="240" t="s">
        <v>4925</v>
      </c>
      <c r="S557" s="327" t="s">
        <v>5004</v>
      </c>
      <c r="T557" s="933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  <c r="AX557" s="120"/>
      <c r="AY557" s="120"/>
      <c r="AZ557" s="120"/>
      <c r="BA557" s="120"/>
      <c r="BB557" s="120"/>
      <c r="BC557" s="120"/>
      <c r="BD557" s="120"/>
      <c r="BE557" s="120"/>
      <c r="BF557" s="120"/>
      <c r="BG557" s="120"/>
      <c r="BH557" s="120"/>
      <c r="BI557" s="120"/>
      <c r="BJ557" s="120"/>
      <c r="BK557" s="120"/>
      <c r="BL557" s="120"/>
      <c r="BM557" s="120"/>
      <c r="BN557" s="120"/>
      <c r="BO557" s="120"/>
      <c r="BP557" s="120"/>
    </row>
    <row r="558" spans="1:68" s="121" customFormat="1" ht="20.100000000000001" customHeight="1">
      <c r="A558" s="1127" t="s">
        <v>5040</v>
      </c>
      <c r="B558" s="1127" t="s">
        <v>5094</v>
      </c>
      <c r="C558" s="1127" t="s">
        <v>5097</v>
      </c>
      <c r="D558" s="949">
        <v>950</v>
      </c>
      <c r="E558" s="949">
        <v>1350</v>
      </c>
      <c r="F558" s="949">
        <v>1350</v>
      </c>
      <c r="G558" s="109" t="s">
        <v>4645</v>
      </c>
      <c r="H558" s="22" t="s">
        <v>4580</v>
      </c>
      <c r="I558" s="38" t="s">
        <v>4881</v>
      </c>
      <c r="J558" s="30"/>
      <c r="K558" s="117" t="s">
        <v>5102</v>
      </c>
      <c r="L558" s="116" t="s">
        <v>4539</v>
      </c>
      <c r="M558" s="6">
        <v>43060</v>
      </c>
      <c r="N558" s="6">
        <v>43093</v>
      </c>
      <c r="O558" s="61" t="s">
        <v>5101</v>
      </c>
      <c r="P558" s="7"/>
      <c r="Q558" s="167"/>
      <c r="R558" s="240" t="s">
        <v>4578</v>
      </c>
      <c r="S558" s="326" t="s">
        <v>5100</v>
      </c>
      <c r="T558" s="933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  <c r="AX558" s="120"/>
      <c r="AY558" s="120"/>
      <c r="AZ558" s="120"/>
      <c r="BA558" s="120"/>
      <c r="BB558" s="120"/>
      <c r="BC558" s="120"/>
      <c r="BD558" s="120"/>
      <c r="BE558" s="120"/>
      <c r="BF558" s="120"/>
      <c r="BG558" s="120"/>
      <c r="BH558" s="120"/>
      <c r="BI558" s="120"/>
      <c r="BJ558" s="120"/>
      <c r="BK558" s="120"/>
      <c r="BL558" s="120"/>
      <c r="BM558" s="120"/>
      <c r="BN558" s="120"/>
      <c r="BO558" s="120"/>
      <c r="BP558" s="120"/>
    </row>
    <row r="559" spans="1:68" s="121" customFormat="1" ht="20.100000000000001" customHeight="1">
      <c r="A559" s="1127" t="s">
        <v>5040</v>
      </c>
      <c r="B559" s="1127" t="s">
        <v>5094</v>
      </c>
      <c r="C559" s="1127" t="s">
        <v>5097</v>
      </c>
      <c r="D559" s="956">
        <v>1425</v>
      </c>
      <c r="E559" s="956">
        <v>2050</v>
      </c>
      <c r="F559" s="956">
        <v>2050</v>
      </c>
      <c r="G559" s="29" t="s">
        <v>4549</v>
      </c>
      <c r="H559" s="22" t="s">
        <v>4580</v>
      </c>
      <c r="I559" s="51" t="s">
        <v>4725</v>
      </c>
      <c r="J559" s="34"/>
      <c r="K559" s="34" t="s">
        <v>5096</v>
      </c>
      <c r="L559" s="118" t="s">
        <v>4539</v>
      </c>
      <c r="M559" s="6">
        <v>43085</v>
      </c>
      <c r="N559" s="6">
        <v>43100</v>
      </c>
      <c r="O559" s="61" t="s">
        <v>4545</v>
      </c>
      <c r="P559" s="128"/>
      <c r="Q559" s="171"/>
      <c r="R559" s="239" t="s">
        <v>5099</v>
      </c>
      <c r="S559" s="328" t="s">
        <v>4543</v>
      </c>
      <c r="T559" s="933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  <c r="AX559" s="120"/>
      <c r="AY559" s="120"/>
      <c r="AZ559" s="120"/>
      <c r="BA559" s="120"/>
      <c r="BB559" s="120"/>
      <c r="BC559" s="120"/>
      <c r="BD559" s="120"/>
      <c r="BE559" s="120"/>
      <c r="BF559" s="120"/>
      <c r="BG559" s="120"/>
      <c r="BH559" s="120"/>
      <c r="BI559" s="120"/>
      <c r="BJ559" s="120"/>
      <c r="BK559" s="120"/>
      <c r="BL559" s="120"/>
      <c r="BM559" s="120"/>
      <c r="BN559" s="120"/>
      <c r="BO559" s="120"/>
      <c r="BP559" s="120"/>
    </row>
    <row r="560" spans="1:68" s="121" customFormat="1" ht="20.100000000000001" customHeight="1">
      <c r="A560" s="1127" t="s">
        <v>5040</v>
      </c>
      <c r="B560" s="1127" t="s">
        <v>5094</v>
      </c>
      <c r="C560" s="1127" t="s">
        <v>5097</v>
      </c>
      <c r="D560" s="952">
        <v>1275</v>
      </c>
      <c r="E560" s="952">
        <v>1750</v>
      </c>
      <c r="F560" s="952">
        <v>1750</v>
      </c>
      <c r="G560" s="65" t="s">
        <v>4553</v>
      </c>
      <c r="H560" s="56" t="s">
        <v>4580</v>
      </c>
      <c r="I560" s="51" t="s">
        <v>4725</v>
      </c>
      <c r="J560" s="34"/>
      <c r="K560" s="34" t="s">
        <v>5096</v>
      </c>
      <c r="L560" s="116" t="s">
        <v>4539</v>
      </c>
      <c r="M560" s="6">
        <v>43085</v>
      </c>
      <c r="N560" s="6">
        <v>43100</v>
      </c>
      <c r="O560" s="59" t="s">
        <v>5098</v>
      </c>
      <c r="P560" s="61"/>
      <c r="Q560" s="171"/>
      <c r="R560" s="239" t="s">
        <v>4878</v>
      </c>
      <c r="S560" s="326" t="s">
        <v>4987</v>
      </c>
      <c r="T560" s="933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  <c r="BN560" s="120"/>
      <c r="BO560" s="120"/>
      <c r="BP560" s="120"/>
    </row>
    <row r="561" spans="1:68" s="121" customFormat="1" ht="20.100000000000001" customHeight="1">
      <c r="A561" s="1127" t="s">
        <v>5040</v>
      </c>
      <c r="B561" s="1127" t="s">
        <v>5094</v>
      </c>
      <c r="C561" s="1127" t="s">
        <v>5097</v>
      </c>
      <c r="D561" s="247"/>
      <c r="E561" s="247"/>
      <c r="F561" s="247"/>
      <c r="G561" s="224" t="s">
        <v>4569</v>
      </c>
      <c r="H561" s="69" t="s">
        <v>4580</v>
      </c>
      <c r="I561" s="38" t="s">
        <v>4725</v>
      </c>
      <c r="J561" s="30"/>
      <c r="K561" s="10" t="s">
        <v>5096</v>
      </c>
      <c r="L561" s="116" t="s">
        <v>4539</v>
      </c>
      <c r="M561" s="6">
        <v>43057</v>
      </c>
      <c r="N561" s="6">
        <v>43069</v>
      </c>
      <c r="O561" s="14" t="s">
        <v>4921</v>
      </c>
      <c r="P561" s="7"/>
      <c r="Q561" s="7"/>
      <c r="R561" s="239" t="s">
        <v>5095</v>
      </c>
      <c r="S561" s="328" t="s">
        <v>4543</v>
      </c>
      <c r="T561" s="933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  <c r="BK561" s="120"/>
      <c r="BL561" s="120"/>
      <c r="BM561" s="120"/>
      <c r="BN561" s="120"/>
      <c r="BO561" s="120"/>
      <c r="BP561" s="120"/>
    </row>
    <row r="562" spans="1:68" s="120" customFormat="1" ht="20.100000000000001" customHeight="1">
      <c r="A562" s="1162" t="s">
        <v>2988</v>
      </c>
      <c r="B562" s="1162" t="s">
        <v>5094</v>
      </c>
      <c r="C562" s="1162" t="s">
        <v>4893</v>
      </c>
      <c r="D562" s="247">
        <v>925</v>
      </c>
      <c r="E562" s="247">
        <v>1250</v>
      </c>
      <c r="F562" s="247">
        <v>1250</v>
      </c>
      <c r="G562" s="29" t="s">
        <v>4566</v>
      </c>
      <c r="H562" s="56" t="s">
        <v>4580</v>
      </c>
      <c r="I562" s="51" t="s">
        <v>4881</v>
      </c>
      <c r="J562" s="34"/>
      <c r="K562" s="34" t="s">
        <v>4940</v>
      </c>
      <c r="L562" s="116" t="s">
        <v>4539</v>
      </c>
      <c r="M562" s="15">
        <v>43076</v>
      </c>
      <c r="N562" s="15">
        <v>43100</v>
      </c>
      <c r="O562" s="61" t="s">
        <v>4563</v>
      </c>
      <c r="P562" s="59"/>
      <c r="Q562" s="167"/>
      <c r="R562" s="239" t="s">
        <v>4578</v>
      </c>
      <c r="S562" s="327" t="s">
        <v>4561</v>
      </c>
      <c r="T562" s="933"/>
    </row>
    <row r="563" spans="1:68" s="120" customFormat="1" ht="20.100000000000001" customHeight="1">
      <c r="A563" s="1167" t="s">
        <v>2988</v>
      </c>
      <c r="B563" s="1167" t="s">
        <v>2580</v>
      </c>
      <c r="C563" s="1167" t="s">
        <v>4893</v>
      </c>
      <c r="D563" s="248">
        <v>1200</v>
      </c>
      <c r="E563" s="248">
        <v>1500</v>
      </c>
      <c r="F563" s="248">
        <v>1500</v>
      </c>
      <c r="G563" s="234" t="s">
        <v>4572</v>
      </c>
      <c r="H563" s="56" t="s">
        <v>4552</v>
      </c>
      <c r="I563" s="51" t="s">
        <v>4885</v>
      </c>
      <c r="J563" s="50"/>
      <c r="K563" s="51" t="s">
        <v>4739</v>
      </c>
      <c r="L563" s="118" t="s">
        <v>4539</v>
      </c>
      <c r="M563" s="15">
        <v>43060</v>
      </c>
      <c r="N563" s="15">
        <v>43076</v>
      </c>
      <c r="O563" s="61" t="s">
        <v>4545</v>
      </c>
      <c r="P563" s="59"/>
      <c r="Q563" s="167"/>
      <c r="R563" s="239" t="s">
        <v>4584</v>
      </c>
      <c r="S563" s="328" t="s">
        <v>4543</v>
      </c>
      <c r="T563" s="933"/>
    </row>
    <row r="564" spans="1:68" s="120" customFormat="1" ht="20.100000000000001" customHeight="1">
      <c r="A564" s="1127" t="s">
        <v>5040</v>
      </c>
      <c r="B564" s="1127" t="s">
        <v>5091</v>
      </c>
      <c r="C564" s="1127" t="s">
        <v>5092</v>
      </c>
      <c r="D564" s="946">
        <f>1425*1.2</f>
        <v>1710</v>
      </c>
      <c r="E564" s="946">
        <f>2050*1.2</f>
        <v>2460</v>
      </c>
      <c r="F564" s="946">
        <f>2050*1.2</f>
        <v>2460</v>
      </c>
      <c r="G564" s="192" t="s">
        <v>4549</v>
      </c>
      <c r="H564" s="56" t="s">
        <v>4635</v>
      </c>
      <c r="I564" s="38" t="s">
        <v>4884</v>
      </c>
      <c r="J564" s="30"/>
      <c r="K564" s="38" t="s">
        <v>5069</v>
      </c>
      <c r="L564" s="118" t="s">
        <v>4539</v>
      </c>
      <c r="M564" s="6">
        <v>43085</v>
      </c>
      <c r="N564" s="6">
        <v>43100</v>
      </c>
      <c r="O564" s="61" t="s">
        <v>4545</v>
      </c>
      <c r="P564" s="105"/>
      <c r="Q564" s="171"/>
      <c r="R564" s="239" t="s">
        <v>5088</v>
      </c>
      <c r="S564" s="328" t="s">
        <v>4543</v>
      </c>
      <c r="T564" s="933"/>
    </row>
    <row r="565" spans="1:68" s="121" customFormat="1" ht="20.100000000000001" customHeight="1">
      <c r="A565" s="1127" t="s">
        <v>5040</v>
      </c>
      <c r="B565" s="1127" t="s">
        <v>5091</v>
      </c>
      <c r="C565" s="1127" t="s">
        <v>5092</v>
      </c>
      <c r="D565" s="248">
        <f>1150*1.2</f>
        <v>1380</v>
      </c>
      <c r="E565" s="248">
        <f>1500*1.2</f>
        <v>1800</v>
      </c>
      <c r="F565" s="248">
        <f>1500*1.2</f>
        <v>1800</v>
      </c>
      <c r="G565" s="234" t="s">
        <v>4572</v>
      </c>
      <c r="H565" s="56" t="s">
        <v>4635</v>
      </c>
      <c r="I565" s="51" t="s">
        <v>5031</v>
      </c>
      <c r="J565" s="50"/>
      <c r="K565" s="51" t="s">
        <v>4968</v>
      </c>
      <c r="L565" s="118" t="s">
        <v>4539</v>
      </c>
      <c r="M565" s="15">
        <v>43060</v>
      </c>
      <c r="N565" s="15">
        <v>43076</v>
      </c>
      <c r="O565" s="134" t="s">
        <v>4545</v>
      </c>
      <c r="P565" s="53" t="s">
        <v>5089</v>
      </c>
      <c r="Q565" s="167"/>
      <c r="R565" s="239" t="s">
        <v>4997</v>
      </c>
      <c r="S565" s="328" t="s">
        <v>4543</v>
      </c>
      <c r="T565" s="933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  <c r="AX565" s="120"/>
      <c r="AY565" s="120"/>
      <c r="AZ565" s="120"/>
      <c r="BA565" s="120"/>
      <c r="BB565" s="120"/>
      <c r="BC565" s="120"/>
      <c r="BD565" s="120"/>
      <c r="BE565" s="120"/>
      <c r="BF565" s="120"/>
      <c r="BG565" s="120"/>
      <c r="BH565" s="120"/>
      <c r="BI565" s="120"/>
      <c r="BJ565" s="120"/>
      <c r="BK565" s="120"/>
      <c r="BL565" s="120"/>
      <c r="BM565" s="120"/>
      <c r="BN565" s="120"/>
      <c r="BO565" s="120"/>
      <c r="BP565" s="120"/>
    </row>
    <row r="566" spans="1:68" s="120" customFormat="1" ht="20.100000000000001" customHeight="1">
      <c r="A566" s="1127" t="s">
        <v>5040</v>
      </c>
      <c r="B566" s="1127" t="s">
        <v>5091</v>
      </c>
      <c r="C566" s="1127" t="s">
        <v>5092</v>
      </c>
      <c r="D566" s="320">
        <v>1175</v>
      </c>
      <c r="E566" s="320">
        <f>D566*2-800</f>
        <v>1550</v>
      </c>
      <c r="F566" s="320">
        <f>D566*2-750</f>
        <v>1600</v>
      </c>
      <c r="G566" s="234" t="s">
        <v>4575</v>
      </c>
      <c r="H566" s="22" t="s">
        <v>5053</v>
      </c>
      <c r="I566" s="51" t="s">
        <v>4902</v>
      </c>
      <c r="J566" s="30"/>
      <c r="K566" s="38">
        <v>24</v>
      </c>
      <c r="L566" s="116" t="s">
        <v>4539</v>
      </c>
      <c r="M566" s="15">
        <v>43084</v>
      </c>
      <c r="N566" s="15">
        <v>43100</v>
      </c>
      <c r="O566" s="59" t="s">
        <v>5093</v>
      </c>
      <c r="P566" s="105"/>
      <c r="Q566" s="7"/>
      <c r="R566" s="239" t="s">
        <v>5052</v>
      </c>
      <c r="S566" s="327" t="s">
        <v>4576</v>
      </c>
      <c r="T566" s="933"/>
    </row>
    <row r="567" spans="1:68" s="121" customFormat="1" ht="20.100000000000001" customHeight="1">
      <c r="A567" s="1127" t="s">
        <v>5040</v>
      </c>
      <c r="B567" s="1127" t="s">
        <v>5091</v>
      </c>
      <c r="C567" s="1127" t="s">
        <v>5092</v>
      </c>
      <c r="D567" s="247">
        <f>725*1.2</f>
        <v>870</v>
      </c>
      <c r="E567" s="247">
        <f>1150*1.2</f>
        <v>1380</v>
      </c>
      <c r="F567" s="247">
        <f>1150*1.2</f>
        <v>1380</v>
      </c>
      <c r="G567" s="29" t="s">
        <v>4566</v>
      </c>
      <c r="H567" s="36" t="s">
        <v>4580</v>
      </c>
      <c r="I567" s="51" t="s">
        <v>4881</v>
      </c>
      <c r="J567" s="30"/>
      <c r="K567" s="30" t="s">
        <v>4739</v>
      </c>
      <c r="L567" s="116" t="s">
        <v>4539</v>
      </c>
      <c r="M567" s="15">
        <v>43076</v>
      </c>
      <c r="N567" s="15">
        <v>43100</v>
      </c>
      <c r="O567" s="61" t="s">
        <v>4563</v>
      </c>
      <c r="P567" s="105"/>
      <c r="Q567" s="7"/>
      <c r="R567" s="239" t="s">
        <v>4578</v>
      </c>
      <c r="S567" s="327" t="s">
        <v>4561</v>
      </c>
      <c r="T567" s="933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  <c r="AX567" s="120"/>
      <c r="AY567" s="120"/>
      <c r="AZ567" s="120"/>
      <c r="BA567" s="120"/>
      <c r="BB567" s="120"/>
      <c r="BC567" s="120"/>
      <c r="BD567" s="120"/>
      <c r="BE567" s="120"/>
      <c r="BF567" s="120"/>
      <c r="BG567" s="120"/>
      <c r="BH567" s="120"/>
      <c r="BI567" s="120"/>
      <c r="BJ567" s="120"/>
      <c r="BK567" s="120"/>
      <c r="BL567" s="120"/>
      <c r="BM567" s="120"/>
      <c r="BN567" s="120"/>
      <c r="BO567" s="120"/>
      <c r="BP567" s="120"/>
    </row>
    <row r="568" spans="1:68" s="121" customFormat="1" ht="20.100000000000001" customHeight="1">
      <c r="A568" s="895" t="s">
        <v>5040</v>
      </c>
      <c r="B568" s="895" t="s">
        <v>5091</v>
      </c>
      <c r="C568" s="895" t="s">
        <v>5090</v>
      </c>
      <c r="D568" s="248">
        <f>1150*1.2</f>
        <v>1380</v>
      </c>
      <c r="E568" s="248">
        <f>1500*1.2</f>
        <v>1800</v>
      </c>
      <c r="F568" s="248">
        <f>1500*1.2</f>
        <v>1800</v>
      </c>
      <c r="G568" s="234" t="s">
        <v>4572</v>
      </c>
      <c r="H568" s="56" t="s">
        <v>4635</v>
      </c>
      <c r="I568" s="51" t="s">
        <v>5031</v>
      </c>
      <c r="J568" s="50"/>
      <c r="K568" s="51" t="s">
        <v>4968</v>
      </c>
      <c r="L568" s="118" t="s">
        <v>4539</v>
      </c>
      <c r="M568" s="15">
        <v>43060</v>
      </c>
      <c r="N568" s="15">
        <v>43076</v>
      </c>
      <c r="O568" s="134" t="s">
        <v>4545</v>
      </c>
      <c r="P568" s="53" t="s">
        <v>5089</v>
      </c>
      <c r="Q568" s="167"/>
      <c r="R568" s="239" t="s">
        <v>4997</v>
      </c>
      <c r="S568" s="328" t="s">
        <v>4543</v>
      </c>
      <c r="T568" s="933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  <c r="BK568" s="120"/>
      <c r="BL568" s="120"/>
      <c r="BM568" s="120"/>
      <c r="BN568" s="120"/>
      <c r="BO568" s="120"/>
      <c r="BP568" s="120"/>
    </row>
    <row r="569" spans="1:68" s="121" customFormat="1" ht="20.100000000000001" customHeight="1">
      <c r="A569" s="1127" t="s">
        <v>5040</v>
      </c>
      <c r="B569" s="1127" t="s">
        <v>5087</v>
      </c>
      <c r="C569" s="1127" t="s">
        <v>5086</v>
      </c>
      <c r="D569" s="248">
        <v>1400</v>
      </c>
      <c r="E569" s="248">
        <v>2000</v>
      </c>
      <c r="F569" s="248">
        <v>2000</v>
      </c>
      <c r="G569" s="218" t="s">
        <v>5010</v>
      </c>
      <c r="H569" s="56" t="s">
        <v>4552</v>
      </c>
      <c r="I569" s="51" t="s">
        <v>5045</v>
      </c>
      <c r="J569" s="50"/>
      <c r="K569" s="51">
        <v>27</v>
      </c>
      <c r="L569" s="116" t="s">
        <v>4539</v>
      </c>
      <c r="M569" s="6">
        <v>43070</v>
      </c>
      <c r="N569" s="6">
        <v>43083</v>
      </c>
      <c r="O569" s="61" t="s">
        <v>5008</v>
      </c>
      <c r="P569" s="59"/>
      <c r="Q569" s="167"/>
      <c r="R569" s="239" t="s">
        <v>5007</v>
      </c>
      <c r="S569" s="327" t="s">
        <v>5006</v>
      </c>
      <c r="T569" s="933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  <c r="BK569" s="120"/>
      <c r="BL569" s="120"/>
      <c r="BM569" s="120"/>
      <c r="BN569" s="120"/>
      <c r="BO569" s="120"/>
      <c r="BP569" s="120"/>
    </row>
    <row r="570" spans="1:68" s="121" customFormat="1" ht="20.100000000000001" customHeight="1">
      <c r="A570" s="1127" t="s">
        <v>5040</v>
      </c>
      <c r="B570" s="1127" t="s">
        <v>5087</v>
      </c>
      <c r="C570" s="1127" t="s">
        <v>5086</v>
      </c>
      <c r="D570" s="952">
        <v>725</v>
      </c>
      <c r="E570" s="952">
        <v>1350</v>
      </c>
      <c r="F570" s="952">
        <v>1350</v>
      </c>
      <c r="G570" s="65" t="s">
        <v>4553</v>
      </c>
      <c r="H570" s="56" t="s">
        <v>4649</v>
      </c>
      <c r="I570" s="51" t="s">
        <v>5041</v>
      </c>
      <c r="J570" s="30"/>
      <c r="K570" s="37">
        <v>30</v>
      </c>
      <c r="L570" s="116" t="s">
        <v>4539</v>
      </c>
      <c r="M570" s="6">
        <v>43085</v>
      </c>
      <c r="N570" s="6">
        <v>43100</v>
      </c>
      <c r="O570" s="61" t="s">
        <v>4545</v>
      </c>
      <c r="P570" s="61"/>
      <c r="Q570" s="171"/>
      <c r="R570" s="240" t="s">
        <v>4988</v>
      </c>
      <c r="S570" s="326" t="s">
        <v>4987</v>
      </c>
      <c r="T570" s="933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  <c r="AX570" s="120"/>
      <c r="AY570" s="120"/>
      <c r="AZ570" s="120"/>
      <c r="BA570" s="120"/>
      <c r="BB570" s="120"/>
      <c r="BC570" s="120"/>
      <c r="BD570" s="120"/>
      <c r="BE570" s="120"/>
      <c r="BF570" s="120"/>
      <c r="BG570" s="120"/>
      <c r="BH570" s="120"/>
      <c r="BI570" s="120"/>
      <c r="BJ570" s="120"/>
      <c r="BK570" s="120"/>
      <c r="BL570" s="120"/>
      <c r="BM570" s="120"/>
      <c r="BN570" s="120"/>
      <c r="BO570" s="120"/>
      <c r="BP570" s="120"/>
    </row>
    <row r="571" spans="1:68" s="121" customFormat="1" ht="20.100000000000001" customHeight="1">
      <c r="A571" s="1127" t="s">
        <v>5040</v>
      </c>
      <c r="B571" s="1127" t="s">
        <v>5087</v>
      </c>
      <c r="C571" s="1127" t="s">
        <v>5086</v>
      </c>
      <c r="D571" s="953">
        <v>665</v>
      </c>
      <c r="E571" s="953">
        <v>1030</v>
      </c>
      <c r="F571" s="953">
        <v>1030</v>
      </c>
      <c r="G571" s="70" t="s">
        <v>4560</v>
      </c>
      <c r="H571" s="36" t="s">
        <v>4649</v>
      </c>
      <c r="I571" s="51" t="s">
        <v>4902</v>
      </c>
      <c r="J571" s="30"/>
      <c r="K571" s="10" t="s">
        <v>4739</v>
      </c>
      <c r="L571" s="116" t="s">
        <v>4539</v>
      </c>
      <c r="M571" s="15">
        <v>43084</v>
      </c>
      <c r="N571" s="15">
        <v>43100</v>
      </c>
      <c r="O571" s="61" t="s">
        <v>5005</v>
      </c>
      <c r="P571" s="61"/>
      <c r="Q571" s="167"/>
      <c r="R571" s="240" t="s">
        <v>4998</v>
      </c>
      <c r="S571" s="327" t="s">
        <v>5004</v>
      </c>
      <c r="T571" s="933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  <c r="AX571" s="120"/>
      <c r="AY571" s="120"/>
      <c r="AZ571" s="120"/>
      <c r="BA571" s="120"/>
      <c r="BB571" s="120"/>
      <c r="BC571" s="120"/>
      <c r="BD571" s="120"/>
      <c r="BE571" s="120"/>
      <c r="BF571" s="120"/>
      <c r="BG571" s="120"/>
      <c r="BH571" s="120"/>
      <c r="BI571" s="120"/>
      <c r="BJ571" s="120"/>
      <c r="BK571" s="120"/>
      <c r="BL571" s="120"/>
      <c r="BM571" s="120"/>
      <c r="BN571" s="120"/>
      <c r="BO571" s="120"/>
      <c r="BP571" s="120"/>
    </row>
    <row r="572" spans="1:68" s="121" customFormat="1" ht="18.75" customHeight="1">
      <c r="A572" s="1127" t="s">
        <v>5040</v>
      </c>
      <c r="B572" s="1127" t="s">
        <v>5087</v>
      </c>
      <c r="C572" s="1127" t="s">
        <v>5086</v>
      </c>
      <c r="D572" s="949">
        <v>900</v>
      </c>
      <c r="E572" s="949">
        <v>1250</v>
      </c>
      <c r="F572" s="949">
        <v>1250</v>
      </c>
      <c r="G572" s="109" t="s">
        <v>4645</v>
      </c>
      <c r="H572" s="36" t="s">
        <v>4649</v>
      </c>
      <c r="I572" s="38" t="s">
        <v>4902</v>
      </c>
      <c r="J572" s="30"/>
      <c r="K572" s="117" t="s">
        <v>5025</v>
      </c>
      <c r="L572" s="116" t="s">
        <v>4539</v>
      </c>
      <c r="M572" s="6">
        <v>43066</v>
      </c>
      <c r="N572" s="6">
        <v>43093</v>
      </c>
      <c r="O572" s="61" t="s">
        <v>4961</v>
      </c>
      <c r="P572" s="7"/>
      <c r="Q572" s="167"/>
      <c r="R572" s="240" t="s">
        <v>4998</v>
      </c>
      <c r="S572" s="326" t="s">
        <v>4641</v>
      </c>
      <c r="T572" s="137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  <c r="AR572" s="120"/>
      <c r="AS572" s="120"/>
      <c r="AT572" s="120"/>
      <c r="AU572" s="120"/>
      <c r="AV572" s="120"/>
      <c r="AW572" s="120"/>
      <c r="AX572" s="120"/>
      <c r="AY572" s="120"/>
      <c r="AZ572" s="120"/>
      <c r="BA572" s="120"/>
      <c r="BB572" s="120"/>
      <c r="BC572" s="120"/>
      <c r="BD572" s="120"/>
      <c r="BE572" s="120"/>
      <c r="BF572" s="120"/>
      <c r="BG572" s="120"/>
      <c r="BH572" s="120"/>
      <c r="BI572" s="120"/>
      <c r="BJ572" s="120"/>
      <c r="BK572" s="120"/>
      <c r="BL572" s="120"/>
      <c r="BM572" s="120"/>
      <c r="BN572" s="120"/>
      <c r="BO572" s="120"/>
      <c r="BP572" s="120"/>
    </row>
    <row r="573" spans="1:68" s="121" customFormat="1" ht="18.75" customHeight="1">
      <c r="A573" s="1127" t="s">
        <v>5040</v>
      </c>
      <c r="B573" s="1127" t="s">
        <v>5087</v>
      </c>
      <c r="C573" s="1127" t="s">
        <v>5086</v>
      </c>
      <c r="D573" s="320">
        <v>1325</v>
      </c>
      <c r="E573" s="320">
        <f>D573*2-900</f>
        <v>1750</v>
      </c>
      <c r="F573" s="320">
        <f>D573*2-850</f>
        <v>1800</v>
      </c>
      <c r="G573" s="234" t="s">
        <v>4575</v>
      </c>
      <c r="H573" s="22" t="s">
        <v>5053</v>
      </c>
      <c r="I573" s="51" t="s">
        <v>4902</v>
      </c>
      <c r="J573" s="34"/>
      <c r="K573" s="34">
        <v>30</v>
      </c>
      <c r="L573" s="116" t="s">
        <v>4539</v>
      </c>
      <c r="M573" s="15">
        <v>43084</v>
      </c>
      <c r="N573" s="15">
        <v>43100</v>
      </c>
      <c r="O573" s="61" t="s">
        <v>4545</v>
      </c>
      <c r="P573" s="167"/>
      <c r="Q573" s="170"/>
      <c r="R573" s="239" t="s">
        <v>5052</v>
      </c>
      <c r="S573" s="327" t="s">
        <v>4576</v>
      </c>
      <c r="T573" s="933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  <c r="AR573" s="120"/>
      <c r="AS573" s="120"/>
      <c r="AT573" s="120"/>
      <c r="AU573" s="120"/>
      <c r="AV573" s="120"/>
      <c r="AW573" s="120"/>
      <c r="AX573" s="120"/>
      <c r="AY573" s="120"/>
      <c r="AZ573" s="120"/>
      <c r="BA573" s="120"/>
      <c r="BB573" s="120"/>
      <c r="BC573" s="120"/>
      <c r="BD573" s="120"/>
      <c r="BE573" s="120"/>
      <c r="BF573" s="120"/>
      <c r="BG573" s="120"/>
      <c r="BH573" s="120"/>
      <c r="BI573" s="120"/>
      <c r="BJ573" s="120"/>
      <c r="BK573" s="120"/>
      <c r="BL573" s="120"/>
      <c r="BM573" s="120"/>
      <c r="BN573" s="120"/>
      <c r="BO573" s="120"/>
      <c r="BP573" s="120"/>
    </row>
    <row r="574" spans="1:68" s="121" customFormat="1" ht="20.100000000000001" customHeight="1">
      <c r="A574" s="1127" t="s">
        <v>5040</v>
      </c>
      <c r="B574" s="1127" t="s">
        <v>5087</v>
      </c>
      <c r="C574" s="1127" t="s">
        <v>5086</v>
      </c>
      <c r="D574" s="960">
        <v>975</v>
      </c>
      <c r="E574" s="960">
        <v>1650</v>
      </c>
      <c r="F574" s="960">
        <v>1650</v>
      </c>
      <c r="G574" s="138" t="s">
        <v>4549</v>
      </c>
      <c r="H574" s="56" t="s">
        <v>4635</v>
      </c>
      <c r="I574" s="38" t="s">
        <v>4884</v>
      </c>
      <c r="J574" s="37"/>
      <c r="K574" s="10" t="s">
        <v>4975</v>
      </c>
      <c r="L574" s="118" t="s">
        <v>4539</v>
      </c>
      <c r="M574" s="6">
        <v>43085</v>
      </c>
      <c r="N574" s="6">
        <v>43100</v>
      </c>
      <c r="O574" s="61" t="s">
        <v>4545</v>
      </c>
      <c r="P574" s="7"/>
      <c r="Q574" s="171"/>
      <c r="R574" s="239" t="s">
        <v>5088</v>
      </c>
      <c r="S574" s="328" t="s">
        <v>4543</v>
      </c>
      <c r="T574" s="933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  <c r="AR574" s="120"/>
      <c r="AS574" s="120"/>
      <c r="AT574" s="120"/>
      <c r="AU574" s="120"/>
      <c r="AV574" s="120"/>
      <c r="AW574" s="120"/>
      <c r="AX574" s="120"/>
      <c r="AY574" s="120"/>
      <c r="AZ574" s="120"/>
      <c r="BA574" s="120"/>
      <c r="BB574" s="120"/>
      <c r="BC574" s="120"/>
      <c r="BD574" s="120"/>
      <c r="BE574" s="120"/>
      <c r="BF574" s="120"/>
      <c r="BG574" s="120"/>
      <c r="BH574" s="120"/>
      <c r="BI574" s="120"/>
      <c r="BJ574" s="120"/>
      <c r="BK574" s="120"/>
      <c r="BL574" s="120"/>
      <c r="BM574" s="120"/>
      <c r="BN574" s="120"/>
      <c r="BO574" s="120"/>
      <c r="BP574" s="120"/>
    </row>
    <row r="575" spans="1:68" s="121" customFormat="1" ht="20.100000000000001" customHeight="1">
      <c r="A575" s="1127" t="s">
        <v>5040</v>
      </c>
      <c r="B575" s="1127" t="s">
        <v>5087</v>
      </c>
      <c r="C575" s="1127" t="s">
        <v>5086</v>
      </c>
      <c r="D575" s="247">
        <v>875</v>
      </c>
      <c r="E575" s="247">
        <v>1450</v>
      </c>
      <c r="F575" s="247">
        <v>1450</v>
      </c>
      <c r="G575" s="193" t="s">
        <v>4566</v>
      </c>
      <c r="H575" s="36" t="s">
        <v>4580</v>
      </c>
      <c r="I575" s="51" t="s">
        <v>4881</v>
      </c>
      <c r="J575" s="30"/>
      <c r="K575" s="10" t="s">
        <v>5055</v>
      </c>
      <c r="L575" s="116" t="s">
        <v>4539</v>
      </c>
      <c r="M575" s="15">
        <v>43073</v>
      </c>
      <c r="N575" s="15">
        <v>43100</v>
      </c>
      <c r="O575" s="61" t="s">
        <v>4563</v>
      </c>
      <c r="P575" s="61"/>
      <c r="Q575" s="167"/>
      <c r="R575" s="239" t="s">
        <v>4578</v>
      </c>
      <c r="S575" s="327" t="s">
        <v>4561</v>
      </c>
      <c r="T575" s="933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  <c r="AR575" s="120"/>
      <c r="AS575" s="120"/>
      <c r="AT575" s="120"/>
      <c r="AU575" s="120"/>
      <c r="AV575" s="120"/>
      <c r="AW575" s="120"/>
      <c r="AX575" s="120"/>
      <c r="AY575" s="120"/>
      <c r="AZ575" s="120"/>
      <c r="BA575" s="120"/>
      <c r="BB575" s="120"/>
      <c r="BC575" s="120"/>
      <c r="BD575" s="120"/>
      <c r="BE575" s="120"/>
      <c r="BF575" s="120"/>
      <c r="BG575" s="120"/>
      <c r="BH575" s="120"/>
      <c r="BI575" s="120"/>
      <c r="BJ575" s="120"/>
      <c r="BK575" s="120"/>
      <c r="BL575" s="120"/>
      <c r="BM575" s="120"/>
      <c r="BN575" s="120"/>
      <c r="BO575" s="120"/>
      <c r="BP575" s="120"/>
    </row>
    <row r="576" spans="1:68" s="121" customFormat="1" ht="20.100000000000001" customHeight="1">
      <c r="A576" s="1127" t="s">
        <v>5040</v>
      </c>
      <c r="B576" s="1127" t="s">
        <v>5087</v>
      </c>
      <c r="C576" s="1127" t="s">
        <v>5086</v>
      </c>
      <c r="D576" s="248">
        <v>1125</v>
      </c>
      <c r="E576" s="248">
        <v>1450</v>
      </c>
      <c r="F576" s="248">
        <v>1450</v>
      </c>
      <c r="G576" s="234" t="s">
        <v>4572</v>
      </c>
      <c r="H576" s="36" t="s">
        <v>4635</v>
      </c>
      <c r="I576" s="51" t="s">
        <v>5031</v>
      </c>
      <c r="J576" s="34"/>
      <c r="K576" s="34">
        <v>27</v>
      </c>
      <c r="L576" s="118" t="s">
        <v>4539</v>
      </c>
      <c r="M576" s="15">
        <v>43060</v>
      </c>
      <c r="N576" s="15">
        <v>43076</v>
      </c>
      <c r="O576" s="61" t="s">
        <v>4545</v>
      </c>
      <c r="P576" s="128"/>
      <c r="Q576" s="167"/>
      <c r="R576" s="239" t="s">
        <v>4997</v>
      </c>
      <c r="S576" s="328" t="s">
        <v>4543</v>
      </c>
      <c r="T576" s="137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  <c r="AR576" s="120"/>
      <c r="AS576" s="120"/>
      <c r="AT576" s="120"/>
      <c r="AU576" s="120"/>
      <c r="AV576" s="120"/>
      <c r="AW576" s="120"/>
      <c r="AX576" s="120"/>
      <c r="AY576" s="120"/>
      <c r="AZ576" s="120"/>
      <c r="BA576" s="120"/>
      <c r="BB576" s="120"/>
      <c r="BC576" s="120"/>
      <c r="BD576" s="120"/>
      <c r="BE576" s="120"/>
      <c r="BF576" s="120"/>
      <c r="BG576" s="120"/>
      <c r="BH576" s="120"/>
      <c r="BI576" s="120"/>
      <c r="BJ576" s="120"/>
      <c r="BK576" s="120"/>
      <c r="BL576" s="120"/>
      <c r="BM576" s="120"/>
      <c r="BN576" s="120"/>
      <c r="BO576" s="120"/>
      <c r="BP576" s="120"/>
    </row>
    <row r="577" spans="1:68" s="121" customFormat="1" ht="20.100000000000001" customHeight="1">
      <c r="A577" s="1127" t="s">
        <v>5040</v>
      </c>
      <c r="B577" s="1127" t="s">
        <v>5038</v>
      </c>
      <c r="C577" s="1127" t="s">
        <v>5078</v>
      </c>
      <c r="D577" s="894">
        <v>1200</v>
      </c>
      <c r="E577" s="894">
        <v>1600</v>
      </c>
      <c r="F577" s="894">
        <v>1600</v>
      </c>
      <c r="G577" s="220" t="s">
        <v>5010</v>
      </c>
      <c r="H577" s="56" t="s">
        <v>4552</v>
      </c>
      <c r="I577" s="38" t="s">
        <v>4725</v>
      </c>
      <c r="J577" s="30" t="s">
        <v>5085</v>
      </c>
      <c r="K577" s="50" t="s">
        <v>5069</v>
      </c>
      <c r="L577" s="116" t="s">
        <v>4539</v>
      </c>
      <c r="M577" s="6">
        <v>43087</v>
      </c>
      <c r="N577" s="6">
        <v>43087</v>
      </c>
      <c r="O577" s="61" t="s">
        <v>5008</v>
      </c>
      <c r="P577" s="61"/>
      <c r="Q577" s="167"/>
      <c r="R577" s="239" t="s">
        <v>5007</v>
      </c>
      <c r="S577" s="327" t="s">
        <v>5006</v>
      </c>
      <c r="T577" s="137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  <c r="AR577" s="120"/>
      <c r="AS577" s="120"/>
      <c r="AT577" s="120"/>
      <c r="AU577" s="120"/>
      <c r="AV577" s="120"/>
      <c r="AW577" s="120"/>
      <c r="AX577" s="120"/>
      <c r="AY577" s="120"/>
      <c r="AZ577" s="120"/>
      <c r="BA577" s="120"/>
      <c r="BB577" s="120"/>
      <c r="BC577" s="120"/>
      <c r="BD577" s="120"/>
      <c r="BE577" s="120"/>
      <c r="BF577" s="120"/>
      <c r="BG577" s="120"/>
      <c r="BH577" s="120"/>
      <c r="BI577" s="120"/>
      <c r="BJ577" s="120"/>
      <c r="BK577" s="120"/>
      <c r="BL577" s="120"/>
      <c r="BM577" s="120"/>
      <c r="BN577" s="120"/>
      <c r="BO577" s="120"/>
      <c r="BP577" s="120"/>
    </row>
    <row r="578" spans="1:68" s="121" customFormat="1" ht="20.100000000000001" customHeight="1">
      <c r="A578" s="1127" t="s">
        <v>5040</v>
      </c>
      <c r="B578" s="1127" t="s">
        <v>5038</v>
      </c>
      <c r="C578" s="1127" t="s">
        <v>5078</v>
      </c>
      <c r="D578" s="952">
        <v>1025</v>
      </c>
      <c r="E578" s="952">
        <v>1450</v>
      </c>
      <c r="F578" s="952">
        <v>1500</v>
      </c>
      <c r="G578" s="65" t="s">
        <v>4553</v>
      </c>
      <c r="H578" s="56" t="s">
        <v>4649</v>
      </c>
      <c r="I578" s="51" t="s">
        <v>4725</v>
      </c>
      <c r="J578" s="34" t="s">
        <v>5084</v>
      </c>
      <c r="K578" s="34" t="s">
        <v>4975</v>
      </c>
      <c r="L578" s="118" t="s">
        <v>4539</v>
      </c>
      <c r="M578" s="6">
        <v>43085</v>
      </c>
      <c r="N578" s="6">
        <v>43100</v>
      </c>
      <c r="O578" s="61" t="s">
        <v>4545</v>
      </c>
      <c r="P578" s="59"/>
      <c r="Q578" s="171"/>
      <c r="R578" s="239" t="s">
        <v>4988</v>
      </c>
      <c r="S578" s="326" t="s">
        <v>4987</v>
      </c>
      <c r="T578" s="137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  <c r="AR578" s="120"/>
      <c r="AS578" s="120"/>
      <c r="AT578" s="120"/>
      <c r="AU578" s="120"/>
      <c r="AV578" s="120"/>
      <c r="AW578" s="120"/>
      <c r="AX578" s="120"/>
      <c r="AY578" s="120"/>
      <c r="AZ578" s="120"/>
      <c r="BA578" s="120"/>
      <c r="BB578" s="120"/>
      <c r="BC578" s="120"/>
      <c r="BD578" s="120"/>
      <c r="BE578" s="120"/>
      <c r="BF578" s="120"/>
      <c r="BG578" s="120"/>
      <c r="BH578" s="120"/>
      <c r="BI578" s="120"/>
      <c r="BJ578" s="120"/>
      <c r="BK578" s="120"/>
      <c r="BL578" s="120"/>
      <c r="BM578" s="120"/>
      <c r="BN578" s="120"/>
      <c r="BO578" s="120"/>
      <c r="BP578" s="120"/>
    </row>
    <row r="579" spans="1:68" s="121" customFormat="1" ht="20.100000000000001" customHeight="1">
      <c r="A579" s="1127" t="s">
        <v>5040</v>
      </c>
      <c r="B579" s="1127" t="s">
        <v>5038</v>
      </c>
      <c r="C579" s="1127" t="s">
        <v>5078</v>
      </c>
      <c r="D579" s="956">
        <v>1125</v>
      </c>
      <c r="E579" s="956">
        <v>1650</v>
      </c>
      <c r="F579" s="956">
        <v>1650</v>
      </c>
      <c r="G579" s="65" t="s">
        <v>4549</v>
      </c>
      <c r="H579" s="56" t="s">
        <v>4649</v>
      </c>
      <c r="I579" s="51" t="s">
        <v>4725</v>
      </c>
      <c r="J579" s="34" t="s">
        <v>5084</v>
      </c>
      <c r="K579" s="34" t="s">
        <v>4975</v>
      </c>
      <c r="L579" s="118" t="s">
        <v>4539</v>
      </c>
      <c r="M579" s="6">
        <v>43085</v>
      </c>
      <c r="N579" s="6">
        <v>43100</v>
      </c>
      <c r="O579" s="61" t="s">
        <v>4545</v>
      </c>
      <c r="P579" s="59"/>
      <c r="Q579" s="171"/>
      <c r="R579" s="239" t="s">
        <v>5001</v>
      </c>
      <c r="S579" s="328" t="s">
        <v>4543</v>
      </c>
      <c r="T579" s="933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  <c r="AR579" s="120"/>
      <c r="AS579" s="120"/>
      <c r="AT579" s="120"/>
      <c r="AU579" s="120"/>
      <c r="AV579" s="120"/>
      <c r="AW579" s="120"/>
      <c r="AX579" s="120"/>
      <c r="AY579" s="120"/>
      <c r="AZ579" s="120"/>
      <c r="BA579" s="120"/>
      <c r="BB579" s="120"/>
      <c r="BC579" s="120"/>
      <c r="BD579" s="120"/>
      <c r="BE579" s="120"/>
      <c r="BF579" s="120"/>
      <c r="BG579" s="120"/>
      <c r="BH579" s="120"/>
      <c r="BI579" s="120"/>
      <c r="BJ579" s="120"/>
      <c r="BK579" s="120"/>
      <c r="BL579" s="120"/>
      <c r="BM579" s="120"/>
      <c r="BN579" s="120"/>
      <c r="BO579" s="120"/>
      <c r="BP579" s="120"/>
    </row>
    <row r="580" spans="1:68" s="121" customFormat="1" ht="20.100000000000001" customHeight="1">
      <c r="A580" s="1127" t="s">
        <v>5040</v>
      </c>
      <c r="B580" s="1127" t="s">
        <v>5038</v>
      </c>
      <c r="C580" s="1127" t="s">
        <v>5078</v>
      </c>
      <c r="D580" s="320">
        <v>600</v>
      </c>
      <c r="E580" s="320">
        <v>750</v>
      </c>
      <c r="F580" s="320">
        <v>750</v>
      </c>
      <c r="G580" s="29" t="s">
        <v>4566</v>
      </c>
      <c r="H580" s="56" t="s">
        <v>4649</v>
      </c>
      <c r="I580" s="51" t="s">
        <v>4725</v>
      </c>
      <c r="J580" s="34" t="s">
        <v>5079</v>
      </c>
      <c r="K580" s="34" t="s">
        <v>5055</v>
      </c>
      <c r="L580" s="116" t="s">
        <v>4539</v>
      </c>
      <c r="M580" s="15">
        <v>43084</v>
      </c>
      <c r="N580" s="15">
        <v>43100</v>
      </c>
      <c r="O580" s="61" t="s">
        <v>4563</v>
      </c>
      <c r="P580" s="126"/>
      <c r="Q580" s="167"/>
      <c r="R580" s="239" t="s">
        <v>4998</v>
      </c>
      <c r="S580" s="327" t="s">
        <v>4561</v>
      </c>
      <c r="T580" s="137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  <c r="AR580" s="120"/>
      <c r="AS580" s="120"/>
      <c r="AT580" s="120"/>
      <c r="AU580" s="120"/>
      <c r="AV580" s="120"/>
      <c r="AW580" s="120"/>
      <c r="AX580" s="120"/>
      <c r="AY580" s="120"/>
      <c r="AZ580" s="120"/>
      <c r="BA580" s="120"/>
      <c r="BB580" s="120"/>
      <c r="BC580" s="120"/>
      <c r="BD580" s="120"/>
      <c r="BE580" s="120"/>
      <c r="BF580" s="120"/>
      <c r="BG580" s="120"/>
      <c r="BH580" s="120"/>
      <c r="BI580" s="120"/>
      <c r="BJ580" s="120"/>
      <c r="BK580" s="120"/>
      <c r="BL580" s="120"/>
      <c r="BM580" s="120"/>
      <c r="BN580" s="120"/>
      <c r="BO580" s="120"/>
      <c r="BP580" s="120"/>
    </row>
    <row r="581" spans="1:68" s="121" customFormat="1" ht="20.100000000000001" customHeight="1">
      <c r="A581" s="1127" t="s">
        <v>5040</v>
      </c>
      <c r="B581" s="1127" t="s">
        <v>5038</v>
      </c>
      <c r="C581" s="1127" t="s">
        <v>5078</v>
      </c>
      <c r="D581" s="953">
        <v>565</v>
      </c>
      <c r="E581" s="953">
        <v>830</v>
      </c>
      <c r="F581" s="953">
        <v>830</v>
      </c>
      <c r="G581" s="109" t="s">
        <v>4560</v>
      </c>
      <c r="H581" s="36" t="s">
        <v>4649</v>
      </c>
      <c r="I581" s="51" t="s">
        <v>4725</v>
      </c>
      <c r="J581" s="34" t="s">
        <v>5079</v>
      </c>
      <c r="K581" s="34" t="s">
        <v>5055</v>
      </c>
      <c r="L581" s="116" t="s">
        <v>4539</v>
      </c>
      <c r="M581" s="15">
        <v>43084</v>
      </c>
      <c r="N581" s="15">
        <v>43100</v>
      </c>
      <c r="O581" s="61" t="s">
        <v>5005</v>
      </c>
      <c r="P581" s="61"/>
      <c r="Q581" s="167"/>
      <c r="R581" s="240" t="s">
        <v>4998</v>
      </c>
      <c r="S581" s="327" t="s">
        <v>5004</v>
      </c>
      <c r="T581" s="933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  <c r="AR581" s="120"/>
      <c r="AS581" s="120"/>
      <c r="AT581" s="120"/>
      <c r="AU581" s="120"/>
      <c r="AV581" s="120"/>
      <c r="AW581" s="120"/>
      <c r="AX581" s="120"/>
      <c r="AY581" s="120"/>
      <c r="AZ581" s="120"/>
      <c r="BA581" s="120"/>
      <c r="BB581" s="120"/>
      <c r="BC581" s="120"/>
      <c r="BD581" s="120"/>
      <c r="BE581" s="120"/>
      <c r="BF581" s="120"/>
      <c r="BG581" s="120"/>
      <c r="BH581" s="120"/>
      <c r="BI581" s="120"/>
      <c r="BJ581" s="120"/>
      <c r="BK581" s="120"/>
      <c r="BL581" s="120"/>
      <c r="BM581" s="120"/>
      <c r="BN581" s="120"/>
      <c r="BO581" s="120"/>
      <c r="BP581" s="120"/>
    </row>
    <row r="582" spans="1:68" s="121" customFormat="1" ht="20.100000000000001" customHeight="1">
      <c r="A582" s="1127" t="s">
        <v>5040</v>
      </c>
      <c r="B582" s="1127" t="s">
        <v>5038</v>
      </c>
      <c r="C582" s="1127" t="s">
        <v>5078</v>
      </c>
      <c r="D582" s="247">
        <v>650</v>
      </c>
      <c r="E582" s="247">
        <v>800</v>
      </c>
      <c r="F582" s="247">
        <v>800</v>
      </c>
      <c r="G582" s="234" t="s">
        <v>4557</v>
      </c>
      <c r="H582" s="36" t="s">
        <v>4649</v>
      </c>
      <c r="I582" s="51" t="s">
        <v>4725</v>
      </c>
      <c r="J582" s="30" t="s">
        <v>5079</v>
      </c>
      <c r="K582" s="34" t="s">
        <v>5055</v>
      </c>
      <c r="L582" s="118" t="s">
        <v>4539</v>
      </c>
      <c r="M582" s="6">
        <v>43084</v>
      </c>
      <c r="N582" s="6">
        <v>43100</v>
      </c>
      <c r="O582" s="61" t="s">
        <v>4961</v>
      </c>
      <c r="P582" s="129"/>
      <c r="Q582" s="167"/>
      <c r="R582" s="239" t="s">
        <v>4998</v>
      </c>
      <c r="S582" s="327" t="s">
        <v>4973</v>
      </c>
      <c r="T582" s="137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  <c r="AR582" s="120"/>
      <c r="AS582" s="120"/>
      <c r="AT582" s="120"/>
      <c r="AU582" s="120"/>
      <c r="AV582" s="120"/>
      <c r="AW582" s="120"/>
      <c r="AX582" s="120"/>
      <c r="AY582" s="120"/>
      <c r="AZ582" s="120"/>
      <c r="BA582" s="120"/>
      <c r="BB582" s="120"/>
      <c r="BC582" s="120"/>
      <c r="BD582" s="120"/>
      <c r="BE582" s="120"/>
      <c r="BF582" s="120"/>
      <c r="BG582" s="120"/>
      <c r="BH582" s="120"/>
      <c r="BI582" s="120"/>
      <c r="BJ582" s="120"/>
      <c r="BK582" s="120"/>
      <c r="BL582" s="120"/>
      <c r="BM582" s="120"/>
      <c r="BN582" s="120"/>
      <c r="BO582" s="120"/>
      <c r="BP582" s="120"/>
    </row>
    <row r="583" spans="1:68" s="121" customFormat="1" ht="20.100000000000001" customHeight="1">
      <c r="A583" s="1127" t="s">
        <v>5040</v>
      </c>
      <c r="B583" s="1127" t="s">
        <v>5038</v>
      </c>
      <c r="C583" s="1127" t="s">
        <v>5078</v>
      </c>
      <c r="D583" s="949">
        <v>650</v>
      </c>
      <c r="E583" s="949">
        <v>800</v>
      </c>
      <c r="F583" s="949">
        <v>800</v>
      </c>
      <c r="G583" s="109" t="s">
        <v>4645</v>
      </c>
      <c r="H583" s="36" t="s">
        <v>4649</v>
      </c>
      <c r="I583" s="51" t="s">
        <v>4725</v>
      </c>
      <c r="J583" s="30" t="s">
        <v>5079</v>
      </c>
      <c r="K583" s="34" t="s">
        <v>5055</v>
      </c>
      <c r="L583" s="118" t="s">
        <v>4539</v>
      </c>
      <c r="M583" s="6">
        <v>43077</v>
      </c>
      <c r="N583" s="6">
        <v>43093</v>
      </c>
      <c r="O583" s="61" t="s">
        <v>4961</v>
      </c>
      <c r="P583" s="7"/>
      <c r="Q583" s="167"/>
      <c r="R583" s="239" t="s">
        <v>4998</v>
      </c>
      <c r="S583" s="326" t="s">
        <v>4641</v>
      </c>
      <c r="T583" s="137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  <c r="AR583" s="120"/>
      <c r="AS583" s="120"/>
      <c r="AT583" s="120"/>
      <c r="AU583" s="120"/>
      <c r="AV583" s="120"/>
      <c r="AW583" s="120"/>
      <c r="AX583" s="120"/>
      <c r="AY583" s="120"/>
      <c r="AZ583" s="120"/>
      <c r="BA583" s="120"/>
      <c r="BB583" s="120"/>
      <c r="BC583" s="120"/>
      <c r="BD583" s="120"/>
      <c r="BE583" s="120"/>
      <c r="BF583" s="120"/>
      <c r="BG583" s="120"/>
      <c r="BH583" s="120"/>
      <c r="BI583" s="120"/>
      <c r="BJ583" s="120"/>
      <c r="BK583" s="120"/>
      <c r="BL583" s="120"/>
      <c r="BM583" s="120"/>
      <c r="BN583" s="120"/>
      <c r="BO583" s="120"/>
      <c r="BP583" s="120"/>
    </row>
    <row r="584" spans="1:68" s="121" customFormat="1" ht="20.100000000000001" customHeight="1">
      <c r="A584" s="1127" t="s">
        <v>5040</v>
      </c>
      <c r="B584" s="1127" t="s">
        <v>5038</v>
      </c>
      <c r="C584" s="1127" t="s">
        <v>5078</v>
      </c>
      <c r="D584" s="953">
        <v>665</v>
      </c>
      <c r="E584" s="953">
        <v>1030</v>
      </c>
      <c r="F584" s="953">
        <v>1030</v>
      </c>
      <c r="G584" s="70" t="s">
        <v>4560</v>
      </c>
      <c r="H584" s="36" t="s">
        <v>4649</v>
      </c>
      <c r="I584" s="51" t="s">
        <v>4902</v>
      </c>
      <c r="J584" s="30" t="s">
        <v>5083</v>
      </c>
      <c r="K584" s="10" t="s">
        <v>4739</v>
      </c>
      <c r="L584" s="116" t="s">
        <v>4539</v>
      </c>
      <c r="M584" s="15">
        <v>43084</v>
      </c>
      <c r="N584" s="15">
        <v>43100</v>
      </c>
      <c r="O584" s="61" t="s">
        <v>5005</v>
      </c>
      <c r="P584" s="61"/>
      <c r="Q584" s="167"/>
      <c r="R584" s="240" t="s">
        <v>4998</v>
      </c>
      <c r="S584" s="327" t="s">
        <v>5004</v>
      </c>
      <c r="T584" s="137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  <c r="AR584" s="120"/>
      <c r="AS584" s="120"/>
      <c r="AT584" s="120"/>
      <c r="AU584" s="120"/>
      <c r="AV584" s="120"/>
      <c r="AW584" s="120"/>
      <c r="AX584" s="120"/>
      <c r="AY584" s="120"/>
      <c r="AZ584" s="120"/>
      <c r="BA584" s="120"/>
      <c r="BB584" s="120"/>
      <c r="BC584" s="120"/>
      <c r="BD584" s="120"/>
      <c r="BE584" s="120"/>
      <c r="BF584" s="120"/>
      <c r="BG584" s="120"/>
      <c r="BH584" s="120"/>
      <c r="BI584" s="120"/>
      <c r="BJ584" s="120"/>
      <c r="BK584" s="120"/>
      <c r="BL584" s="120"/>
      <c r="BM584" s="120"/>
      <c r="BN584" s="120"/>
      <c r="BO584" s="120"/>
      <c r="BP584" s="120"/>
    </row>
    <row r="585" spans="1:68" s="121" customFormat="1" ht="20.100000000000001" customHeight="1">
      <c r="A585" s="1127" t="s">
        <v>5040</v>
      </c>
      <c r="B585" s="1127" t="s">
        <v>5038</v>
      </c>
      <c r="C585" s="1127" t="s">
        <v>5078</v>
      </c>
      <c r="D585" s="947">
        <v>775</v>
      </c>
      <c r="E585" s="947">
        <v>950</v>
      </c>
      <c r="F585" s="947">
        <v>950</v>
      </c>
      <c r="G585" s="234" t="s">
        <v>4904</v>
      </c>
      <c r="H585" s="22" t="s">
        <v>4903</v>
      </c>
      <c r="I585" s="51" t="s">
        <v>4902</v>
      </c>
      <c r="J585" s="34" t="s">
        <v>5082</v>
      </c>
      <c r="K585" s="50" t="s">
        <v>5081</v>
      </c>
      <c r="L585" s="116" t="s">
        <v>4539</v>
      </c>
      <c r="M585" s="15">
        <v>43054</v>
      </c>
      <c r="N585" s="15">
        <v>43089</v>
      </c>
      <c r="O585" s="61" t="s">
        <v>4961</v>
      </c>
      <c r="P585" s="128"/>
      <c r="Q585" s="7"/>
      <c r="R585" s="239" t="s">
        <v>4899</v>
      </c>
      <c r="S585" s="327" t="s">
        <v>4632</v>
      </c>
      <c r="T585" s="137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  <c r="AX585" s="120"/>
      <c r="AY585" s="120"/>
      <c r="AZ585" s="120"/>
      <c r="BA585" s="120"/>
      <c r="BB585" s="120"/>
      <c r="BC585" s="120"/>
      <c r="BD585" s="120"/>
      <c r="BE585" s="120"/>
      <c r="BF585" s="120"/>
      <c r="BG585" s="120"/>
      <c r="BH585" s="120"/>
      <c r="BI585" s="120"/>
      <c r="BJ585" s="120"/>
      <c r="BK585" s="120"/>
      <c r="BL585" s="120"/>
      <c r="BM585" s="120"/>
      <c r="BN585" s="120"/>
      <c r="BO585" s="120"/>
      <c r="BP585" s="120"/>
    </row>
    <row r="586" spans="1:68" s="121" customFormat="1" ht="20.100000000000001" customHeight="1">
      <c r="A586" s="1127" t="s">
        <v>5040</v>
      </c>
      <c r="B586" s="1127" t="s">
        <v>5038</v>
      </c>
      <c r="C586" s="1127" t="s">
        <v>5078</v>
      </c>
      <c r="D586" s="949">
        <v>825</v>
      </c>
      <c r="E586" s="949">
        <v>1100</v>
      </c>
      <c r="F586" s="949">
        <v>1100</v>
      </c>
      <c r="G586" s="29" t="s">
        <v>5022</v>
      </c>
      <c r="H586" s="56" t="s">
        <v>4635</v>
      </c>
      <c r="I586" s="38" t="s">
        <v>4725</v>
      </c>
      <c r="J586" s="30" t="s">
        <v>5079</v>
      </c>
      <c r="K586" s="34" t="s">
        <v>5025</v>
      </c>
      <c r="L586" s="116" t="s">
        <v>4539</v>
      </c>
      <c r="M586" s="6">
        <v>43073</v>
      </c>
      <c r="N586" s="6">
        <v>43083</v>
      </c>
      <c r="O586" s="61" t="s">
        <v>4961</v>
      </c>
      <c r="P586" s="126"/>
      <c r="Q586" s="167"/>
      <c r="R586" s="239" t="s">
        <v>4997</v>
      </c>
      <c r="S586" s="328" t="s">
        <v>5080</v>
      </c>
      <c r="T586" s="137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  <c r="AR586" s="120"/>
      <c r="AS586" s="120"/>
      <c r="AT586" s="120"/>
      <c r="AU586" s="120"/>
      <c r="AV586" s="120"/>
      <c r="AW586" s="120"/>
      <c r="AX586" s="120"/>
      <c r="AY586" s="120"/>
      <c r="AZ586" s="120"/>
      <c r="BA586" s="120"/>
      <c r="BB586" s="120"/>
      <c r="BC586" s="120"/>
      <c r="BD586" s="120"/>
      <c r="BE586" s="120"/>
      <c r="BF586" s="120"/>
      <c r="BG586" s="120"/>
      <c r="BH586" s="120"/>
      <c r="BI586" s="120"/>
      <c r="BJ586" s="120"/>
      <c r="BK586" s="120"/>
      <c r="BL586" s="120"/>
      <c r="BM586" s="120"/>
      <c r="BN586" s="120"/>
      <c r="BO586" s="120"/>
      <c r="BP586" s="120"/>
    </row>
    <row r="587" spans="1:68" s="121" customFormat="1" ht="20.100000000000001" customHeight="1">
      <c r="A587" s="1127" t="s">
        <v>5040</v>
      </c>
      <c r="B587" s="1127" t="s">
        <v>5038</v>
      </c>
      <c r="C587" s="1127" t="s">
        <v>5078</v>
      </c>
      <c r="D587" s="320">
        <v>925</v>
      </c>
      <c r="E587" s="320">
        <f>D587*2-600</f>
        <v>1250</v>
      </c>
      <c r="F587" s="320">
        <f>D587*2-550</f>
        <v>1300</v>
      </c>
      <c r="G587" s="234" t="s">
        <v>4575</v>
      </c>
      <c r="H587" s="56" t="s">
        <v>4635</v>
      </c>
      <c r="I587" s="38" t="s">
        <v>4725</v>
      </c>
      <c r="J587" s="30" t="s">
        <v>5079</v>
      </c>
      <c r="K587" s="34" t="s">
        <v>5025</v>
      </c>
      <c r="L587" s="116" t="s">
        <v>4539</v>
      </c>
      <c r="M587" s="15">
        <v>43084</v>
      </c>
      <c r="N587" s="15">
        <v>43100</v>
      </c>
      <c r="O587" s="61" t="s">
        <v>4545</v>
      </c>
      <c r="P587" s="129"/>
      <c r="Q587" s="167"/>
      <c r="R587" s="21" t="s">
        <v>4882</v>
      </c>
      <c r="S587" s="327" t="s">
        <v>4576</v>
      </c>
      <c r="T587" s="137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  <c r="AR587" s="120"/>
      <c r="AS587" s="120"/>
      <c r="AT587" s="120"/>
      <c r="AU587" s="120"/>
      <c r="AV587" s="120"/>
      <c r="AW587" s="120"/>
      <c r="AX587" s="120"/>
      <c r="AY587" s="120"/>
      <c r="AZ587" s="120"/>
      <c r="BA587" s="120"/>
      <c r="BB587" s="120"/>
      <c r="BC587" s="120"/>
      <c r="BD587" s="120"/>
      <c r="BE587" s="120"/>
      <c r="BF587" s="120"/>
      <c r="BG587" s="120"/>
      <c r="BH587" s="120"/>
      <c r="BI587" s="120"/>
      <c r="BJ587" s="120"/>
      <c r="BK587" s="120"/>
      <c r="BL587" s="120"/>
      <c r="BM587" s="120"/>
      <c r="BN587" s="120"/>
      <c r="BO587" s="120"/>
      <c r="BP587" s="120"/>
    </row>
    <row r="588" spans="1:68" s="121" customFormat="1" ht="20.100000000000001" customHeight="1">
      <c r="A588" s="1127" t="s">
        <v>5040</v>
      </c>
      <c r="B588" s="1127" t="s">
        <v>5038</v>
      </c>
      <c r="C588" s="1127" t="s">
        <v>5078</v>
      </c>
      <c r="D588" s="248">
        <v>950</v>
      </c>
      <c r="E588" s="248">
        <v>1100</v>
      </c>
      <c r="F588" s="248">
        <v>1100</v>
      </c>
      <c r="G588" s="234" t="s">
        <v>4572</v>
      </c>
      <c r="H588" s="56" t="s">
        <v>4635</v>
      </c>
      <c r="I588" s="51" t="s">
        <v>4725</v>
      </c>
      <c r="J588" s="30" t="s">
        <v>5079</v>
      </c>
      <c r="K588" s="34" t="s">
        <v>5025</v>
      </c>
      <c r="L588" s="116" t="s">
        <v>4539</v>
      </c>
      <c r="M588" s="15">
        <v>43060</v>
      </c>
      <c r="N588" s="15">
        <v>43076</v>
      </c>
      <c r="O588" s="61" t="s">
        <v>4545</v>
      </c>
      <c r="P588" s="129"/>
      <c r="Q588" s="167"/>
      <c r="R588" s="239" t="s">
        <v>4997</v>
      </c>
      <c r="S588" s="328" t="s">
        <v>4543</v>
      </c>
      <c r="T588" s="137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  <c r="AX588" s="120"/>
      <c r="AY588" s="120"/>
      <c r="AZ588" s="120"/>
      <c r="BA588" s="120"/>
      <c r="BB588" s="120"/>
      <c r="BC588" s="120"/>
      <c r="BD588" s="120"/>
      <c r="BE588" s="120"/>
      <c r="BF588" s="120"/>
      <c r="BG588" s="120"/>
      <c r="BH588" s="120"/>
      <c r="BI588" s="120"/>
      <c r="BJ588" s="120"/>
      <c r="BK588" s="120"/>
      <c r="BL588" s="120"/>
      <c r="BM588" s="120"/>
      <c r="BN588" s="120"/>
      <c r="BO588" s="120"/>
      <c r="BP588" s="120"/>
    </row>
    <row r="589" spans="1:68" s="121" customFormat="1" ht="20.100000000000001" customHeight="1">
      <c r="A589" s="1127" t="s">
        <v>5040</v>
      </c>
      <c r="B589" s="1127" t="s">
        <v>5038</v>
      </c>
      <c r="C589" s="1127" t="s">
        <v>5078</v>
      </c>
      <c r="D589" s="947">
        <v>775</v>
      </c>
      <c r="E589" s="947">
        <v>950</v>
      </c>
      <c r="F589" s="947">
        <v>950</v>
      </c>
      <c r="G589" s="234" t="s">
        <v>4904</v>
      </c>
      <c r="H589" s="56" t="s">
        <v>4635</v>
      </c>
      <c r="I589" s="38" t="s">
        <v>4725</v>
      </c>
      <c r="J589" s="30" t="s">
        <v>5079</v>
      </c>
      <c r="K589" s="34" t="s">
        <v>5025</v>
      </c>
      <c r="L589" s="116" t="s">
        <v>4539</v>
      </c>
      <c r="M589" s="15">
        <v>43054</v>
      </c>
      <c r="N589" s="15">
        <v>43089</v>
      </c>
      <c r="O589" s="61" t="s">
        <v>4961</v>
      </c>
      <c r="P589" s="129"/>
      <c r="Q589" s="167"/>
      <c r="R589" s="239" t="s">
        <v>5021</v>
      </c>
      <c r="S589" s="327" t="s">
        <v>4632</v>
      </c>
      <c r="T589" s="137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  <c r="AX589" s="120"/>
      <c r="AY589" s="120"/>
      <c r="AZ589" s="120"/>
      <c r="BA589" s="120"/>
      <c r="BB589" s="120"/>
      <c r="BC589" s="120"/>
      <c r="BD589" s="120"/>
      <c r="BE589" s="120"/>
      <c r="BF589" s="120"/>
      <c r="BG589" s="120"/>
      <c r="BH589" s="120"/>
      <c r="BI589" s="120"/>
      <c r="BJ589" s="120"/>
      <c r="BK589" s="120"/>
      <c r="BL589" s="120"/>
      <c r="BM589" s="120"/>
      <c r="BN589" s="120"/>
      <c r="BO589" s="120"/>
      <c r="BP589" s="120"/>
    </row>
    <row r="590" spans="1:68" s="121" customFormat="1" ht="20.100000000000001" customHeight="1">
      <c r="A590" s="1127" t="s">
        <v>5040</v>
      </c>
      <c r="B590" s="1127" t="s">
        <v>5038</v>
      </c>
      <c r="C590" s="1127" t="s">
        <v>5078</v>
      </c>
      <c r="D590" s="247">
        <v>575</v>
      </c>
      <c r="E590" s="247">
        <v>650</v>
      </c>
      <c r="F590" s="247">
        <v>650</v>
      </c>
      <c r="G590" s="29" t="s">
        <v>4542</v>
      </c>
      <c r="H590" s="48">
        <v>3</v>
      </c>
      <c r="I590" s="38" t="s">
        <v>4725</v>
      </c>
      <c r="J590" s="30" t="s">
        <v>5079</v>
      </c>
      <c r="K590" s="30">
        <v>31</v>
      </c>
      <c r="L590" s="116" t="s">
        <v>4539</v>
      </c>
      <c r="M590" s="15">
        <v>43082</v>
      </c>
      <c r="N590" s="15">
        <v>43083</v>
      </c>
      <c r="O590" s="61" t="s">
        <v>4961</v>
      </c>
      <c r="P590" s="129"/>
      <c r="Q590" s="167"/>
      <c r="R590" s="239" t="s">
        <v>5020</v>
      </c>
      <c r="S590" s="327" t="s">
        <v>4959</v>
      </c>
      <c r="T590" s="137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  <c r="AR590" s="120"/>
      <c r="AS590" s="120"/>
      <c r="AT590" s="120"/>
      <c r="AU590" s="120"/>
      <c r="AV590" s="120"/>
      <c r="AW590" s="120"/>
      <c r="AX590" s="120"/>
      <c r="AY590" s="120"/>
      <c r="AZ590" s="120"/>
      <c r="BA590" s="120"/>
      <c r="BB590" s="120"/>
      <c r="BC590" s="120"/>
      <c r="BD590" s="120"/>
      <c r="BE590" s="120"/>
      <c r="BF590" s="120"/>
      <c r="BG590" s="120"/>
      <c r="BH590" s="120"/>
      <c r="BI590" s="120"/>
      <c r="BJ590" s="120"/>
      <c r="BK590" s="120"/>
      <c r="BL590" s="120"/>
      <c r="BM590" s="120"/>
      <c r="BN590" s="120"/>
      <c r="BO590" s="120"/>
      <c r="BP590" s="120"/>
    </row>
    <row r="591" spans="1:68" s="121" customFormat="1" ht="20.100000000000001" customHeight="1">
      <c r="A591" s="1127" t="s">
        <v>5040</v>
      </c>
      <c r="B591" s="1127" t="s">
        <v>5038</v>
      </c>
      <c r="C591" s="1127" t="s">
        <v>5078</v>
      </c>
      <c r="D591" s="247">
        <v>725</v>
      </c>
      <c r="E591" s="247">
        <v>1000</v>
      </c>
      <c r="F591" s="247">
        <v>1000</v>
      </c>
      <c r="G591" s="224" t="s">
        <v>4569</v>
      </c>
      <c r="H591" s="36" t="s">
        <v>4580</v>
      </c>
      <c r="I591" s="38" t="s">
        <v>4884</v>
      </c>
      <c r="J591" s="30" t="s">
        <v>5077</v>
      </c>
      <c r="K591" s="10" t="s">
        <v>4772</v>
      </c>
      <c r="L591" s="116" t="s">
        <v>4539</v>
      </c>
      <c r="M591" s="6">
        <v>43057</v>
      </c>
      <c r="N591" s="6">
        <v>43069</v>
      </c>
      <c r="O591" s="14" t="s">
        <v>4921</v>
      </c>
      <c r="P591" s="7"/>
      <c r="Q591" s="7"/>
      <c r="R591" s="239" t="s">
        <v>1761</v>
      </c>
      <c r="S591" s="328" t="s">
        <v>4543</v>
      </c>
      <c r="T591" s="137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  <c r="AR591" s="120"/>
      <c r="AS591" s="120"/>
      <c r="AT591" s="120"/>
      <c r="AU591" s="120"/>
      <c r="AV591" s="120"/>
      <c r="AW591" s="120"/>
      <c r="AX591" s="120"/>
      <c r="AY591" s="120"/>
      <c r="AZ591" s="120"/>
      <c r="BA591" s="120"/>
      <c r="BB591" s="120"/>
      <c r="BC591" s="120"/>
      <c r="BD591" s="120"/>
      <c r="BE591" s="120"/>
      <c r="BF591" s="120"/>
      <c r="BG591" s="120"/>
      <c r="BH591" s="120"/>
      <c r="BI591" s="120"/>
      <c r="BJ591" s="120"/>
      <c r="BK591" s="120"/>
      <c r="BL591" s="120"/>
      <c r="BM591" s="120"/>
      <c r="BN591" s="120"/>
      <c r="BO591" s="120"/>
      <c r="BP591" s="120"/>
    </row>
    <row r="592" spans="1:68" s="121" customFormat="1" ht="20.100000000000001" customHeight="1">
      <c r="A592" s="1127" t="s">
        <v>5040</v>
      </c>
      <c r="B592" s="1127" t="s">
        <v>5038</v>
      </c>
      <c r="C592" s="1127" t="s">
        <v>5075</v>
      </c>
      <c r="D592" s="320">
        <v>800</v>
      </c>
      <c r="E592" s="320">
        <v>1050</v>
      </c>
      <c r="F592" s="320">
        <v>1050</v>
      </c>
      <c r="G592" s="63" t="s">
        <v>4566</v>
      </c>
      <c r="H592" s="56" t="s">
        <v>4649</v>
      </c>
      <c r="I592" s="38" t="s">
        <v>4902</v>
      </c>
      <c r="J592" s="30"/>
      <c r="K592" s="10" t="s">
        <v>4772</v>
      </c>
      <c r="L592" s="116" t="s">
        <v>4539</v>
      </c>
      <c r="M592" s="15">
        <v>43084</v>
      </c>
      <c r="N592" s="15">
        <v>43100</v>
      </c>
      <c r="O592" s="61" t="s">
        <v>4563</v>
      </c>
      <c r="P592" s="61"/>
      <c r="Q592" s="167"/>
      <c r="R592" s="239" t="s">
        <v>4998</v>
      </c>
      <c r="S592" s="327" t="s">
        <v>4561</v>
      </c>
      <c r="T592" s="137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  <c r="AR592" s="120"/>
      <c r="AS592" s="120"/>
      <c r="AT592" s="120"/>
      <c r="AU592" s="120"/>
      <c r="AV592" s="120"/>
      <c r="AW592" s="120"/>
      <c r="AX592" s="120"/>
      <c r="AY592" s="120"/>
      <c r="AZ592" s="120"/>
      <c r="BA592" s="120"/>
      <c r="BB592" s="120"/>
      <c r="BC592" s="120"/>
      <c r="BD592" s="120"/>
      <c r="BE592" s="120"/>
      <c r="BF592" s="120"/>
      <c r="BG592" s="120"/>
      <c r="BH592" s="120"/>
      <c r="BI592" s="120"/>
      <c r="BJ592" s="120"/>
      <c r="BK592" s="120"/>
      <c r="BL592" s="120"/>
      <c r="BM592" s="120"/>
      <c r="BN592" s="120"/>
      <c r="BO592" s="120"/>
      <c r="BP592" s="120"/>
    </row>
    <row r="593" spans="1:68" s="121" customFormat="1" ht="20.100000000000001" customHeight="1">
      <c r="A593" s="1127" t="s">
        <v>5040</v>
      </c>
      <c r="B593" s="1127" t="s">
        <v>5038</v>
      </c>
      <c r="C593" s="1127" t="s">
        <v>5075</v>
      </c>
      <c r="D593" s="953">
        <v>665</v>
      </c>
      <c r="E593" s="953">
        <v>1030</v>
      </c>
      <c r="F593" s="953">
        <v>1030</v>
      </c>
      <c r="G593" s="70" t="s">
        <v>4560</v>
      </c>
      <c r="H593" s="36" t="s">
        <v>4930</v>
      </c>
      <c r="I593" s="51" t="s">
        <v>5068</v>
      </c>
      <c r="J593" s="30"/>
      <c r="K593" s="10" t="s">
        <v>4739</v>
      </c>
      <c r="L593" s="116" t="s">
        <v>4539</v>
      </c>
      <c r="M593" s="15">
        <v>43084</v>
      </c>
      <c r="N593" s="15">
        <v>43100</v>
      </c>
      <c r="O593" s="61" t="s">
        <v>5005</v>
      </c>
      <c r="P593" s="61"/>
      <c r="Q593" s="171"/>
      <c r="R593" s="240" t="s">
        <v>4925</v>
      </c>
      <c r="S593" s="327" t="s">
        <v>5004</v>
      </c>
      <c r="T593" s="137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  <c r="AR593" s="120"/>
      <c r="AS593" s="120"/>
      <c r="AT593" s="120"/>
      <c r="AU593" s="120"/>
      <c r="AV593" s="120"/>
      <c r="AW593" s="120"/>
      <c r="AX593" s="120"/>
      <c r="AY593" s="120"/>
      <c r="AZ593" s="120"/>
      <c r="BA593" s="120"/>
      <c r="BB593" s="120"/>
      <c r="BC593" s="120"/>
      <c r="BD593" s="120"/>
      <c r="BE593" s="120"/>
      <c r="BF593" s="120"/>
      <c r="BG593" s="120"/>
      <c r="BH593" s="120"/>
      <c r="BI593" s="120"/>
      <c r="BJ593" s="120"/>
      <c r="BK593" s="120"/>
      <c r="BL593" s="120"/>
      <c r="BM593" s="120"/>
      <c r="BN593" s="120"/>
      <c r="BO593" s="120"/>
      <c r="BP593" s="120"/>
    </row>
    <row r="594" spans="1:68" s="121" customFormat="1" ht="20.100000000000001" customHeight="1">
      <c r="A594" s="1127" t="s">
        <v>5040</v>
      </c>
      <c r="B594" s="1127" t="s">
        <v>5038</v>
      </c>
      <c r="C594" s="1127" t="s">
        <v>5075</v>
      </c>
      <c r="D594" s="949">
        <f>D603+200</f>
        <v>850</v>
      </c>
      <c r="E594" s="949">
        <f>E603+200</f>
        <v>1000</v>
      </c>
      <c r="F594" s="949">
        <f>F603+200</f>
        <v>1000</v>
      </c>
      <c r="G594" s="110" t="s">
        <v>4645</v>
      </c>
      <c r="H594" s="36" t="s">
        <v>4649</v>
      </c>
      <c r="I594" s="38" t="s">
        <v>4999</v>
      </c>
      <c r="J594" s="30"/>
      <c r="K594" s="117" t="s">
        <v>4601</v>
      </c>
      <c r="L594" s="116" t="s">
        <v>4539</v>
      </c>
      <c r="M594" s="6">
        <v>43077</v>
      </c>
      <c r="N594" s="6">
        <v>43093</v>
      </c>
      <c r="O594" s="61" t="s">
        <v>4961</v>
      </c>
      <c r="P594" s="7"/>
      <c r="Q594" s="167"/>
      <c r="R594" s="240" t="s">
        <v>4998</v>
      </c>
      <c r="S594" s="326" t="s">
        <v>4641</v>
      </c>
      <c r="T594" s="933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  <c r="AR594" s="120"/>
      <c r="AS594" s="120"/>
      <c r="AT594" s="120"/>
      <c r="AU594" s="120"/>
      <c r="AV594" s="120"/>
      <c r="AW594" s="120"/>
      <c r="AX594" s="120"/>
      <c r="AY594" s="120"/>
      <c r="AZ594" s="120"/>
      <c r="BA594" s="120"/>
      <c r="BB594" s="120"/>
      <c r="BC594" s="120"/>
      <c r="BD594" s="120"/>
      <c r="BE594" s="120"/>
      <c r="BF594" s="120"/>
      <c r="BG594" s="120"/>
      <c r="BH594" s="120"/>
      <c r="BI594" s="120"/>
      <c r="BJ594" s="120"/>
      <c r="BK594" s="120"/>
      <c r="BL594" s="120"/>
      <c r="BM594" s="120"/>
      <c r="BN594" s="120"/>
      <c r="BO594" s="120"/>
      <c r="BP594" s="120"/>
    </row>
    <row r="595" spans="1:68" s="121" customFormat="1" ht="20.100000000000001" customHeight="1">
      <c r="A595" s="1127" t="s">
        <v>5040</v>
      </c>
      <c r="B595" s="1127" t="s">
        <v>5038</v>
      </c>
      <c r="C595" s="1127" t="s">
        <v>5075</v>
      </c>
      <c r="D595" s="320">
        <v>975</v>
      </c>
      <c r="E595" s="320">
        <f>D595*2-600</f>
        <v>1350</v>
      </c>
      <c r="F595" s="320">
        <f>D595*2-550</f>
        <v>1400</v>
      </c>
      <c r="G595" s="234" t="s">
        <v>4575</v>
      </c>
      <c r="H595" s="22" t="s">
        <v>5053</v>
      </c>
      <c r="I595" s="38" t="s">
        <v>4902</v>
      </c>
      <c r="J595" s="30"/>
      <c r="K595" s="30" t="s">
        <v>4968</v>
      </c>
      <c r="L595" s="116" t="s">
        <v>4539</v>
      </c>
      <c r="M595" s="15">
        <v>43084</v>
      </c>
      <c r="N595" s="15">
        <v>43100</v>
      </c>
      <c r="O595" s="61" t="s">
        <v>4545</v>
      </c>
      <c r="P595" s="61"/>
      <c r="Q595" s="923"/>
      <c r="R595" s="239" t="s">
        <v>5052</v>
      </c>
      <c r="S595" s="327" t="s">
        <v>4576</v>
      </c>
      <c r="T595" s="933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  <c r="AR595" s="120"/>
      <c r="AS595" s="120"/>
      <c r="AT595" s="120"/>
      <c r="AU595" s="120"/>
      <c r="AV595" s="120"/>
      <c r="AW595" s="120"/>
      <c r="AX595" s="120"/>
      <c r="AY595" s="120"/>
      <c r="AZ595" s="120"/>
      <c r="BA595" s="120"/>
      <c r="BB595" s="120"/>
      <c r="BC595" s="120"/>
      <c r="BD595" s="120"/>
      <c r="BE595" s="120"/>
      <c r="BF595" s="120"/>
      <c r="BG595" s="120"/>
      <c r="BH595" s="120"/>
      <c r="BI595" s="120"/>
      <c r="BJ595" s="120"/>
      <c r="BK595" s="120"/>
      <c r="BL595" s="120"/>
      <c r="BM595" s="120"/>
      <c r="BN595" s="120"/>
      <c r="BO595" s="120"/>
      <c r="BP595" s="120"/>
    </row>
    <row r="596" spans="1:68" s="121" customFormat="1" ht="20.100000000000001" customHeight="1">
      <c r="A596" s="1127" t="s">
        <v>5040</v>
      </c>
      <c r="B596" s="1127" t="s">
        <v>5038</v>
      </c>
      <c r="C596" s="1127" t="s">
        <v>5075</v>
      </c>
      <c r="D596" s="947">
        <v>775</v>
      </c>
      <c r="E596" s="947">
        <v>950</v>
      </c>
      <c r="F596" s="947">
        <v>950</v>
      </c>
      <c r="G596" s="234" t="s">
        <v>4904</v>
      </c>
      <c r="H596" s="22" t="s">
        <v>4903</v>
      </c>
      <c r="I596" s="51" t="s">
        <v>4902</v>
      </c>
      <c r="J596" s="34"/>
      <c r="K596" s="50" t="s">
        <v>5076</v>
      </c>
      <c r="L596" s="116" t="s">
        <v>4539</v>
      </c>
      <c r="M596" s="15">
        <v>43054</v>
      </c>
      <c r="N596" s="15">
        <v>43089</v>
      </c>
      <c r="O596" s="61" t="s">
        <v>4961</v>
      </c>
      <c r="P596" s="59"/>
      <c r="Q596" s="7"/>
      <c r="R596" s="239" t="s">
        <v>4899</v>
      </c>
      <c r="S596" s="327" t="s">
        <v>4632</v>
      </c>
      <c r="T596" s="933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  <c r="AR596" s="120"/>
      <c r="AS596" s="120"/>
      <c r="AT596" s="120"/>
      <c r="AU596" s="120"/>
      <c r="AV596" s="120"/>
      <c r="AW596" s="120"/>
      <c r="AX596" s="120"/>
      <c r="AY596" s="120"/>
      <c r="AZ596" s="120"/>
      <c r="BA596" s="120"/>
      <c r="BB596" s="120"/>
      <c r="BC596" s="120"/>
      <c r="BD596" s="120"/>
      <c r="BE596" s="120"/>
      <c r="BF596" s="120"/>
      <c r="BG596" s="120"/>
      <c r="BH596" s="120"/>
      <c r="BI596" s="120"/>
      <c r="BJ596" s="120"/>
      <c r="BK596" s="120"/>
      <c r="BL596" s="120"/>
      <c r="BM596" s="120"/>
      <c r="BN596" s="120"/>
      <c r="BO596" s="120"/>
      <c r="BP596" s="120"/>
    </row>
    <row r="597" spans="1:68" s="121" customFormat="1" ht="20.100000000000001" customHeight="1">
      <c r="A597" s="1127" t="s">
        <v>5040</v>
      </c>
      <c r="B597" s="1127" t="s">
        <v>5038</v>
      </c>
      <c r="C597" s="1127" t="s">
        <v>5075</v>
      </c>
      <c r="D597" s="945">
        <v>1300</v>
      </c>
      <c r="E597" s="945">
        <v>1800</v>
      </c>
      <c r="F597" s="945">
        <v>1800</v>
      </c>
      <c r="G597" s="234" t="s">
        <v>4572</v>
      </c>
      <c r="H597" s="56" t="s">
        <v>4580</v>
      </c>
      <c r="I597" s="51" t="s">
        <v>4902</v>
      </c>
      <c r="J597" s="34"/>
      <c r="K597" s="34">
        <v>30</v>
      </c>
      <c r="L597" s="118" t="s">
        <v>4539</v>
      </c>
      <c r="M597" s="15">
        <v>43060</v>
      </c>
      <c r="N597" s="15">
        <v>43076</v>
      </c>
      <c r="O597" s="61" t="s">
        <v>4545</v>
      </c>
      <c r="P597" s="59"/>
      <c r="Q597" s="167"/>
      <c r="R597" s="239" t="s">
        <v>5002</v>
      </c>
      <c r="S597" s="328" t="s">
        <v>4543</v>
      </c>
      <c r="T597" s="137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  <c r="AR597" s="120"/>
      <c r="AS597" s="120"/>
      <c r="AT597" s="120"/>
      <c r="AU597" s="120"/>
      <c r="AV597" s="120"/>
      <c r="AW597" s="120"/>
      <c r="AX597" s="120"/>
      <c r="AY597" s="120"/>
      <c r="AZ597" s="120"/>
      <c r="BA597" s="120"/>
      <c r="BB597" s="120"/>
      <c r="BC597" s="120"/>
      <c r="BD597" s="120"/>
      <c r="BE597" s="120"/>
      <c r="BF597" s="120"/>
      <c r="BG597" s="120"/>
      <c r="BH597" s="120"/>
      <c r="BI597" s="120"/>
      <c r="BJ597" s="120"/>
      <c r="BK597" s="120"/>
      <c r="BL597" s="120"/>
      <c r="BM597" s="120"/>
      <c r="BN597" s="120"/>
      <c r="BO597" s="120"/>
      <c r="BP597" s="120"/>
    </row>
    <row r="598" spans="1:68" s="121" customFormat="1" ht="20.100000000000001" customHeight="1">
      <c r="A598" s="1127" t="s">
        <v>5040</v>
      </c>
      <c r="B598" s="1127" t="s">
        <v>5038</v>
      </c>
      <c r="C598" s="1127" t="s">
        <v>5075</v>
      </c>
      <c r="D598" s="247">
        <f>D591</f>
        <v>725</v>
      </c>
      <c r="E598" s="247">
        <f>E591</f>
        <v>1000</v>
      </c>
      <c r="F598" s="247">
        <f>F591</f>
        <v>1000</v>
      </c>
      <c r="G598" s="225" t="s">
        <v>4569</v>
      </c>
      <c r="H598" s="36" t="s">
        <v>4580</v>
      </c>
      <c r="I598" s="38" t="s">
        <v>4884</v>
      </c>
      <c r="J598" s="30"/>
      <c r="K598" s="10" t="s">
        <v>5025</v>
      </c>
      <c r="L598" s="116" t="s">
        <v>4539</v>
      </c>
      <c r="M598" s="6">
        <v>43057</v>
      </c>
      <c r="N598" s="6">
        <v>43069</v>
      </c>
      <c r="O598" s="14" t="s">
        <v>4921</v>
      </c>
      <c r="P598" s="7"/>
      <c r="Q598" s="7"/>
      <c r="R598" s="239" t="s">
        <v>1761</v>
      </c>
      <c r="S598" s="328" t="s">
        <v>4543</v>
      </c>
      <c r="T598" s="137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  <c r="AX598" s="120"/>
      <c r="AY598" s="120"/>
      <c r="AZ598" s="120"/>
      <c r="BA598" s="120"/>
      <c r="BB598" s="120"/>
      <c r="BC598" s="120"/>
      <c r="BD598" s="120"/>
      <c r="BE598" s="120"/>
      <c r="BF598" s="120"/>
      <c r="BG598" s="120"/>
      <c r="BH598" s="120"/>
      <c r="BI598" s="120"/>
      <c r="BJ598" s="120"/>
      <c r="BK598" s="120"/>
      <c r="BL598" s="120"/>
      <c r="BM598" s="120"/>
      <c r="BN598" s="120"/>
      <c r="BO598" s="120"/>
      <c r="BP598" s="120"/>
    </row>
    <row r="599" spans="1:68" s="121" customFormat="1" ht="20.100000000000001" customHeight="1">
      <c r="A599" s="1127" t="s">
        <v>5040</v>
      </c>
      <c r="B599" s="1127" t="s">
        <v>5038</v>
      </c>
      <c r="C599" s="1127" t="s">
        <v>5071</v>
      </c>
      <c r="D599" s="248">
        <v>700</v>
      </c>
      <c r="E599" s="248">
        <v>900</v>
      </c>
      <c r="F599" s="248">
        <v>900</v>
      </c>
      <c r="G599" s="218" t="s">
        <v>5010</v>
      </c>
      <c r="H599" s="56" t="s">
        <v>4552</v>
      </c>
      <c r="I599" s="51" t="s">
        <v>5009</v>
      </c>
      <c r="J599" s="50"/>
      <c r="K599" s="51">
        <v>27</v>
      </c>
      <c r="L599" s="116" t="s">
        <v>4539</v>
      </c>
      <c r="M599" s="6">
        <v>43074</v>
      </c>
      <c r="N599" s="6">
        <v>43083</v>
      </c>
      <c r="O599" s="61" t="s">
        <v>5008</v>
      </c>
      <c r="P599" s="59"/>
      <c r="Q599" s="167"/>
      <c r="R599" s="239" t="s">
        <v>5007</v>
      </c>
      <c r="S599" s="327" t="s">
        <v>5006</v>
      </c>
      <c r="T599" s="137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  <c r="AX599" s="120"/>
      <c r="AY599" s="120"/>
      <c r="AZ599" s="120"/>
      <c r="BA599" s="120"/>
      <c r="BB599" s="120"/>
      <c r="BC599" s="120"/>
      <c r="BD599" s="120"/>
      <c r="BE599" s="120"/>
      <c r="BF599" s="120"/>
      <c r="BG599" s="120"/>
      <c r="BH599" s="120"/>
      <c r="BI599" s="120"/>
      <c r="BJ599" s="120"/>
      <c r="BK599" s="120"/>
      <c r="BL599" s="120"/>
      <c r="BM599" s="120"/>
      <c r="BN599" s="120"/>
      <c r="BO599" s="120"/>
      <c r="BP599" s="120"/>
    </row>
    <row r="600" spans="1:68" s="120" customFormat="1" ht="20.100000000000001" customHeight="1">
      <c r="A600" s="1127" t="s">
        <v>5040</v>
      </c>
      <c r="B600" s="1127" t="s">
        <v>5038</v>
      </c>
      <c r="C600" s="1127" t="s">
        <v>5071</v>
      </c>
      <c r="D600" s="320">
        <v>600</v>
      </c>
      <c r="E600" s="320">
        <v>750</v>
      </c>
      <c r="F600" s="320">
        <v>750</v>
      </c>
      <c r="G600" s="111" t="s">
        <v>4566</v>
      </c>
      <c r="H600" s="56" t="s">
        <v>4649</v>
      </c>
      <c r="I600" s="51" t="s">
        <v>4725</v>
      </c>
      <c r="J600" s="34" t="s">
        <v>5073</v>
      </c>
      <c r="K600" s="20" t="s">
        <v>4940</v>
      </c>
      <c r="L600" s="116" t="s">
        <v>4539</v>
      </c>
      <c r="M600" s="15">
        <v>43084</v>
      </c>
      <c r="N600" s="15">
        <v>43100</v>
      </c>
      <c r="O600" s="61" t="s">
        <v>4563</v>
      </c>
      <c r="P600" s="129"/>
      <c r="Q600" s="167"/>
      <c r="R600" s="239" t="s">
        <v>4998</v>
      </c>
      <c r="S600" s="327" t="s">
        <v>4561</v>
      </c>
      <c r="T600" s="933"/>
    </row>
    <row r="601" spans="1:68" s="120" customFormat="1" ht="20.100000000000001" customHeight="1">
      <c r="A601" s="1127" t="s">
        <v>5040</v>
      </c>
      <c r="B601" s="1127" t="s">
        <v>5038</v>
      </c>
      <c r="C601" s="1127" t="s">
        <v>5071</v>
      </c>
      <c r="D601" s="320">
        <v>600</v>
      </c>
      <c r="E601" s="320">
        <v>750</v>
      </c>
      <c r="F601" s="320">
        <v>750</v>
      </c>
      <c r="G601" s="111" t="s">
        <v>4566</v>
      </c>
      <c r="H601" s="56" t="s">
        <v>4649</v>
      </c>
      <c r="I601" s="51" t="s">
        <v>4902</v>
      </c>
      <c r="J601" s="34"/>
      <c r="K601" s="20" t="s">
        <v>4940</v>
      </c>
      <c r="L601" s="116" t="s">
        <v>4539</v>
      </c>
      <c r="M601" s="15">
        <v>43084</v>
      </c>
      <c r="N601" s="15">
        <v>43100</v>
      </c>
      <c r="O601" s="61" t="s">
        <v>4563</v>
      </c>
      <c r="P601" s="129"/>
      <c r="Q601" s="167"/>
      <c r="R601" s="21" t="s">
        <v>4998</v>
      </c>
      <c r="S601" s="327" t="s">
        <v>4561</v>
      </c>
      <c r="T601" s="933"/>
    </row>
    <row r="602" spans="1:68" s="120" customFormat="1" ht="20.100000000000001" customHeight="1">
      <c r="A602" s="1127" t="s">
        <v>5040</v>
      </c>
      <c r="B602" s="1127" t="s">
        <v>5038</v>
      </c>
      <c r="C602" s="1127" t="s">
        <v>5071</v>
      </c>
      <c r="D602" s="247">
        <v>650</v>
      </c>
      <c r="E602" s="247">
        <v>800</v>
      </c>
      <c r="F602" s="247">
        <v>800</v>
      </c>
      <c r="G602" s="234" t="s">
        <v>4557</v>
      </c>
      <c r="H602" s="36" t="s">
        <v>4649</v>
      </c>
      <c r="I602" s="38" t="s">
        <v>4725</v>
      </c>
      <c r="J602" s="34" t="s">
        <v>5073</v>
      </c>
      <c r="K602" s="20" t="s">
        <v>4940</v>
      </c>
      <c r="L602" s="116" t="s">
        <v>4539</v>
      </c>
      <c r="M602" s="6">
        <v>43084</v>
      </c>
      <c r="N602" s="6">
        <v>43100</v>
      </c>
      <c r="O602" s="61" t="s">
        <v>4961</v>
      </c>
      <c r="P602" s="129"/>
      <c r="Q602" s="167"/>
      <c r="R602" s="239" t="s">
        <v>4998</v>
      </c>
      <c r="S602" s="327" t="s">
        <v>4973</v>
      </c>
      <c r="T602" s="933"/>
    </row>
    <row r="603" spans="1:68" s="120" customFormat="1" ht="20.100000000000001" customHeight="1">
      <c r="A603" s="1127" t="s">
        <v>5040</v>
      </c>
      <c r="B603" s="1127" t="s">
        <v>5038</v>
      </c>
      <c r="C603" s="1127" t="s">
        <v>5071</v>
      </c>
      <c r="D603" s="949">
        <v>650</v>
      </c>
      <c r="E603" s="949">
        <v>800</v>
      </c>
      <c r="F603" s="949">
        <v>800</v>
      </c>
      <c r="G603" s="109" t="s">
        <v>4645</v>
      </c>
      <c r="H603" s="36" t="s">
        <v>4649</v>
      </c>
      <c r="I603" s="38" t="s">
        <v>4725</v>
      </c>
      <c r="J603" s="34" t="s">
        <v>5073</v>
      </c>
      <c r="K603" s="20" t="s">
        <v>4940</v>
      </c>
      <c r="L603" s="116" t="s">
        <v>4539</v>
      </c>
      <c r="M603" s="6">
        <v>43077</v>
      </c>
      <c r="N603" s="6">
        <v>43093</v>
      </c>
      <c r="O603" s="61" t="s">
        <v>4961</v>
      </c>
      <c r="P603" s="7"/>
      <c r="Q603" s="167"/>
      <c r="R603" s="239" t="s">
        <v>4998</v>
      </c>
      <c r="S603" s="326" t="s">
        <v>4641</v>
      </c>
      <c r="T603" s="933"/>
    </row>
    <row r="604" spans="1:68" s="120" customFormat="1" ht="20.100000000000001" customHeight="1">
      <c r="A604" s="1127" t="s">
        <v>5040</v>
      </c>
      <c r="B604" s="1127" t="s">
        <v>5038</v>
      </c>
      <c r="C604" s="1127" t="s">
        <v>5071</v>
      </c>
      <c r="D604" s="952">
        <v>1025</v>
      </c>
      <c r="E604" s="952">
        <v>1450</v>
      </c>
      <c r="F604" s="952">
        <v>1500</v>
      </c>
      <c r="G604" s="3" t="s">
        <v>4553</v>
      </c>
      <c r="H604" s="56" t="s">
        <v>4649</v>
      </c>
      <c r="I604" s="51" t="s">
        <v>5041</v>
      </c>
      <c r="J604" s="30" t="s">
        <v>5073</v>
      </c>
      <c r="K604" s="30">
        <v>34</v>
      </c>
      <c r="L604" s="116" t="s">
        <v>4539</v>
      </c>
      <c r="M604" s="6">
        <v>43085</v>
      </c>
      <c r="N604" s="6">
        <v>43100</v>
      </c>
      <c r="O604" s="61" t="s">
        <v>4545</v>
      </c>
      <c r="P604" s="129"/>
      <c r="Q604" s="171"/>
      <c r="R604" s="239" t="s">
        <v>4988</v>
      </c>
      <c r="S604" s="326" t="s">
        <v>4987</v>
      </c>
      <c r="T604" s="137"/>
    </row>
    <row r="605" spans="1:68" s="120" customFormat="1" ht="20.100000000000001" customHeight="1">
      <c r="A605" s="1127" t="s">
        <v>5040</v>
      </c>
      <c r="B605" s="1127" t="s">
        <v>5038</v>
      </c>
      <c r="C605" s="1127" t="s">
        <v>5071</v>
      </c>
      <c r="D605" s="320">
        <v>975</v>
      </c>
      <c r="E605" s="320">
        <f>D605*2-600</f>
        <v>1350</v>
      </c>
      <c r="F605" s="320">
        <f>D605*2-550</f>
        <v>1400</v>
      </c>
      <c r="G605" s="234" t="s">
        <v>4575</v>
      </c>
      <c r="H605" s="22" t="s">
        <v>5053</v>
      </c>
      <c r="I605" s="51" t="s">
        <v>4902</v>
      </c>
      <c r="J605" s="34"/>
      <c r="K605" s="30" t="s">
        <v>5055</v>
      </c>
      <c r="L605" s="116" t="s">
        <v>4539</v>
      </c>
      <c r="M605" s="15">
        <v>43084</v>
      </c>
      <c r="N605" s="15">
        <v>43100</v>
      </c>
      <c r="O605" s="61" t="s">
        <v>4545</v>
      </c>
      <c r="P605" s="129"/>
      <c r="Q605" s="923"/>
      <c r="R605" s="239" t="s">
        <v>5052</v>
      </c>
      <c r="S605" s="327" t="s">
        <v>4576</v>
      </c>
      <c r="T605" s="933"/>
    </row>
    <row r="606" spans="1:68" s="120" customFormat="1" ht="20.100000000000001" customHeight="1">
      <c r="A606" s="1127" t="s">
        <v>5040</v>
      </c>
      <c r="B606" s="1127" t="s">
        <v>5038</v>
      </c>
      <c r="C606" s="1127" t="s">
        <v>5071</v>
      </c>
      <c r="D606" s="947">
        <v>775</v>
      </c>
      <c r="E606" s="947">
        <v>950</v>
      </c>
      <c r="F606" s="947">
        <v>950</v>
      </c>
      <c r="G606" s="234" t="s">
        <v>4904</v>
      </c>
      <c r="H606" s="22" t="s">
        <v>4903</v>
      </c>
      <c r="I606" s="51" t="s">
        <v>4902</v>
      </c>
      <c r="J606" s="50"/>
      <c r="K606" s="50" t="s">
        <v>5074</v>
      </c>
      <c r="L606" s="116" t="s">
        <v>4539</v>
      </c>
      <c r="M606" s="15">
        <v>43054</v>
      </c>
      <c r="N606" s="15">
        <v>43089</v>
      </c>
      <c r="O606" s="61" t="s">
        <v>4961</v>
      </c>
      <c r="P606" s="128"/>
      <c r="Q606" s="7"/>
      <c r="R606" s="239" t="s">
        <v>4899</v>
      </c>
      <c r="S606" s="327" t="s">
        <v>4632</v>
      </c>
      <c r="T606" s="933"/>
    </row>
    <row r="607" spans="1:68" s="120" customFormat="1" ht="20.100000000000001" customHeight="1">
      <c r="A607" s="1127" t="s">
        <v>5040</v>
      </c>
      <c r="B607" s="1127" t="s">
        <v>5038</v>
      </c>
      <c r="C607" s="1127" t="s">
        <v>5071</v>
      </c>
      <c r="D607" s="248">
        <v>1000</v>
      </c>
      <c r="E607" s="248">
        <v>1200</v>
      </c>
      <c r="F607" s="248">
        <v>1200</v>
      </c>
      <c r="G607" s="234" t="s">
        <v>4572</v>
      </c>
      <c r="H607" s="56" t="s">
        <v>4580</v>
      </c>
      <c r="I607" s="51" t="s">
        <v>4902</v>
      </c>
      <c r="J607" s="34" t="s">
        <v>5073</v>
      </c>
      <c r="K607" s="34">
        <v>29</v>
      </c>
      <c r="L607" s="118" t="s">
        <v>4539</v>
      </c>
      <c r="M607" s="15">
        <v>43060</v>
      </c>
      <c r="N607" s="15">
        <v>43076</v>
      </c>
      <c r="O607" s="61" t="s">
        <v>4545</v>
      </c>
      <c r="P607" s="128"/>
      <c r="Q607" s="167"/>
      <c r="R607" s="239" t="s">
        <v>5002</v>
      </c>
      <c r="S607" s="328" t="s">
        <v>4543</v>
      </c>
      <c r="T607" s="933"/>
    </row>
    <row r="608" spans="1:68" s="120" customFormat="1" ht="20.100000000000001" customHeight="1">
      <c r="A608" s="1127" t="s">
        <v>5040</v>
      </c>
      <c r="B608" s="1127" t="s">
        <v>5038</v>
      </c>
      <c r="C608" s="1127" t="s">
        <v>5071</v>
      </c>
      <c r="D608" s="956">
        <v>1125</v>
      </c>
      <c r="E608" s="956">
        <v>1650</v>
      </c>
      <c r="F608" s="956">
        <v>1650</v>
      </c>
      <c r="G608" s="3" t="s">
        <v>4549</v>
      </c>
      <c r="H608" s="56" t="s">
        <v>4890</v>
      </c>
      <c r="I608" s="38" t="s">
        <v>4884</v>
      </c>
      <c r="J608" s="30"/>
      <c r="K608" s="30" t="s">
        <v>5069</v>
      </c>
      <c r="L608" s="118" t="s">
        <v>4539</v>
      </c>
      <c r="M608" s="6">
        <v>43085</v>
      </c>
      <c r="N608" s="6">
        <v>43100</v>
      </c>
      <c r="O608" s="61" t="s">
        <v>4545</v>
      </c>
      <c r="P608" s="129"/>
      <c r="Q608" s="52"/>
      <c r="R608" s="239" t="s">
        <v>5050</v>
      </c>
      <c r="S608" s="328" t="s">
        <v>4543</v>
      </c>
      <c r="T608" s="933"/>
    </row>
    <row r="609" spans="1:20" s="120" customFormat="1" ht="20.100000000000001" customHeight="1">
      <c r="A609" s="1127" t="s">
        <v>5040</v>
      </c>
      <c r="B609" s="1127" t="s">
        <v>5038</v>
      </c>
      <c r="C609" s="1127" t="s">
        <v>5071</v>
      </c>
      <c r="D609" s="949"/>
      <c r="E609" s="949"/>
      <c r="F609" s="949"/>
      <c r="G609" s="109" t="s">
        <v>5022</v>
      </c>
      <c r="H609" s="56" t="s">
        <v>4580</v>
      </c>
      <c r="I609" s="38" t="s">
        <v>4902</v>
      </c>
      <c r="J609" s="30"/>
      <c r="K609" s="24" t="s">
        <v>5023</v>
      </c>
      <c r="L609" s="116" t="s">
        <v>4539</v>
      </c>
      <c r="M609" s="6">
        <v>43073</v>
      </c>
      <c r="N609" s="6">
        <v>43083</v>
      </c>
      <c r="O609" s="61" t="s">
        <v>4961</v>
      </c>
      <c r="P609" s="7"/>
      <c r="Q609" s="167"/>
      <c r="R609" s="239" t="s">
        <v>5063</v>
      </c>
      <c r="S609" s="328" t="s">
        <v>1762</v>
      </c>
      <c r="T609" s="933"/>
    </row>
    <row r="610" spans="1:20" s="120" customFormat="1" ht="20.100000000000001" customHeight="1">
      <c r="A610" s="1127" t="s">
        <v>5040</v>
      </c>
      <c r="B610" s="1127" t="s">
        <v>5038</v>
      </c>
      <c r="C610" s="1127" t="s">
        <v>5071</v>
      </c>
      <c r="D610" s="320">
        <v>975</v>
      </c>
      <c r="E610" s="320">
        <f>D610*2-600</f>
        <v>1350</v>
      </c>
      <c r="F610" s="320">
        <f>D610*2-550</f>
        <v>1400</v>
      </c>
      <c r="G610" s="234" t="s">
        <v>4575</v>
      </c>
      <c r="H610" s="22" t="s">
        <v>5053</v>
      </c>
      <c r="I610" s="51" t="s">
        <v>4902</v>
      </c>
      <c r="J610" s="34" t="s">
        <v>5073</v>
      </c>
      <c r="K610" s="24">
        <v>29</v>
      </c>
      <c r="L610" s="116" t="s">
        <v>4539</v>
      </c>
      <c r="M610" s="15">
        <v>43084</v>
      </c>
      <c r="N610" s="15">
        <v>43100</v>
      </c>
      <c r="O610" s="61" t="s">
        <v>4545</v>
      </c>
      <c r="P610" s="167"/>
      <c r="Q610" s="7"/>
      <c r="R610" s="239" t="s">
        <v>5052</v>
      </c>
      <c r="S610" s="327" t="s">
        <v>4576</v>
      </c>
      <c r="T610" s="933"/>
    </row>
    <row r="611" spans="1:20" s="120" customFormat="1" ht="20.100000000000001" customHeight="1">
      <c r="A611" s="1127" t="s">
        <v>5040</v>
      </c>
      <c r="B611" s="1127" t="s">
        <v>5038</v>
      </c>
      <c r="C611" s="1127" t="s">
        <v>5071</v>
      </c>
      <c r="D611" s="248">
        <v>1000</v>
      </c>
      <c r="E611" s="248">
        <v>1200</v>
      </c>
      <c r="F611" s="248">
        <v>1200</v>
      </c>
      <c r="G611" s="234" t="s">
        <v>4572</v>
      </c>
      <c r="H611" s="56" t="s">
        <v>4552</v>
      </c>
      <c r="I611" s="51" t="s">
        <v>4885</v>
      </c>
      <c r="J611" s="34" t="s">
        <v>5072</v>
      </c>
      <c r="K611" s="34">
        <v>34</v>
      </c>
      <c r="L611" s="118" t="s">
        <v>4539</v>
      </c>
      <c r="M611" s="15">
        <v>43060</v>
      </c>
      <c r="N611" s="15">
        <v>43076</v>
      </c>
      <c r="O611" s="61" t="s">
        <v>4545</v>
      </c>
      <c r="P611" s="128"/>
      <c r="Q611" s="167"/>
      <c r="R611" s="239" t="s">
        <v>4584</v>
      </c>
      <c r="S611" s="328" t="s">
        <v>4543</v>
      </c>
      <c r="T611" s="933"/>
    </row>
    <row r="612" spans="1:20" s="120" customFormat="1" ht="20.100000000000001" customHeight="1">
      <c r="A612" s="1127" t="s">
        <v>5040</v>
      </c>
      <c r="B612" s="1127" t="s">
        <v>5038</v>
      </c>
      <c r="C612" s="1127" t="s">
        <v>5071</v>
      </c>
      <c r="D612" s="952">
        <v>1025</v>
      </c>
      <c r="E612" s="952">
        <v>1450</v>
      </c>
      <c r="F612" s="952">
        <v>1500</v>
      </c>
      <c r="G612" s="3" t="s">
        <v>4553</v>
      </c>
      <c r="H612" s="56" t="s">
        <v>4580</v>
      </c>
      <c r="I612" s="38" t="s">
        <v>5031</v>
      </c>
      <c r="J612" s="34"/>
      <c r="K612" s="34">
        <v>35</v>
      </c>
      <c r="L612" s="118" t="s">
        <v>4539</v>
      </c>
      <c r="M612" s="6">
        <v>43085</v>
      </c>
      <c r="N612" s="6">
        <v>43100</v>
      </c>
      <c r="O612" s="59" t="s">
        <v>4545</v>
      </c>
      <c r="P612" s="128"/>
      <c r="Q612" s="171"/>
      <c r="R612" s="239" t="s">
        <v>4878</v>
      </c>
      <c r="S612" s="326" t="s">
        <v>4987</v>
      </c>
      <c r="T612" s="137"/>
    </row>
    <row r="613" spans="1:20" s="120" customFormat="1" ht="20.100000000000001" customHeight="1">
      <c r="A613" s="1127" t="s">
        <v>5040</v>
      </c>
      <c r="B613" s="1127" t="s">
        <v>5038</v>
      </c>
      <c r="C613" s="1127" t="s">
        <v>5071</v>
      </c>
      <c r="D613" s="247">
        <f>D591</f>
        <v>725</v>
      </c>
      <c r="E613" s="247">
        <f>E591</f>
        <v>1000</v>
      </c>
      <c r="F613" s="247">
        <f>F591</f>
        <v>1000</v>
      </c>
      <c r="G613" s="225" t="s">
        <v>4569</v>
      </c>
      <c r="H613" s="36" t="s">
        <v>4580</v>
      </c>
      <c r="I613" s="51" t="s">
        <v>4884</v>
      </c>
      <c r="J613" s="30"/>
      <c r="K613" s="10" t="s">
        <v>4601</v>
      </c>
      <c r="L613" s="116" t="s">
        <v>4539</v>
      </c>
      <c r="M613" s="6">
        <v>43057</v>
      </c>
      <c r="N613" s="6">
        <v>43069</v>
      </c>
      <c r="O613" s="14" t="s">
        <v>4921</v>
      </c>
      <c r="P613" s="7"/>
      <c r="Q613" s="7"/>
      <c r="R613" s="239" t="s">
        <v>1761</v>
      </c>
      <c r="S613" s="328" t="s">
        <v>4543</v>
      </c>
      <c r="T613" s="933"/>
    </row>
    <row r="614" spans="1:20" s="120" customFormat="1" ht="20.100000000000001" customHeight="1">
      <c r="A614" s="1127" t="s">
        <v>5040</v>
      </c>
      <c r="B614" s="1127" t="s">
        <v>5038</v>
      </c>
      <c r="C614" s="1127" t="s">
        <v>5066</v>
      </c>
      <c r="D614" s="248">
        <v>700</v>
      </c>
      <c r="E614" s="248">
        <v>900</v>
      </c>
      <c r="F614" s="248">
        <v>900</v>
      </c>
      <c r="G614" s="218" t="s">
        <v>5010</v>
      </c>
      <c r="H614" s="56" t="s">
        <v>4552</v>
      </c>
      <c r="I614" s="51" t="s">
        <v>5045</v>
      </c>
      <c r="J614" s="50"/>
      <c r="K614" s="51">
        <v>27</v>
      </c>
      <c r="L614" s="116" t="s">
        <v>4539</v>
      </c>
      <c r="M614" s="6">
        <v>43074</v>
      </c>
      <c r="N614" s="6">
        <v>43083</v>
      </c>
      <c r="O614" s="61" t="s">
        <v>5008</v>
      </c>
      <c r="P614" s="59"/>
      <c r="Q614" s="167"/>
      <c r="R614" s="239" t="s">
        <v>5007</v>
      </c>
      <c r="S614" s="327" t="s">
        <v>5006</v>
      </c>
      <c r="T614" s="933"/>
    </row>
    <row r="615" spans="1:20" s="120" customFormat="1" ht="20.100000000000001" customHeight="1">
      <c r="A615" s="1127" t="s">
        <v>5040</v>
      </c>
      <c r="B615" s="1127" t="s">
        <v>5038</v>
      </c>
      <c r="C615" s="1127" t="s">
        <v>5066</v>
      </c>
      <c r="D615" s="320">
        <v>600</v>
      </c>
      <c r="E615" s="320">
        <v>750</v>
      </c>
      <c r="F615" s="320">
        <v>750</v>
      </c>
      <c r="G615" s="111" t="s">
        <v>4566</v>
      </c>
      <c r="H615" s="36" t="s">
        <v>4649</v>
      </c>
      <c r="I615" s="51" t="s">
        <v>4999</v>
      </c>
      <c r="J615" s="34" t="s">
        <v>5070</v>
      </c>
      <c r="K615" s="34" t="s">
        <v>4739</v>
      </c>
      <c r="L615" s="116" t="s">
        <v>4539</v>
      </c>
      <c r="M615" s="15">
        <v>43084</v>
      </c>
      <c r="N615" s="15">
        <v>43100</v>
      </c>
      <c r="O615" s="61" t="s">
        <v>4563</v>
      </c>
      <c r="P615" s="61"/>
      <c r="Q615" s="167"/>
      <c r="R615" s="239" t="s">
        <v>4998</v>
      </c>
      <c r="S615" s="327" t="s">
        <v>4561</v>
      </c>
      <c r="T615" s="933"/>
    </row>
    <row r="616" spans="1:20" s="120" customFormat="1" ht="20.100000000000001" customHeight="1">
      <c r="A616" s="1127" t="s">
        <v>5040</v>
      </c>
      <c r="B616" s="1127" t="s">
        <v>5038</v>
      </c>
      <c r="C616" s="1127" t="s">
        <v>5066</v>
      </c>
      <c r="D616" s="952">
        <f>D582+100</f>
        <v>750</v>
      </c>
      <c r="E616" s="952">
        <f>E582+100</f>
        <v>900</v>
      </c>
      <c r="F616" s="952">
        <f>F582+100</f>
        <v>900</v>
      </c>
      <c r="G616" s="217" t="s">
        <v>4557</v>
      </c>
      <c r="H616" s="36" t="s">
        <v>4649</v>
      </c>
      <c r="I616" s="38" t="s">
        <v>4999</v>
      </c>
      <c r="J616" s="37"/>
      <c r="K616" s="10" t="s">
        <v>4772</v>
      </c>
      <c r="L616" s="116" t="s">
        <v>4539</v>
      </c>
      <c r="M616" s="6">
        <v>43084</v>
      </c>
      <c r="N616" s="6">
        <v>43100</v>
      </c>
      <c r="O616" s="61" t="s">
        <v>4961</v>
      </c>
      <c r="P616" s="129"/>
      <c r="Q616" s="167"/>
      <c r="R616" s="239" t="s">
        <v>4998</v>
      </c>
      <c r="S616" s="327" t="s">
        <v>4973</v>
      </c>
      <c r="T616" s="933"/>
    </row>
    <row r="617" spans="1:20" s="120" customFormat="1" ht="20.100000000000001" customHeight="1">
      <c r="A617" s="1127" t="s">
        <v>5040</v>
      </c>
      <c r="B617" s="1127" t="s">
        <v>5038</v>
      </c>
      <c r="C617" s="1127" t="s">
        <v>5066</v>
      </c>
      <c r="D617" s="949">
        <v>650</v>
      </c>
      <c r="E617" s="949">
        <v>800</v>
      </c>
      <c r="F617" s="949">
        <v>800</v>
      </c>
      <c r="G617" s="109" t="s">
        <v>4645</v>
      </c>
      <c r="H617" s="36" t="s">
        <v>4649</v>
      </c>
      <c r="I617" s="38" t="s">
        <v>4999</v>
      </c>
      <c r="J617" s="30"/>
      <c r="K617" s="117" t="s">
        <v>5065</v>
      </c>
      <c r="L617" s="116" t="s">
        <v>4539</v>
      </c>
      <c r="M617" s="6">
        <v>43077</v>
      </c>
      <c r="N617" s="6">
        <v>43093</v>
      </c>
      <c r="O617" s="61" t="s">
        <v>4961</v>
      </c>
      <c r="P617" s="7"/>
      <c r="Q617" s="167"/>
      <c r="R617" s="239" t="s">
        <v>4998</v>
      </c>
      <c r="S617" s="326" t="s">
        <v>4641</v>
      </c>
      <c r="T617" s="933"/>
    </row>
    <row r="618" spans="1:20" s="120" customFormat="1" ht="20.100000000000001" customHeight="1">
      <c r="A618" s="1127" t="s">
        <v>5040</v>
      </c>
      <c r="B618" s="1127" t="s">
        <v>5038</v>
      </c>
      <c r="C618" s="1127" t="s">
        <v>5066</v>
      </c>
      <c r="D618" s="952">
        <v>1025</v>
      </c>
      <c r="E618" s="952">
        <v>1450</v>
      </c>
      <c r="F618" s="952">
        <v>1500</v>
      </c>
      <c r="G618" s="3" t="s">
        <v>4553</v>
      </c>
      <c r="H618" s="56" t="s">
        <v>4649</v>
      </c>
      <c r="I618" s="51" t="s">
        <v>4725</v>
      </c>
      <c r="J618" s="34" t="s">
        <v>5070</v>
      </c>
      <c r="K618" s="34" t="s">
        <v>5069</v>
      </c>
      <c r="L618" s="118" t="s">
        <v>4539</v>
      </c>
      <c r="M618" s="6">
        <v>43085</v>
      </c>
      <c r="N618" s="6">
        <v>43100</v>
      </c>
      <c r="O618" s="61" t="s">
        <v>4545</v>
      </c>
      <c r="P618" s="59"/>
      <c r="Q618" s="171"/>
      <c r="R618" s="239" t="s">
        <v>4988</v>
      </c>
      <c r="S618" s="326" t="s">
        <v>4987</v>
      </c>
      <c r="T618" s="933"/>
    </row>
    <row r="619" spans="1:20" s="120" customFormat="1" ht="20.100000000000001" customHeight="1">
      <c r="A619" s="1127" t="s">
        <v>5040</v>
      </c>
      <c r="B619" s="1127" t="s">
        <v>5038</v>
      </c>
      <c r="C619" s="1127" t="s">
        <v>5066</v>
      </c>
      <c r="D619" s="956">
        <v>1125</v>
      </c>
      <c r="E619" s="956">
        <v>1650</v>
      </c>
      <c r="F619" s="956">
        <v>1650</v>
      </c>
      <c r="G619" s="3" t="s">
        <v>4549</v>
      </c>
      <c r="H619" s="56" t="s">
        <v>4649</v>
      </c>
      <c r="I619" s="51" t="s">
        <v>4725</v>
      </c>
      <c r="J619" s="34" t="s">
        <v>5070</v>
      </c>
      <c r="K619" s="34" t="s">
        <v>5069</v>
      </c>
      <c r="L619" s="118" t="s">
        <v>4539</v>
      </c>
      <c r="M619" s="6">
        <v>43085</v>
      </c>
      <c r="N619" s="6">
        <v>43100</v>
      </c>
      <c r="O619" s="61" t="s">
        <v>4545</v>
      </c>
      <c r="P619" s="59"/>
      <c r="Q619" s="171"/>
      <c r="R619" s="239" t="s">
        <v>5001</v>
      </c>
      <c r="S619" s="328" t="s">
        <v>4543</v>
      </c>
      <c r="T619" s="933"/>
    </row>
    <row r="620" spans="1:20" s="120" customFormat="1" ht="20.100000000000001" customHeight="1">
      <c r="A620" s="1127" t="s">
        <v>5040</v>
      </c>
      <c r="B620" s="1127" t="s">
        <v>5038</v>
      </c>
      <c r="C620" s="1127" t="s">
        <v>5066</v>
      </c>
      <c r="D620" s="953">
        <v>665</v>
      </c>
      <c r="E620" s="953">
        <v>1030</v>
      </c>
      <c r="F620" s="953">
        <v>1030</v>
      </c>
      <c r="G620" s="70" t="s">
        <v>4560</v>
      </c>
      <c r="H620" s="36" t="s">
        <v>4930</v>
      </c>
      <c r="I620" s="51" t="s">
        <v>5068</v>
      </c>
      <c r="J620" s="30"/>
      <c r="K620" s="10" t="s">
        <v>5067</v>
      </c>
      <c r="L620" s="116" t="s">
        <v>4539</v>
      </c>
      <c r="M620" s="15">
        <v>43084</v>
      </c>
      <c r="N620" s="15">
        <v>43100</v>
      </c>
      <c r="O620" s="61" t="s">
        <v>5005</v>
      </c>
      <c r="P620" s="61"/>
      <c r="Q620" s="171"/>
      <c r="R620" s="240" t="s">
        <v>4925</v>
      </c>
      <c r="S620" s="327" t="s">
        <v>5004</v>
      </c>
      <c r="T620" s="933"/>
    </row>
    <row r="621" spans="1:20" s="120" customFormat="1" ht="20.100000000000001" customHeight="1">
      <c r="A621" s="1127" t="s">
        <v>5040</v>
      </c>
      <c r="B621" s="1127" t="s">
        <v>5038</v>
      </c>
      <c r="C621" s="1127" t="s">
        <v>5066</v>
      </c>
      <c r="D621" s="949">
        <v>825</v>
      </c>
      <c r="E621" s="949">
        <v>1100</v>
      </c>
      <c r="F621" s="949">
        <v>1100</v>
      </c>
      <c r="G621" s="70" t="s">
        <v>5022</v>
      </c>
      <c r="H621" s="56" t="s">
        <v>4635</v>
      </c>
      <c r="I621" s="38" t="s">
        <v>4725</v>
      </c>
      <c r="J621" s="30"/>
      <c r="K621" s="24" t="s">
        <v>5055</v>
      </c>
      <c r="L621" s="116" t="s">
        <v>4539</v>
      </c>
      <c r="M621" s="6">
        <v>43073</v>
      </c>
      <c r="N621" s="6">
        <v>43083</v>
      </c>
      <c r="O621" s="61" t="s">
        <v>4961</v>
      </c>
      <c r="P621" s="126"/>
      <c r="Q621" s="167"/>
      <c r="R621" s="239" t="s">
        <v>4997</v>
      </c>
      <c r="S621" s="326" t="s">
        <v>4558</v>
      </c>
      <c r="T621" s="933"/>
    </row>
    <row r="622" spans="1:20" s="120" customFormat="1" ht="20.100000000000001" customHeight="1">
      <c r="A622" s="1127" t="s">
        <v>5040</v>
      </c>
      <c r="B622" s="1127" t="s">
        <v>5038</v>
      </c>
      <c r="C622" s="1127" t="s">
        <v>5066</v>
      </c>
      <c r="D622" s="320">
        <v>925</v>
      </c>
      <c r="E622" s="320">
        <f>D622*2-600</f>
        <v>1250</v>
      </c>
      <c r="F622" s="320">
        <f>D622*2-550</f>
        <v>1300</v>
      </c>
      <c r="G622" s="234" t="s">
        <v>4575</v>
      </c>
      <c r="H622" s="56" t="s">
        <v>4635</v>
      </c>
      <c r="I622" s="38" t="s">
        <v>4725</v>
      </c>
      <c r="J622" s="30"/>
      <c r="K622" s="24" t="s">
        <v>5055</v>
      </c>
      <c r="L622" s="116" t="s">
        <v>4539</v>
      </c>
      <c r="M622" s="15">
        <v>43084</v>
      </c>
      <c r="N622" s="15">
        <v>43100</v>
      </c>
      <c r="O622" s="61" t="s">
        <v>4545</v>
      </c>
      <c r="P622" s="59"/>
      <c r="Q622" s="167"/>
      <c r="R622" s="21" t="s">
        <v>4882</v>
      </c>
      <c r="S622" s="329" t="s">
        <v>1762</v>
      </c>
      <c r="T622" s="933"/>
    </row>
    <row r="623" spans="1:20" s="120" customFormat="1" ht="20.100000000000001" customHeight="1">
      <c r="A623" s="1127" t="s">
        <v>5040</v>
      </c>
      <c r="B623" s="1127" t="s">
        <v>5038</v>
      </c>
      <c r="C623" s="1127" t="s">
        <v>5066</v>
      </c>
      <c r="D623" s="248">
        <v>950</v>
      </c>
      <c r="E623" s="248">
        <v>1100</v>
      </c>
      <c r="F623" s="248">
        <v>1100</v>
      </c>
      <c r="G623" s="234" t="s">
        <v>4572</v>
      </c>
      <c r="H623" s="56" t="s">
        <v>4635</v>
      </c>
      <c r="I623" s="51" t="s">
        <v>4725</v>
      </c>
      <c r="J623" s="34"/>
      <c r="K623" s="24" t="s">
        <v>5055</v>
      </c>
      <c r="L623" s="116" t="s">
        <v>4539</v>
      </c>
      <c r="M623" s="15">
        <v>43060</v>
      </c>
      <c r="N623" s="15">
        <v>43076</v>
      </c>
      <c r="O623" s="61" t="s">
        <v>4545</v>
      </c>
      <c r="P623" s="61"/>
      <c r="Q623" s="167"/>
      <c r="R623" s="239" t="s">
        <v>4997</v>
      </c>
      <c r="S623" s="326" t="s">
        <v>4576</v>
      </c>
      <c r="T623" s="933"/>
    </row>
    <row r="624" spans="1:20" s="120" customFormat="1" ht="20.100000000000001" customHeight="1">
      <c r="A624" s="1127" t="s">
        <v>5040</v>
      </c>
      <c r="B624" s="1127" t="s">
        <v>5038</v>
      </c>
      <c r="C624" s="1127" t="s">
        <v>5066</v>
      </c>
      <c r="D624" s="947">
        <v>775</v>
      </c>
      <c r="E624" s="947">
        <v>950</v>
      </c>
      <c r="F624" s="947">
        <v>950</v>
      </c>
      <c r="G624" s="234" t="s">
        <v>4904</v>
      </c>
      <c r="H624" s="56" t="s">
        <v>4635</v>
      </c>
      <c r="I624" s="51" t="s">
        <v>4725</v>
      </c>
      <c r="J624" s="34"/>
      <c r="K624" s="24" t="s">
        <v>5055</v>
      </c>
      <c r="L624" s="116" t="s">
        <v>4539</v>
      </c>
      <c r="M624" s="15">
        <v>43054</v>
      </c>
      <c r="N624" s="15">
        <v>43089</v>
      </c>
      <c r="O624" s="61" t="s">
        <v>4961</v>
      </c>
      <c r="P624" s="61"/>
      <c r="Q624" s="167"/>
      <c r="R624" s="239" t="s">
        <v>5021</v>
      </c>
      <c r="S624" s="327" t="s">
        <v>4632</v>
      </c>
      <c r="T624" s="933"/>
    </row>
    <row r="625" spans="1:20" s="120" customFormat="1" ht="20.100000000000001" customHeight="1">
      <c r="A625" s="1127" t="s">
        <v>5040</v>
      </c>
      <c r="B625" s="1127" t="s">
        <v>5038</v>
      </c>
      <c r="C625" s="1127" t="s">
        <v>5066</v>
      </c>
      <c r="D625" s="247">
        <v>575</v>
      </c>
      <c r="E625" s="247">
        <v>650</v>
      </c>
      <c r="F625" s="247">
        <v>650</v>
      </c>
      <c r="G625" s="29" t="s">
        <v>4542</v>
      </c>
      <c r="H625" s="56" t="s">
        <v>4635</v>
      </c>
      <c r="I625" s="51" t="s">
        <v>4725</v>
      </c>
      <c r="J625" s="34"/>
      <c r="K625" s="24" t="s">
        <v>5055</v>
      </c>
      <c r="L625" s="116" t="s">
        <v>4539</v>
      </c>
      <c r="M625" s="15">
        <v>43082</v>
      </c>
      <c r="N625" s="15">
        <v>43083</v>
      </c>
      <c r="O625" s="61" t="s">
        <v>4961</v>
      </c>
      <c r="P625" s="61"/>
      <c r="Q625" s="167"/>
      <c r="R625" s="239" t="s">
        <v>5020</v>
      </c>
      <c r="S625" s="327" t="s">
        <v>4959</v>
      </c>
      <c r="T625" s="933"/>
    </row>
    <row r="626" spans="1:20" s="120" customFormat="1" ht="20.100000000000001" customHeight="1">
      <c r="A626" s="1127" t="s">
        <v>5040</v>
      </c>
      <c r="B626" s="1127" t="s">
        <v>5038</v>
      </c>
      <c r="C626" s="1127" t="s">
        <v>5062</v>
      </c>
      <c r="D626" s="248">
        <v>1000</v>
      </c>
      <c r="E626" s="248">
        <v>1200</v>
      </c>
      <c r="F626" s="248">
        <v>1200</v>
      </c>
      <c r="G626" s="234" t="s">
        <v>4572</v>
      </c>
      <c r="H626" s="56" t="s">
        <v>4552</v>
      </c>
      <c r="I626" s="51" t="s">
        <v>4885</v>
      </c>
      <c r="J626" s="30"/>
      <c r="K626" s="24" t="s">
        <v>4968</v>
      </c>
      <c r="L626" s="118" t="s">
        <v>4539</v>
      </c>
      <c r="M626" s="15">
        <v>43060</v>
      </c>
      <c r="N626" s="15">
        <v>43076</v>
      </c>
      <c r="O626" s="61" t="s">
        <v>4545</v>
      </c>
      <c r="P626" s="128"/>
      <c r="Q626" s="167"/>
      <c r="R626" s="239" t="s">
        <v>4584</v>
      </c>
      <c r="S626" s="328" t="s">
        <v>4543</v>
      </c>
      <c r="T626" s="933"/>
    </row>
    <row r="627" spans="1:20" s="120" customFormat="1" ht="20.100000000000001" customHeight="1">
      <c r="A627" s="1127" t="s">
        <v>5040</v>
      </c>
      <c r="B627" s="1127" t="s">
        <v>5038</v>
      </c>
      <c r="C627" s="1127" t="s">
        <v>5062</v>
      </c>
      <c r="D627" s="248">
        <v>700</v>
      </c>
      <c r="E627" s="248">
        <v>900</v>
      </c>
      <c r="F627" s="248">
        <v>900</v>
      </c>
      <c r="G627" s="234" t="s">
        <v>5010</v>
      </c>
      <c r="H627" s="56" t="s">
        <v>4552</v>
      </c>
      <c r="I627" s="51" t="s">
        <v>5045</v>
      </c>
      <c r="J627" s="50"/>
      <c r="K627" s="51">
        <v>27</v>
      </c>
      <c r="L627" s="116" t="s">
        <v>4539</v>
      </c>
      <c r="M627" s="6">
        <v>43074</v>
      </c>
      <c r="N627" s="6">
        <v>43083</v>
      </c>
      <c r="O627" s="61" t="s">
        <v>5008</v>
      </c>
      <c r="P627" s="59"/>
      <c r="Q627" s="167"/>
      <c r="R627" s="239" t="s">
        <v>5007</v>
      </c>
      <c r="S627" s="327" t="s">
        <v>5006</v>
      </c>
      <c r="T627" s="933"/>
    </row>
    <row r="628" spans="1:20" s="120" customFormat="1" ht="20.100000000000001" customHeight="1">
      <c r="A628" s="1127" t="s">
        <v>5040</v>
      </c>
      <c r="B628" s="1127" t="s">
        <v>5038</v>
      </c>
      <c r="C628" s="1127" t="s">
        <v>5062</v>
      </c>
      <c r="D628" s="247">
        <v>650</v>
      </c>
      <c r="E628" s="247">
        <v>800</v>
      </c>
      <c r="F628" s="247">
        <v>800</v>
      </c>
      <c r="G628" s="234" t="s">
        <v>4557</v>
      </c>
      <c r="H628" s="36" t="s">
        <v>4649</v>
      </c>
      <c r="I628" s="38" t="s">
        <v>4725</v>
      </c>
      <c r="J628" s="30"/>
      <c r="K628" s="30" t="s">
        <v>5065</v>
      </c>
      <c r="L628" s="116" t="s">
        <v>4539</v>
      </c>
      <c r="M628" s="6">
        <v>43084</v>
      </c>
      <c r="N628" s="6">
        <v>43100</v>
      </c>
      <c r="O628" s="61" t="s">
        <v>4961</v>
      </c>
      <c r="P628" s="7"/>
      <c r="Q628" s="167"/>
      <c r="R628" s="239" t="s">
        <v>4998</v>
      </c>
      <c r="S628" s="327" t="s">
        <v>4973</v>
      </c>
      <c r="T628" s="933"/>
    </row>
    <row r="629" spans="1:20" s="120" customFormat="1" ht="20.100000000000001" customHeight="1">
      <c r="A629" s="1127" t="s">
        <v>5040</v>
      </c>
      <c r="B629" s="1127" t="s">
        <v>5038</v>
      </c>
      <c r="C629" s="1127" t="s">
        <v>5062</v>
      </c>
      <c r="D629" s="320">
        <v>600</v>
      </c>
      <c r="E629" s="320">
        <v>750</v>
      </c>
      <c r="F629" s="320">
        <v>750</v>
      </c>
      <c r="G629" s="111" t="s">
        <v>4566</v>
      </c>
      <c r="H629" s="36" t="s">
        <v>4649</v>
      </c>
      <c r="I629" s="51" t="s">
        <v>4725</v>
      </c>
      <c r="J629" s="37"/>
      <c r="K629" s="30" t="s">
        <v>5065</v>
      </c>
      <c r="L629" s="116" t="s">
        <v>4539</v>
      </c>
      <c r="M629" s="15">
        <v>43084</v>
      </c>
      <c r="N629" s="15">
        <v>43100</v>
      </c>
      <c r="O629" s="61" t="s">
        <v>4563</v>
      </c>
      <c r="P629" s="129"/>
      <c r="Q629" s="167"/>
      <c r="R629" s="239" t="s">
        <v>4998</v>
      </c>
      <c r="S629" s="327" t="s">
        <v>4561</v>
      </c>
      <c r="T629" s="933"/>
    </row>
    <row r="630" spans="1:20" s="120" customFormat="1" ht="20.100000000000001" customHeight="1">
      <c r="A630" s="1127" t="s">
        <v>5040</v>
      </c>
      <c r="B630" s="1127" t="s">
        <v>5038</v>
      </c>
      <c r="C630" s="1127" t="s">
        <v>5062</v>
      </c>
      <c r="D630" s="953">
        <v>565</v>
      </c>
      <c r="E630" s="953">
        <v>830</v>
      </c>
      <c r="F630" s="953">
        <v>830</v>
      </c>
      <c r="G630" s="63" t="s">
        <v>4560</v>
      </c>
      <c r="H630" s="36" t="s">
        <v>4649</v>
      </c>
      <c r="I630" s="51" t="s">
        <v>4725</v>
      </c>
      <c r="J630" s="30"/>
      <c r="K630" s="117" t="s">
        <v>5065</v>
      </c>
      <c r="L630" s="116" t="s">
        <v>4539</v>
      </c>
      <c r="M630" s="15">
        <v>43084</v>
      </c>
      <c r="N630" s="15">
        <v>43100</v>
      </c>
      <c r="O630" s="61" t="s">
        <v>5005</v>
      </c>
      <c r="P630" s="61"/>
      <c r="Q630" s="167"/>
      <c r="R630" s="240" t="s">
        <v>4998</v>
      </c>
      <c r="S630" s="327" t="s">
        <v>5004</v>
      </c>
      <c r="T630" s="933"/>
    </row>
    <row r="631" spans="1:20" s="120" customFormat="1" ht="20.100000000000001" customHeight="1">
      <c r="A631" s="1127" t="s">
        <v>5040</v>
      </c>
      <c r="B631" s="1127" t="s">
        <v>5038</v>
      </c>
      <c r="C631" s="1127" t="s">
        <v>5062</v>
      </c>
      <c r="D631" s="949">
        <v>650</v>
      </c>
      <c r="E631" s="949">
        <v>800</v>
      </c>
      <c r="F631" s="949">
        <v>800</v>
      </c>
      <c r="G631" s="109" t="s">
        <v>4645</v>
      </c>
      <c r="H631" s="36" t="s">
        <v>4649</v>
      </c>
      <c r="I631" s="38" t="s">
        <v>4725</v>
      </c>
      <c r="J631" s="30"/>
      <c r="K631" s="117" t="s">
        <v>5065</v>
      </c>
      <c r="L631" s="116" t="s">
        <v>4539</v>
      </c>
      <c r="M631" s="6">
        <v>43077</v>
      </c>
      <c r="N631" s="6">
        <v>43093</v>
      </c>
      <c r="O631" s="61" t="s">
        <v>4961</v>
      </c>
      <c r="P631" s="7"/>
      <c r="Q631" s="167"/>
      <c r="R631" s="239" t="s">
        <v>4998</v>
      </c>
      <c r="S631" s="326" t="s">
        <v>4641</v>
      </c>
      <c r="T631" s="933"/>
    </row>
    <row r="632" spans="1:20" s="120" customFormat="1" ht="20.100000000000001" customHeight="1">
      <c r="A632" s="1127" t="s">
        <v>5040</v>
      </c>
      <c r="B632" s="1127" t="s">
        <v>5038</v>
      </c>
      <c r="C632" s="1127" t="s">
        <v>5062</v>
      </c>
      <c r="D632" s="947">
        <v>775</v>
      </c>
      <c r="E632" s="947">
        <v>950</v>
      </c>
      <c r="F632" s="947">
        <v>950</v>
      </c>
      <c r="G632" s="234" t="s">
        <v>4904</v>
      </c>
      <c r="H632" s="22" t="s">
        <v>4903</v>
      </c>
      <c r="I632" s="51" t="s">
        <v>4902</v>
      </c>
      <c r="J632" s="34"/>
      <c r="K632" s="34" t="s">
        <v>5064</v>
      </c>
      <c r="L632" s="116" t="s">
        <v>4539</v>
      </c>
      <c r="M632" s="15">
        <v>43054</v>
      </c>
      <c r="N632" s="15">
        <v>43089</v>
      </c>
      <c r="O632" s="61" t="s">
        <v>4961</v>
      </c>
      <c r="P632" s="128"/>
      <c r="Q632" s="7"/>
      <c r="R632" s="239" t="s">
        <v>4899</v>
      </c>
      <c r="S632" s="327" t="s">
        <v>4632</v>
      </c>
      <c r="T632" s="933"/>
    </row>
    <row r="633" spans="1:20" s="120" customFormat="1" ht="20.100000000000001" customHeight="1">
      <c r="A633" s="1127" t="s">
        <v>5040</v>
      </c>
      <c r="B633" s="1127" t="s">
        <v>5038</v>
      </c>
      <c r="C633" s="1127" t="s">
        <v>5062</v>
      </c>
      <c r="D633" s="320">
        <v>925</v>
      </c>
      <c r="E633" s="320">
        <f>D633*2-600</f>
        <v>1250</v>
      </c>
      <c r="F633" s="320">
        <f>D633*2-550</f>
        <v>1300</v>
      </c>
      <c r="G633" s="234" t="s">
        <v>4575</v>
      </c>
      <c r="H633" s="36" t="s">
        <v>4635</v>
      </c>
      <c r="I633" s="51" t="s">
        <v>4725</v>
      </c>
      <c r="J633" s="34"/>
      <c r="K633" s="24" t="s">
        <v>5030</v>
      </c>
      <c r="L633" s="116" t="s">
        <v>4539</v>
      </c>
      <c r="M633" s="15">
        <v>43084</v>
      </c>
      <c r="N633" s="15">
        <v>43100</v>
      </c>
      <c r="O633" s="61" t="s">
        <v>4545</v>
      </c>
      <c r="P633" s="167"/>
      <c r="Q633" s="167"/>
      <c r="R633" s="239" t="s">
        <v>4882</v>
      </c>
      <c r="S633" s="327" t="s">
        <v>4576</v>
      </c>
      <c r="T633" s="933"/>
    </row>
    <row r="634" spans="1:20" s="120" customFormat="1" ht="20.100000000000001" customHeight="1">
      <c r="A634" s="1127" t="s">
        <v>5040</v>
      </c>
      <c r="B634" s="1127" t="s">
        <v>5038</v>
      </c>
      <c r="C634" s="1127" t="s">
        <v>5062</v>
      </c>
      <c r="D634" s="956">
        <v>1125</v>
      </c>
      <c r="E634" s="956">
        <v>1650</v>
      </c>
      <c r="F634" s="956">
        <v>1650</v>
      </c>
      <c r="G634" s="3" t="s">
        <v>4549</v>
      </c>
      <c r="H634" s="56" t="s">
        <v>4890</v>
      </c>
      <c r="I634" s="51" t="s">
        <v>4884</v>
      </c>
      <c r="J634" s="30"/>
      <c r="K634" s="30" t="s">
        <v>4975</v>
      </c>
      <c r="L634" s="118" t="s">
        <v>4539</v>
      </c>
      <c r="M634" s="6">
        <v>43085</v>
      </c>
      <c r="N634" s="6">
        <v>43100</v>
      </c>
      <c r="O634" s="61" t="s">
        <v>4545</v>
      </c>
      <c r="P634" s="129"/>
      <c r="Q634" s="52"/>
      <c r="R634" s="239" t="s">
        <v>5050</v>
      </c>
      <c r="S634" s="328" t="s">
        <v>4543</v>
      </c>
      <c r="T634" s="933"/>
    </row>
    <row r="635" spans="1:20" s="120" customFormat="1" ht="20.100000000000001" customHeight="1">
      <c r="A635" s="1127" t="s">
        <v>5040</v>
      </c>
      <c r="B635" s="1127" t="s">
        <v>5038</v>
      </c>
      <c r="C635" s="1127" t="s">
        <v>5062</v>
      </c>
      <c r="D635" s="949"/>
      <c r="E635" s="949"/>
      <c r="F635" s="949"/>
      <c r="G635" s="109" t="s">
        <v>5022</v>
      </c>
      <c r="H635" s="56" t="s">
        <v>4580</v>
      </c>
      <c r="I635" s="38" t="s">
        <v>4902</v>
      </c>
      <c r="J635" s="30"/>
      <c r="K635" s="24" t="s">
        <v>5023</v>
      </c>
      <c r="L635" s="116" t="s">
        <v>4539</v>
      </c>
      <c r="M635" s="6">
        <v>43073</v>
      </c>
      <c r="N635" s="6">
        <v>43083</v>
      </c>
      <c r="O635" s="61" t="s">
        <v>4961</v>
      </c>
      <c r="P635" s="7"/>
      <c r="Q635" s="167"/>
      <c r="R635" s="239" t="s">
        <v>5063</v>
      </c>
      <c r="S635" s="328" t="s">
        <v>1762</v>
      </c>
      <c r="T635" s="933"/>
    </row>
    <row r="636" spans="1:20" s="120" customFormat="1" ht="20.100000000000001" customHeight="1">
      <c r="A636" s="1127" t="s">
        <v>5040</v>
      </c>
      <c r="B636" s="1127" t="s">
        <v>5038</v>
      </c>
      <c r="C636" s="1127" t="s">
        <v>5062</v>
      </c>
      <c r="D636" s="952">
        <v>1025</v>
      </c>
      <c r="E636" s="952">
        <v>1450</v>
      </c>
      <c r="F636" s="952">
        <v>1500</v>
      </c>
      <c r="G636" s="3" t="s">
        <v>4553</v>
      </c>
      <c r="H636" s="56" t="s">
        <v>4649</v>
      </c>
      <c r="I636" s="51" t="s">
        <v>5041</v>
      </c>
      <c r="J636" s="30"/>
      <c r="K636" s="30">
        <v>28</v>
      </c>
      <c r="L636" s="116" t="s">
        <v>4539</v>
      </c>
      <c r="M636" s="6">
        <v>43085</v>
      </c>
      <c r="N636" s="6">
        <v>43100</v>
      </c>
      <c r="O636" s="61" t="s">
        <v>4545</v>
      </c>
      <c r="P636" s="129"/>
      <c r="Q636" s="171"/>
      <c r="R636" s="239" t="s">
        <v>4988</v>
      </c>
      <c r="S636" s="326" t="s">
        <v>4987</v>
      </c>
      <c r="T636" s="933"/>
    </row>
    <row r="637" spans="1:20" s="120" customFormat="1" ht="20.100000000000001" customHeight="1">
      <c r="A637" s="1127" t="s">
        <v>5040</v>
      </c>
      <c r="B637" s="1127" t="s">
        <v>5038</v>
      </c>
      <c r="C637" s="1127" t="s">
        <v>5062</v>
      </c>
      <c r="D637" s="247">
        <f>D591</f>
        <v>725</v>
      </c>
      <c r="E637" s="247">
        <f>E591</f>
        <v>1000</v>
      </c>
      <c r="F637" s="247">
        <f>F591</f>
        <v>1000</v>
      </c>
      <c r="G637" s="225" t="s">
        <v>4569</v>
      </c>
      <c r="H637" s="36" t="s">
        <v>4580</v>
      </c>
      <c r="I637" s="38" t="s">
        <v>4884</v>
      </c>
      <c r="J637" s="30"/>
      <c r="K637" s="10" t="s">
        <v>5055</v>
      </c>
      <c r="L637" s="116" t="s">
        <v>4539</v>
      </c>
      <c r="M637" s="6">
        <v>43057</v>
      </c>
      <c r="N637" s="6">
        <v>43069</v>
      </c>
      <c r="O637" s="14" t="s">
        <v>4921</v>
      </c>
      <c r="P637" s="7"/>
      <c r="Q637" s="7"/>
      <c r="R637" s="239" t="s">
        <v>1761</v>
      </c>
      <c r="S637" s="328" t="s">
        <v>4543</v>
      </c>
      <c r="T637" s="933"/>
    </row>
    <row r="638" spans="1:20" s="120" customFormat="1" ht="20.100000000000001" customHeight="1">
      <c r="A638" s="1127" t="s">
        <v>5040</v>
      </c>
      <c r="B638" s="1127" t="s">
        <v>5038</v>
      </c>
      <c r="C638" s="1127" t="s">
        <v>5059</v>
      </c>
      <c r="D638" s="248">
        <v>700</v>
      </c>
      <c r="E638" s="248">
        <v>900</v>
      </c>
      <c r="F638" s="248">
        <v>900</v>
      </c>
      <c r="G638" s="218" t="s">
        <v>5010</v>
      </c>
      <c r="H638" s="56" t="s">
        <v>4552</v>
      </c>
      <c r="I638" s="51" t="s">
        <v>5045</v>
      </c>
      <c r="J638" s="50"/>
      <c r="K638" s="51">
        <v>27</v>
      </c>
      <c r="L638" s="116" t="s">
        <v>4539</v>
      </c>
      <c r="M638" s="6">
        <v>43074</v>
      </c>
      <c r="N638" s="6">
        <v>43083</v>
      </c>
      <c r="O638" s="61" t="s">
        <v>5008</v>
      </c>
      <c r="P638" s="59"/>
      <c r="Q638" s="167"/>
      <c r="R638" s="239" t="s">
        <v>5007</v>
      </c>
      <c r="S638" s="327" t="s">
        <v>5006</v>
      </c>
      <c r="T638" s="933"/>
    </row>
    <row r="639" spans="1:20" s="120" customFormat="1" ht="20.100000000000001" customHeight="1">
      <c r="A639" s="1127" t="s">
        <v>5040</v>
      </c>
      <c r="B639" s="1127" t="s">
        <v>5038</v>
      </c>
      <c r="C639" s="1127" t="s">
        <v>5059</v>
      </c>
      <c r="D639" s="320">
        <v>600</v>
      </c>
      <c r="E639" s="320">
        <v>750</v>
      </c>
      <c r="F639" s="320">
        <v>750</v>
      </c>
      <c r="G639" s="63" t="s">
        <v>4566</v>
      </c>
      <c r="H639" s="36" t="s">
        <v>4649</v>
      </c>
      <c r="I639" s="51" t="s">
        <v>4999</v>
      </c>
      <c r="J639" s="30"/>
      <c r="K639" s="10" t="s">
        <v>4772</v>
      </c>
      <c r="L639" s="116" t="s">
        <v>4539</v>
      </c>
      <c r="M639" s="15">
        <v>43084</v>
      </c>
      <c r="N639" s="15">
        <v>43100</v>
      </c>
      <c r="O639" s="61" t="s">
        <v>4563</v>
      </c>
      <c r="P639" s="61"/>
      <c r="Q639" s="167"/>
      <c r="R639" s="239" t="s">
        <v>4998</v>
      </c>
      <c r="S639" s="327" t="s">
        <v>4561</v>
      </c>
      <c r="T639" s="933"/>
    </row>
    <row r="640" spans="1:20" s="120" customFormat="1" ht="20.100000000000001" customHeight="1">
      <c r="A640" s="1127" t="s">
        <v>5040</v>
      </c>
      <c r="B640" s="1127" t="s">
        <v>5038</v>
      </c>
      <c r="C640" s="1127" t="s">
        <v>5059</v>
      </c>
      <c r="D640" s="952">
        <v>1025</v>
      </c>
      <c r="E640" s="952">
        <v>1450</v>
      </c>
      <c r="F640" s="952">
        <v>1500</v>
      </c>
      <c r="G640" s="3" t="s">
        <v>4553</v>
      </c>
      <c r="H640" s="56" t="s">
        <v>4649</v>
      </c>
      <c r="I640" s="38" t="s">
        <v>4989</v>
      </c>
      <c r="J640" s="30"/>
      <c r="K640" s="30">
        <v>32</v>
      </c>
      <c r="L640" s="116" t="s">
        <v>4539</v>
      </c>
      <c r="M640" s="6">
        <v>43085</v>
      </c>
      <c r="N640" s="6">
        <v>43100</v>
      </c>
      <c r="O640" s="61" t="s">
        <v>4545</v>
      </c>
      <c r="P640" s="129"/>
      <c r="Q640" s="171"/>
      <c r="R640" s="239" t="s">
        <v>4988</v>
      </c>
      <c r="S640" s="326" t="s">
        <v>4987</v>
      </c>
      <c r="T640" s="933"/>
    </row>
    <row r="641" spans="1:20" s="120" customFormat="1" ht="20.100000000000001" customHeight="1">
      <c r="A641" s="1127" t="s">
        <v>5040</v>
      </c>
      <c r="B641" s="1127" t="s">
        <v>5038</v>
      </c>
      <c r="C641" s="1127" t="s">
        <v>5059</v>
      </c>
      <c r="D641" s="956">
        <v>1125</v>
      </c>
      <c r="E641" s="956">
        <v>1650</v>
      </c>
      <c r="F641" s="956">
        <v>1650</v>
      </c>
      <c r="G641" s="3" t="s">
        <v>4549</v>
      </c>
      <c r="H641" s="56" t="s">
        <v>4649</v>
      </c>
      <c r="I641" s="38" t="s">
        <v>4999</v>
      </c>
      <c r="J641" s="30"/>
      <c r="K641" s="30" t="s">
        <v>4940</v>
      </c>
      <c r="L641" s="118" t="s">
        <v>4539</v>
      </c>
      <c r="M641" s="6">
        <v>43085</v>
      </c>
      <c r="N641" s="6">
        <v>43100</v>
      </c>
      <c r="O641" s="61" t="s">
        <v>4545</v>
      </c>
      <c r="P641" s="129"/>
      <c r="Q641" s="171"/>
      <c r="R641" s="239" t="s">
        <v>5001</v>
      </c>
      <c r="S641" s="328" t="s">
        <v>4543</v>
      </c>
      <c r="T641" s="933"/>
    </row>
    <row r="642" spans="1:20" s="120" customFormat="1" ht="20.100000000000001" customHeight="1">
      <c r="A642" s="1127" t="s">
        <v>5040</v>
      </c>
      <c r="B642" s="1127" t="s">
        <v>5038</v>
      </c>
      <c r="C642" s="1127" t="s">
        <v>5059</v>
      </c>
      <c r="D642" s="949">
        <v>650</v>
      </c>
      <c r="E642" s="949">
        <v>800</v>
      </c>
      <c r="F642" s="949">
        <v>800</v>
      </c>
      <c r="G642" s="109" t="s">
        <v>4645</v>
      </c>
      <c r="H642" s="36" t="s">
        <v>4649</v>
      </c>
      <c r="I642" s="38" t="s">
        <v>4999</v>
      </c>
      <c r="J642" s="30"/>
      <c r="K642" s="117" t="s">
        <v>5061</v>
      </c>
      <c r="L642" s="116" t="s">
        <v>4539</v>
      </c>
      <c r="M642" s="6">
        <v>43077</v>
      </c>
      <c r="N642" s="6">
        <v>43093</v>
      </c>
      <c r="O642" s="61" t="s">
        <v>4961</v>
      </c>
      <c r="P642" s="7"/>
      <c r="Q642" s="167"/>
      <c r="R642" s="240" t="s">
        <v>4998</v>
      </c>
      <c r="S642" s="326" t="s">
        <v>4641</v>
      </c>
      <c r="T642" s="933"/>
    </row>
    <row r="643" spans="1:20" s="120" customFormat="1" ht="20.100000000000001" customHeight="1">
      <c r="A643" s="1127" t="s">
        <v>5040</v>
      </c>
      <c r="B643" s="1127" t="s">
        <v>5038</v>
      </c>
      <c r="C643" s="1127" t="s">
        <v>5059</v>
      </c>
      <c r="D643" s="248">
        <v>1000</v>
      </c>
      <c r="E643" s="248">
        <v>1200</v>
      </c>
      <c r="F643" s="248">
        <v>1200</v>
      </c>
      <c r="G643" s="234" t="s">
        <v>4572</v>
      </c>
      <c r="H643" s="56" t="s">
        <v>4580</v>
      </c>
      <c r="I643" s="51" t="s">
        <v>4902</v>
      </c>
      <c r="J643" s="30"/>
      <c r="K643" s="30">
        <v>28</v>
      </c>
      <c r="L643" s="116" t="s">
        <v>4539</v>
      </c>
      <c r="M643" s="15">
        <v>43060</v>
      </c>
      <c r="N643" s="15">
        <v>43076</v>
      </c>
      <c r="O643" s="61" t="s">
        <v>4545</v>
      </c>
      <c r="P643" s="129"/>
      <c r="Q643" s="167"/>
      <c r="R643" s="239" t="s">
        <v>5002</v>
      </c>
      <c r="S643" s="328" t="s">
        <v>4543</v>
      </c>
      <c r="T643" s="933"/>
    </row>
    <row r="644" spans="1:20" s="120" customFormat="1" ht="20.100000000000001" customHeight="1">
      <c r="A644" s="1127" t="s">
        <v>5040</v>
      </c>
      <c r="B644" s="1127" t="s">
        <v>5038</v>
      </c>
      <c r="C644" s="1127" t="s">
        <v>5059</v>
      </c>
      <c r="D644" s="320">
        <v>975</v>
      </c>
      <c r="E644" s="320">
        <f>D644*2-600</f>
        <v>1350</v>
      </c>
      <c r="F644" s="320">
        <f>D644*2-550</f>
        <v>1400</v>
      </c>
      <c r="G644" s="234" t="s">
        <v>4575</v>
      </c>
      <c r="H644" s="22" t="s">
        <v>5053</v>
      </c>
      <c r="I644" s="51" t="s">
        <v>4902</v>
      </c>
      <c r="J644" s="30"/>
      <c r="K644" s="30">
        <v>30</v>
      </c>
      <c r="L644" s="116" t="s">
        <v>4539</v>
      </c>
      <c r="M644" s="15">
        <v>43084</v>
      </c>
      <c r="N644" s="15">
        <v>43100</v>
      </c>
      <c r="O644" s="61" t="s">
        <v>4545</v>
      </c>
      <c r="P644" s="167"/>
      <c r="Q644" s="7"/>
      <c r="R644" s="239" t="s">
        <v>5052</v>
      </c>
      <c r="S644" s="327" t="s">
        <v>4576</v>
      </c>
      <c r="T644" s="933"/>
    </row>
    <row r="645" spans="1:20" s="120" customFormat="1" ht="20.100000000000001" customHeight="1">
      <c r="A645" s="1127" t="s">
        <v>5040</v>
      </c>
      <c r="B645" s="1127" t="s">
        <v>5038</v>
      </c>
      <c r="C645" s="1127" t="s">
        <v>5059</v>
      </c>
      <c r="D645" s="947">
        <v>775</v>
      </c>
      <c r="E645" s="947">
        <v>950</v>
      </c>
      <c r="F645" s="947">
        <v>950</v>
      </c>
      <c r="G645" s="234" t="s">
        <v>4904</v>
      </c>
      <c r="H645" s="22" t="s">
        <v>4903</v>
      </c>
      <c r="I645" s="51" t="s">
        <v>4902</v>
      </c>
      <c r="J645" s="50"/>
      <c r="K645" s="50" t="s">
        <v>5060</v>
      </c>
      <c r="L645" s="116" t="s">
        <v>4539</v>
      </c>
      <c r="M645" s="15">
        <v>43054</v>
      </c>
      <c r="N645" s="15">
        <v>43089</v>
      </c>
      <c r="O645" s="61" t="s">
        <v>4961</v>
      </c>
      <c r="P645" s="128"/>
      <c r="Q645" s="7"/>
      <c r="R645" s="239" t="s">
        <v>4899</v>
      </c>
      <c r="S645" s="327" t="s">
        <v>4632</v>
      </c>
      <c r="T645" s="933"/>
    </row>
    <row r="646" spans="1:20" s="120" customFormat="1" ht="20.100000000000001" customHeight="1">
      <c r="A646" s="1127" t="s">
        <v>5040</v>
      </c>
      <c r="B646" s="1127" t="s">
        <v>5038</v>
      </c>
      <c r="C646" s="1127" t="s">
        <v>5059</v>
      </c>
      <c r="D646" s="247">
        <f>D591</f>
        <v>725</v>
      </c>
      <c r="E646" s="247">
        <f>E591</f>
        <v>1000</v>
      </c>
      <c r="F646" s="247">
        <f>F591</f>
        <v>1000</v>
      </c>
      <c r="G646" s="225" t="s">
        <v>4569</v>
      </c>
      <c r="H646" s="36" t="s">
        <v>4580</v>
      </c>
      <c r="I646" s="38" t="s">
        <v>4884</v>
      </c>
      <c r="J646" s="30"/>
      <c r="K646" s="10" t="s">
        <v>4739</v>
      </c>
      <c r="L646" s="116" t="s">
        <v>4539</v>
      </c>
      <c r="M646" s="6">
        <v>43057</v>
      </c>
      <c r="N646" s="6">
        <v>43069</v>
      </c>
      <c r="O646" s="14" t="s">
        <v>4921</v>
      </c>
      <c r="P646" s="7"/>
      <c r="Q646" s="7"/>
      <c r="R646" s="239" t="s">
        <v>1761</v>
      </c>
      <c r="S646" s="328" t="s">
        <v>4543</v>
      </c>
      <c r="T646" s="933"/>
    </row>
    <row r="647" spans="1:20" s="120" customFormat="1" ht="20.100000000000001" customHeight="1">
      <c r="A647" s="1127" t="s">
        <v>5040</v>
      </c>
      <c r="B647" s="1127" t="s">
        <v>5038</v>
      </c>
      <c r="C647" s="1127" t="s">
        <v>5056</v>
      </c>
      <c r="D647" s="952">
        <v>1025</v>
      </c>
      <c r="E647" s="952">
        <v>1450</v>
      </c>
      <c r="F647" s="952">
        <v>1500</v>
      </c>
      <c r="G647" s="3" t="s">
        <v>4553</v>
      </c>
      <c r="H647" s="56" t="s">
        <v>4649</v>
      </c>
      <c r="I647" s="51" t="s">
        <v>4989</v>
      </c>
      <c r="J647" s="30"/>
      <c r="K647" s="30">
        <v>37</v>
      </c>
      <c r="L647" s="116" t="s">
        <v>4539</v>
      </c>
      <c r="M647" s="6">
        <v>43085</v>
      </c>
      <c r="N647" s="6">
        <v>43100</v>
      </c>
      <c r="O647" s="61" t="s">
        <v>4545</v>
      </c>
      <c r="P647" s="129"/>
      <c r="Q647" s="171"/>
      <c r="R647" s="239" t="s">
        <v>4988</v>
      </c>
      <c r="S647" s="326" t="s">
        <v>4987</v>
      </c>
      <c r="T647" s="933"/>
    </row>
    <row r="648" spans="1:20" s="120" customFormat="1" ht="20.100000000000001" customHeight="1">
      <c r="A648" s="1127" t="s">
        <v>5040</v>
      </c>
      <c r="B648" s="1127" t="s">
        <v>5038</v>
      </c>
      <c r="C648" s="1127" t="s">
        <v>5056</v>
      </c>
      <c r="D648" s="320">
        <v>975</v>
      </c>
      <c r="E648" s="320">
        <f>D648*2-600</f>
        <v>1350</v>
      </c>
      <c r="F648" s="320">
        <f>D648*2-550</f>
        <v>1400</v>
      </c>
      <c r="G648" s="234" t="s">
        <v>4575</v>
      </c>
      <c r="H648" s="22" t="s">
        <v>5053</v>
      </c>
      <c r="I648" s="51" t="s">
        <v>4902</v>
      </c>
      <c r="J648" s="34" t="s">
        <v>5058</v>
      </c>
      <c r="K648" s="30" t="s">
        <v>4968</v>
      </c>
      <c r="L648" s="116" t="s">
        <v>4539</v>
      </c>
      <c r="M648" s="15">
        <v>43084</v>
      </c>
      <c r="N648" s="15">
        <v>43100</v>
      </c>
      <c r="O648" s="61" t="s">
        <v>4545</v>
      </c>
      <c r="P648" s="128"/>
      <c r="Q648" s="53"/>
      <c r="R648" s="239" t="s">
        <v>5052</v>
      </c>
      <c r="S648" s="327" t="s">
        <v>4576</v>
      </c>
      <c r="T648" s="933"/>
    </row>
    <row r="649" spans="1:20" s="120" customFormat="1" ht="20.100000000000001" customHeight="1">
      <c r="A649" s="1127" t="s">
        <v>5040</v>
      </c>
      <c r="B649" s="1127" t="s">
        <v>5038</v>
      </c>
      <c r="C649" s="1127" t="s">
        <v>5056</v>
      </c>
      <c r="D649" s="947">
        <v>775</v>
      </c>
      <c r="E649" s="947">
        <v>950</v>
      </c>
      <c r="F649" s="947">
        <v>950</v>
      </c>
      <c r="G649" s="234" t="s">
        <v>4904</v>
      </c>
      <c r="H649" s="22" t="s">
        <v>4903</v>
      </c>
      <c r="I649" s="51" t="s">
        <v>4902</v>
      </c>
      <c r="J649" s="50" t="s">
        <v>5058</v>
      </c>
      <c r="K649" s="50" t="s">
        <v>5057</v>
      </c>
      <c r="L649" s="116" t="s">
        <v>4539</v>
      </c>
      <c r="M649" s="15">
        <v>43054</v>
      </c>
      <c r="N649" s="15">
        <v>43089</v>
      </c>
      <c r="O649" s="61" t="s">
        <v>4961</v>
      </c>
      <c r="P649" s="128"/>
      <c r="Q649" s="7"/>
      <c r="R649" s="239" t="s">
        <v>4899</v>
      </c>
      <c r="S649" s="327" t="s">
        <v>4632</v>
      </c>
      <c r="T649" s="933"/>
    </row>
    <row r="650" spans="1:20" s="120" customFormat="1" ht="20.100000000000001" customHeight="1">
      <c r="A650" s="1127" t="s">
        <v>5040</v>
      </c>
      <c r="B650" s="1127" t="s">
        <v>5038</v>
      </c>
      <c r="C650" s="1127" t="s">
        <v>5056</v>
      </c>
      <c r="D650" s="248">
        <v>1000</v>
      </c>
      <c r="E650" s="248">
        <v>1200</v>
      </c>
      <c r="F650" s="248">
        <v>1200</v>
      </c>
      <c r="G650" s="234" t="s">
        <v>4572</v>
      </c>
      <c r="H650" s="56" t="s">
        <v>4580</v>
      </c>
      <c r="I650" s="51" t="s">
        <v>4902</v>
      </c>
      <c r="J650" s="34"/>
      <c r="K650" s="34">
        <v>28</v>
      </c>
      <c r="L650" s="118" t="s">
        <v>4539</v>
      </c>
      <c r="M650" s="15">
        <v>43060</v>
      </c>
      <c r="N650" s="15">
        <v>43076</v>
      </c>
      <c r="O650" s="61" t="s">
        <v>4545</v>
      </c>
      <c r="P650" s="128"/>
      <c r="Q650" s="167"/>
      <c r="R650" s="239" t="s">
        <v>5002</v>
      </c>
      <c r="S650" s="328" t="s">
        <v>4543</v>
      </c>
      <c r="T650" s="933"/>
    </row>
    <row r="651" spans="1:20" s="120" customFormat="1" ht="20.100000000000001" customHeight="1">
      <c r="A651" s="1127" t="s">
        <v>5040</v>
      </c>
      <c r="B651" s="1127" t="s">
        <v>5038</v>
      </c>
      <c r="C651" s="1127" t="s">
        <v>5056</v>
      </c>
      <c r="D651" s="247">
        <f>D591</f>
        <v>725</v>
      </c>
      <c r="E651" s="247">
        <f>E591</f>
        <v>1000</v>
      </c>
      <c r="F651" s="247">
        <f>F591</f>
        <v>1000</v>
      </c>
      <c r="G651" s="225" t="s">
        <v>4569</v>
      </c>
      <c r="H651" s="36" t="s">
        <v>4580</v>
      </c>
      <c r="I651" s="51" t="s">
        <v>4884</v>
      </c>
      <c r="J651" s="30"/>
      <c r="K651" s="10" t="s">
        <v>5055</v>
      </c>
      <c r="L651" s="116" t="s">
        <v>4539</v>
      </c>
      <c r="M651" s="6">
        <v>43057</v>
      </c>
      <c r="N651" s="6">
        <v>43069</v>
      </c>
      <c r="O651" s="14" t="s">
        <v>4921</v>
      </c>
      <c r="P651" s="7"/>
      <c r="Q651" s="7"/>
      <c r="R651" s="239" t="s">
        <v>1761</v>
      </c>
      <c r="S651" s="328" t="s">
        <v>4543</v>
      </c>
      <c r="T651" s="933"/>
    </row>
    <row r="652" spans="1:20" s="120" customFormat="1" ht="20.100000000000001" customHeight="1">
      <c r="A652" s="1127" t="s">
        <v>5040</v>
      </c>
      <c r="B652" s="1127" t="s">
        <v>5038</v>
      </c>
      <c r="C652" s="1127" t="s">
        <v>5049</v>
      </c>
      <c r="D652" s="248">
        <v>1000</v>
      </c>
      <c r="E652" s="248">
        <v>1200</v>
      </c>
      <c r="F652" s="248">
        <v>1200</v>
      </c>
      <c r="G652" s="234" t="s">
        <v>4572</v>
      </c>
      <c r="H652" s="56" t="s">
        <v>4552</v>
      </c>
      <c r="I652" s="51" t="s">
        <v>4885</v>
      </c>
      <c r="J652" s="30"/>
      <c r="K652" s="24" t="s">
        <v>4968</v>
      </c>
      <c r="L652" s="118" t="s">
        <v>4539</v>
      </c>
      <c r="M652" s="15">
        <v>43060</v>
      </c>
      <c r="N652" s="15">
        <v>43076</v>
      </c>
      <c r="O652" s="61" t="s">
        <v>4545</v>
      </c>
      <c r="P652" s="128"/>
      <c r="Q652" s="167"/>
      <c r="R652" s="239" t="s">
        <v>4584</v>
      </c>
      <c r="S652" s="328" t="s">
        <v>4543</v>
      </c>
      <c r="T652" s="933"/>
    </row>
    <row r="653" spans="1:20" s="120" customFormat="1" ht="20.100000000000001" customHeight="1">
      <c r="A653" s="1127" t="s">
        <v>5040</v>
      </c>
      <c r="B653" s="1127" t="s">
        <v>5038</v>
      </c>
      <c r="C653" s="1127" t="s">
        <v>5049</v>
      </c>
      <c r="D653" s="320">
        <v>600</v>
      </c>
      <c r="E653" s="320">
        <v>750</v>
      </c>
      <c r="F653" s="320">
        <v>750</v>
      </c>
      <c r="G653" s="111" t="s">
        <v>4566</v>
      </c>
      <c r="H653" s="36" t="s">
        <v>4649</v>
      </c>
      <c r="I653" s="51" t="s">
        <v>4902</v>
      </c>
      <c r="J653" s="50"/>
      <c r="K653" s="20" t="s">
        <v>4772</v>
      </c>
      <c r="L653" s="116" t="s">
        <v>4539</v>
      </c>
      <c r="M653" s="15">
        <v>43084</v>
      </c>
      <c r="N653" s="15">
        <v>43100</v>
      </c>
      <c r="O653" s="61" t="s">
        <v>4563</v>
      </c>
      <c r="P653" s="128"/>
      <c r="Q653" s="167"/>
      <c r="R653" s="239" t="s">
        <v>4998</v>
      </c>
      <c r="S653" s="327" t="s">
        <v>4561</v>
      </c>
      <c r="T653" s="933"/>
    </row>
    <row r="654" spans="1:20" s="120" customFormat="1" ht="20.100000000000001" customHeight="1">
      <c r="A654" s="1127" t="s">
        <v>5040</v>
      </c>
      <c r="B654" s="1127" t="s">
        <v>5038</v>
      </c>
      <c r="C654" s="1127" t="s">
        <v>5049</v>
      </c>
      <c r="D654" s="949">
        <v>650</v>
      </c>
      <c r="E654" s="949">
        <v>800</v>
      </c>
      <c r="F654" s="949">
        <v>800</v>
      </c>
      <c r="G654" s="75" t="s">
        <v>4645</v>
      </c>
      <c r="H654" s="36" t="s">
        <v>4649</v>
      </c>
      <c r="I654" s="38" t="s">
        <v>4902</v>
      </c>
      <c r="J654" s="30"/>
      <c r="K654" s="117" t="s">
        <v>5054</v>
      </c>
      <c r="L654" s="116" t="s">
        <v>4539</v>
      </c>
      <c r="M654" s="6">
        <v>43077</v>
      </c>
      <c r="N654" s="6">
        <v>43093</v>
      </c>
      <c r="O654" s="61" t="s">
        <v>4961</v>
      </c>
      <c r="P654" s="7"/>
      <c r="Q654" s="167"/>
      <c r="R654" s="240" t="s">
        <v>4998</v>
      </c>
      <c r="S654" s="326" t="s">
        <v>4641</v>
      </c>
      <c r="T654" s="933"/>
    </row>
    <row r="655" spans="1:20" s="120" customFormat="1" ht="20.100000000000001" customHeight="1">
      <c r="A655" s="1127" t="s">
        <v>5040</v>
      </c>
      <c r="B655" s="1127" t="s">
        <v>5038</v>
      </c>
      <c r="C655" s="1127" t="s">
        <v>5049</v>
      </c>
      <c r="D655" s="320">
        <v>975</v>
      </c>
      <c r="E655" s="320">
        <f>D655*2-600</f>
        <v>1350</v>
      </c>
      <c r="F655" s="320">
        <f>D655*2-550</f>
        <v>1400</v>
      </c>
      <c r="G655" s="293" t="s">
        <v>4575</v>
      </c>
      <c r="H655" s="22" t="s">
        <v>5053</v>
      </c>
      <c r="I655" s="51" t="s">
        <v>4902</v>
      </c>
      <c r="J655" s="34"/>
      <c r="K655" s="34" t="s">
        <v>4940</v>
      </c>
      <c r="L655" s="118" t="s">
        <v>4539</v>
      </c>
      <c r="M655" s="15">
        <v>43084</v>
      </c>
      <c r="N655" s="15">
        <v>43100</v>
      </c>
      <c r="O655" s="61" t="s">
        <v>4545</v>
      </c>
      <c r="P655" s="128"/>
      <c r="Q655" s="171"/>
      <c r="R655" s="239" t="s">
        <v>5052</v>
      </c>
      <c r="S655" s="327" t="s">
        <v>4576</v>
      </c>
      <c r="T655" s="933"/>
    </row>
    <row r="656" spans="1:20" s="120" customFormat="1" ht="20.100000000000001" customHeight="1">
      <c r="A656" s="1127" t="s">
        <v>5040</v>
      </c>
      <c r="B656" s="1127" t="s">
        <v>5038</v>
      </c>
      <c r="C656" s="1127" t="s">
        <v>5049</v>
      </c>
      <c r="D656" s="947">
        <v>775</v>
      </c>
      <c r="E656" s="947">
        <v>950</v>
      </c>
      <c r="F656" s="947">
        <v>950</v>
      </c>
      <c r="G656" s="234" t="s">
        <v>4904</v>
      </c>
      <c r="H656" s="22" t="s">
        <v>4903</v>
      </c>
      <c r="I656" s="51" t="s">
        <v>4902</v>
      </c>
      <c r="J656" s="50"/>
      <c r="K656" s="50" t="s">
        <v>5051</v>
      </c>
      <c r="L656" s="116" t="s">
        <v>4539</v>
      </c>
      <c r="M656" s="15">
        <v>43054</v>
      </c>
      <c r="N656" s="15">
        <v>43089</v>
      </c>
      <c r="O656" s="61" t="s">
        <v>4961</v>
      </c>
      <c r="P656" s="128"/>
      <c r="Q656" s="7"/>
      <c r="R656" s="239" t="s">
        <v>4899</v>
      </c>
      <c r="S656" s="327" t="s">
        <v>4632</v>
      </c>
      <c r="T656" s="933"/>
    </row>
    <row r="657" spans="1:20" s="120" customFormat="1" ht="20.100000000000001" customHeight="1">
      <c r="A657" s="1127" t="s">
        <v>5040</v>
      </c>
      <c r="B657" s="1127" t="s">
        <v>5038</v>
      </c>
      <c r="C657" s="1127" t="s">
        <v>5049</v>
      </c>
      <c r="D657" s="949">
        <v>825</v>
      </c>
      <c r="E657" s="949">
        <v>1100</v>
      </c>
      <c r="F657" s="949">
        <v>1100</v>
      </c>
      <c r="G657" s="3" t="s">
        <v>5022</v>
      </c>
      <c r="H657" s="56" t="s">
        <v>4635</v>
      </c>
      <c r="I657" s="38" t="s">
        <v>4725</v>
      </c>
      <c r="J657" s="30"/>
      <c r="K657" s="30" t="s">
        <v>5030</v>
      </c>
      <c r="L657" s="116" t="s">
        <v>4539</v>
      </c>
      <c r="M657" s="6">
        <v>43073</v>
      </c>
      <c r="N657" s="6">
        <v>43083</v>
      </c>
      <c r="O657" s="61" t="s">
        <v>4961</v>
      </c>
      <c r="P657" s="126"/>
      <c r="Q657" s="167"/>
      <c r="R657" s="239" t="s">
        <v>4997</v>
      </c>
      <c r="S657" s="326" t="s">
        <v>4558</v>
      </c>
      <c r="T657" s="933"/>
    </row>
    <row r="658" spans="1:20" s="120" customFormat="1" ht="20.100000000000001" customHeight="1">
      <c r="A658" s="1127" t="s">
        <v>5040</v>
      </c>
      <c r="B658" s="1127" t="s">
        <v>5038</v>
      </c>
      <c r="C658" s="1127" t="s">
        <v>5049</v>
      </c>
      <c r="D658" s="956">
        <v>1125</v>
      </c>
      <c r="E658" s="956">
        <v>1650</v>
      </c>
      <c r="F658" s="956">
        <v>1650</v>
      </c>
      <c r="G658" s="3" t="s">
        <v>4549</v>
      </c>
      <c r="H658" s="56" t="s">
        <v>4890</v>
      </c>
      <c r="I658" s="51" t="s">
        <v>4884</v>
      </c>
      <c r="J658" s="30"/>
      <c r="K658" s="30" t="s">
        <v>4895</v>
      </c>
      <c r="L658" s="118" t="s">
        <v>4539</v>
      </c>
      <c r="M658" s="6">
        <v>43085</v>
      </c>
      <c r="N658" s="6">
        <v>43100</v>
      </c>
      <c r="O658" s="61" t="s">
        <v>4545</v>
      </c>
      <c r="P658" s="129"/>
      <c r="Q658" s="52"/>
      <c r="R658" s="239" t="s">
        <v>5050</v>
      </c>
      <c r="S658" s="328" t="s">
        <v>4543</v>
      </c>
      <c r="T658" s="933"/>
    </row>
    <row r="659" spans="1:20" s="120" customFormat="1" ht="20.100000000000001" customHeight="1">
      <c r="A659" s="1127" t="s">
        <v>5040</v>
      </c>
      <c r="B659" s="1127" t="s">
        <v>5038</v>
      </c>
      <c r="C659" s="1127" t="s">
        <v>5049</v>
      </c>
      <c r="D659" s="952">
        <v>1025</v>
      </c>
      <c r="E659" s="952">
        <v>1450</v>
      </c>
      <c r="F659" s="952">
        <v>1500</v>
      </c>
      <c r="G659" s="3" t="s">
        <v>4553</v>
      </c>
      <c r="H659" s="56" t="s">
        <v>4580</v>
      </c>
      <c r="I659" s="38" t="s">
        <v>5031</v>
      </c>
      <c r="J659" s="30"/>
      <c r="K659" s="30">
        <v>30</v>
      </c>
      <c r="L659" s="116" t="s">
        <v>4539</v>
      </c>
      <c r="M659" s="6">
        <v>43085</v>
      </c>
      <c r="N659" s="6">
        <v>43100</v>
      </c>
      <c r="O659" s="61" t="s">
        <v>4545</v>
      </c>
      <c r="P659" s="129"/>
      <c r="Q659" s="171"/>
      <c r="R659" s="239" t="s">
        <v>4878</v>
      </c>
      <c r="S659" s="326" t="s">
        <v>4987</v>
      </c>
      <c r="T659" s="933"/>
    </row>
    <row r="660" spans="1:20" s="120" customFormat="1" ht="20.100000000000001" customHeight="1">
      <c r="A660" s="1127" t="s">
        <v>5040</v>
      </c>
      <c r="B660" s="1127" t="s">
        <v>5038</v>
      </c>
      <c r="C660" s="1127" t="s">
        <v>5048</v>
      </c>
      <c r="D660" s="958"/>
      <c r="E660" s="958"/>
      <c r="F660" s="958"/>
      <c r="G660" s="111" t="s">
        <v>4566</v>
      </c>
      <c r="H660" s="56" t="s">
        <v>4649</v>
      </c>
      <c r="I660" s="51" t="s">
        <v>4902</v>
      </c>
      <c r="J660" s="34"/>
      <c r="K660" s="34" t="s">
        <v>4739</v>
      </c>
      <c r="L660" s="118" t="s">
        <v>4539</v>
      </c>
      <c r="M660" s="15">
        <v>43084</v>
      </c>
      <c r="N660" s="15">
        <v>43100</v>
      </c>
      <c r="O660" s="61" t="s">
        <v>4563</v>
      </c>
      <c r="P660" s="61"/>
      <c r="Q660" s="167"/>
      <c r="R660" s="239" t="s">
        <v>4998</v>
      </c>
      <c r="S660" s="327" t="s">
        <v>4561</v>
      </c>
      <c r="T660" s="933"/>
    </row>
    <row r="661" spans="1:20" s="120" customFormat="1" ht="20.100000000000001" customHeight="1">
      <c r="A661" s="1127" t="s">
        <v>5040</v>
      </c>
      <c r="B661" s="1127" t="s">
        <v>5038</v>
      </c>
      <c r="C661" s="1127" t="s">
        <v>5048</v>
      </c>
      <c r="D661" s="952">
        <v>1025</v>
      </c>
      <c r="E661" s="952">
        <v>1450</v>
      </c>
      <c r="F661" s="952">
        <v>1500</v>
      </c>
      <c r="G661" s="3" t="s">
        <v>4553</v>
      </c>
      <c r="H661" s="56" t="s">
        <v>4649</v>
      </c>
      <c r="I661" s="51" t="s">
        <v>4725</v>
      </c>
      <c r="J661" s="34"/>
      <c r="K661" s="34" t="s">
        <v>4772</v>
      </c>
      <c r="L661" s="118" t="s">
        <v>4539</v>
      </c>
      <c r="M661" s="6">
        <v>43085</v>
      </c>
      <c r="N661" s="6">
        <v>43100</v>
      </c>
      <c r="O661" s="61" t="s">
        <v>4545</v>
      </c>
      <c r="P661" s="59"/>
      <c r="Q661" s="171"/>
      <c r="R661" s="239" t="s">
        <v>4988</v>
      </c>
      <c r="S661" s="326" t="s">
        <v>4987</v>
      </c>
      <c r="T661" s="933"/>
    </row>
    <row r="662" spans="1:20" s="120" customFormat="1" ht="20.100000000000001" customHeight="1">
      <c r="A662" s="1127" t="s">
        <v>5040</v>
      </c>
      <c r="B662" s="1127" t="s">
        <v>5038</v>
      </c>
      <c r="C662" s="1127" t="s">
        <v>5048</v>
      </c>
      <c r="D662" s="956">
        <v>1125</v>
      </c>
      <c r="E662" s="956">
        <v>1650</v>
      </c>
      <c r="F662" s="956">
        <v>1650</v>
      </c>
      <c r="G662" s="3" t="s">
        <v>4549</v>
      </c>
      <c r="H662" s="56" t="s">
        <v>4649</v>
      </c>
      <c r="I662" s="51" t="s">
        <v>4725</v>
      </c>
      <c r="J662" s="34"/>
      <c r="K662" s="34" t="s">
        <v>4772</v>
      </c>
      <c r="L662" s="118" t="s">
        <v>4539</v>
      </c>
      <c r="M662" s="6">
        <v>43085</v>
      </c>
      <c r="N662" s="6">
        <v>43100</v>
      </c>
      <c r="O662" s="61" t="s">
        <v>4545</v>
      </c>
      <c r="P662" s="59"/>
      <c r="Q662" s="171"/>
      <c r="R662" s="239" t="s">
        <v>5001</v>
      </c>
      <c r="S662" s="328" t="s">
        <v>4543</v>
      </c>
      <c r="T662" s="933"/>
    </row>
    <row r="663" spans="1:20" s="120" customFormat="1" ht="20.100000000000001" customHeight="1">
      <c r="A663" s="1127" t="s">
        <v>5040</v>
      </c>
      <c r="B663" s="1127" t="s">
        <v>5038</v>
      </c>
      <c r="C663" s="1127" t="s">
        <v>5047</v>
      </c>
      <c r="D663" s="320">
        <f>D580+450</f>
        <v>1050</v>
      </c>
      <c r="E663" s="320">
        <f>E580+450</f>
        <v>1200</v>
      </c>
      <c r="F663" s="320">
        <f>F580+450</f>
        <v>1200</v>
      </c>
      <c r="G663" s="12" t="s">
        <v>4566</v>
      </c>
      <c r="H663" s="36" t="s">
        <v>4649</v>
      </c>
      <c r="I663" s="51" t="s">
        <v>4999</v>
      </c>
      <c r="J663" s="50"/>
      <c r="K663" s="51" t="s">
        <v>4601</v>
      </c>
      <c r="L663" s="116" t="s">
        <v>4539</v>
      </c>
      <c r="M663" s="15">
        <v>43084</v>
      </c>
      <c r="N663" s="15">
        <v>43100</v>
      </c>
      <c r="O663" s="61" t="s">
        <v>4563</v>
      </c>
      <c r="P663" s="59"/>
      <c r="Q663" s="167"/>
      <c r="R663" s="239" t="s">
        <v>4998</v>
      </c>
      <c r="S663" s="327" t="s">
        <v>4561</v>
      </c>
      <c r="T663" s="933"/>
    </row>
    <row r="664" spans="1:20" s="120" customFormat="1" ht="20.100000000000001" customHeight="1">
      <c r="A664" s="1127" t="s">
        <v>5040</v>
      </c>
      <c r="B664" s="1127" t="s">
        <v>5038</v>
      </c>
      <c r="C664" s="1127" t="s">
        <v>5047</v>
      </c>
      <c r="D664" s="248">
        <f>D578+250</f>
        <v>1275</v>
      </c>
      <c r="E664" s="248">
        <f>E578+400</f>
        <v>1850</v>
      </c>
      <c r="F664" s="248">
        <f>F578+400</f>
        <v>1900</v>
      </c>
      <c r="G664" s="12" t="s">
        <v>4553</v>
      </c>
      <c r="H664" s="56" t="s">
        <v>4649</v>
      </c>
      <c r="I664" s="38" t="s">
        <v>4989</v>
      </c>
      <c r="J664" s="30"/>
      <c r="K664" s="30">
        <v>37</v>
      </c>
      <c r="L664" s="116" t="s">
        <v>4539</v>
      </c>
      <c r="M664" s="6">
        <v>43085</v>
      </c>
      <c r="N664" s="6">
        <v>43100</v>
      </c>
      <c r="O664" s="61" t="s">
        <v>4545</v>
      </c>
      <c r="P664" s="129"/>
      <c r="Q664" s="171"/>
      <c r="R664" s="239" t="s">
        <v>4988</v>
      </c>
      <c r="S664" s="326" t="s">
        <v>4987</v>
      </c>
      <c r="T664" s="933"/>
    </row>
    <row r="665" spans="1:20" s="120" customFormat="1" ht="20.100000000000001" customHeight="1">
      <c r="A665" s="1127" t="s">
        <v>5040</v>
      </c>
      <c r="B665" s="1127" t="s">
        <v>5038</v>
      </c>
      <c r="C665" s="1127" t="s">
        <v>5047</v>
      </c>
      <c r="D665" s="945">
        <f>D588+50</f>
        <v>1000</v>
      </c>
      <c r="E665" s="945">
        <f>E588+100</f>
        <v>1200</v>
      </c>
      <c r="F665" s="945">
        <f>F588+100</f>
        <v>1200</v>
      </c>
      <c r="G665" s="217" t="s">
        <v>4572</v>
      </c>
      <c r="H665" s="36" t="s">
        <v>4635</v>
      </c>
      <c r="I665" s="51" t="s">
        <v>5046</v>
      </c>
      <c r="J665" s="34"/>
      <c r="K665" s="34">
        <v>33</v>
      </c>
      <c r="L665" s="118" t="s">
        <v>4539</v>
      </c>
      <c r="M665" s="15">
        <v>43060</v>
      </c>
      <c r="N665" s="15">
        <v>43076</v>
      </c>
      <c r="O665" s="61" t="s">
        <v>4545</v>
      </c>
      <c r="P665" s="128"/>
      <c r="Q665" s="167"/>
      <c r="R665" s="239" t="s">
        <v>4997</v>
      </c>
      <c r="S665" s="328" t="s">
        <v>4543</v>
      </c>
      <c r="T665" s="933"/>
    </row>
    <row r="666" spans="1:20" s="120" customFormat="1" ht="20.100000000000001" customHeight="1">
      <c r="A666" s="1127" t="s">
        <v>5040</v>
      </c>
      <c r="B666" s="1127" t="s">
        <v>5038</v>
      </c>
      <c r="C666" s="1127" t="s">
        <v>5042</v>
      </c>
      <c r="D666" s="248">
        <v>725</v>
      </c>
      <c r="E666" s="248">
        <v>950</v>
      </c>
      <c r="F666" s="248">
        <v>950</v>
      </c>
      <c r="G666" s="218" t="s">
        <v>5010</v>
      </c>
      <c r="H666" s="56" t="s">
        <v>4552</v>
      </c>
      <c r="I666" s="51" t="s">
        <v>5045</v>
      </c>
      <c r="J666" s="50"/>
      <c r="K666" s="51">
        <v>27</v>
      </c>
      <c r="L666" s="116" t="s">
        <v>4539</v>
      </c>
      <c r="M666" s="6">
        <v>43074</v>
      </c>
      <c r="N666" s="6">
        <v>43083</v>
      </c>
      <c r="O666" s="61" t="s">
        <v>5008</v>
      </c>
      <c r="P666" s="59"/>
      <c r="Q666" s="167"/>
      <c r="R666" s="239" t="s">
        <v>5007</v>
      </c>
      <c r="S666" s="327" t="s">
        <v>5006</v>
      </c>
      <c r="T666" s="933"/>
    </row>
    <row r="667" spans="1:20" s="120" customFormat="1" ht="20.100000000000001" customHeight="1">
      <c r="A667" s="1127" t="s">
        <v>5040</v>
      </c>
      <c r="B667" s="1127" t="s">
        <v>5038</v>
      </c>
      <c r="C667" s="1127" t="s">
        <v>5042</v>
      </c>
      <c r="D667" s="320">
        <f>D521+350</f>
        <v>925</v>
      </c>
      <c r="E667" s="320">
        <f>E521+600</f>
        <v>1400</v>
      </c>
      <c r="F667" s="320">
        <f>F521+600</f>
        <v>1400</v>
      </c>
      <c r="G667" s="12" t="s">
        <v>4566</v>
      </c>
      <c r="H667" s="36" t="s">
        <v>4649</v>
      </c>
      <c r="I667" s="51" t="s">
        <v>4902</v>
      </c>
      <c r="J667" s="50"/>
      <c r="K667" s="51" t="s">
        <v>4739</v>
      </c>
      <c r="L667" s="116" t="s">
        <v>4539</v>
      </c>
      <c r="M667" s="15">
        <v>43084</v>
      </c>
      <c r="N667" s="15">
        <v>43100</v>
      </c>
      <c r="O667" s="61" t="s">
        <v>4563</v>
      </c>
      <c r="P667" s="59"/>
      <c r="Q667" s="167"/>
      <c r="R667" s="239" t="s">
        <v>4998</v>
      </c>
      <c r="S667" s="327" t="s">
        <v>4561</v>
      </c>
      <c r="T667" s="933"/>
    </row>
    <row r="668" spans="1:20" s="120" customFormat="1" ht="20.100000000000001" customHeight="1">
      <c r="A668" s="1127" t="s">
        <v>5040</v>
      </c>
      <c r="B668" s="1127" t="s">
        <v>5038</v>
      </c>
      <c r="C668" s="1127" t="s">
        <v>5042</v>
      </c>
      <c r="D668" s="248">
        <v>1000</v>
      </c>
      <c r="E668" s="248">
        <v>1200</v>
      </c>
      <c r="F668" s="248">
        <v>1200</v>
      </c>
      <c r="G668" s="218" t="s">
        <v>4572</v>
      </c>
      <c r="H668" s="56" t="s">
        <v>4635</v>
      </c>
      <c r="I668" s="51" t="s">
        <v>5031</v>
      </c>
      <c r="J668" s="50"/>
      <c r="K668" s="51" t="s">
        <v>4968</v>
      </c>
      <c r="L668" s="118" t="s">
        <v>4539</v>
      </c>
      <c r="M668" s="15">
        <v>43060</v>
      </c>
      <c r="N668" s="15">
        <v>43076</v>
      </c>
      <c r="O668" s="61" t="s">
        <v>4545</v>
      </c>
      <c r="P668" s="128"/>
      <c r="Q668" s="167"/>
      <c r="R668" s="239" t="s">
        <v>4997</v>
      </c>
      <c r="S668" s="328" t="s">
        <v>4543</v>
      </c>
      <c r="T668" s="933"/>
    </row>
    <row r="669" spans="1:20" s="120" customFormat="1" ht="20.100000000000001" customHeight="1">
      <c r="A669" s="1127" t="s">
        <v>5040</v>
      </c>
      <c r="B669" s="1127" t="s">
        <v>5038</v>
      </c>
      <c r="C669" s="1127" t="s">
        <v>5042</v>
      </c>
      <c r="D669" s="949"/>
      <c r="E669" s="949"/>
      <c r="F669" s="949"/>
      <c r="G669" s="217" t="s">
        <v>4575</v>
      </c>
      <c r="H669" s="22" t="s">
        <v>5044</v>
      </c>
      <c r="I669" s="51" t="s">
        <v>4902</v>
      </c>
      <c r="J669" s="34"/>
      <c r="K669" s="30" t="s">
        <v>4968</v>
      </c>
      <c r="L669" s="116" t="s">
        <v>4539</v>
      </c>
      <c r="M669" s="15">
        <v>43084</v>
      </c>
      <c r="N669" s="15">
        <v>43100</v>
      </c>
      <c r="O669" s="61" t="s">
        <v>4545</v>
      </c>
      <c r="P669" s="128"/>
      <c r="Q669" s="53"/>
      <c r="R669" s="239" t="s">
        <v>5043</v>
      </c>
      <c r="S669" s="327" t="s">
        <v>4576</v>
      </c>
      <c r="T669" s="933"/>
    </row>
    <row r="670" spans="1:20" s="120" customFormat="1" ht="20.100000000000001" customHeight="1">
      <c r="A670" s="1127" t="s">
        <v>5040</v>
      </c>
      <c r="B670" s="1127" t="s">
        <v>5038</v>
      </c>
      <c r="C670" s="1127" t="s">
        <v>5042</v>
      </c>
      <c r="D670" s="959">
        <f>D578+125</f>
        <v>1150</v>
      </c>
      <c r="E670" s="247">
        <f>E578+250</f>
        <v>1700</v>
      </c>
      <c r="F670" s="247">
        <f>F578+250</f>
        <v>1750</v>
      </c>
      <c r="G670" s="12" t="s">
        <v>4553</v>
      </c>
      <c r="H670" s="56" t="s">
        <v>4649</v>
      </c>
      <c r="I670" s="51" t="s">
        <v>5041</v>
      </c>
      <c r="J670" s="34"/>
      <c r="K670" s="34">
        <v>37</v>
      </c>
      <c r="L670" s="118" t="s">
        <v>4539</v>
      </c>
      <c r="M670" s="6">
        <v>43085</v>
      </c>
      <c r="N670" s="6">
        <v>43100</v>
      </c>
      <c r="O670" s="59" t="s">
        <v>4545</v>
      </c>
      <c r="P670" s="128"/>
      <c r="Q670" s="171"/>
      <c r="R670" s="239" t="s">
        <v>4988</v>
      </c>
      <c r="S670" s="326" t="s">
        <v>4987</v>
      </c>
      <c r="T670" s="933"/>
    </row>
    <row r="671" spans="1:20" s="120" customFormat="1" ht="20.100000000000001" customHeight="1">
      <c r="A671" s="1127" t="s">
        <v>5040</v>
      </c>
      <c r="B671" s="1127" t="s">
        <v>5038</v>
      </c>
      <c r="C671" s="1127" t="s">
        <v>5037</v>
      </c>
      <c r="D671" s="959"/>
      <c r="E671" s="959"/>
      <c r="F671" s="959"/>
      <c r="G671" s="234" t="s">
        <v>4572</v>
      </c>
      <c r="H671" s="56" t="s">
        <v>4552</v>
      </c>
      <c r="I671" s="51" t="s">
        <v>4885</v>
      </c>
      <c r="J671" s="34"/>
      <c r="K671" s="34">
        <v>30</v>
      </c>
      <c r="L671" s="118" t="s">
        <v>4539</v>
      </c>
      <c r="M671" s="15">
        <v>43060</v>
      </c>
      <c r="N671" s="15">
        <v>43076</v>
      </c>
      <c r="O671" s="61" t="s">
        <v>4545</v>
      </c>
      <c r="P671" s="128"/>
      <c r="Q671" s="167"/>
      <c r="R671" s="239" t="s">
        <v>4584</v>
      </c>
      <c r="S671" s="328" t="s">
        <v>4543</v>
      </c>
      <c r="T671" s="933"/>
    </row>
    <row r="672" spans="1:20" s="120" customFormat="1" ht="20.100000000000001" customHeight="1">
      <c r="A672" s="1127" t="s">
        <v>5039</v>
      </c>
      <c r="B672" s="1127" t="s">
        <v>5038</v>
      </c>
      <c r="C672" s="1127" t="s">
        <v>5037</v>
      </c>
      <c r="D672" s="959">
        <f>D578+250</f>
        <v>1275</v>
      </c>
      <c r="E672" s="247">
        <f>E578+400</f>
        <v>1850</v>
      </c>
      <c r="F672" s="247">
        <f>F578+400</f>
        <v>1900</v>
      </c>
      <c r="G672" s="12" t="s">
        <v>4553</v>
      </c>
      <c r="H672" s="56" t="s">
        <v>4649</v>
      </c>
      <c r="I672" s="51" t="s">
        <v>4989</v>
      </c>
      <c r="J672" s="30"/>
      <c r="K672" s="30">
        <v>36</v>
      </c>
      <c r="L672" s="116" t="s">
        <v>4539</v>
      </c>
      <c r="M672" s="6">
        <v>43085</v>
      </c>
      <c r="N672" s="6">
        <v>43100</v>
      </c>
      <c r="O672" s="61" t="s">
        <v>4545</v>
      </c>
      <c r="P672" s="129"/>
      <c r="Q672" s="171"/>
      <c r="R672" s="239" t="s">
        <v>4988</v>
      </c>
      <c r="S672" s="326" t="s">
        <v>4987</v>
      </c>
      <c r="T672" s="933"/>
    </row>
    <row r="673" spans="1:20" s="120" customFormat="1" ht="20.100000000000001" customHeight="1">
      <c r="A673" s="1215" t="s">
        <v>4986</v>
      </c>
      <c r="B673" s="1215" t="s">
        <v>5035</v>
      </c>
      <c r="C673" s="1215" t="s">
        <v>5036</v>
      </c>
      <c r="D673" s="248">
        <v>1350</v>
      </c>
      <c r="E673" s="248">
        <v>1900</v>
      </c>
      <c r="F673" s="248">
        <v>1900</v>
      </c>
      <c r="G673" s="220" t="s">
        <v>5010</v>
      </c>
      <c r="H673" s="56" t="s">
        <v>4552</v>
      </c>
      <c r="I673" s="51" t="s">
        <v>5009</v>
      </c>
      <c r="J673" s="50"/>
      <c r="K673" s="51">
        <v>27</v>
      </c>
      <c r="L673" s="116" t="s">
        <v>4539</v>
      </c>
      <c r="M673" s="6">
        <v>43070</v>
      </c>
      <c r="N673" s="6">
        <v>43083</v>
      </c>
      <c r="O673" s="61" t="s">
        <v>5008</v>
      </c>
      <c r="P673" s="59"/>
      <c r="Q673" s="167"/>
      <c r="R673" s="239" t="s">
        <v>5007</v>
      </c>
      <c r="S673" s="327" t="s">
        <v>5006</v>
      </c>
      <c r="T673" s="933"/>
    </row>
    <row r="674" spans="1:20" s="120" customFormat="1" ht="20.100000000000001" customHeight="1">
      <c r="A674" s="1215" t="s">
        <v>4986</v>
      </c>
      <c r="B674" s="1215" t="s">
        <v>5035</v>
      </c>
      <c r="C674" s="1215" t="s">
        <v>5036</v>
      </c>
      <c r="D674" s="952">
        <v>1275</v>
      </c>
      <c r="E674" s="952">
        <v>1750</v>
      </c>
      <c r="F674" s="952">
        <v>1750</v>
      </c>
      <c r="G674" s="65" t="s">
        <v>4553</v>
      </c>
      <c r="H674" s="56" t="s">
        <v>4649</v>
      </c>
      <c r="I674" s="38" t="s">
        <v>4989</v>
      </c>
      <c r="J674" s="127"/>
      <c r="K674" s="50" t="s">
        <v>4895</v>
      </c>
      <c r="L674" s="118" t="s">
        <v>4539</v>
      </c>
      <c r="M674" s="6">
        <v>43085</v>
      </c>
      <c r="N674" s="6">
        <v>43100</v>
      </c>
      <c r="O674" s="61" t="s">
        <v>4545</v>
      </c>
      <c r="P674" s="59"/>
      <c r="Q674" s="171"/>
      <c r="R674" s="239" t="s">
        <v>4988</v>
      </c>
      <c r="S674" s="326" t="s">
        <v>4987</v>
      </c>
      <c r="T674" s="933"/>
    </row>
    <row r="675" spans="1:20" s="120" customFormat="1" ht="20.100000000000001" customHeight="1">
      <c r="A675" s="1215" t="s">
        <v>4986</v>
      </c>
      <c r="B675" s="1215" t="s">
        <v>5035</v>
      </c>
      <c r="C675" s="1215" t="s">
        <v>5036</v>
      </c>
      <c r="D675" s="948">
        <v>1350</v>
      </c>
      <c r="E675" s="948">
        <v>1900</v>
      </c>
      <c r="F675" s="948">
        <v>1900</v>
      </c>
      <c r="G675" s="65" t="s">
        <v>4549</v>
      </c>
      <c r="H675" s="56" t="s">
        <v>4649</v>
      </c>
      <c r="I675" s="38" t="s">
        <v>4999</v>
      </c>
      <c r="J675" s="127"/>
      <c r="K675" s="50" t="s">
        <v>4975</v>
      </c>
      <c r="L675" s="118" t="s">
        <v>4539</v>
      </c>
      <c r="M675" s="6">
        <v>43085</v>
      </c>
      <c r="N675" s="6">
        <v>43100</v>
      </c>
      <c r="O675" s="61" t="s">
        <v>4545</v>
      </c>
      <c r="P675" s="59"/>
      <c r="Q675" s="171"/>
      <c r="R675" s="239" t="s">
        <v>5001</v>
      </c>
      <c r="S675" s="328" t="s">
        <v>4543</v>
      </c>
      <c r="T675" s="933"/>
    </row>
    <row r="676" spans="1:20" s="120" customFormat="1" ht="20.100000000000001" customHeight="1">
      <c r="A676" s="1215" t="s">
        <v>4986</v>
      </c>
      <c r="B676" s="1215" t="s">
        <v>5035</v>
      </c>
      <c r="C676" s="1215" t="s">
        <v>5036</v>
      </c>
      <c r="D676" s="247">
        <v>675</v>
      </c>
      <c r="E676" s="247">
        <v>800</v>
      </c>
      <c r="F676" s="247">
        <v>800</v>
      </c>
      <c r="G676" s="70" t="s">
        <v>4566</v>
      </c>
      <c r="H676" s="36" t="s">
        <v>4649</v>
      </c>
      <c r="I676" s="51" t="s">
        <v>4999</v>
      </c>
      <c r="J676" s="34"/>
      <c r="K676" s="34" t="s">
        <v>4915</v>
      </c>
      <c r="L676" s="116" t="s">
        <v>4539</v>
      </c>
      <c r="M676" s="15">
        <v>43076</v>
      </c>
      <c r="N676" s="15">
        <v>43100</v>
      </c>
      <c r="O676" s="61" t="s">
        <v>4563</v>
      </c>
      <c r="P676" s="126"/>
      <c r="Q676" s="167"/>
      <c r="R676" s="239" t="s">
        <v>4998</v>
      </c>
      <c r="S676" s="327" t="s">
        <v>4561</v>
      </c>
      <c r="T676" s="933"/>
    </row>
    <row r="677" spans="1:20" s="120" customFormat="1" ht="20.100000000000001" customHeight="1">
      <c r="A677" s="1215" t="s">
        <v>4986</v>
      </c>
      <c r="B677" s="1215" t="s">
        <v>5035</v>
      </c>
      <c r="C677" s="1215" t="s">
        <v>5036</v>
      </c>
      <c r="D677" s="247">
        <f>D582+250</f>
        <v>900</v>
      </c>
      <c r="E677" s="247">
        <f>E582+450</f>
        <v>1250</v>
      </c>
      <c r="F677" s="247">
        <f>F582+450</f>
        <v>1250</v>
      </c>
      <c r="G677" s="222" t="s">
        <v>4557</v>
      </c>
      <c r="H677" s="36" t="s">
        <v>4649</v>
      </c>
      <c r="I677" s="38" t="s">
        <v>4999</v>
      </c>
      <c r="J677" s="30"/>
      <c r="K677" s="34" t="s">
        <v>4915</v>
      </c>
      <c r="L677" s="116" t="s">
        <v>4539</v>
      </c>
      <c r="M677" s="6">
        <v>43084</v>
      </c>
      <c r="N677" s="6">
        <v>43100</v>
      </c>
      <c r="O677" s="61" t="s">
        <v>4961</v>
      </c>
      <c r="P677" s="129"/>
      <c r="Q677" s="167"/>
      <c r="R677" s="239" t="s">
        <v>4998</v>
      </c>
      <c r="S677" s="327" t="s">
        <v>4973</v>
      </c>
      <c r="T677" s="933"/>
    </row>
    <row r="678" spans="1:20" s="120" customFormat="1" ht="20.100000000000001" customHeight="1">
      <c r="A678" s="1215" t="s">
        <v>4986</v>
      </c>
      <c r="B678" s="1215" t="s">
        <v>5035</v>
      </c>
      <c r="C678" s="1215" t="s">
        <v>5036</v>
      </c>
      <c r="D678" s="949">
        <v>700</v>
      </c>
      <c r="E678" s="949">
        <v>900</v>
      </c>
      <c r="F678" s="949">
        <v>900</v>
      </c>
      <c r="G678" s="63" t="s">
        <v>4645</v>
      </c>
      <c r="H678" s="36" t="s">
        <v>4649</v>
      </c>
      <c r="I678" s="38" t="s">
        <v>4999</v>
      </c>
      <c r="J678" s="30"/>
      <c r="K678" s="34" t="s">
        <v>4915</v>
      </c>
      <c r="L678" s="116" t="s">
        <v>4539</v>
      </c>
      <c r="M678" s="6">
        <v>43066</v>
      </c>
      <c r="N678" s="6">
        <v>43093</v>
      </c>
      <c r="O678" s="61" t="s">
        <v>4961</v>
      </c>
      <c r="P678" s="129"/>
      <c r="Q678" s="167"/>
      <c r="R678" s="239" t="s">
        <v>4998</v>
      </c>
      <c r="S678" s="326" t="s">
        <v>4641</v>
      </c>
      <c r="T678" s="933"/>
    </row>
    <row r="679" spans="1:20" s="120" customFormat="1" ht="20.100000000000001" customHeight="1">
      <c r="A679" s="1215" t="s">
        <v>4986</v>
      </c>
      <c r="B679" s="1215" t="s">
        <v>5035</v>
      </c>
      <c r="C679" s="1215" t="s">
        <v>5036</v>
      </c>
      <c r="D679" s="947">
        <v>775</v>
      </c>
      <c r="E679" s="947">
        <v>950</v>
      </c>
      <c r="F679" s="947">
        <v>950</v>
      </c>
      <c r="G679" s="293" t="s">
        <v>4904</v>
      </c>
      <c r="H679" s="22" t="s">
        <v>4903</v>
      </c>
      <c r="I679" s="51" t="s">
        <v>4902</v>
      </c>
      <c r="J679" s="51"/>
      <c r="K679" s="51">
        <v>35</v>
      </c>
      <c r="L679" s="116" t="s">
        <v>4539</v>
      </c>
      <c r="M679" s="15">
        <v>43054</v>
      </c>
      <c r="N679" s="15">
        <v>43089</v>
      </c>
      <c r="O679" s="61" t="s">
        <v>4961</v>
      </c>
      <c r="P679" s="128"/>
      <c r="Q679" s="52"/>
      <c r="R679" s="239" t="s">
        <v>4899</v>
      </c>
      <c r="S679" s="327" t="s">
        <v>4632</v>
      </c>
      <c r="T679" s="933"/>
    </row>
    <row r="680" spans="1:20" s="120" customFormat="1" ht="20.100000000000001" customHeight="1">
      <c r="A680" s="1215" t="s">
        <v>4986</v>
      </c>
      <c r="B680" s="1215" t="s">
        <v>5035</v>
      </c>
      <c r="C680" s="1215" t="s">
        <v>5036</v>
      </c>
      <c r="D680" s="949">
        <v>825</v>
      </c>
      <c r="E680" s="949">
        <v>1100</v>
      </c>
      <c r="F680" s="949">
        <v>1100</v>
      </c>
      <c r="G680" s="70" t="s">
        <v>5022</v>
      </c>
      <c r="H680" s="56" t="s">
        <v>4635</v>
      </c>
      <c r="I680" s="38" t="s">
        <v>4725</v>
      </c>
      <c r="J680" s="38"/>
      <c r="K680" s="51" t="s">
        <v>4739</v>
      </c>
      <c r="L680" s="116" t="s">
        <v>4539</v>
      </c>
      <c r="M680" s="6">
        <v>43073</v>
      </c>
      <c r="N680" s="6">
        <v>43083</v>
      </c>
      <c r="O680" s="61" t="s">
        <v>4961</v>
      </c>
      <c r="P680" s="126"/>
      <c r="Q680" s="167"/>
      <c r="R680" s="239" t="s">
        <v>4997</v>
      </c>
      <c r="S680" s="328" t="s">
        <v>1762</v>
      </c>
      <c r="T680" s="933"/>
    </row>
    <row r="681" spans="1:20" s="120" customFormat="1" ht="20.100000000000001" customHeight="1">
      <c r="A681" s="1215" t="s">
        <v>4986</v>
      </c>
      <c r="B681" s="1215" t="s">
        <v>5035</v>
      </c>
      <c r="C681" s="1215" t="s">
        <v>5036</v>
      </c>
      <c r="D681" s="320">
        <v>1025</v>
      </c>
      <c r="E681" s="320">
        <f>D681*2-700</f>
        <v>1350</v>
      </c>
      <c r="F681" s="320">
        <f>D681*2-650</f>
        <v>1400</v>
      </c>
      <c r="G681" s="293" t="s">
        <v>4575</v>
      </c>
      <c r="H681" s="56" t="s">
        <v>4635</v>
      </c>
      <c r="I681" s="38" t="s">
        <v>4725</v>
      </c>
      <c r="J681" s="38"/>
      <c r="K681" s="51" t="s">
        <v>4739</v>
      </c>
      <c r="L681" s="116" t="s">
        <v>4539</v>
      </c>
      <c r="M681" s="15">
        <v>43084</v>
      </c>
      <c r="N681" s="15">
        <v>43100</v>
      </c>
      <c r="O681" s="61" t="s">
        <v>4545</v>
      </c>
      <c r="P681" s="129"/>
      <c r="Q681" s="167"/>
      <c r="R681" s="21" t="s">
        <v>4882</v>
      </c>
      <c r="S681" s="327" t="s">
        <v>4576</v>
      </c>
      <c r="T681" s="933"/>
    </row>
    <row r="682" spans="1:20" s="120" customFormat="1" ht="20.100000000000001" customHeight="1">
      <c r="A682" s="1215" t="s">
        <v>4986</v>
      </c>
      <c r="B682" s="1215" t="s">
        <v>5035</v>
      </c>
      <c r="C682" s="1215" t="s">
        <v>5036</v>
      </c>
      <c r="D682" s="248">
        <v>1050</v>
      </c>
      <c r="E682" s="248">
        <v>1300</v>
      </c>
      <c r="F682" s="248">
        <v>1300</v>
      </c>
      <c r="G682" s="234" t="s">
        <v>4572</v>
      </c>
      <c r="H682" s="56" t="s">
        <v>4635</v>
      </c>
      <c r="I682" s="51" t="s">
        <v>4725</v>
      </c>
      <c r="J682" s="30"/>
      <c r="K682" s="51" t="s">
        <v>4739</v>
      </c>
      <c r="L682" s="116" t="s">
        <v>4539</v>
      </c>
      <c r="M682" s="15">
        <v>43060</v>
      </c>
      <c r="N682" s="15">
        <v>43076</v>
      </c>
      <c r="O682" s="61" t="s">
        <v>4545</v>
      </c>
      <c r="P682" s="129"/>
      <c r="Q682" s="167"/>
      <c r="R682" s="239" t="s">
        <v>4997</v>
      </c>
      <c r="S682" s="328" t="s">
        <v>4543</v>
      </c>
      <c r="T682" s="933"/>
    </row>
    <row r="683" spans="1:20" s="120" customFormat="1" ht="20.100000000000001" customHeight="1">
      <c r="A683" s="1215" t="s">
        <v>4986</v>
      </c>
      <c r="B683" s="1215" t="s">
        <v>5035</v>
      </c>
      <c r="C683" s="1215" t="s">
        <v>5036</v>
      </c>
      <c r="D683" s="947">
        <v>775</v>
      </c>
      <c r="E683" s="947">
        <v>950</v>
      </c>
      <c r="F683" s="947">
        <v>950</v>
      </c>
      <c r="G683" s="293" t="s">
        <v>4904</v>
      </c>
      <c r="H683" s="56" t="s">
        <v>4635</v>
      </c>
      <c r="I683" s="38" t="s">
        <v>4725</v>
      </c>
      <c r="J683" s="30"/>
      <c r="K683" s="51" t="s">
        <v>4739</v>
      </c>
      <c r="L683" s="116" t="s">
        <v>4539</v>
      </c>
      <c r="M683" s="15">
        <v>43054</v>
      </c>
      <c r="N683" s="15">
        <v>43089</v>
      </c>
      <c r="O683" s="61" t="s">
        <v>4961</v>
      </c>
      <c r="P683" s="129"/>
      <c r="Q683" s="167"/>
      <c r="R683" s="239" t="s">
        <v>5021</v>
      </c>
      <c r="S683" s="327" t="s">
        <v>4632</v>
      </c>
      <c r="T683" s="933"/>
    </row>
    <row r="684" spans="1:20" s="120" customFormat="1" ht="20.100000000000001" customHeight="1">
      <c r="A684" s="1215" t="s">
        <v>4986</v>
      </c>
      <c r="B684" s="1215" t="s">
        <v>5035</v>
      </c>
      <c r="C684" s="1215" t="s">
        <v>5036</v>
      </c>
      <c r="D684" s="247">
        <v>850</v>
      </c>
      <c r="E684" s="247">
        <v>1000</v>
      </c>
      <c r="F684" s="247">
        <v>1000</v>
      </c>
      <c r="G684" s="70" t="s">
        <v>4542</v>
      </c>
      <c r="H684" s="56" t="s">
        <v>4635</v>
      </c>
      <c r="I684" s="38" t="s">
        <v>4725</v>
      </c>
      <c r="J684" s="30"/>
      <c r="K684" s="51" t="s">
        <v>4739</v>
      </c>
      <c r="L684" s="116" t="s">
        <v>4539</v>
      </c>
      <c r="M684" s="15">
        <v>43065</v>
      </c>
      <c r="N684" s="15">
        <v>43083</v>
      </c>
      <c r="O684" s="61" t="s">
        <v>4961</v>
      </c>
      <c r="P684" s="129"/>
      <c r="Q684" s="167"/>
      <c r="R684" s="239" t="s">
        <v>5020</v>
      </c>
      <c r="S684" s="327" t="s">
        <v>4959</v>
      </c>
      <c r="T684" s="933"/>
    </row>
    <row r="685" spans="1:20" s="120" customFormat="1" ht="20.100000000000001" customHeight="1">
      <c r="A685" s="1215" t="s">
        <v>4986</v>
      </c>
      <c r="B685" s="1215" t="s">
        <v>5035</v>
      </c>
      <c r="C685" s="1215" t="s">
        <v>5036</v>
      </c>
      <c r="D685" s="952"/>
      <c r="E685" s="952"/>
      <c r="F685" s="952"/>
      <c r="G685" s="224" t="s">
        <v>4569</v>
      </c>
      <c r="H685" s="36" t="s">
        <v>4580</v>
      </c>
      <c r="I685" s="38" t="s">
        <v>4884</v>
      </c>
      <c r="J685" s="30"/>
      <c r="K685" s="10" t="s">
        <v>4940</v>
      </c>
      <c r="L685" s="116" t="s">
        <v>4539</v>
      </c>
      <c r="M685" s="6">
        <v>43057</v>
      </c>
      <c r="N685" s="6">
        <v>43069</v>
      </c>
      <c r="O685" s="14" t="s">
        <v>4921</v>
      </c>
      <c r="P685" s="7"/>
      <c r="Q685" s="7"/>
      <c r="R685" s="239" t="s">
        <v>1761</v>
      </c>
      <c r="S685" s="328" t="s">
        <v>4543</v>
      </c>
      <c r="T685" s="933"/>
    </row>
    <row r="686" spans="1:20" s="120" customFormat="1" ht="20.100000000000001" customHeight="1">
      <c r="A686" s="1215" t="s">
        <v>4995</v>
      </c>
      <c r="B686" s="1215" t="s">
        <v>5035</v>
      </c>
      <c r="C686" s="1215" t="s">
        <v>5034</v>
      </c>
      <c r="D686" s="247"/>
      <c r="E686" s="247"/>
      <c r="F686" s="247"/>
      <c r="G686" s="217" t="s">
        <v>4557</v>
      </c>
      <c r="H686" s="36" t="s">
        <v>4649</v>
      </c>
      <c r="I686" s="51" t="s">
        <v>4983</v>
      </c>
      <c r="J686" s="127"/>
      <c r="K686" s="50" t="s">
        <v>4772</v>
      </c>
      <c r="L686" s="116" t="s">
        <v>4539</v>
      </c>
      <c r="M686" s="6">
        <v>43084</v>
      </c>
      <c r="N686" s="6">
        <v>43100</v>
      </c>
      <c r="O686" s="61" t="s">
        <v>4961</v>
      </c>
      <c r="P686" s="129"/>
      <c r="Q686" s="167"/>
      <c r="R686" s="239" t="s">
        <v>4998</v>
      </c>
      <c r="S686" s="327" t="s">
        <v>4973</v>
      </c>
      <c r="T686" s="933"/>
    </row>
    <row r="687" spans="1:20" s="120" customFormat="1" ht="20.100000000000001" customHeight="1">
      <c r="A687" s="1215" t="s">
        <v>4995</v>
      </c>
      <c r="B687" s="1215" t="s">
        <v>5035</v>
      </c>
      <c r="C687" s="1215" t="s">
        <v>5034</v>
      </c>
      <c r="D687" s="247"/>
      <c r="E687" s="247"/>
      <c r="F687" s="247"/>
      <c r="G687" s="217" t="s">
        <v>4572</v>
      </c>
      <c r="H687" s="36" t="s">
        <v>4635</v>
      </c>
      <c r="I687" s="51" t="s">
        <v>4983</v>
      </c>
      <c r="J687" s="127"/>
      <c r="K687" s="50" t="s">
        <v>4739</v>
      </c>
      <c r="L687" s="116" t="s">
        <v>4539</v>
      </c>
      <c r="M687" s="15">
        <v>43060</v>
      </c>
      <c r="N687" s="15">
        <v>43076</v>
      </c>
      <c r="O687" s="61" t="s">
        <v>4545</v>
      </c>
      <c r="P687" s="59" t="s">
        <v>4598</v>
      </c>
      <c r="Q687" s="167"/>
      <c r="R687" s="239" t="s">
        <v>4997</v>
      </c>
      <c r="S687" s="328" t="s">
        <v>4543</v>
      </c>
      <c r="T687" s="933"/>
    </row>
    <row r="688" spans="1:20" s="120" customFormat="1" ht="20.100000000000001" customHeight="1">
      <c r="A688" s="1215" t="s">
        <v>5016</v>
      </c>
      <c r="B688" s="1215" t="s">
        <v>4685</v>
      </c>
      <c r="C688" s="1215" t="s">
        <v>5029</v>
      </c>
      <c r="D688" s="894">
        <v>1400</v>
      </c>
      <c r="E688" s="894">
        <v>2000</v>
      </c>
      <c r="F688" s="894">
        <v>2000</v>
      </c>
      <c r="G688" s="220" t="s">
        <v>5010</v>
      </c>
      <c r="H688" s="56" t="s">
        <v>4552</v>
      </c>
      <c r="I688" s="51" t="s">
        <v>4725</v>
      </c>
      <c r="J688" s="50"/>
      <c r="K688" s="34" t="s">
        <v>4975</v>
      </c>
      <c r="L688" s="116" t="s">
        <v>4539</v>
      </c>
      <c r="M688" s="6">
        <v>43087</v>
      </c>
      <c r="N688" s="6">
        <v>43087</v>
      </c>
      <c r="O688" s="61" t="s">
        <v>5024</v>
      </c>
      <c r="P688" s="59"/>
      <c r="Q688" s="167"/>
      <c r="R688" s="239" t="s">
        <v>5007</v>
      </c>
      <c r="S688" s="327" t="s">
        <v>5006</v>
      </c>
      <c r="T688" s="933"/>
    </row>
    <row r="689" spans="1:20" s="120" customFormat="1" ht="20.100000000000001" customHeight="1">
      <c r="A689" s="1215" t="s">
        <v>4986</v>
      </c>
      <c r="B689" s="1215" t="s">
        <v>4685</v>
      </c>
      <c r="C689" s="1215" t="s">
        <v>5029</v>
      </c>
      <c r="D689" s="952">
        <v>1275</v>
      </c>
      <c r="E689" s="952">
        <v>1750</v>
      </c>
      <c r="F689" s="952">
        <v>1750</v>
      </c>
      <c r="G689" s="3" t="s">
        <v>4553</v>
      </c>
      <c r="H689" s="56" t="s">
        <v>4649</v>
      </c>
      <c r="I689" s="38" t="s">
        <v>5033</v>
      </c>
      <c r="J689" s="127"/>
      <c r="K689" s="50" t="s">
        <v>5025</v>
      </c>
      <c r="L689" s="118" t="s">
        <v>4539</v>
      </c>
      <c r="M689" s="6">
        <v>43085</v>
      </c>
      <c r="N689" s="6">
        <v>43100</v>
      </c>
      <c r="O689" s="134" t="s">
        <v>4545</v>
      </c>
      <c r="P689" s="59"/>
      <c r="Q689" s="171"/>
      <c r="R689" s="239" t="s">
        <v>4988</v>
      </c>
      <c r="S689" s="326" t="s">
        <v>4987</v>
      </c>
      <c r="T689" s="933"/>
    </row>
    <row r="690" spans="1:20" s="120" customFormat="1" ht="20.100000000000001" customHeight="1">
      <c r="A690" s="1215" t="s">
        <v>4986</v>
      </c>
      <c r="B690" s="1215" t="s">
        <v>4685</v>
      </c>
      <c r="C690" s="1215" t="s">
        <v>5029</v>
      </c>
      <c r="D690" s="956">
        <v>1025</v>
      </c>
      <c r="E690" s="956">
        <v>1250</v>
      </c>
      <c r="F690" s="956">
        <v>1250</v>
      </c>
      <c r="G690" s="3" t="s">
        <v>4549</v>
      </c>
      <c r="H690" s="56" t="s">
        <v>4649</v>
      </c>
      <c r="I690" s="38" t="s">
        <v>4999</v>
      </c>
      <c r="J690" s="127"/>
      <c r="K690" s="50" t="s">
        <v>4601</v>
      </c>
      <c r="L690" s="118" t="s">
        <v>4539</v>
      </c>
      <c r="M690" s="6">
        <v>43085</v>
      </c>
      <c r="N690" s="6">
        <v>43100</v>
      </c>
      <c r="O690" s="61" t="s">
        <v>4545</v>
      </c>
      <c r="P690" s="59"/>
      <c r="Q690" s="171"/>
      <c r="R690" s="239" t="s">
        <v>5001</v>
      </c>
      <c r="S690" s="328" t="s">
        <v>4543</v>
      </c>
      <c r="T690" s="933"/>
    </row>
    <row r="691" spans="1:20" s="120" customFormat="1" ht="20.100000000000001" customHeight="1">
      <c r="A691" s="1215" t="s">
        <v>4986</v>
      </c>
      <c r="B691" s="1215" t="s">
        <v>4685</v>
      </c>
      <c r="C691" s="1215" t="s">
        <v>5029</v>
      </c>
      <c r="D691" s="247">
        <v>825</v>
      </c>
      <c r="E691" s="247">
        <v>950</v>
      </c>
      <c r="F691" s="247">
        <v>950</v>
      </c>
      <c r="G691" s="70" t="s">
        <v>4566</v>
      </c>
      <c r="H691" s="36" t="s">
        <v>4649</v>
      </c>
      <c r="I691" s="51" t="s">
        <v>4999</v>
      </c>
      <c r="J691" s="34"/>
      <c r="K691" s="34" t="s">
        <v>4940</v>
      </c>
      <c r="L691" s="116" t="s">
        <v>4539</v>
      </c>
      <c r="M691" s="15">
        <v>43076</v>
      </c>
      <c r="N691" s="15">
        <v>43100</v>
      </c>
      <c r="O691" s="61" t="s">
        <v>4563</v>
      </c>
      <c r="P691" s="61"/>
      <c r="Q691" s="167"/>
      <c r="R691" s="239" t="s">
        <v>4998</v>
      </c>
      <c r="S691" s="327" t="s">
        <v>4561</v>
      </c>
      <c r="T691" s="933"/>
    </row>
    <row r="692" spans="1:20" s="120" customFormat="1" ht="20.100000000000001" customHeight="1">
      <c r="A692" s="1215" t="s">
        <v>4986</v>
      </c>
      <c r="B692" s="1215" t="s">
        <v>4685</v>
      </c>
      <c r="C692" s="1215" t="s">
        <v>5029</v>
      </c>
      <c r="D692" s="949">
        <v>900</v>
      </c>
      <c r="E692" s="949">
        <v>1250</v>
      </c>
      <c r="F692" s="949">
        <v>1250</v>
      </c>
      <c r="G692" s="63" t="s">
        <v>4645</v>
      </c>
      <c r="H692" s="36" t="s">
        <v>4649</v>
      </c>
      <c r="I692" s="38" t="s">
        <v>4999</v>
      </c>
      <c r="J692" s="30"/>
      <c r="K692" s="38" t="s">
        <v>4601</v>
      </c>
      <c r="L692" s="116" t="s">
        <v>4539</v>
      </c>
      <c r="M692" s="6">
        <v>43066</v>
      </c>
      <c r="N692" s="6">
        <v>43093</v>
      </c>
      <c r="O692" s="61" t="s">
        <v>4961</v>
      </c>
      <c r="P692" s="7"/>
      <c r="Q692" s="167"/>
      <c r="R692" s="240" t="s">
        <v>4998</v>
      </c>
      <c r="S692" s="326" t="s">
        <v>4641</v>
      </c>
      <c r="T692" s="933"/>
    </row>
    <row r="693" spans="1:20" s="120" customFormat="1" ht="20.100000000000001" customHeight="1">
      <c r="A693" s="1215" t="s">
        <v>4986</v>
      </c>
      <c r="B693" s="1215" t="s">
        <v>4685</v>
      </c>
      <c r="C693" s="1215" t="s">
        <v>5029</v>
      </c>
      <c r="D693" s="320">
        <v>1075</v>
      </c>
      <c r="E693" s="320">
        <f>D693*2-700</f>
        <v>1450</v>
      </c>
      <c r="F693" s="320">
        <f>D693*2-650</f>
        <v>1500</v>
      </c>
      <c r="G693" s="293" t="s">
        <v>4575</v>
      </c>
      <c r="H693" s="22" t="s">
        <v>4903</v>
      </c>
      <c r="I693" s="38" t="s">
        <v>4902</v>
      </c>
      <c r="J693" s="38"/>
      <c r="K693" s="38" t="s">
        <v>4601</v>
      </c>
      <c r="L693" s="116" t="s">
        <v>4539</v>
      </c>
      <c r="M693" s="15">
        <v>43084</v>
      </c>
      <c r="N693" s="15">
        <v>43100</v>
      </c>
      <c r="O693" s="61" t="s">
        <v>4545</v>
      </c>
      <c r="P693" s="129"/>
      <c r="Q693" s="7"/>
      <c r="R693" s="239" t="s">
        <v>5032</v>
      </c>
      <c r="S693" s="327" t="s">
        <v>4576</v>
      </c>
      <c r="T693" s="933"/>
    </row>
    <row r="694" spans="1:20" s="120" customFormat="1" ht="20.100000000000001" customHeight="1">
      <c r="A694" s="1215" t="s">
        <v>4986</v>
      </c>
      <c r="B694" s="1215" t="s">
        <v>4685</v>
      </c>
      <c r="C694" s="1215" t="s">
        <v>5029</v>
      </c>
      <c r="D694" s="947">
        <v>875</v>
      </c>
      <c r="E694" s="947">
        <v>1150</v>
      </c>
      <c r="F694" s="947">
        <v>1150</v>
      </c>
      <c r="G694" s="234" t="s">
        <v>4904</v>
      </c>
      <c r="H694" s="22" t="s">
        <v>4903</v>
      </c>
      <c r="I694" s="51" t="s">
        <v>4902</v>
      </c>
      <c r="J694" s="51"/>
      <c r="K694" s="51">
        <v>31</v>
      </c>
      <c r="L694" s="116" t="s">
        <v>4539</v>
      </c>
      <c r="M694" s="15">
        <v>43054</v>
      </c>
      <c r="N694" s="15">
        <v>43089</v>
      </c>
      <c r="O694" s="61" t="s">
        <v>4961</v>
      </c>
      <c r="P694" s="128"/>
      <c r="Q694" s="52"/>
      <c r="R694" s="239" t="s">
        <v>4899</v>
      </c>
      <c r="S694" s="327" t="s">
        <v>4632</v>
      </c>
      <c r="T694" s="933"/>
    </row>
    <row r="695" spans="1:20" s="120" customFormat="1" ht="20.100000000000001" customHeight="1">
      <c r="A695" s="1215" t="s">
        <v>4986</v>
      </c>
      <c r="B695" s="1215" t="s">
        <v>4685</v>
      </c>
      <c r="C695" s="1215" t="s">
        <v>5029</v>
      </c>
      <c r="D695" s="248">
        <v>1100</v>
      </c>
      <c r="E695" s="248">
        <v>1600</v>
      </c>
      <c r="F695" s="248">
        <v>1600</v>
      </c>
      <c r="G695" s="234" t="s">
        <v>4572</v>
      </c>
      <c r="H695" s="36" t="s">
        <v>4635</v>
      </c>
      <c r="I695" s="51" t="s">
        <v>5031</v>
      </c>
      <c r="J695" s="30"/>
      <c r="K695" s="30">
        <v>35</v>
      </c>
      <c r="L695" s="116" t="s">
        <v>4539</v>
      </c>
      <c r="M695" s="15">
        <v>43060</v>
      </c>
      <c r="N695" s="15">
        <v>43076</v>
      </c>
      <c r="O695" s="61" t="s">
        <v>4545</v>
      </c>
      <c r="P695" s="129"/>
      <c r="Q695" s="167"/>
      <c r="R695" s="239" t="s">
        <v>4997</v>
      </c>
      <c r="S695" s="328" t="s">
        <v>4543</v>
      </c>
      <c r="T695" s="933"/>
    </row>
    <row r="696" spans="1:20" s="120" customFormat="1" ht="20.100000000000001" customHeight="1">
      <c r="A696" s="1215" t="s">
        <v>4986</v>
      </c>
      <c r="B696" s="1215" t="s">
        <v>4685</v>
      </c>
      <c r="C696" s="1215" t="s">
        <v>5029</v>
      </c>
      <c r="D696" s="952"/>
      <c r="E696" s="952"/>
      <c r="F696" s="952"/>
      <c r="G696" s="224" t="s">
        <v>4569</v>
      </c>
      <c r="H696" s="36" t="s">
        <v>4580</v>
      </c>
      <c r="I696" s="38" t="s">
        <v>4884</v>
      </c>
      <c r="J696" s="30"/>
      <c r="K696" s="10" t="s">
        <v>5030</v>
      </c>
      <c r="L696" s="116" t="s">
        <v>4539</v>
      </c>
      <c r="M696" s="6">
        <v>43057</v>
      </c>
      <c r="N696" s="6">
        <v>43069</v>
      </c>
      <c r="O696" s="14" t="s">
        <v>4921</v>
      </c>
      <c r="P696" s="7"/>
      <c r="Q696" s="7"/>
      <c r="R696" s="239" t="s">
        <v>1761</v>
      </c>
      <c r="S696" s="328" t="s">
        <v>4543</v>
      </c>
      <c r="T696" s="933"/>
    </row>
    <row r="697" spans="1:20" s="120" customFormat="1" ht="20.100000000000001" customHeight="1">
      <c r="A697" s="1215" t="s">
        <v>4986</v>
      </c>
      <c r="B697" s="1215" t="s">
        <v>4685</v>
      </c>
      <c r="C697" s="1215" t="s">
        <v>5029</v>
      </c>
      <c r="D697" s="247">
        <v>1000</v>
      </c>
      <c r="E697" s="247">
        <v>1200</v>
      </c>
      <c r="F697" s="247">
        <v>1200</v>
      </c>
      <c r="G697" s="70" t="s">
        <v>4542</v>
      </c>
      <c r="H697" s="36" t="s">
        <v>4565</v>
      </c>
      <c r="I697" s="38" t="s">
        <v>4902</v>
      </c>
      <c r="J697" s="30"/>
      <c r="K697" s="10"/>
      <c r="L697" s="116" t="s">
        <v>4539</v>
      </c>
      <c r="M697" s="15">
        <v>43065</v>
      </c>
      <c r="N697" s="15">
        <v>43083</v>
      </c>
      <c r="O697" s="61" t="s">
        <v>4961</v>
      </c>
      <c r="P697" s="7"/>
      <c r="Q697" s="7"/>
      <c r="R697" s="239" t="s">
        <v>5028</v>
      </c>
      <c r="S697" s="327" t="s">
        <v>5027</v>
      </c>
      <c r="T697" s="933"/>
    </row>
    <row r="698" spans="1:20" s="120" customFormat="1" ht="20.100000000000001" customHeight="1">
      <c r="A698" s="1215" t="s">
        <v>5016</v>
      </c>
      <c r="B698" s="1215" t="s">
        <v>4685</v>
      </c>
      <c r="C698" s="1215" t="s">
        <v>5026</v>
      </c>
      <c r="D698" s="958">
        <f>D211+375+25</f>
        <v>1125</v>
      </c>
      <c r="E698" s="958">
        <f>E211+750+50</f>
        <v>2150</v>
      </c>
      <c r="F698" s="958">
        <f>F211+750+50</f>
        <v>2200</v>
      </c>
      <c r="G698" s="12" t="s">
        <v>4566</v>
      </c>
      <c r="H698" s="36" t="s">
        <v>4556</v>
      </c>
      <c r="I698" s="51" t="s">
        <v>4595</v>
      </c>
      <c r="J698" s="30"/>
      <c r="K698" s="38"/>
      <c r="L698" s="116" t="s">
        <v>4539</v>
      </c>
      <c r="M698" s="15">
        <v>43084</v>
      </c>
      <c r="N698" s="15">
        <v>43100</v>
      </c>
      <c r="O698" s="61" t="s">
        <v>4674</v>
      </c>
      <c r="P698" s="61"/>
      <c r="Q698" s="61"/>
      <c r="R698" s="239"/>
      <c r="S698" s="327" t="s">
        <v>4561</v>
      </c>
      <c r="T698" s="933"/>
    </row>
    <row r="699" spans="1:20" s="120" customFormat="1" ht="20.100000000000001" customHeight="1">
      <c r="A699" s="1215" t="s">
        <v>5016</v>
      </c>
      <c r="B699" s="1215" t="s">
        <v>4685</v>
      </c>
      <c r="C699" s="1215" t="s">
        <v>5026</v>
      </c>
      <c r="D699" s="201"/>
      <c r="E699" s="201"/>
      <c r="F699" s="201"/>
      <c r="G699" s="110" t="s">
        <v>4553</v>
      </c>
      <c r="H699" s="56" t="s">
        <v>4649</v>
      </c>
      <c r="I699" s="51" t="s">
        <v>4999</v>
      </c>
      <c r="J699" s="140"/>
      <c r="K699" s="38">
        <v>34</v>
      </c>
      <c r="L699" s="116" t="s">
        <v>4539</v>
      </c>
      <c r="M699" s="6">
        <v>43085</v>
      </c>
      <c r="N699" s="6">
        <v>43100</v>
      </c>
      <c r="O699" s="134" t="s">
        <v>4545</v>
      </c>
      <c r="P699" s="7"/>
      <c r="Q699" s="171"/>
      <c r="R699" s="239" t="s">
        <v>4988</v>
      </c>
      <c r="S699" s="326" t="s">
        <v>4987</v>
      </c>
      <c r="T699" s="933"/>
    </row>
    <row r="700" spans="1:20" s="120" customFormat="1" ht="20.100000000000001" customHeight="1">
      <c r="A700" s="1215" t="s">
        <v>4986</v>
      </c>
      <c r="B700" s="1215" t="s">
        <v>5015</v>
      </c>
      <c r="C700" s="1215" t="s">
        <v>5019</v>
      </c>
      <c r="D700" s="894">
        <v>1350</v>
      </c>
      <c r="E700" s="894">
        <v>1900</v>
      </c>
      <c r="F700" s="894">
        <v>1900</v>
      </c>
      <c r="G700" s="218" t="s">
        <v>5010</v>
      </c>
      <c r="H700" s="56" t="s">
        <v>4552</v>
      </c>
      <c r="I700" s="51" t="s">
        <v>4725</v>
      </c>
      <c r="J700" s="50"/>
      <c r="K700" s="34" t="s">
        <v>5025</v>
      </c>
      <c r="L700" s="116" t="s">
        <v>4539</v>
      </c>
      <c r="M700" s="6">
        <v>43087</v>
      </c>
      <c r="N700" s="6">
        <v>43087</v>
      </c>
      <c r="O700" s="61" t="s">
        <v>5024</v>
      </c>
      <c r="P700" s="59"/>
      <c r="Q700" s="167"/>
      <c r="R700" s="239" t="s">
        <v>5007</v>
      </c>
      <c r="S700" s="327" t="s">
        <v>5006</v>
      </c>
      <c r="T700" s="933"/>
    </row>
    <row r="701" spans="1:20" s="120" customFormat="1" ht="20.100000000000001" customHeight="1">
      <c r="A701" s="1215" t="s">
        <v>4986</v>
      </c>
      <c r="B701" s="1215" t="s">
        <v>5015</v>
      </c>
      <c r="C701" s="1215" t="s">
        <v>5019</v>
      </c>
      <c r="D701" s="952">
        <v>1275</v>
      </c>
      <c r="E701" s="952">
        <v>1750</v>
      </c>
      <c r="F701" s="952">
        <v>1750</v>
      </c>
      <c r="G701" s="65" t="s">
        <v>4553</v>
      </c>
      <c r="H701" s="56" t="s">
        <v>4649</v>
      </c>
      <c r="I701" s="38" t="s">
        <v>4989</v>
      </c>
      <c r="J701" s="127"/>
      <c r="K701" s="50" t="s">
        <v>4968</v>
      </c>
      <c r="L701" s="118" t="s">
        <v>4539</v>
      </c>
      <c r="M701" s="6">
        <v>43085</v>
      </c>
      <c r="N701" s="6">
        <v>43100</v>
      </c>
      <c r="O701" s="134" t="s">
        <v>4545</v>
      </c>
      <c r="P701" s="59"/>
      <c r="Q701" s="171"/>
      <c r="R701" s="239" t="s">
        <v>4988</v>
      </c>
      <c r="S701" s="326" t="s">
        <v>4987</v>
      </c>
      <c r="T701" s="933"/>
    </row>
    <row r="702" spans="1:20" s="120" customFormat="1" ht="20.100000000000001" customHeight="1">
      <c r="A702" s="1215" t="s">
        <v>4986</v>
      </c>
      <c r="B702" s="1215" t="s">
        <v>5015</v>
      </c>
      <c r="C702" s="1215" t="s">
        <v>5019</v>
      </c>
      <c r="D702" s="948">
        <v>1350</v>
      </c>
      <c r="E702" s="948">
        <v>1900</v>
      </c>
      <c r="F702" s="948">
        <v>1900</v>
      </c>
      <c r="G702" s="65" t="s">
        <v>4549</v>
      </c>
      <c r="H702" s="56" t="s">
        <v>4649</v>
      </c>
      <c r="I702" s="38" t="s">
        <v>4999</v>
      </c>
      <c r="J702" s="127"/>
      <c r="K702" s="50" t="s">
        <v>5023</v>
      </c>
      <c r="L702" s="118" t="s">
        <v>4539</v>
      </c>
      <c r="M702" s="6">
        <v>43085</v>
      </c>
      <c r="N702" s="6">
        <v>43100</v>
      </c>
      <c r="O702" s="61" t="s">
        <v>4545</v>
      </c>
      <c r="P702" s="59"/>
      <c r="Q702" s="171"/>
      <c r="R702" s="239" t="s">
        <v>5001</v>
      </c>
      <c r="S702" s="328" t="s">
        <v>4543</v>
      </c>
      <c r="T702" s="933"/>
    </row>
    <row r="703" spans="1:20" s="120" customFormat="1" ht="20.100000000000001" customHeight="1">
      <c r="A703" s="1215" t="s">
        <v>4986</v>
      </c>
      <c r="B703" s="1215" t="s">
        <v>5015</v>
      </c>
      <c r="C703" s="1215" t="s">
        <v>5019</v>
      </c>
      <c r="D703" s="247">
        <v>675</v>
      </c>
      <c r="E703" s="247">
        <v>800</v>
      </c>
      <c r="F703" s="247">
        <v>800</v>
      </c>
      <c r="G703" s="70" t="s">
        <v>4566</v>
      </c>
      <c r="H703" s="36" t="s">
        <v>4649</v>
      </c>
      <c r="I703" s="51" t="s">
        <v>4999</v>
      </c>
      <c r="J703" s="34"/>
      <c r="K703" s="34" t="s">
        <v>4665</v>
      </c>
      <c r="L703" s="116" t="s">
        <v>4539</v>
      </c>
      <c r="M703" s="15">
        <v>43076</v>
      </c>
      <c r="N703" s="15">
        <v>43100</v>
      </c>
      <c r="O703" s="61" t="s">
        <v>4563</v>
      </c>
      <c r="P703" s="59"/>
      <c r="Q703" s="167"/>
      <c r="R703" s="239" t="s">
        <v>4998</v>
      </c>
      <c r="S703" s="327" t="s">
        <v>4561</v>
      </c>
      <c r="T703" s="933"/>
    </row>
    <row r="704" spans="1:20" s="120" customFormat="1" ht="20.100000000000001" customHeight="1">
      <c r="A704" s="1215" t="s">
        <v>4986</v>
      </c>
      <c r="B704" s="1215" t="s">
        <v>5015</v>
      </c>
      <c r="C704" s="1215" t="s">
        <v>5019</v>
      </c>
      <c r="D704" s="947">
        <f>D582+250</f>
        <v>900</v>
      </c>
      <c r="E704" s="947">
        <f>E582+550</f>
        <v>1350</v>
      </c>
      <c r="F704" s="947">
        <f>F582+550</f>
        <v>1350</v>
      </c>
      <c r="G704" s="222" t="s">
        <v>4557</v>
      </c>
      <c r="H704" s="36" t="s">
        <v>4649</v>
      </c>
      <c r="I704" s="38" t="s">
        <v>4999</v>
      </c>
      <c r="J704" s="30"/>
      <c r="K704" s="51" t="s">
        <v>4601</v>
      </c>
      <c r="L704" s="116" t="s">
        <v>4539</v>
      </c>
      <c r="M704" s="6">
        <v>43084</v>
      </c>
      <c r="N704" s="6">
        <v>43100</v>
      </c>
      <c r="O704" s="61" t="s">
        <v>4961</v>
      </c>
      <c r="P704" s="129"/>
      <c r="Q704" s="167"/>
      <c r="R704" s="239" t="s">
        <v>4998</v>
      </c>
      <c r="S704" s="327" t="s">
        <v>4973</v>
      </c>
      <c r="T704" s="933"/>
    </row>
    <row r="705" spans="1:20" s="120" customFormat="1" ht="20.100000000000001" customHeight="1">
      <c r="A705" s="1215" t="s">
        <v>4986</v>
      </c>
      <c r="B705" s="1215" t="s">
        <v>5015</v>
      </c>
      <c r="C705" s="1215" t="s">
        <v>5019</v>
      </c>
      <c r="D705" s="949">
        <v>700</v>
      </c>
      <c r="E705" s="949">
        <v>900</v>
      </c>
      <c r="F705" s="949">
        <v>900</v>
      </c>
      <c r="G705" s="63" t="s">
        <v>4645</v>
      </c>
      <c r="H705" s="36" t="s">
        <v>4649</v>
      </c>
      <c r="I705" s="38" t="s">
        <v>4999</v>
      </c>
      <c r="J705" s="30"/>
      <c r="K705" s="38">
        <v>34</v>
      </c>
      <c r="L705" s="116" t="s">
        <v>4539</v>
      </c>
      <c r="M705" s="6">
        <v>43066</v>
      </c>
      <c r="N705" s="6">
        <v>43093</v>
      </c>
      <c r="O705" s="61" t="s">
        <v>4961</v>
      </c>
      <c r="P705" s="128"/>
      <c r="Q705" s="167"/>
      <c r="R705" s="240" t="s">
        <v>4998</v>
      </c>
      <c r="S705" s="326" t="s">
        <v>4641</v>
      </c>
      <c r="T705" s="933"/>
    </row>
    <row r="706" spans="1:20" s="120" customFormat="1" ht="20.100000000000001" customHeight="1">
      <c r="A706" s="1215" t="s">
        <v>4986</v>
      </c>
      <c r="B706" s="1215" t="s">
        <v>5015</v>
      </c>
      <c r="C706" s="1215" t="s">
        <v>5019</v>
      </c>
      <c r="D706" s="947">
        <v>775</v>
      </c>
      <c r="E706" s="947">
        <v>950</v>
      </c>
      <c r="F706" s="947">
        <v>950</v>
      </c>
      <c r="G706" s="293" t="s">
        <v>4904</v>
      </c>
      <c r="H706" s="22" t="s">
        <v>4903</v>
      </c>
      <c r="I706" s="51" t="s">
        <v>4902</v>
      </c>
      <c r="J706" s="34"/>
      <c r="K706" s="51">
        <v>33</v>
      </c>
      <c r="L706" s="116" t="s">
        <v>4539</v>
      </c>
      <c r="M706" s="15">
        <v>43054</v>
      </c>
      <c r="N706" s="15">
        <v>43089</v>
      </c>
      <c r="O706" s="61" t="s">
        <v>4961</v>
      </c>
      <c r="P706" s="128"/>
      <c r="Q706" s="52"/>
      <c r="R706" s="239" t="s">
        <v>4899</v>
      </c>
      <c r="S706" s="327" t="s">
        <v>4632</v>
      </c>
      <c r="T706" s="933"/>
    </row>
    <row r="707" spans="1:20" s="120" customFormat="1" ht="20.100000000000001" customHeight="1">
      <c r="A707" s="1215" t="s">
        <v>4986</v>
      </c>
      <c r="B707" s="1215" t="s">
        <v>5015</v>
      </c>
      <c r="C707" s="1215" t="s">
        <v>5019</v>
      </c>
      <c r="D707" s="949">
        <v>825</v>
      </c>
      <c r="E707" s="949">
        <v>1100</v>
      </c>
      <c r="F707" s="949">
        <v>1100</v>
      </c>
      <c r="G707" s="29" t="s">
        <v>5022</v>
      </c>
      <c r="H707" s="56" t="s">
        <v>4635</v>
      </c>
      <c r="I707" s="38" t="s">
        <v>4725</v>
      </c>
      <c r="J707" s="30"/>
      <c r="K707" s="34" t="s">
        <v>4601</v>
      </c>
      <c r="L707" s="116" t="s">
        <v>4539</v>
      </c>
      <c r="M707" s="6">
        <v>43073</v>
      </c>
      <c r="N707" s="6">
        <v>43083</v>
      </c>
      <c r="O707" s="61" t="s">
        <v>4961</v>
      </c>
      <c r="P707" s="126"/>
      <c r="Q707" s="167"/>
      <c r="R707" s="239" t="s">
        <v>4997</v>
      </c>
      <c r="S707" s="328" t="s">
        <v>1762</v>
      </c>
      <c r="T707" s="933"/>
    </row>
    <row r="708" spans="1:20" s="120" customFormat="1" ht="20.100000000000001" customHeight="1">
      <c r="A708" s="1215" t="s">
        <v>4986</v>
      </c>
      <c r="B708" s="1215" t="s">
        <v>5015</v>
      </c>
      <c r="C708" s="1215" t="s">
        <v>5019</v>
      </c>
      <c r="D708" s="320">
        <v>1025</v>
      </c>
      <c r="E708" s="320">
        <f>D708*2-700</f>
        <v>1350</v>
      </c>
      <c r="F708" s="320">
        <f>D708*2-650</f>
        <v>1400</v>
      </c>
      <c r="G708" s="293" t="s">
        <v>4575</v>
      </c>
      <c r="H708" s="56" t="s">
        <v>4635</v>
      </c>
      <c r="I708" s="38" t="s">
        <v>4725</v>
      </c>
      <c r="J708" s="30"/>
      <c r="K708" s="34" t="s">
        <v>4601</v>
      </c>
      <c r="L708" s="116" t="s">
        <v>4539</v>
      </c>
      <c r="M708" s="15">
        <v>43084</v>
      </c>
      <c r="N708" s="15">
        <v>43100</v>
      </c>
      <c r="O708" s="61" t="s">
        <v>4545</v>
      </c>
      <c r="P708" s="129"/>
      <c r="Q708" s="167"/>
      <c r="R708" s="21" t="s">
        <v>4882</v>
      </c>
      <c r="S708" s="327" t="s">
        <v>4576</v>
      </c>
      <c r="T708" s="933"/>
    </row>
    <row r="709" spans="1:20" s="120" customFormat="1" ht="20.100000000000001" customHeight="1">
      <c r="A709" s="1215" t="s">
        <v>4986</v>
      </c>
      <c r="B709" s="1215" t="s">
        <v>5015</v>
      </c>
      <c r="C709" s="1215" t="s">
        <v>5019</v>
      </c>
      <c r="D709" s="248">
        <v>1050</v>
      </c>
      <c r="E709" s="248">
        <v>1300</v>
      </c>
      <c r="F709" s="248">
        <v>1300</v>
      </c>
      <c r="G709" s="234" t="s">
        <v>4572</v>
      </c>
      <c r="H709" s="56" t="s">
        <v>4635</v>
      </c>
      <c r="I709" s="51" t="s">
        <v>4725</v>
      </c>
      <c r="J709" s="34"/>
      <c r="K709" s="34" t="s">
        <v>4601</v>
      </c>
      <c r="L709" s="116" t="s">
        <v>4539</v>
      </c>
      <c r="M709" s="15">
        <v>43060</v>
      </c>
      <c r="N709" s="15">
        <v>43076</v>
      </c>
      <c r="O709" s="134" t="s">
        <v>4545</v>
      </c>
      <c r="P709" s="139"/>
      <c r="Q709" s="167"/>
      <c r="R709" s="239" t="s">
        <v>4997</v>
      </c>
      <c r="S709" s="328" t="s">
        <v>4543</v>
      </c>
      <c r="T709" s="933"/>
    </row>
    <row r="710" spans="1:20" s="120" customFormat="1" ht="20.100000000000001" customHeight="1">
      <c r="A710" s="1215" t="s">
        <v>4986</v>
      </c>
      <c r="B710" s="1215" t="s">
        <v>5015</v>
      </c>
      <c r="C710" s="1215" t="s">
        <v>5019</v>
      </c>
      <c r="D710" s="947">
        <v>775</v>
      </c>
      <c r="E710" s="947">
        <v>950</v>
      </c>
      <c r="F710" s="947">
        <v>950</v>
      </c>
      <c r="G710" s="293" t="s">
        <v>4904</v>
      </c>
      <c r="H710" s="56" t="s">
        <v>4635</v>
      </c>
      <c r="I710" s="51" t="s">
        <v>4725</v>
      </c>
      <c r="J710" s="34"/>
      <c r="K710" s="34" t="s">
        <v>4601</v>
      </c>
      <c r="L710" s="116" t="s">
        <v>4539</v>
      </c>
      <c r="M710" s="15">
        <v>43054</v>
      </c>
      <c r="N710" s="15">
        <v>43089</v>
      </c>
      <c r="O710" s="61" t="s">
        <v>4961</v>
      </c>
      <c r="P710" s="139"/>
      <c r="Q710" s="167"/>
      <c r="R710" s="239" t="s">
        <v>5021</v>
      </c>
      <c r="S710" s="327" t="s">
        <v>4632</v>
      </c>
      <c r="T710" s="933"/>
    </row>
    <row r="711" spans="1:20" s="120" customFormat="1" ht="20.100000000000001" customHeight="1">
      <c r="A711" s="1215" t="s">
        <v>4986</v>
      </c>
      <c r="B711" s="1215" t="s">
        <v>5015</v>
      </c>
      <c r="C711" s="1215" t="s">
        <v>5019</v>
      </c>
      <c r="D711" s="247">
        <v>850</v>
      </c>
      <c r="E711" s="247">
        <v>1000</v>
      </c>
      <c r="F711" s="247">
        <v>1000</v>
      </c>
      <c r="G711" s="70" t="s">
        <v>4542</v>
      </c>
      <c r="H711" s="56" t="s">
        <v>4635</v>
      </c>
      <c r="I711" s="38" t="s">
        <v>4725</v>
      </c>
      <c r="J711" s="30"/>
      <c r="K711" s="51" t="s">
        <v>4739</v>
      </c>
      <c r="L711" s="116" t="s">
        <v>4539</v>
      </c>
      <c r="M711" s="15">
        <v>43065</v>
      </c>
      <c r="N711" s="15">
        <v>43083</v>
      </c>
      <c r="O711" s="61" t="s">
        <v>4961</v>
      </c>
      <c r="P711" s="129"/>
      <c r="Q711" s="167"/>
      <c r="R711" s="239" t="s">
        <v>5020</v>
      </c>
      <c r="S711" s="327" t="s">
        <v>4959</v>
      </c>
      <c r="T711" s="933"/>
    </row>
    <row r="712" spans="1:20" s="120" customFormat="1" ht="20.100000000000001" customHeight="1">
      <c r="A712" s="1215" t="s">
        <v>4986</v>
      </c>
      <c r="B712" s="1215" t="s">
        <v>5015</v>
      </c>
      <c r="C712" s="1215" t="s">
        <v>5019</v>
      </c>
      <c r="D712" s="952"/>
      <c r="E712" s="952"/>
      <c r="F712" s="952"/>
      <c r="G712" s="224" t="s">
        <v>4569</v>
      </c>
      <c r="H712" s="36" t="s">
        <v>4580</v>
      </c>
      <c r="I712" s="38" t="s">
        <v>4884</v>
      </c>
      <c r="J712" s="30"/>
      <c r="K712" s="10" t="s">
        <v>4546</v>
      </c>
      <c r="L712" s="116" t="s">
        <v>4539</v>
      </c>
      <c r="M712" s="6">
        <v>43057</v>
      </c>
      <c r="N712" s="6">
        <v>43069</v>
      </c>
      <c r="O712" s="14" t="s">
        <v>4921</v>
      </c>
      <c r="P712" s="7"/>
      <c r="Q712" s="7"/>
      <c r="R712" s="239" t="s">
        <v>1761</v>
      </c>
      <c r="S712" s="328" t="s">
        <v>4543</v>
      </c>
      <c r="T712" s="933"/>
    </row>
    <row r="713" spans="1:20" s="120" customFormat="1" ht="20.100000000000001" customHeight="1">
      <c r="A713" s="919" t="s">
        <v>4986</v>
      </c>
      <c r="B713" s="919" t="s">
        <v>5015</v>
      </c>
      <c r="C713" s="919" t="s">
        <v>5018</v>
      </c>
      <c r="D713" s="957"/>
      <c r="E713" s="957"/>
      <c r="F713" s="957"/>
      <c r="G713" s="234" t="s">
        <v>4572</v>
      </c>
      <c r="H713" s="56" t="s">
        <v>4552</v>
      </c>
      <c r="I713" s="51" t="s">
        <v>4885</v>
      </c>
      <c r="J713" s="30"/>
      <c r="K713" s="30" t="s">
        <v>4739</v>
      </c>
      <c r="L713" s="116" t="s">
        <v>4539</v>
      </c>
      <c r="M713" s="15">
        <v>43060</v>
      </c>
      <c r="N713" s="15">
        <v>43076</v>
      </c>
      <c r="O713" s="61" t="s">
        <v>4545</v>
      </c>
      <c r="P713" s="129"/>
      <c r="Q713" s="167"/>
      <c r="R713" s="239" t="s">
        <v>4584</v>
      </c>
      <c r="S713" s="328" t="s">
        <v>4543</v>
      </c>
      <c r="T713" s="933"/>
    </row>
    <row r="714" spans="1:20" s="120" customFormat="1" ht="20.100000000000001" customHeight="1">
      <c r="A714" s="1215" t="s">
        <v>5016</v>
      </c>
      <c r="B714" s="1215" t="s">
        <v>5015</v>
      </c>
      <c r="C714" s="1215" t="s">
        <v>5017</v>
      </c>
      <c r="D714" s="948">
        <v>1350</v>
      </c>
      <c r="E714" s="948">
        <v>1900</v>
      </c>
      <c r="F714" s="948">
        <v>1900</v>
      </c>
      <c r="G714" s="65" t="s">
        <v>4549</v>
      </c>
      <c r="H714" s="56" t="s">
        <v>4649</v>
      </c>
      <c r="I714" s="38" t="s">
        <v>4999</v>
      </c>
      <c r="J714" s="127"/>
      <c r="K714" s="50" t="s">
        <v>4940</v>
      </c>
      <c r="L714" s="118" t="s">
        <v>4539</v>
      </c>
      <c r="M714" s="6">
        <v>43085</v>
      </c>
      <c r="N714" s="6">
        <v>43100</v>
      </c>
      <c r="O714" s="61" t="s">
        <v>4545</v>
      </c>
      <c r="P714" s="59"/>
      <c r="Q714" s="171"/>
      <c r="R714" s="239" t="s">
        <v>5001</v>
      </c>
      <c r="S714" s="328" t="s">
        <v>4543</v>
      </c>
      <c r="T714" s="933"/>
    </row>
    <row r="715" spans="1:20" s="120" customFormat="1" ht="20.100000000000001" customHeight="1">
      <c r="A715" s="1215" t="s">
        <v>5016</v>
      </c>
      <c r="B715" s="1215" t="s">
        <v>5015</v>
      </c>
      <c r="C715" s="1215" t="s">
        <v>5017</v>
      </c>
      <c r="D715" s="952">
        <v>1275</v>
      </c>
      <c r="E715" s="952">
        <v>1750</v>
      </c>
      <c r="F715" s="952">
        <v>1750</v>
      </c>
      <c r="G715" s="65" t="s">
        <v>4553</v>
      </c>
      <c r="H715" s="56" t="s">
        <v>4649</v>
      </c>
      <c r="I715" s="38" t="s">
        <v>4989</v>
      </c>
      <c r="J715" s="127"/>
      <c r="K715" s="50" t="s">
        <v>4968</v>
      </c>
      <c r="L715" s="118" t="s">
        <v>4539</v>
      </c>
      <c r="M715" s="6">
        <v>43085</v>
      </c>
      <c r="N715" s="6">
        <v>43100</v>
      </c>
      <c r="O715" s="134" t="s">
        <v>4545</v>
      </c>
      <c r="P715" s="59"/>
      <c r="Q715" s="171"/>
      <c r="R715" s="239" t="s">
        <v>4988</v>
      </c>
      <c r="S715" s="326" t="s">
        <v>4987</v>
      </c>
      <c r="T715" s="933"/>
    </row>
    <row r="716" spans="1:20" s="120" customFormat="1" ht="20.100000000000001" customHeight="1">
      <c r="A716" s="1215" t="s">
        <v>5016</v>
      </c>
      <c r="B716" s="1215" t="s">
        <v>5015</v>
      </c>
      <c r="C716" s="1215" t="s">
        <v>5017</v>
      </c>
      <c r="D716" s="247"/>
      <c r="E716" s="247"/>
      <c r="F716" s="247"/>
      <c r="G716" s="70" t="s">
        <v>4566</v>
      </c>
      <c r="H716" s="36" t="s">
        <v>4649</v>
      </c>
      <c r="I716" s="51" t="s">
        <v>4999</v>
      </c>
      <c r="J716" s="127"/>
      <c r="K716" s="50" t="s">
        <v>4601</v>
      </c>
      <c r="L716" s="118" t="s">
        <v>4539</v>
      </c>
      <c r="M716" s="15">
        <v>43076</v>
      </c>
      <c r="N716" s="15">
        <v>43100</v>
      </c>
      <c r="O716" s="61" t="s">
        <v>4563</v>
      </c>
      <c r="P716" s="59"/>
      <c r="Q716" s="167"/>
      <c r="R716" s="239" t="s">
        <v>4998</v>
      </c>
      <c r="S716" s="327" t="s">
        <v>4561</v>
      </c>
      <c r="T716" s="933"/>
    </row>
    <row r="717" spans="1:20" s="120" customFormat="1" ht="20.100000000000001" customHeight="1">
      <c r="A717" s="237" t="s">
        <v>5016</v>
      </c>
      <c r="B717" s="919" t="s">
        <v>5015</v>
      </c>
      <c r="C717" s="919" t="s">
        <v>5014</v>
      </c>
      <c r="D717" s="948">
        <v>1350</v>
      </c>
      <c r="E717" s="948">
        <v>1900</v>
      </c>
      <c r="F717" s="948">
        <v>1900</v>
      </c>
      <c r="G717" s="65" t="s">
        <v>4549</v>
      </c>
      <c r="H717" s="56" t="s">
        <v>4649</v>
      </c>
      <c r="I717" s="38" t="s">
        <v>4999</v>
      </c>
      <c r="J717" s="127"/>
      <c r="K717" s="50" t="s">
        <v>4739</v>
      </c>
      <c r="L717" s="118" t="s">
        <v>4539</v>
      </c>
      <c r="M717" s="6">
        <v>43085</v>
      </c>
      <c r="N717" s="6">
        <v>43100</v>
      </c>
      <c r="O717" s="61" t="s">
        <v>4545</v>
      </c>
      <c r="P717" s="59"/>
      <c r="Q717" s="171"/>
      <c r="R717" s="239" t="s">
        <v>5001</v>
      </c>
      <c r="S717" s="328" t="s">
        <v>4543</v>
      </c>
      <c r="T717" s="933"/>
    </row>
    <row r="718" spans="1:20" s="120" customFormat="1" ht="20.100000000000001" customHeight="1">
      <c r="A718" s="1215" t="s">
        <v>4986</v>
      </c>
      <c r="B718" s="1215" t="s">
        <v>5012</v>
      </c>
      <c r="C718" s="1215" t="s">
        <v>5013</v>
      </c>
      <c r="D718" s="248">
        <v>1400</v>
      </c>
      <c r="E718" s="248">
        <v>2000</v>
      </c>
      <c r="F718" s="248">
        <v>2000</v>
      </c>
      <c r="G718" s="220" t="s">
        <v>5010</v>
      </c>
      <c r="H718" s="22" t="s">
        <v>4552</v>
      </c>
      <c r="I718" s="20" t="s">
        <v>5009</v>
      </c>
      <c r="J718" s="50"/>
      <c r="K718" s="50">
        <v>30</v>
      </c>
      <c r="L718" s="116" t="s">
        <v>4539</v>
      </c>
      <c r="M718" s="6">
        <v>43070</v>
      </c>
      <c r="N718" s="6">
        <v>43083</v>
      </c>
      <c r="O718" s="61" t="s">
        <v>5008</v>
      </c>
      <c r="P718" s="59"/>
      <c r="Q718" s="167"/>
      <c r="R718" s="239" t="s">
        <v>5007</v>
      </c>
      <c r="S718" s="327" t="s">
        <v>5006</v>
      </c>
      <c r="T718" s="933"/>
    </row>
    <row r="719" spans="1:20" s="120" customFormat="1" ht="20.100000000000001" customHeight="1">
      <c r="A719" s="1215" t="s">
        <v>4986</v>
      </c>
      <c r="B719" s="1215" t="s">
        <v>5012</v>
      </c>
      <c r="C719" s="1215" t="s">
        <v>5013</v>
      </c>
      <c r="D719" s="952">
        <v>1225</v>
      </c>
      <c r="E719" s="952">
        <v>1900</v>
      </c>
      <c r="F719" s="952">
        <v>1900</v>
      </c>
      <c r="G719" s="3" t="s">
        <v>4553</v>
      </c>
      <c r="H719" s="22" t="s">
        <v>4649</v>
      </c>
      <c r="I719" s="20" t="s">
        <v>4989</v>
      </c>
      <c r="J719" s="140"/>
      <c r="K719" s="37">
        <v>34</v>
      </c>
      <c r="L719" s="116" t="s">
        <v>4539</v>
      </c>
      <c r="M719" s="6">
        <v>43085</v>
      </c>
      <c r="N719" s="6">
        <v>43100</v>
      </c>
      <c r="O719" s="134" t="s">
        <v>4545</v>
      </c>
      <c r="P719" s="129"/>
      <c r="Q719" s="171"/>
      <c r="R719" s="239" t="s">
        <v>4988</v>
      </c>
      <c r="S719" s="326" t="s">
        <v>4987</v>
      </c>
      <c r="T719" s="933"/>
    </row>
    <row r="720" spans="1:20" s="120" customFormat="1" ht="20.100000000000001" customHeight="1">
      <c r="A720" s="1215" t="s">
        <v>4986</v>
      </c>
      <c r="B720" s="1215" t="s">
        <v>5012</v>
      </c>
      <c r="C720" s="1215" t="s">
        <v>5013</v>
      </c>
      <c r="D720" s="956">
        <v>1325</v>
      </c>
      <c r="E720" s="956">
        <v>2050</v>
      </c>
      <c r="F720" s="956">
        <v>2050</v>
      </c>
      <c r="G720" s="3" t="s">
        <v>4549</v>
      </c>
      <c r="H720" s="22" t="s">
        <v>4649</v>
      </c>
      <c r="I720" s="20" t="s">
        <v>4999</v>
      </c>
      <c r="J720" s="140"/>
      <c r="K720" s="37" t="s">
        <v>4940</v>
      </c>
      <c r="L720" s="118" t="s">
        <v>4539</v>
      </c>
      <c r="M720" s="6">
        <v>43085</v>
      </c>
      <c r="N720" s="6">
        <v>43100</v>
      </c>
      <c r="O720" s="61" t="s">
        <v>4545</v>
      </c>
      <c r="P720" s="129"/>
      <c r="Q720" s="171"/>
      <c r="R720" s="239" t="s">
        <v>5001</v>
      </c>
      <c r="S720" s="328" t="s">
        <v>4543</v>
      </c>
      <c r="T720" s="933"/>
    </row>
    <row r="721" spans="1:68" s="120" customFormat="1" ht="20.100000000000001" customHeight="1">
      <c r="A721" s="1215" t="s">
        <v>4986</v>
      </c>
      <c r="B721" s="1215" t="s">
        <v>5012</v>
      </c>
      <c r="C721" s="1215" t="s">
        <v>5013</v>
      </c>
      <c r="D721" s="247">
        <v>875</v>
      </c>
      <c r="E721" s="247">
        <v>1100</v>
      </c>
      <c r="F721" s="247">
        <v>1100</v>
      </c>
      <c r="G721" s="70" t="s">
        <v>4566</v>
      </c>
      <c r="H721" s="36" t="s">
        <v>4649</v>
      </c>
      <c r="I721" s="51" t="s">
        <v>4999</v>
      </c>
      <c r="J721" s="50"/>
      <c r="K721" s="50" t="s">
        <v>4601</v>
      </c>
      <c r="L721" s="116" t="s">
        <v>4539</v>
      </c>
      <c r="M721" s="15">
        <v>43076</v>
      </c>
      <c r="N721" s="15">
        <v>43100</v>
      </c>
      <c r="O721" s="61" t="s">
        <v>4563</v>
      </c>
      <c r="P721" s="59"/>
      <c r="Q721" s="167"/>
      <c r="R721" s="239" t="s">
        <v>4998</v>
      </c>
      <c r="S721" s="327" t="s">
        <v>4561</v>
      </c>
      <c r="T721" s="933"/>
    </row>
    <row r="722" spans="1:68" ht="20.100000000000001" customHeight="1">
      <c r="A722" s="1215" t="s">
        <v>4986</v>
      </c>
      <c r="B722" s="1215" t="s">
        <v>5012</v>
      </c>
      <c r="C722" s="1215" t="s">
        <v>5013</v>
      </c>
      <c r="D722" s="949">
        <v>1375</v>
      </c>
      <c r="E722" s="949">
        <v>2450</v>
      </c>
      <c r="F722" s="949">
        <v>2450</v>
      </c>
      <c r="G722" s="111" t="s">
        <v>4645</v>
      </c>
      <c r="H722" s="36" t="s">
        <v>4649</v>
      </c>
      <c r="I722" s="38" t="s">
        <v>4999</v>
      </c>
      <c r="J722" s="30"/>
      <c r="K722" s="38">
        <v>30</v>
      </c>
      <c r="L722" s="116" t="s">
        <v>4539</v>
      </c>
      <c r="M722" s="6">
        <v>43066</v>
      </c>
      <c r="N722" s="6">
        <v>43093</v>
      </c>
      <c r="O722" s="61" t="s">
        <v>4961</v>
      </c>
      <c r="P722" s="7"/>
      <c r="Q722" s="167"/>
      <c r="R722" s="240" t="s">
        <v>4998</v>
      </c>
      <c r="S722" s="326" t="s">
        <v>4641</v>
      </c>
      <c r="T722" s="933"/>
      <c r="U722" s="207"/>
      <c r="V722" s="115"/>
      <c r="W722" s="115"/>
      <c r="X722" s="115"/>
      <c r="Y722" s="115"/>
      <c r="Z722" s="115"/>
      <c r="AA722" s="115"/>
      <c r="AB722" s="115"/>
      <c r="AC722" s="115"/>
      <c r="AD722" s="115"/>
      <c r="AE722" s="115"/>
      <c r="AF722" s="115"/>
      <c r="AG722" s="115"/>
      <c r="AH722" s="115"/>
      <c r="AI722" s="115"/>
      <c r="AJ722" s="115"/>
      <c r="AK722" s="115"/>
      <c r="AL722" s="115"/>
      <c r="AM722" s="115"/>
      <c r="AN722" s="115"/>
      <c r="AO722" s="115"/>
      <c r="AP722" s="115"/>
      <c r="AQ722" s="115"/>
      <c r="AR722" s="115"/>
      <c r="AS722" s="115"/>
      <c r="AT722" s="115"/>
      <c r="AU722" s="115"/>
      <c r="AV722" s="115"/>
      <c r="AW722" s="115"/>
      <c r="AX722" s="115"/>
      <c r="AY722" s="115"/>
      <c r="AZ722" s="115"/>
      <c r="BA722" s="115"/>
      <c r="BB722" s="115"/>
      <c r="BC722" s="115"/>
      <c r="BD722" s="115"/>
      <c r="BE722" s="115"/>
      <c r="BF722" s="115"/>
      <c r="BG722" s="115"/>
      <c r="BH722" s="115"/>
      <c r="BI722" s="115"/>
      <c r="BJ722" s="115"/>
      <c r="BK722" s="115"/>
      <c r="BL722" s="115"/>
      <c r="BM722" s="115"/>
      <c r="BN722" s="115"/>
      <c r="BO722" s="115"/>
      <c r="BP722" s="115"/>
    </row>
    <row r="723" spans="1:68" ht="20.100000000000001" customHeight="1">
      <c r="A723" s="1215" t="s">
        <v>4986</v>
      </c>
      <c r="B723" s="1215" t="s">
        <v>5012</v>
      </c>
      <c r="C723" s="1215" t="s">
        <v>5013</v>
      </c>
      <c r="D723" s="947">
        <v>875</v>
      </c>
      <c r="E723" s="947">
        <v>1150</v>
      </c>
      <c r="F723" s="947">
        <v>1150</v>
      </c>
      <c r="G723" s="234" t="s">
        <v>4904</v>
      </c>
      <c r="H723" s="22" t="s">
        <v>4903</v>
      </c>
      <c r="I723" s="20" t="s">
        <v>4902</v>
      </c>
      <c r="J723" s="34"/>
      <c r="K723" s="51">
        <v>36</v>
      </c>
      <c r="L723" s="116" t="s">
        <v>4539</v>
      </c>
      <c r="M723" s="15">
        <v>43054</v>
      </c>
      <c r="N723" s="15">
        <v>43089</v>
      </c>
      <c r="O723" s="61" t="s">
        <v>4961</v>
      </c>
      <c r="P723" s="128"/>
      <c r="Q723" s="52"/>
      <c r="R723" s="239" t="s">
        <v>4899</v>
      </c>
      <c r="S723" s="327" t="s">
        <v>4632</v>
      </c>
      <c r="T723" s="933"/>
      <c r="U723" s="207"/>
      <c r="V723" s="115"/>
      <c r="W723" s="115"/>
      <c r="X723" s="115"/>
      <c r="Y723" s="115"/>
      <c r="Z723" s="115"/>
      <c r="AA723" s="115"/>
      <c r="AB723" s="115"/>
      <c r="AC723" s="115"/>
      <c r="AD723" s="115"/>
      <c r="AE723" s="115"/>
      <c r="AF723" s="115"/>
      <c r="AG723" s="115"/>
      <c r="AH723" s="115"/>
      <c r="AI723" s="115"/>
      <c r="AJ723" s="115"/>
      <c r="AK723" s="115"/>
      <c r="AL723" s="115"/>
      <c r="AM723" s="115"/>
      <c r="AN723" s="115"/>
      <c r="AO723" s="115"/>
      <c r="AP723" s="115"/>
      <c r="AQ723" s="115"/>
      <c r="AR723" s="115"/>
      <c r="AS723" s="115"/>
      <c r="AT723" s="115"/>
      <c r="AU723" s="115"/>
      <c r="AV723" s="115"/>
      <c r="AW723" s="115"/>
      <c r="AX723" s="115"/>
      <c r="AY723" s="115"/>
      <c r="AZ723" s="115"/>
      <c r="BA723" s="115"/>
      <c r="BB723" s="115"/>
      <c r="BC723" s="115"/>
      <c r="BD723" s="115"/>
      <c r="BE723" s="115"/>
      <c r="BF723" s="115"/>
      <c r="BG723" s="115"/>
      <c r="BH723" s="115"/>
      <c r="BI723" s="115"/>
      <c r="BJ723" s="115"/>
      <c r="BK723" s="115"/>
      <c r="BL723" s="115"/>
      <c r="BM723" s="115"/>
      <c r="BN723" s="115"/>
      <c r="BO723" s="115"/>
      <c r="BP723" s="115"/>
    </row>
    <row r="724" spans="1:68" s="120" customFormat="1" ht="20.100000000000001" customHeight="1">
      <c r="A724" s="1215" t="s">
        <v>4986</v>
      </c>
      <c r="B724" s="1215" t="s">
        <v>5012</v>
      </c>
      <c r="C724" s="1215" t="s">
        <v>5013</v>
      </c>
      <c r="D724" s="887">
        <v>1125</v>
      </c>
      <c r="E724" s="887">
        <f>D724*2-450</f>
        <v>1800</v>
      </c>
      <c r="F724" s="887">
        <f>D724*2-400</f>
        <v>1850</v>
      </c>
      <c r="G724" s="293" t="s">
        <v>4575</v>
      </c>
      <c r="H724" s="22" t="s">
        <v>4635</v>
      </c>
      <c r="I724" s="20" t="s">
        <v>5009</v>
      </c>
      <c r="J724" s="37"/>
      <c r="K724" s="37">
        <v>30</v>
      </c>
      <c r="L724" s="116" t="s">
        <v>4539</v>
      </c>
      <c r="M724" s="15">
        <v>43084</v>
      </c>
      <c r="N724" s="15">
        <v>43100</v>
      </c>
      <c r="O724" s="61" t="s">
        <v>4545</v>
      </c>
      <c r="P724" s="167"/>
      <c r="Q724" s="167"/>
      <c r="R724" s="21" t="s">
        <v>4882</v>
      </c>
      <c r="S724" s="327" t="s">
        <v>4576</v>
      </c>
      <c r="T724" s="933"/>
    </row>
    <row r="725" spans="1:68" s="120" customFormat="1" ht="20.100000000000001" customHeight="1">
      <c r="A725" s="1215" t="s">
        <v>4986</v>
      </c>
      <c r="B725" s="1215" t="s">
        <v>5012</v>
      </c>
      <c r="C725" s="1215" t="s">
        <v>5013</v>
      </c>
      <c r="D725" s="248">
        <v>1325</v>
      </c>
      <c r="E725" s="248">
        <v>1850</v>
      </c>
      <c r="F725" s="248">
        <v>1850</v>
      </c>
      <c r="G725" s="234" t="s">
        <v>4572</v>
      </c>
      <c r="H725" s="55" t="s">
        <v>4580</v>
      </c>
      <c r="I725" s="20" t="s">
        <v>4902</v>
      </c>
      <c r="J725" s="37"/>
      <c r="K725" s="30">
        <v>36</v>
      </c>
      <c r="L725" s="116" t="s">
        <v>4539</v>
      </c>
      <c r="M725" s="15">
        <v>43054</v>
      </c>
      <c r="N725" s="15">
        <v>43076</v>
      </c>
      <c r="O725" s="61" t="s">
        <v>4545</v>
      </c>
      <c r="P725" s="933"/>
      <c r="Q725" s="167"/>
      <c r="R725" s="239" t="s">
        <v>5002</v>
      </c>
      <c r="S725" s="328" t="s">
        <v>4543</v>
      </c>
      <c r="T725" s="933"/>
      <c r="U725" s="207"/>
    </row>
    <row r="726" spans="1:68" s="120" customFormat="1" ht="20.100000000000001" customHeight="1">
      <c r="A726" s="919" t="s">
        <v>4986</v>
      </c>
      <c r="B726" s="919" t="s">
        <v>5012</v>
      </c>
      <c r="C726" s="919" t="s">
        <v>5011</v>
      </c>
      <c r="D726" s="952">
        <v>1225</v>
      </c>
      <c r="E726" s="952">
        <v>1900</v>
      </c>
      <c r="F726" s="952">
        <v>1900</v>
      </c>
      <c r="G726" s="3" t="s">
        <v>4553</v>
      </c>
      <c r="H726" s="22" t="s">
        <v>4649</v>
      </c>
      <c r="I726" s="20" t="s">
        <v>4989</v>
      </c>
      <c r="J726" s="140"/>
      <c r="K726" s="37">
        <v>33</v>
      </c>
      <c r="L726" s="116" t="s">
        <v>4539</v>
      </c>
      <c r="M726" s="6">
        <v>43085</v>
      </c>
      <c r="N726" s="6">
        <v>43100</v>
      </c>
      <c r="O726" s="134" t="s">
        <v>4545</v>
      </c>
      <c r="P726" s="61"/>
      <c r="Q726" s="171"/>
      <c r="R726" s="239" t="s">
        <v>4988</v>
      </c>
      <c r="S726" s="326" t="s">
        <v>4987</v>
      </c>
      <c r="T726" s="933"/>
      <c r="U726" s="283"/>
    </row>
    <row r="727" spans="1:68" ht="20.100000000000001" customHeight="1">
      <c r="A727" s="1215" t="s">
        <v>4986</v>
      </c>
      <c r="B727" s="1215" t="s">
        <v>4994</v>
      </c>
      <c r="C727" s="1215" t="s">
        <v>5003</v>
      </c>
      <c r="D727" s="248">
        <v>1400</v>
      </c>
      <c r="E727" s="248">
        <v>2000</v>
      </c>
      <c r="F727" s="248">
        <v>2000</v>
      </c>
      <c r="G727" s="218" t="s">
        <v>5010</v>
      </c>
      <c r="H727" s="22" t="s">
        <v>4552</v>
      </c>
      <c r="I727" s="20" t="s">
        <v>5009</v>
      </c>
      <c r="J727" s="50"/>
      <c r="K727" s="51">
        <v>27</v>
      </c>
      <c r="L727" s="116" t="s">
        <v>4539</v>
      </c>
      <c r="M727" s="6">
        <v>43070</v>
      </c>
      <c r="N727" s="6">
        <v>43083</v>
      </c>
      <c r="O727" s="61" t="s">
        <v>5008</v>
      </c>
      <c r="P727" s="59"/>
      <c r="Q727" s="167"/>
      <c r="R727" s="239" t="s">
        <v>5007</v>
      </c>
      <c r="S727" s="327" t="s">
        <v>5006</v>
      </c>
      <c r="T727" s="933"/>
      <c r="U727" s="207"/>
      <c r="V727" s="115"/>
      <c r="W727" s="115"/>
      <c r="X727" s="115"/>
      <c r="Y727" s="115"/>
      <c r="Z727" s="115"/>
      <c r="AA727" s="115"/>
      <c r="AB727" s="115"/>
      <c r="AC727" s="115"/>
      <c r="AD727" s="115"/>
      <c r="AE727" s="115"/>
      <c r="AF727" s="115"/>
      <c r="AG727" s="115"/>
      <c r="AH727" s="115"/>
      <c r="AI727" s="115"/>
      <c r="AJ727" s="115"/>
      <c r="AK727" s="115"/>
      <c r="AL727" s="115"/>
      <c r="AM727" s="115"/>
      <c r="AN727" s="115"/>
      <c r="AO727" s="115"/>
      <c r="AP727" s="115"/>
      <c r="AQ727" s="115"/>
      <c r="AR727" s="115"/>
      <c r="AS727" s="115"/>
      <c r="AT727" s="115"/>
      <c r="AU727" s="115"/>
      <c r="AV727" s="115"/>
      <c r="AW727" s="115"/>
      <c r="AX727" s="115"/>
      <c r="AY727" s="115"/>
      <c r="AZ727" s="115"/>
      <c r="BA727" s="115"/>
      <c r="BB727" s="115"/>
      <c r="BC727" s="115"/>
      <c r="BD727" s="115"/>
      <c r="BE727" s="115"/>
      <c r="BF727" s="115"/>
      <c r="BG727" s="115"/>
      <c r="BH727" s="115"/>
      <c r="BI727" s="115"/>
      <c r="BJ727" s="115"/>
      <c r="BK727" s="115"/>
      <c r="BL727" s="115"/>
      <c r="BM727" s="115"/>
      <c r="BN727" s="115"/>
      <c r="BO727" s="115"/>
      <c r="BP727" s="115"/>
    </row>
    <row r="728" spans="1:68" ht="20.100000000000001" customHeight="1">
      <c r="A728" s="1215" t="s">
        <v>4986</v>
      </c>
      <c r="B728" s="1215" t="s">
        <v>4994</v>
      </c>
      <c r="C728" s="1215" t="s">
        <v>5003</v>
      </c>
      <c r="D728" s="952">
        <v>1075</v>
      </c>
      <c r="E728" s="952">
        <v>1550</v>
      </c>
      <c r="F728" s="952">
        <v>1550</v>
      </c>
      <c r="G728" s="3" t="s">
        <v>4553</v>
      </c>
      <c r="H728" s="56" t="s">
        <v>4649</v>
      </c>
      <c r="I728" s="38" t="s">
        <v>4989</v>
      </c>
      <c r="J728" s="37"/>
      <c r="K728" s="37">
        <v>39</v>
      </c>
      <c r="L728" s="116" t="s">
        <v>4539</v>
      </c>
      <c r="M728" s="6">
        <v>43085</v>
      </c>
      <c r="N728" s="6">
        <v>43100</v>
      </c>
      <c r="O728" s="61" t="s">
        <v>4545</v>
      </c>
      <c r="P728" s="61"/>
      <c r="Q728" s="171"/>
      <c r="R728" s="239" t="s">
        <v>4988</v>
      </c>
      <c r="S728" s="326" t="s">
        <v>4987</v>
      </c>
      <c r="T728" s="933"/>
      <c r="U728" s="207"/>
      <c r="V728" s="115"/>
      <c r="W728" s="115"/>
      <c r="X728" s="115"/>
      <c r="Y728" s="115"/>
      <c r="Z728" s="115"/>
      <c r="AA728" s="115"/>
      <c r="AB728" s="115"/>
      <c r="AC728" s="115"/>
      <c r="AD728" s="115"/>
      <c r="AE728" s="115"/>
      <c r="AF728" s="115"/>
      <c r="AG728" s="115"/>
      <c r="AH728" s="115"/>
      <c r="AI728" s="115"/>
      <c r="AJ728" s="115"/>
      <c r="AK728" s="115"/>
      <c r="AL728" s="115"/>
      <c r="AM728" s="115"/>
      <c r="AN728" s="115"/>
      <c r="AO728" s="115"/>
      <c r="AP728" s="115"/>
      <c r="AQ728" s="115"/>
      <c r="AR728" s="115"/>
      <c r="AS728" s="115"/>
      <c r="AT728" s="115"/>
      <c r="AU728" s="115"/>
      <c r="AV728" s="115"/>
      <c r="AW728" s="115"/>
      <c r="AX728" s="115"/>
      <c r="AY728" s="115"/>
      <c r="AZ728" s="115"/>
      <c r="BA728" s="115"/>
      <c r="BB728" s="115"/>
      <c r="BC728" s="115"/>
      <c r="BD728" s="115"/>
      <c r="BE728" s="115"/>
      <c r="BF728" s="115"/>
      <c r="BG728" s="115"/>
      <c r="BH728" s="115"/>
      <c r="BI728" s="115"/>
      <c r="BJ728" s="115"/>
      <c r="BK728" s="115"/>
      <c r="BL728" s="115"/>
      <c r="BM728" s="115"/>
      <c r="BN728" s="115"/>
      <c r="BO728" s="115"/>
      <c r="BP728" s="115"/>
    </row>
    <row r="729" spans="1:68" ht="20.100000000000001" customHeight="1">
      <c r="A729" s="1215" t="s">
        <v>4986</v>
      </c>
      <c r="B729" s="1215" t="s">
        <v>4994</v>
      </c>
      <c r="C729" s="1215" t="s">
        <v>5003</v>
      </c>
      <c r="D729" s="956">
        <v>1225</v>
      </c>
      <c r="E729" s="956">
        <v>1850</v>
      </c>
      <c r="F729" s="956">
        <v>1850</v>
      </c>
      <c r="G729" s="3" t="s">
        <v>4549</v>
      </c>
      <c r="H729" s="56" t="s">
        <v>4649</v>
      </c>
      <c r="I729" s="38" t="s">
        <v>4999</v>
      </c>
      <c r="J729" s="140"/>
      <c r="K729" s="37" t="s">
        <v>4940</v>
      </c>
      <c r="L729" s="118" t="s">
        <v>4539</v>
      </c>
      <c r="M729" s="6">
        <v>43085</v>
      </c>
      <c r="N729" s="6">
        <v>43100</v>
      </c>
      <c r="O729" s="61" t="s">
        <v>4545</v>
      </c>
      <c r="P729" s="129"/>
      <c r="Q729" s="171"/>
      <c r="R729" s="239" t="s">
        <v>5001</v>
      </c>
      <c r="S729" s="328" t="s">
        <v>4543</v>
      </c>
      <c r="T729" s="933"/>
      <c r="U729" s="229"/>
      <c r="V729" s="229"/>
      <c r="W729" s="229"/>
      <c r="X729" s="229"/>
      <c r="Y729" s="229"/>
      <c r="Z729" s="229"/>
      <c r="AA729" s="229"/>
      <c r="AB729" s="229"/>
      <c r="AC729" s="229"/>
      <c r="AD729" s="229"/>
      <c r="AE729" s="229"/>
      <c r="AF729" s="229"/>
      <c r="AG729" s="229"/>
      <c r="AH729" s="229"/>
      <c r="AI729" s="229"/>
      <c r="AJ729" s="229"/>
      <c r="AK729" s="229"/>
      <c r="AL729" s="229"/>
      <c r="AM729" s="229"/>
      <c r="AN729" s="229"/>
      <c r="AO729" s="229"/>
      <c r="AP729" s="229"/>
      <c r="AQ729" s="229"/>
      <c r="AR729" s="229"/>
      <c r="AS729" s="229"/>
      <c r="AT729" s="229"/>
      <c r="AU729" s="229"/>
      <c r="AV729" s="229"/>
      <c r="AW729" s="229"/>
      <c r="AX729" s="229"/>
      <c r="AY729" s="229"/>
      <c r="AZ729" s="229"/>
      <c r="BA729" s="229"/>
      <c r="BB729" s="229"/>
      <c r="BC729" s="229"/>
      <c r="BD729" s="229"/>
      <c r="BE729" s="229"/>
      <c r="BF729" s="229"/>
      <c r="BG729" s="229"/>
      <c r="BH729" s="229"/>
      <c r="BI729" s="229"/>
      <c r="BJ729" s="229"/>
      <c r="BK729" s="229"/>
      <c r="BL729" s="229"/>
      <c r="BM729" s="229"/>
      <c r="BN729" s="229"/>
      <c r="BO729" s="229"/>
      <c r="BP729" s="229"/>
    </row>
    <row r="730" spans="1:68" ht="20.100000000000001" customHeight="1">
      <c r="A730" s="1215" t="s">
        <v>4986</v>
      </c>
      <c r="B730" s="1215" t="s">
        <v>4994</v>
      </c>
      <c r="C730" s="1215" t="s">
        <v>5003</v>
      </c>
      <c r="D730" s="247">
        <v>825</v>
      </c>
      <c r="E730" s="247">
        <v>1000</v>
      </c>
      <c r="F730" s="247">
        <v>1000</v>
      </c>
      <c r="G730" s="70" t="s">
        <v>4566</v>
      </c>
      <c r="H730" s="36" t="s">
        <v>4649</v>
      </c>
      <c r="I730" s="51" t="s">
        <v>4999</v>
      </c>
      <c r="J730" s="38"/>
      <c r="K730" s="38" t="s">
        <v>4601</v>
      </c>
      <c r="L730" s="116" t="s">
        <v>4539</v>
      </c>
      <c r="M730" s="15">
        <v>43076</v>
      </c>
      <c r="N730" s="15">
        <v>43100</v>
      </c>
      <c r="O730" s="61" t="s">
        <v>4563</v>
      </c>
      <c r="P730" s="129"/>
      <c r="Q730" s="167"/>
      <c r="R730" s="239" t="s">
        <v>4998</v>
      </c>
      <c r="S730" s="327" t="s">
        <v>4561</v>
      </c>
      <c r="T730" s="858"/>
      <c r="U730" s="207"/>
      <c r="V730" s="115"/>
      <c r="W730" s="115"/>
      <c r="X730" s="115"/>
      <c r="Y730" s="115"/>
      <c r="Z730" s="115"/>
      <c r="AA730" s="115"/>
      <c r="AB730" s="115"/>
      <c r="AC730" s="115"/>
      <c r="AD730" s="115"/>
      <c r="AE730" s="115"/>
      <c r="AF730" s="115"/>
      <c r="AG730" s="115"/>
      <c r="AH730" s="115"/>
      <c r="AI730" s="115"/>
      <c r="AJ730" s="115"/>
      <c r="AK730" s="115"/>
      <c r="AL730" s="115"/>
      <c r="AM730" s="115"/>
      <c r="AN730" s="115"/>
      <c r="AO730" s="115"/>
      <c r="AP730" s="115"/>
      <c r="AQ730" s="115"/>
      <c r="AR730" s="115"/>
      <c r="AS730" s="115"/>
      <c r="AT730" s="115"/>
      <c r="AU730" s="115"/>
      <c r="AV730" s="115"/>
      <c r="AW730" s="115"/>
      <c r="AX730" s="115"/>
      <c r="AY730" s="115"/>
      <c r="AZ730" s="115"/>
      <c r="BA730" s="115"/>
      <c r="BB730" s="115"/>
      <c r="BC730" s="115"/>
      <c r="BD730" s="115"/>
      <c r="BE730" s="115"/>
      <c r="BF730" s="115"/>
      <c r="BG730" s="115"/>
      <c r="BH730" s="115"/>
      <c r="BI730" s="115"/>
      <c r="BJ730" s="115"/>
      <c r="BK730" s="115"/>
      <c r="BL730" s="115"/>
      <c r="BM730" s="115"/>
      <c r="BN730" s="115"/>
      <c r="BO730" s="115"/>
      <c r="BP730" s="115"/>
    </row>
    <row r="731" spans="1:68" ht="20.100000000000001" customHeight="1">
      <c r="A731" s="1215" t="s">
        <v>4986</v>
      </c>
      <c r="B731" s="1215" t="s">
        <v>4994</v>
      </c>
      <c r="C731" s="1215" t="s">
        <v>5003</v>
      </c>
      <c r="D731" s="949">
        <v>890</v>
      </c>
      <c r="E731" s="949">
        <v>1530</v>
      </c>
      <c r="F731" s="949">
        <v>1530</v>
      </c>
      <c r="G731" s="70" t="s">
        <v>4560</v>
      </c>
      <c r="H731" s="36" t="s">
        <v>4649</v>
      </c>
      <c r="I731" s="51" t="s">
        <v>4902</v>
      </c>
      <c r="J731" s="30"/>
      <c r="K731" s="10" t="s">
        <v>4739</v>
      </c>
      <c r="L731" s="116" t="s">
        <v>4539</v>
      </c>
      <c r="M731" s="15">
        <v>43075</v>
      </c>
      <c r="N731" s="15">
        <v>43083</v>
      </c>
      <c r="O731" s="61" t="s">
        <v>5005</v>
      </c>
      <c r="P731" s="61"/>
      <c r="Q731" s="167"/>
      <c r="R731" s="240" t="s">
        <v>4998</v>
      </c>
      <c r="S731" s="327" t="s">
        <v>5004</v>
      </c>
      <c r="T731" s="858"/>
      <c r="U731" s="207"/>
      <c r="V731" s="115"/>
      <c r="W731" s="115"/>
      <c r="X731" s="115"/>
      <c r="Y731" s="115"/>
      <c r="Z731" s="115"/>
      <c r="AA731" s="115"/>
      <c r="AB731" s="115"/>
      <c r="AC731" s="115"/>
      <c r="AD731" s="115"/>
      <c r="AE731" s="115"/>
      <c r="AF731" s="115"/>
      <c r="AG731" s="115"/>
      <c r="AH731" s="115"/>
      <c r="AI731" s="115"/>
      <c r="AJ731" s="115"/>
      <c r="AK731" s="115"/>
      <c r="AL731" s="115"/>
      <c r="AM731" s="115"/>
      <c r="AN731" s="115"/>
      <c r="AO731" s="115"/>
      <c r="AP731" s="115"/>
      <c r="AQ731" s="115"/>
      <c r="AR731" s="115"/>
      <c r="AS731" s="115"/>
      <c r="AT731" s="115"/>
      <c r="AU731" s="115"/>
      <c r="AV731" s="115"/>
      <c r="AW731" s="115"/>
      <c r="AX731" s="115"/>
      <c r="AY731" s="115"/>
      <c r="AZ731" s="115"/>
      <c r="BA731" s="115"/>
      <c r="BB731" s="115"/>
      <c r="BC731" s="115"/>
      <c r="BD731" s="115"/>
      <c r="BE731" s="115"/>
      <c r="BF731" s="115"/>
      <c r="BG731" s="115"/>
      <c r="BH731" s="115"/>
      <c r="BI731" s="115"/>
      <c r="BJ731" s="115"/>
      <c r="BK731" s="115"/>
      <c r="BL731" s="115"/>
      <c r="BM731" s="115"/>
      <c r="BN731" s="115"/>
      <c r="BO731" s="115"/>
      <c r="BP731" s="115"/>
    </row>
    <row r="732" spans="1:68" ht="20.100000000000001" customHeight="1">
      <c r="A732" s="1215" t="s">
        <v>4986</v>
      </c>
      <c r="B732" s="1215" t="s">
        <v>4994</v>
      </c>
      <c r="C732" s="1215" t="s">
        <v>5003</v>
      </c>
      <c r="D732" s="949">
        <v>900</v>
      </c>
      <c r="E732" s="949">
        <v>1150</v>
      </c>
      <c r="F732" s="949">
        <v>1150</v>
      </c>
      <c r="G732" s="63" t="s">
        <v>4645</v>
      </c>
      <c r="H732" s="36" t="s">
        <v>4649</v>
      </c>
      <c r="I732" s="38" t="s">
        <v>4999</v>
      </c>
      <c r="J732" s="30"/>
      <c r="K732" s="38">
        <v>31</v>
      </c>
      <c r="L732" s="116" t="s">
        <v>4539</v>
      </c>
      <c r="M732" s="6">
        <v>43066</v>
      </c>
      <c r="N732" s="6">
        <v>43093</v>
      </c>
      <c r="O732" s="61" t="s">
        <v>4961</v>
      </c>
      <c r="P732" s="7"/>
      <c r="Q732" s="167"/>
      <c r="R732" s="240" t="s">
        <v>4998</v>
      </c>
      <c r="S732" s="326" t="s">
        <v>4641</v>
      </c>
      <c r="T732" s="858"/>
      <c r="U732" s="207"/>
      <c r="V732" s="115"/>
      <c r="W732" s="115"/>
      <c r="X732" s="115"/>
      <c r="Y732" s="115"/>
      <c r="Z732" s="115"/>
      <c r="AA732" s="115"/>
      <c r="AB732" s="115"/>
      <c r="AC732" s="115"/>
      <c r="AD732" s="115"/>
      <c r="AE732" s="115"/>
      <c r="AF732" s="115"/>
      <c r="AG732" s="115"/>
      <c r="AH732" s="115"/>
      <c r="AI732" s="115"/>
      <c r="AJ732" s="115"/>
      <c r="AK732" s="115"/>
      <c r="AL732" s="115"/>
      <c r="AM732" s="115"/>
      <c r="AN732" s="115"/>
      <c r="AO732" s="115"/>
      <c r="AP732" s="115"/>
      <c r="AQ732" s="115"/>
      <c r="AR732" s="115"/>
      <c r="AS732" s="115"/>
      <c r="AT732" s="115"/>
      <c r="AU732" s="115"/>
      <c r="AV732" s="115"/>
      <c r="AW732" s="115"/>
      <c r="AX732" s="115"/>
      <c r="AY732" s="115"/>
      <c r="AZ732" s="115"/>
      <c r="BA732" s="115"/>
      <c r="BB732" s="115"/>
      <c r="BC732" s="115"/>
      <c r="BD732" s="115"/>
      <c r="BE732" s="115"/>
      <c r="BF732" s="115"/>
      <c r="BG732" s="115"/>
      <c r="BH732" s="115"/>
      <c r="BI732" s="115"/>
      <c r="BJ732" s="115"/>
      <c r="BK732" s="115"/>
      <c r="BL732" s="115"/>
      <c r="BM732" s="115"/>
      <c r="BN732" s="115"/>
      <c r="BO732" s="115"/>
      <c r="BP732" s="115"/>
    </row>
    <row r="733" spans="1:68" ht="20.100000000000001" customHeight="1">
      <c r="A733" s="1215" t="s">
        <v>4986</v>
      </c>
      <c r="B733" s="1215" t="s">
        <v>4994</v>
      </c>
      <c r="C733" s="1215" t="s">
        <v>5003</v>
      </c>
      <c r="D733" s="320">
        <v>1025</v>
      </c>
      <c r="E733" s="320">
        <f>D733*2-500</f>
        <v>1550</v>
      </c>
      <c r="F733" s="320">
        <f>D733*2-450</f>
        <v>1600</v>
      </c>
      <c r="G733" s="293" t="s">
        <v>4575</v>
      </c>
      <c r="H733" s="22" t="s">
        <v>4992</v>
      </c>
      <c r="I733" s="51" t="s">
        <v>4902</v>
      </c>
      <c r="J733" s="38"/>
      <c r="K733" s="38" t="s">
        <v>4601</v>
      </c>
      <c r="L733" s="116" t="s">
        <v>4539</v>
      </c>
      <c r="M733" s="15">
        <v>43084</v>
      </c>
      <c r="N733" s="15">
        <v>43100</v>
      </c>
      <c r="O733" s="61" t="s">
        <v>4545</v>
      </c>
      <c r="P733" s="129"/>
      <c r="Q733" s="167"/>
      <c r="R733" s="239" t="s">
        <v>4990</v>
      </c>
      <c r="S733" s="327" t="s">
        <v>4576</v>
      </c>
      <c r="T733" s="858"/>
      <c r="U733" s="207"/>
      <c r="V733" s="115"/>
      <c r="W733" s="115"/>
      <c r="X733" s="115"/>
      <c r="Y733" s="115"/>
      <c r="Z733" s="115"/>
      <c r="AA733" s="115"/>
      <c r="AB733" s="115"/>
      <c r="AC733" s="115"/>
      <c r="AD733" s="115"/>
      <c r="AE733" s="115"/>
      <c r="AF733" s="115"/>
      <c r="AG733" s="115"/>
      <c r="AH733" s="115"/>
      <c r="AI733" s="115"/>
      <c r="AJ733" s="115"/>
      <c r="AK733" s="115"/>
      <c r="AL733" s="115"/>
      <c r="AM733" s="115"/>
      <c r="AN733" s="115"/>
      <c r="AO733" s="115"/>
      <c r="AP733" s="115"/>
      <c r="AQ733" s="115"/>
      <c r="AR733" s="115"/>
      <c r="AS733" s="115"/>
      <c r="AT733" s="115"/>
      <c r="AU733" s="115"/>
      <c r="AV733" s="115"/>
      <c r="AW733" s="115"/>
      <c r="AX733" s="115"/>
      <c r="AY733" s="115"/>
      <c r="AZ733" s="115"/>
      <c r="BA733" s="115"/>
      <c r="BB733" s="115"/>
      <c r="BC733" s="115"/>
      <c r="BD733" s="115"/>
      <c r="BE733" s="115"/>
      <c r="BF733" s="115"/>
      <c r="BG733" s="115"/>
      <c r="BH733" s="115"/>
      <c r="BI733" s="115"/>
      <c r="BJ733" s="115"/>
      <c r="BK733" s="115"/>
      <c r="BL733" s="115"/>
      <c r="BM733" s="115"/>
      <c r="BN733" s="115"/>
      <c r="BO733" s="115"/>
      <c r="BP733" s="115"/>
    </row>
    <row r="734" spans="1:68" ht="20.100000000000001" customHeight="1">
      <c r="A734" s="1215" t="s">
        <v>4986</v>
      </c>
      <c r="B734" s="1215" t="s">
        <v>4994</v>
      </c>
      <c r="C734" s="1215" t="s">
        <v>5003</v>
      </c>
      <c r="D734" s="947">
        <v>775</v>
      </c>
      <c r="E734" s="947">
        <v>950</v>
      </c>
      <c r="F734" s="947">
        <v>950</v>
      </c>
      <c r="G734" s="293" t="s">
        <v>4904</v>
      </c>
      <c r="H734" s="22" t="s">
        <v>4903</v>
      </c>
      <c r="I734" s="51" t="s">
        <v>4902</v>
      </c>
      <c r="J734" s="34"/>
      <c r="K734" s="50">
        <v>36</v>
      </c>
      <c r="L734" s="116" t="s">
        <v>4539</v>
      </c>
      <c r="M734" s="15">
        <v>43054</v>
      </c>
      <c r="N734" s="15">
        <v>43089</v>
      </c>
      <c r="O734" s="61" t="s">
        <v>4961</v>
      </c>
      <c r="P734" s="128"/>
      <c r="Q734" s="52"/>
      <c r="R734" s="239" t="s">
        <v>4899</v>
      </c>
      <c r="S734" s="327" t="s">
        <v>4632</v>
      </c>
      <c r="T734" s="858"/>
      <c r="U734" s="207"/>
      <c r="V734" s="115"/>
      <c r="W734" s="115"/>
      <c r="X734" s="115"/>
      <c r="Y734" s="115"/>
      <c r="Z734" s="115"/>
      <c r="AA734" s="115"/>
      <c r="AB734" s="115"/>
      <c r="AC734" s="115"/>
      <c r="AD734" s="115"/>
      <c r="AE734" s="115"/>
      <c r="AF734" s="115"/>
      <c r="AG734" s="115"/>
      <c r="AH734" s="115"/>
      <c r="AI734" s="115"/>
      <c r="AJ734" s="115"/>
      <c r="AK734" s="115"/>
      <c r="AL734" s="115"/>
      <c r="AM734" s="115"/>
      <c r="AN734" s="115"/>
      <c r="AO734" s="115"/>
      <c r="AP734" s="115"/>
      <c r="AQ734" s="115"/>
      <c r="AR734" s="115"/>
      <c r="AS734" s="115"/>
      <c r="AT734" s="115"/>
      <c r="AU734" s="115"/>
      <c r="AV734" s="115"/>
      <c r="AW734" s="115"/>
      <c r="AX734" s="115"/>
      <c r="AY734" s="115"/>
      <c r="AZ734" s="115"/>
      <c r="BA734" s="115"/>
      <c r="BB734" s="115"/>
      <c r="BC734" s="115"/>
      <c r="BD734" s="115"/>
      <c r="BE734" s="115"/>
      <c r="BF734" s="115"/>
      <c r="BG734" s="115"/>
      <c r="BH734" s="115"/>
      <c r="BI734" s="115"/>
      <c r="BJ734" s="115"/>
      <c r="BK734" s="115"/>
      <c r="BL734" s="115"/>
      <c r="BM734" s="115"/>
      <c r="BN734" s="115"/>
      <c r="BO734" s="115"/>
      <c r="BP734" s="115"/>
    </row>
    <row r="735" spans="1:68" ht="20.100000000000001" customHeight="1">
      <c r="A735" s="1215" t="s">
        <v>4986</v>
      </c>
      <c r="B735" s="1215" t="s">
        <v>4994</v>
      </c>
      <c r="C735" s="1215" t="s">
        <v>5003</v>
      </c>
      <c r="D735" s="248">
        <v>1325</v>
      </c>
      <c r="E735" s="248">
        <v>1850</v>
      </c>
      <c r="F735" s="248">
        <v>1850</v>
      </c>
      <c r="G735" s="234" t="s">
        <v>4572</v>
      </c>
      <c r="H735" s="55" t="s">
        <v>4580</v>
      </c>
      <c r="I735" s="51" t="s">
        <v>4902</v>
      </c>
      <c r="J735" s="37"/>
      <c r="K735" s="30">
        <v>36</v>
      </c>
      <c r="L735" s="116" t="s">
        <v>4539</v>
      </c>
      <c r="M735" s="15">
        <v>43054</v>
      </c>
      <c r="N735" s="15">
        <v>43076</v>
      </c>
      <c r="O735" s="61" t="s">
        <v>4545</v>
      </c>
      <c r="P735" s="933"/>
      <c r="Q735" s="167"/>
      <c r="R735" s="239" t="s">
        <v>5002</v>
      </c>
      <c r="S735" s="328" t="s">
        <v>4543</v>
      </c>
      <c r="T735" s="933"/>
      <c r="U735" s="207"/>
      <c r="V735" s="115"/>
      <c r="W735" s="115"/>
      <c r="X735" s="115"/>
      <c r="Y735" s="115"/>
      <c r="Z735" s="115"/>
      <c r="AA735" s="115"/>
      <c r="AB735" s="115"/>
      <c r="AC735" s="115"/>
      <c r="AD735" s="115"/>
      <c r="AE735" s="115"/>
      <c r="AF735" s="115"/>
      <c r="AG735" s="115"/>
      <c r="AH735" s="115"/>
      <c r="AI735" s="115"/>
      <c r="AJ735" s="115"/>
      <c r="AK735" s="115"/>
      <c r="AL735" s="115"/>
      <c r="AM735" s="115"/>
      <c r="AN735" s="115"/>
      <c r="AO735" s="115"/>
      <c r="AP735" s="115"/>
      <c r="AQ735" s="115"/>
      <c r="AR735" s="115"/>
      <c r="AS735" s="115"/>
      <c r="AT735" s="115"/>
      <c r="AU735" s="115"/>
      <c r="AV735" s="115"/>
      <c r="AW735" s="115"/>
      <c r="AX735" s="115"/>
      <c r="AY735" s="115"/>
      <c r="AZ735" s="115"/>
      <c r="BA735" s="115"/>
      <c r="BB735" s="115"/>
      <c r="BC735" s="115"/>
      <c r="BD735" s="115"/>
      <c r="BE735" s="115"/>
      <c r="BF735" s="115"/>
      <c r="BG735" s="115"/>
      <c r="BH735" s="115"/>
      <c r="BI735" s="115"/>
      <c r="BJ735" s="115"/>
      <c r="BK735" s="115"/>
      <c r="BL735" s="115"/>
      <c r="BM735" s="115"/>
      <c r="BN735" s="115"/>
      <c r="BO735" s="115"/>
      <c r="BP735" s="115"/>
    </row>
    <row r="736" spans="1:68" ht="20.100000000000001" customHeight="1">
      <c r="A736" s="1215" t="s">
        <v>4986</v>
      </c>
      <c r="B736" s="1215" t="s">
        <v>4994</v>
      </c>
      <c r="C736" s="1215" t="s">
        <v>4996</v>
      </c>
      <c r="D736" s="952">
        <v>1075</v>
      </c>
      <c r="E736" s="952">
        <v>1550</v>
      </c>
      <c r="F736" s="952">
        <v>1550</v>
      </c>
      <c r="G736" s="65" t="s">
        <v>4553</v>
      </c>
      <c r="H736" s="56" t="s">
        <v>4649</v>
      </c>
      <c r="I736" s="51" t="s">
        <v>4989</v>
      </c>
      <c r="J736" s="30"/>
      <c r="K736" s="38">
        <v>38</v>
      </c>
      <c r="L736" s="116" t="s">
        <v>4539</v>
      </c>
      <c r="M736" s="6">
        <v>43085</v>
      </c>
      <c r="N736" s="6">
        <v>43100</v>
      </c>
      <c r="O736" s="61" t="s">
        <v>4545</v>
      </c>
      <c r="P736" s="129"/>
      <c r="Q736" s="171"/>
      <c r="R736" s="239" t="s">
        <v>4988</v>
      </c>
      <c r="S736" s="326" t="s">
        <v>4987</v>
      </c>
      <c r="T736" s="858"/>
      <c r="U736" s="207"/>
      <c r="V736" s="115"/>
      <c r="W736" s="115"/>
      <c r="X736" s="115"/>
      <c r="Y736" s="115"/>
      <c r="Z736" s="115"/>
      <c r="AA736" s="115"/>
      <c r="AB736" s="115"/>
      <c r="AC736" s="115"/>
      <c r="AD736" s="115"/>
      <c r="AE736" s="115"/>
      <c r="AF736" s="115"/>
      <c r="AG736" s="115"/>
      <c r="AH736" s="115"/>
      <c r="AI736" s="115"/>
      <c r="AJ736" s="115"/>
      <c r="AK736" s="115"/>
      <c r="AL736" s="115"/>
      <c r="AM736" s="115"/>
      <c r="AN736" s="115"/>
      <c r="AO736" s="115"/>
      <c r="AP736" s="115"/>
      <c r="AQ736" s="115"/>
      <c r="AR736" s="115"/>
      <c r="AS736" s="115"/>
      <c r="AT736" s="115"/>
      <c r="AU736" s="115"/>
      <c r="AV736" s="115"/>
      <c r="AW736" s="115"/>
      <c r="AX736" s="115"/>
      <c r="AY736" s="115"/>
      <c r="AZ736" s="115"/>
      <c r="BA736" s="115"/>
      <c r="BB736" s="115"/>
      <c r="BC736" s="115"/>
      <c r="BD736" s="115"/>
      <c r="BE736" s="115"/>
      <c r="BF736" s="115"/>
      <c r="BG736" s="115"/>
      <c r="BH736" s="115"/>
      <c r="BI736" s="115"/>
      <c r="BJ736" s="115"/>
      <c r="BK736" s="115"/>
      <c r="BL736" s="115"/>
      <c r="BM736" s="115"/>
      <c r="BN736" s="115"/>
      <c r="BO736" s="115"/>
      <c r="BP736" s="115"/>
    </row>
    <row r="737" spans="1:68" ht="20.100000000000001" customHeight="1">
      <c r="A737" s="1215" t="s">
        <v>4986</v>
      </c>
      <c r="B737" s="1215" t="s">
        <v>4994</v>
      </c>
      <c r="C737" s="1215" t="s">
        <v>4996</v>
      </c>
      <c r="D737" s="956">
        <v>1225</v>
      </c>
      <c r="E737" s="956">
        <v>1850</v>
      </c>
      <c r="F737" s="956">
        <v>1850</v>
      </c>
      <c r="G737" s="3" t="s">
        <v>4549</v>
      </c>
      <c r="H737" s="56" t="s">
        <v>4649</v>
      </c>
      <c r="I737" s="51" t="s">
        <v>4999</v>
      </c>
      <c r="J737" s="140"/>
      <c r="K737" s="37" t="s">
        <v>4940</v>
      </c>
      <c r="L737" s="118" t="s">
        <v>4539</v>
      </c>
      <c r="M737" s="6">
        <v>43085</v>
      </c>
      <c r="N737" s="6">
        <v>43100</v>
      </c>
      <c r="O737" s="61" t="s">
        <v>4545</v>
      </c>
      <c r="P737" s="129"/>
      <c r="Q737" s="171"/>
      <c r="R737" s="239" t="s">
        <v>5001</v>
      </c>
      <c r="S737" s="328" t="s">
        <v>4543</v>
      </c>
      <c r="T737" s="858"/>
      <c r="U737" s="207"/>
      <c r="V737" s="115"/>
      <c r="W737" s="115"/>
      <c r="X737" s="115"/>
      <c r="Y737" s="115"/>
      <c r="Z737" s="115"/>
      <c r="AA737" s="115"/>
      <c r="AB737" s="115"/>
      <c r="AC737" s="115"/>
      <c r="AD737" s="115"/>
      <c r="AE737" s="115"/>
      <c r="AF737" s="115"/>
      <c r="AG737" s="115"/>
      <c r="AH737" s="115"/>
      <c r="AI737" s="115"/>
      <c r="AJ737" s="115"/>
      <c r="AK737" s="115"/>
      <c r="AL737" s="115"/>
      <c r="AM737" s="115"/>
      <c r="AN737" s="115"/>
      <c r="AO737" s="115"/>
      <c r="AP737" s="115"/>
      <c r="AQ737" s="115"/>
      <c r="AR737" s="115"/>
      <c r="AS737" s="115"/>
      <c r="AT737" s="115"/>
      <c r="AU737" s="115"/>
      <c r="AV737" s="115"/>
      <c r="AW737" s="115"/>
      <c r="AX737" s="115"/>
      <c r="AY737" s="115"/>
      <c r="AZ737" s="115"/>
      <c r="BA737" s="115"/>
      <c r="BB737" s="115"/>
      <c r="BC737" s="115"/>
      <c r="BD737" s="115"/>
      <c r="BE737" s="115"/>
      <c r="BF737" s="115"/>
      <c r="BG737" s="115"/>
      <c r="BH737" s="115"/>
      <c r="BI737" s="115"/>
      <c r="BJ737" s="115"/>
      <c r="BK737" s="115"/>
      <c r="BL737" s="115"/>
      <c r="BM737" s="115"/>
      <c r="BN737" s="115"/>
      <c r="BO737" s="115"/>
      <c r="BP737" s="115"/>
    </row>
    <row r="738" spans="1:68" ht="20.100000000000001" customHeight="1">
      <c r="A738" s="1215" t="s">
        <v>4986</v>
      </c>
      <c r="B738" s="1215" t="s">
        <v>4994</v>
      </c>
      <c r="C738" s="1215" t="s">
        <v>4996</v>
      </c>
      <c r="D738" s="247">
        <v>825</v>
      </c>
      <c r="E738" s="247">
        <v>1000</v>
      </c>
      <c r="F738" s="247">
        <v>1000</v>
      </c>
      <c r="G738" s="70" t="s">
        <v>4566</v>
      </c>
      <c r="H738" s="36" t="s">
        <v>4649</v>
      </c>
      <c r="I738" s="51" t="s">
        <v>4999</v>
      </c>
      <c r="J738" s="30"/>
      <c r="K738" s="38" t="s">
        <v>4940</v>
      </c>
      <c r="L738" s="116" t="s">
        <v>4539</v>
      </c>
      <c r="M738" s="15">
        <v>43076</v>
      </c>
      <c r="N738" s="15">
        <v>43100</v>
      </c>
      <c r="O738" s="61" t="s">
        <v>4563</v>
      </c>
      <c r="P738" s="7"/>
      <c r="Q738" s="167"/>
      <c r="R738" s="239" t="s">
        <v>4998</v>
      </c>
      <c r="S738" s="327" t="s">
        <v>4561</v>
      </c>
      <c r="T738" s="858"/>
      <c r="U738" s="283"/>
      <c r="V738" s="283"/>
      <c r="W738" s="283"/>
      <c r="X738" s="283"/>
      <c r="Y738" s="283"/>
      <c r="Z738" s="283"/>
      <c r="AA738" s="283"/>
      <c r="AB738" s="283"/>
      <c r="AC738" s="283"/>
      <c r="AD738" s="283"/>
      <c r="AE738" s="283"/>
      <c r="AF738" s="283"/>
      <c r="AG738" s="283"/>
      <c r="AH738" s="283"/>
      <c r="AI738" s="283"/>
      <c r="AJ738" s="283"/>
      <c r="AK738" s="283"/>
      <c r="AL738" s="283"/>
      <c r="AM738" s="283"/>
      <c r="AN738" s="283"/>
      <c r="AO738" s="283"/>
      <c r="AP738" s="283"/>
      <c r="AQ738" s="283"/>
      <c r="AR738" s="283"/>
      <c r="AS738" s="283"/>
      <c r="AT738" s="283"/>
      <c r="AU738" s="283"/>
      <c r="AV738" s="283"/>
      <c r="AW738" s="283"/>
      <c r="AX738" s="283"/>
      <c r="AY738" s="283"/>
      <c r="AZ738" s="283"/>
      <c r="BA738" s="283"/>
      <c r="BB738" s="283"/>
      <c r="BC738" s="283"/>
      <c r="BD738" s="283"/>
      <c r="BE738" s="283"/>
      <c r="BF738" s="283"/>
      <c r="BG738" s="283"/>
      <c r="BH738" s="283"/>
      <c r="BI738" s="283"/>
      <c r="BJ738" s="283"/>
      <c r="BK738" s="283"/>
      <c r="BL738" s="283"/>
      <c r="BM738" s="283"/>
      <c r="BN738" s="283"/>
      <c r="BO738" s="283"/>
      <c r="BP738" s="283"/>
    </row>
    <row r="739" spans="1:68" ht="20.100000000000001" customHeight="1">
      <c r="A739" s="1215" t="s">
        <v>4986</v>
      </c>
      <c r="B739" s="1215" t="s">
        <v>4994</v>
      </c>
      <c r="C739" s="1215" t="s">
        <v>4996</v>
      </c>
      <c r="D739" s="949">
        <v>900</v>
      </c>
      <c r="E739" s="949">
        <v>1150</v>
      </c>
      <c r="F739" s="949">
        <v>1150</v>
      </c>
      <c r="G739" s="63" t="s">
        <v>4645</v>
      </c>
      <c r="H739" s="36" t="s">
        <v>4649</v>
      </c>
      <c r="I739" s="38" t="s">
        <v>4999</v>
      </c>
      <c r="J739" s="30"/>
      <c r="K739" s="38" t="s">
        <v>4772</v>
      </c>
      <c r="L739" s="116" t="s">
        <v>4539</v>
      </c>
      <c r="M739" s="6">
        <v>43066</v>
      </c>
      <c r="N739" s="6">
        <v>43093</v>
      </c>
      <c r="O739" s="61" t="s">
        <v>4961</v>
      </c>
      <c r="P739" s="7"/>
      <c r="Q739" s="167"/>
      <c r="R739" s="240" t="s">
        <v>4998</v>
      </c>
      <c r="S739" s="326"/>
      <c r="T739" s="858"/>
      <c r="U739" s="207"/>
      <c r="V739" s="115"/>
      <c r="W739" s="115"/>
      <c r="X739" s="115"/>
      <c r="Y739" s="115"/>
      <c r="Z739" s="115"/>
      <c r="AA739" s="115"/>
      <c r="AB739" s="115"/>
      <c r="AC739" s="115"/>
      <c r="AD739" s="115"/>
      <c r="AE739" s="115"/>
      <c r="AF739" s="115"/>
      <c r="AG739" s="115"/>
      <c r="AH739" s="115"/>
      <c r="AI739" s="115"/>
      <c r="AJ739" s="115"/>
      <c r="AK739" s="115"/>
      <c r="AL739" s="115"/>
      <c r="AM739" s="115"/>
      <c r="AN739" s="115"/>
      <c r="AO739" s="115"/>
      <c r="AP739" s="115"/>
      <c r="AQ739" s="115"/>
      <c r="AR739" s="115"/>
      <c r="AS739" s="115"/>
      <c r="AT739" s="115"/>
      <c r="AU739" s="115"/>
      <c r="AV739" s="115"/>
      <c r="AW739" s="115"/>
      <c r="AX739" s="115"/>
      <c r="AY739" s="115"/>
      <c r="AZ739" s="115"/>
      <c r="BA739" s="115"/>
      <c r="BB739" s="115"/>
      <c r="BC739" s="115"/>
      <c r="BD739" s="115"/>
      <c r="BE739" s="115"/>
      <c r="BF739" s="115"/>
      <c r="BG739" s="115"/>
      <c r="BH739" s="115"/>
      <c r="BI739" s="115"/>
      <c r="BJ739" s="115"/>
      <c r="BK739" s="115"/>
      <c r="BL739" s="115"/>
      <c r="BM739" s="115"/>
      <c r="BN739" s="115"/>
      <c r="BO739" s="115"/>
      <c r="BP739" s="115"/>
    </row>
    <row r="740" spans="1:68" ht="20.100000000000001" customHeight="1">
      <c r="A740" s="1215" t="s">
        <v>4986</v>
      </c>
      <c r="B740" s="1215" t="s">
        <v>4994</v>
      </c>
      <c r="C740" s="1215" t="s">
        <v>4996</v>
      </c>
      <c r="D740" s="248"/>
      <c r="E740" s="248"/>
      <c r="F740" s="248"/>
      <c r="G740" s="234" t="s">
        <v>4572</v>
      </c>
      <c r="H740" s="56" t="s">
        <v>4635</v>
      </c>
      <c r="I740" s="51" t="s">
        <v>4902</v>
      </c>
      <c r="J740" s="30"/>
      <c r="K740" s="30">
        <v>36</v>
      </c>
      <c r="L740" s="116" t="s">
        <v>4539</v>
      </c>
      <c r="M740" s="15">
        <v>43060</v>
      </c>
      <c r="N740" s="15">
        <v>43076</v>
      </c>
      <c r="O740" s="61" t="s">
        <v>4545</v>
      </c>
      <c r="P740" s="7"/>
      <c r="Q740" s="167"/>
      <c r="R740" s="239" t="s">
        <v>4997</v>
      </c>
      <c r="S740" s="328" t="s">
        <v>4543</v>
      </c>
      <c r="T740" s="858"/>
      <c r="U740" s="207"/>
      <c r="V740" s="115"/>
      <c r="W740" s="115"/>
      <c r="X740" s="115"/>
      <c r="Y740" s="115"/>
      <c r="Z740" s="115"/>
      <c r="AA740" s="115"/>
      <c r="AB740" s="115"/>
      <c r="AC740" s="115"/>
      <c r="AD740" s="115"/>
      <c r="AE740" s="115"/>
      <c r="AF740" s="115"/>
      <c r="AG740" s="115"/>
      <c r="AH740" s="115"/>
      <c r="AI740" s="115"/>
      <c r="AJ740" s="115"/>
      <c r="AK740" s="115"/>
      <c r="AL740" s="115"/>
      <c r="AM740" s="115"/>
      <c r="AN740" s="115"/>
      <c r="AO740" s="115"/>
      <c r="AP740" s="115"/>
      <c r="AQ740" s="115"/>
      <c r="AR740" s="115"/>
      <c r="AS740" s="115"/>
      <c r="AT740" s="115"/>
      <c r="AU740" s="115"/>
      <c r="AV740" s="115"/>
      <c r="AW740" s="115"/>
      <c r="AX740" s="115"/>
      <c r="AY740" s="115"/>
      <c r="AZ740" s="115"/>
      <c r="BA740" s="115"/>
      <c r="BB740" s="115"/>
      <c r="BC740" s="115"/>
      <c r="BD740" s="115"/>
      <c r="BE740" s="115"/>
      <c r="BF740" s="115"/>
      <c r="BG740" s="115"/>
      <c r="BH740" s="115"/>
      <c r="BI740" s="115"/>
      <c r="BJ740" s="115"/>
      <c r="BK740" s="115"/>
      <c r="BL740" s="115"/>
      <c r="BM740" s="115"/>
      <c r="BN740" s="115"/>
      <c r="BO740" s="115"/>
      <c r="BP740" s="115"/>
    </row>
    <row r="741" spans="1:68" ht="20.100000000000001" customHeight="1">
      <c r="A741" s="1215" t="s">
        <v>4986</v>
      </c>
      <c r="B741" s="1215" t="s">
        <v>4994</v>
      </c>
      <c r="C741" s="1215" t="s">
        <v>4996</v>
      </c>
      <c r="D741" s="935">
        <f>D733+231*1.2</f>
        <v>1302.2</v>
      </c>
      <c r="E741" s="935">
        <f>E733+231*1.2</f>
        <v>1827.2</v>
      </c>
      <c r="F741" s="935">
        <f>F733+231*1.2</f>
        <v>1877.2</v>
      </c>
      <c r="G741" s="222" t="s">
        <v>4575</v>
      </c>
      <c r="H741" s="22" t="s">
        <v>4992</v>
      </c>
      <c r="I741" s="51" t="s">
        <v>4991</v>
      </c>
      <c r="J741" s="38"/>
      <c r="K741" s="38" t="s">
        <v>4665</v>
      </c>
      <c r="L741" s="116" t="s">
        <v>4539</v>
      </c>
      <c r="M741" s="15">
        <v>43084</v>
      </c>
      <c r="N741" s="15">
        <v>43100</v>
      </c>
      <c r="O741" s="61" t="s">
        <v>4545</v>
      </c>
      <c r="P741" s="129"/>
      <c r="Q741" s="14" t="s">
        <v>4585</v>
      </c>
      <c r="R741" s="239" t="s">
        <v>4990</v>
      </c>
      <c r="S741" s="327" t="s">
        <v>4576</v>
      </c>
      <c r="T741" s="858"/>
      <c r="U741" s="230"/>
      <c r="V741" s="230"/>
      <c r="W741" s="230"/>
      <c r="X741" s="230"/>
      <c r="Y741" s="230"/>
      <c r="Z741" s="230"/>
      <c r="AA741" s="230"/>
      <c r="AB741" s="230"/>
      <c r="AC741" s="230"/>
      <c r="AD741" s="230"/>
      <c r="AE741" s="230"/>
      <c r="AF741" s="230"/>
      <c r="AG741" s="230"/>
      <c r="AH741" s="230"/>
      <c r="AI741" s="230"/>
      <c r="AJ741" s="230"/>
      <c r="AK741" s="230"/>
      <c r="AL741" s="230"/>
      <c r="AM741" s="230"/>
      <c r="AN741" s="230"/>
      <c r="AO741" s="230"/>
      <c r="AP741" s="230"/>
      <c r="AQ741" s="230"/>
      <c r="AR741" s="230"/>
      <c r="AS741" s="230"/>
      <c r="AT741" s="230"/>
      <c r="AU741" s="230"/>
      <c r="AV741" s="230"/>
      <c r="AW741" s="230"/>
      <c r="AX741" s="230"/>
      <c r="AY741" s="230"/>
      <c r="AZ741" s="230"/>
      <c r="BA741" s="230"/>
      <c r="BB741" s="230"/>
      <c r="BC741" s="230"/>
      <c r="BD741" s="230"/>
      <c r="BE741" s="230"/>
      <c r="BF741" s="230"/>
      <c r="BG741" s="230"/>
      <c r="BH741" s="230"/>
      <c r="BI741" s="230"/>
      <c r="BJ741" s="230"/>
      <c r="BK741" s="230"/>
      <c r="BL741" s="230"/>
      <c r="BM741" s="230"/>
      <c r="BN741" s="230"/>
      <c r="BO741" s="230"/>
      <c r="BP741" s="230"/>
    </row>
    <row r="742" spans="1:68" ht="20.100000000000001" customHeight="1">
      <c r="A742" s="919" t="s">
        <v>4995</v>
      </c>
      <c r="B742" s="919" t="s">
        <v>4994</v>
      </c>
      <c r="C742" s="919" t="s">
        <v>4993</v>
      </c>
      <c r="D742" s="320">
        <f>D733+594*1.2</f>
        <v>1737.8</v>
      </c>
      <c r="E742" s="320">
        <f>E733+594*1.2</f>
        <v>2262.8000000000002</v>
      </c>
      <c r="F742" s="320">
        <f>F733+594*1.2</f>
        <v>2312.8000000000002</v>
      </c>
      <c r="G742" s="222" t="s">
        <v>4575</v>
      </c>
      <c r="H742" s="22" t="s">
        <v>4992</v>
      </c>
      <c r="I742" s="51" t="s">
        <v>4991</v>
      </c>
      <c r="J742" s="34"/>
      <c r="K742" s="38" t="s">
        <v>4665</v>
      </c>
      <c r="L742" s="118" t="s">
        <v>4539</v>
      </c>
      <c r="M742" s="15">
        <v>43084</v>
      </c>
      <c r="N742" s="15">
        <v>43100</v>
      </c>
      <c r="O742" s="61" t="s">
        <v>4545</v>
      </c>
      <c r="P742" s="128"/>
      <c r="Q742" s="14" t="s">
        <v>4585</v>
      </c>
      <c r="R742" s="239" t="s">
        <v>4990</v>
      </c>
      <c r="S742" s="327" t="s">
        <v>4576</v>
      </c>
      <c r="T742" s="858"/>
      <c r="U742" s="207"/>
      <c r="V742" s="115"/>
      <c r="W742" s="115"/>
      <c r="X742" s="115"/>
      <c r="Y742" s="115"/>
      <c r="Z742" s="115"/>
      <c r="AA742" s="115"/>
      <c r="AB742" s="115"/>
      <c r="AC742" s="115"/>
      <c r="AD742" s="115"/>
      <c r="AE742" s="115"/>
      <c r="AF742" s="115"/>
      <c r="AG742" s="115"/>
      <c r="AH742" s="115"/>
      <c r="AI742" s="115"/>
      <c r="AJ742" s="115"/>
      <c r="AK742" s="115"/>
      <c r="AL742" s="115"/>
      <c r="AM742" s="115"/>
      <c r="AN742" s="115"/>
      <c r="AO742" s="115"/>
      <c r="AP742" s="115"/>
      <c r="AQ742" s="115"/>
      <c r="AR742" s="115"/>
      <c r="AS742" s="115"/>
      <c r="AT742" s="115"/>
      <c r="AU742" s="115"/>
      <c r="AV742" s="115"/>
      <c r="AW742" s="115"/>
      <c r="AX742" s="115"/>
      <c r="AY742" s="115"/>
      <c r="AZ742" s="115"/>
      <c r="BA742" s="115"/>
      <c r="BB742" s="115"/>
      <c r="BC742" s="115"/>
      <c r="BD742" s="115"/>
      <c r="BE742" s="115"/>
      <c r="BF742" s="115"/>
      <c r="BG742" s="115"/>
      <c r="BH742" s="115"/>
      <c r="BI742" s="115"/>
      <c r="BJ742" s="115"/>
      <c r="BK742" s="115"/>
      <c r="BL742" s="115"/>
      <c r="BM742" s="115"/>
      <c r="BN742" s="115"/>
      <c r="BO742" s="115"/>
      <c r="BP742" s="115"/>
    </row>
    <row r="743" spans="1:68" ht="20.100000000000001" customHeight="1">
      <c r="A743" s="1215" t="s">
        <v>4986</v>
      </c>
      <c r="B743" s="1215" t="s">
        <v>4985</v>
      </c>
      <c r="C743" s="1215" t="s">
        <v>4984</v>
      </c>
      <c r="D743" s="247">
        <f>D674+400</f>
        <v>1675</v>
      </c>
      <c r="E743" s="247">
        <f>E674+500</f>
        <v>2250</v>
      </c>
      <c r="F743" s="247">
        <f>F674+500</f>
        <v>2250</v>
      </c>
      <c r="G743" s="110" t="s">
        <v>4553</v>
      </c>
      <c r="H743" s="56" t="s">
        <v>4649</v>
      </c>
      <c r="I743" s="38" t="s">
        <v>4989</v>
      </c>
      <c r="J743" s="95"/>
      <c r="K743" s="38">
        <v>35</v>
      </c>
      <c r="L743" s="116" t="s">
        <v>4539</v>
      </c>
      <c r="M743" s="6">
        <v>43085</v>
      </c>
      <c r="N743" s="6">
        <v>43100</v>
      </c>
      <c r="O743" s="134" t="s">
        <v>4545</v>
      </c>
      <c r="P743" s="61"/>
      <c r="Q743" s="171"/>
      <c r="R743" s="239" t="s">
        <v>4988</v>
      </c>
      <c r="S743" s="326" t="s">
        <v>4987</v>
      </c>
      <c r="T743" s="858"/>
      <c r="U743" s="235"/>
      <c r="V743" s="235"/>
      <c r="W743" s="235"/>
      <c r="X743" s="235"/>
      <c r="Y743" s="235"/>
      <c r="Z743" s="235"/>
      <c r="AA743" s="235"/>
      <c r="AB743" s="235"/>
      <c r="AC743" s="235"/>
      <c r="AD743" s="235"/>
      <c r="AE743" s="235"/>
      <c r="AF743" s="235"/>
      <c r="AG743" s="235"/>
      <c r="AH743" s="235"/>
      <c r="AI743" s="235"/>
      <c r="AJ743" s="235"/>
      <c r="AK743" s="235"/>
      <c r="AL743" s="235"/>
      <c r="AM743" s="235"/>
      <c r="AN743" s="235"/>
      <c r="AO743" s="235"/>
      <c r="AP743" s="235"/>
      <c r="AQ743" s="235"/>
      <c r="AR743" s="235"/>
      <c r="AS743" s="235"/>
      <c r="AT743" s="235"/>
      <c r="AU743" s="235"/>
      <c r="AV743" s="235"/>
      <c r="AW743" s="235"/>
      <c r="AX743" s="235"/>
      <c r="AY743" s="235"/>
      <c r="AZ743" s="235"/>
      <c r="BA743" s="235"/>
      <c r="BB743" s="235"/>
      <c r="BC743" s="235"/>
      <c r="BD743" s="235"/>
      <c r="BE743" s="235"/>
      <c r="BF743" s="235"/>
      <c r="BG743" s="235"/>
      <c r="BH743" s="235"/>
      <c r="BI743" s="235"/>
      <c r="BJ743" s="235"/>
      <c r="BK743" s="235"/>
      <c r="BL743" s="235"/>
      <c r="BM743" s="235"/>
      <c r="BN743" s="235"/>
      <c r="BO743" s="235"/>
      <c r="BP743" s="235"/>
    </row>
    <row r="744" spans="1:68" ht="20.100000000000001" customHeight="1">
      <c r="A744" s="1215" t="s">
        <v>4986</v>
      </c>
      <c r="B744" s="1215" t="s">
        <v>4985</v>
      </c>
      <c r="C744" s="1215" t="s">
        <v>4984</v>
      </c>
      <c r="D744" s="887">
        <v>1550</v>
      </c>
      <c r="E744" s="887">
        <f>D744*2-900</f>
        <v>2200</v>
      </c>
      <c r="F744" s="887">
        <f>D744*2-850</f>
        <v>2250</v>
      </c>
      <c r="G744" s="293" t="s">
        <v>4575</v>
      </c>
      <c r="H744" s="56" t="s">
        <v>4635</v>
      </c>
      <c r="I744" s="38" t="s">
        <v>4983</v>
      </c>
      <c r="J744" s="51"/>
      <c r="K744" s="51">
        <v>28</v>
      </c>
      <c r="L744" s="116" t="s">
        <v>4539</v>
      </c>
      <c r="M744" s="15">
        <v>43084</v>
      </c>
      <c r="N744" s="15">
        <v>43100</v>
      </c>
      <c r="O744" s="61" t="s">
        <v>4545</v>
      </c>
      <c r="P744" s="167"/>
      <c r="Q744" s="167"/>
      <c r="R744" s="21" t="s">
        <v>4882</v>
      </c>
      <c r="S744" s="327" t="s">
        <v>4576</v>
      </c>
      <c r="T744" s="858"/>
      <c r="U744" s="207"/>
      <c r="V744" s="115"/>
      <c r="W744" s="115"/>
      <c r="X744" s="115"/>
      <c r="Y744" s="115"/>
      <c r="Z744" s="115"/>
      <c r="AA744" s="115"/>
      <c r="AB744" s="115"/>
      <c r="AC744" s="115"/>
      <c r="AD744" s="115"/>
      <c r="AE744" s="115"/>
      <c r="AF744" s="115"/>
      <c r="AG744" s="115"/>
      <c r="AH744" s="115"/>
      <c r="AI744" s="115"/>
      <c r="AJ744" s="115"/>
      <c r="AK744" s="115"/>
      <c r="AL744" s="115"/>
      <c r="AM744" s="115"/>
      <c r="AN744" s="115"/>
      <c r="AO744" s="115"/>
      <c r="AP744" s="115"/>
      <c r="AQ744" s="115"/>
      <c r="AR744" s="115"/>
      <c r="AS744" s="115"/>
      <c r="AT744" s="115"/>
      <c r="AU744" s="115"/>
      <c r="AV744" s="115"/>
      <c r="AW744" s="115"/>
      <c r="AX744" s="115"/>
      <c r="AY744" s="115"/>
      <c r="AZ744" s="115"/>
      <c r="BA744" s="115"/>
      <c r="BB744" s="115"/>
      <c r="BC744" s="115"/>
      <c r="BD744" s="115"/>
      <c r="BE744" s="115"/>
      <c r="BF744" s="115"/>
      <c r="BG744" s="115"/>
      <c r="BH744" s="115"/>
      <c r="BI744" s="115"/>
      <c r="BJ744" s="115"/>
      <c r="BK744" s="115"/>
      <c r="BL744" s="115"/>
      <c r="BM744" s="115"/>
      <c r="BN744" s="115"/>
      <c r="BO744" s="115"/>
      <c r="BP744" s="115"/>
    </row>
    <row r="745" spans="1:68" ht="20.100000000000001" customHeight="1">
      <c r="A745" s="1216" t="s">
        <v>4888</v>
      </c>
      <c r="B745" s="1216" t="s">
        <v>4966</v>
      </c>
      <c r="C745" s="1216" t="s">
        <v>4979</v>
      </c>
      <c r="D745" s="945">
        <v>1150</v>
      </c>
      <c r="E745" s="945">
        <v>2000</v>
      </c>
      <c r="F745" s="945">
        <v>2075</v>
      </c>
      <c r="G745" s="293" t="s">
        <v>4572</v>
      </c>
      <c r="H745" s="36" t="s">
        <v>4552</v>
      </c>
      <c r="I745" s="50" t="s">
        <v>4579</v>
      </c>
      <c r="J745" s="37"/>
      <c r="K745" s="37">
        <v>32</v>
      </c>
      <c r="L745" s="50" t="s">
        <v>4539</v>
      </c>
      <c r="M745" s="15">
        <v>43060</v>
      </c>
      <c r="N745" s="15">
        <v>43076</v>
      </c>
      <c r="O745" s="142" t="s">
        <v>4545</v>
      </c>
      <c r="P745" s="61"/>
      <c r="Q745" s="167"/>
      <c r="R745" s="239" t="s">
        <v>4584</v>
      </c>
      <c r="S745" s="328" t="s">
        <v>4543</v>
      </c>
      <c r="T745" s="858"/>
      <c r="U745" s="207"/>
      <c r="V745" s="115"/>
      <c r="W745" s="115"/>
      <c r="X745" s="115"/>
      <c r="Y745" s="115"/>
      <c r="Z745" s="115"/>
      <c r="AA745" s="115"/>
      <c r="AB745" s="115"/>
      <c r="AC745" s="115"/>
      <c r="AD745" s="115"/>
      <c r="AE745" s="115"/>
      <c r="AF745" s="115"/>
      <c r="AG745" s="115"/>
      <c r="AH745" s="115"/>
      <c r="AI745" s="115"/>
      <c r="AJ745" s="115"/>
      <c r="AK745" s="115"/>
      <c r="AL745" s="115"/>
      <c r="AM745" s="115"/>
      <c r="AN745" s="115"/>
      <c r="AO745" s="115"/>
      <c r="AP745" s="115"/>
      <c r="AQ745" s="115"/>
      <c r="AR745" s="115"/>
      <c r="AS745" s="115"/>
      <c r="AT745" s="115"/>
      <c r="AU745" s="115"/>
      <c r="AV745" s="115"/>
      <c r="AW745" s="115"/>
      <c r="AX745" s="115"/>
      <c r="AY745" s="115"/>
      <c r="AZ745" s="115"/>
      <c r="BA745" s="115"/>
      <c r="BB745" s="115"/>
      <c r="BC745" s="115"/>
      <c r="BD745" s="115"/>
      <c r="BE745" s="115"/>
      <c r="BF745" s="115"/>
      <c r="BG745" s="115"/>
      <c r="BH745" s="115"/>
      <c r="BI745" s="115"/>
      <c r="BJ745" s="115"/>
      <c r="BK745" s="115"/>
      <c r="BL745" s="115"/>
      <c r="BM745" s="115"/>
      <c r="BN745" s="115"/>
      <c r="BO745" s="115"/>
      <c r="BP745" s="115"/>
    </row>
    <row r="746" spans="1:68" ht="20.100000000000001" customHeight="1">
      <c r="A746" s="1216" t="s">
        <v>4888</v>
      </c>
      <c r="B746" s="1216" t="s">
        <v>4966</v>
      </c>
      <c r="C746" s="1216" t="s">
        <v>4979</v>
      </c>
      <c r="D746" s="887">
        <v>925</v>
      </c>
      <c r="E746" s="887">
        <f>D746*2-200</f>
        <v>1650</v>
      </c>
      <c r="F746" s="887">
        <f>D746*2-150</f>
        <v>1700</v>
      </c>
      <c r="G746" s="234" t="s">
        <v>4575</v>
      </c>
      <c r="H746" s="245" t="s">
        <v>4978</v>
      </c>
      <c r="I746" s="37" t="s">
        <v>4977</v>
      </c>
      <c r="J746" s="37"/>
      <c r="K746" s="37" t="s">
        <v>4968</v>
      </c>
      <c r="L746" s="50" t="s">
        <v>4539</v>
      </c>
      <c r="M746" s="15">
        <v>43084</v>
      </c>
      <c r="N746" s="15">
        <v>43100</v>
      </c>
      <c r="O746" s="61" t="s">
        <v>4545</v>
      </c>
      <c r="P746" s="141"/>
      <c r="Q746" s="170"/>
      <c r="R746" s="238" t="s">
        <v>4976</v>
      </c>
      <c r="S746" s="327" t="s">
        <v>4576</v>
      </c>
      <c r="T746" s="858"/>
      <c r="U746" s="207"/>
      <c r="V746" s="115"/>
      <c r="W746" s="115"/>
      <c r="X746" s="115"/>
      <c r="Y746" s="115"/>
      <c r="Z746" s="115"/>
      <c r="AA746" s="115"/>
      <c r="AB746" s="115"/>
      <c r="AC746" s="115"/>
      <c r="AD746" s="115"/>
      <c r="AE746" s="115"/>
      <c r="AF746" s="115"/>
      <c r="AG746" s="115"/>
      <c r="AH746" s="115"/>
      <c r="AI746" s="115"/>
      <c r="AJ746" s="115"/>
      <c r="AK746" s="115"/>
      <c r="AL746" s="115"/>
      <c r="AM746" s="115"/>
      <c r="AN746" s="115"/>
      <c r="AO746" s="115"/>
      <c r="AP746" s="115"/>
      <c r="AQ746" s="115"/>
      <c r="AR746" s="115"/>
      <c r="AS746" s="115"/>
      <c r="AT746" s="115"/>
      <c r="AU746" s="115"/>
      <c r="AV746" s="115"/>
      <c r="AW746" s="115"/>
      <c r="AX746" s="115"/>
      <c r="AY746" s="115"/>
      <c r="AZ746" s="115"/>
      <c r="BA746" s="115"/>
      <c r="BB746" s="115"/>
      <c r="BC746" s="115"/>
      <c r="BD746" s="115"/>
      <c r="BE746" s="115"/>
      <c r="BF746" s="115"/>
      <c r="BG746" s="115"/>
      <c r="BH746" s="115"/>
      <c r="BI746" s="115"/>
      <c r="BJ746" s="115"/>
      <c r="BK746" s="115"/>
      <c r="BL746" s="115"/>
      <c r="BM746" s="115"/>
      <c r="BN746" s="115"/>
      <c r="BO746" s="115"/>
      <c r="BP746" s="115"/>
    </row>
    <row r="747" spans="1:68" ht="20.100000000000001" customHeight="1">
      <c r="A747" s="1216" t="s">
        <v>4888</v>
      </c>
      <c r="B747" s="1216" t="s">
        <v>4966</v>
      </c>
      <c r="C747" s="1216" t="s">
        <v>4979</v>
      </c>
      <c r="D747" s="947">
        <v>1025</v>
      </c>
      <c r="E747" s="947">
        <v>1450</v>
      </c>
      <c r="F747" s="947">
        <v>1450</v>
      </c>
      <c r="G747" s="293" t="s">
        <v>4904</v>
      </c>
      <c r="H747" s="22" t="s">
        <v>4903</v>
      </c>
      <c r="I747" s="51" t="s">
        <v>4902</v>
      </c>
      <c r="J747" s="34"/>
      <c r="K747" s="50" t="s">
        <v>4601</v>
      </c>
      <c r="L747" s="116" t="s">
        <v>4539</v>
      </c>
      <c r="M747" s="15">
        <v>43054</v>
      </c>
      <c r="N747" s="15">
        <v>43089</v>
      </c>
      <c r="O747" s="61" t="s">
        <v>4961</v>
      </c>
      <c r="P747" s="141"/>
      <c r="Q747" s="170"/>
      <c r="R747" s="239" t="s">
        <v>4899</v>
      </c>
      <c r="S747" s="327" t="s">
        <v>4632</v>
      </c>
      <c r="T747" s="858"/>
      <c r="U747" s="207"/>
      <c r="V747" s="115"/>
      <c r="W747" s="115"/>
      <c r="X747" s="115"/>
      <c r="Y747" s="115"/>
      <c r="Z747" s="115"/>
      <c r="AA747" s="115"/>
      <c r="AB747" s="115"/>
      <c r="AC747" s="115"/>
      <c r="AD747" s="115"/>
      <c r="AE747" s="115"/>
      <c r="AF747" s="115"/>
      <c r="AG747" s="115"/>
      <c r="AH747" s="115"/>
      <c r="AI747" s="115"/>
      <c r="AJ747" s="115"/>
      <c r="AK747" s="115"/>
      <c r="AL747" s="115"/>
      <c r="AM747" s="115"/>
      <c r="AN747" s="115"/>
      <c r="AO747" s="115"/>
      <c r="AP747" s="115"/>
      <c r="AQ747" s="115"/>
      <c r="AR747" s="115"/>
      <c r="AS747" s="115"/>
      <c r="AT747" s="115"/>
      <c r="AU747" s="115"/>
      <c r="AV747" s="115"/>
      <c r="AW747" s="115"/>
      <c r="AX747" s="115"/>
      <c r="AY747" s="115"/>
      <c r="AZ747" s="115"/>
      <c r="BA747" s="115"/>
      <c r="BB747" s="115"/>
      <c r="BC747" s="115"/>
      <c r="BD747" s="115"/>
      <c r="BE747" s="115"/>
      <c r="BF747" s="115"/>
      <c r="BG747" s="115"/>
      <c r="BH747" s="115"/>
      <c r="BI747" s="115"/>
      <c r="BJ747" s="115"/>
      <c r="BK747" s="115"/>
      <c r="BL747" s="115"/>
      <c r="BM747" s="115"/>
      <c r="BN747" s="115"/>
      <c r="BO747" s="115"/>
      <c r="BP747" s="115"/>
    </row>
    <row r="748" spans="1:68" ht="20.100000000000001" customHeight="1">
      <c r="A748" s="1216" t="s">
        <v>4888</v>
      </c>
      <c r="B748" s="1216" t="s">
        <v>4966</v>
      </c>
      <c r="C748" s="1216" t="s">
        <v>4979</v>
      </c>
      <c r="D748" s="954">
        <v>1050</v>
      </c>
      <c r="E748" s="954">
        <v>1900</v>
      </c>
      <c r="F748" s="954">
        <v>1950</v>
      </c>
      <c r="G748" s="29" t="s">
        <v>4542</v>
      </c>
      <c r="H748" s="69" t="s">
        <v>4912</v>
      </c>
      <c r="I748" s="37" t="s">
        <v>4564</v>
      </c>
      <c r="J748" s="37"/>
      <c r="K748" s="37">
        <v>41</v>
      </c>
      <c r="L748" s="50" t="s">
        <v>4539</v>
      </c>
      <c r="M748" s="15">
        <v>43080</v>
      </c>
      <c r="N748" s="15">
        <v>43083</v>
      </c>
      <c r="O748" s="61" t="s">
        <v>4961</v>
      </c>
      <c r="P748" s="61"/>
      <c r="Q748" s="7"/>
      <c r="R748" s="239" t="s">
        <v>4960</v>
      </c>
      <c r="S748" s="327" t="s">
        <v>4959</v>
      </c>
      <c r="T748" s="858"/>
      <c r="U748" s="235"/>
      <c r="V748" s="235"/>
      <c r="W748" s="235"/>
      <c r="X748" s="235"/>
      <c r="Y748" s="235"/>
      <c r="Z748" s="235"/>
      <c r="AA748" s="235"/>
      <c r="AB748" s="235"/>
      <c r="AC748" s="235"/>
      <c r="AD748" s="235"/>
      <c r="AE748" s="235"/>
      <c r="AF748" s="235"/>
      <c r="AG748" s="235"/>
      <c r="AH748" s="235"/>
      <c r="AI748" s="235"/>
      <c r="AJ748" s="235"/>
      <c r="AK748" s="235"/>
      <c r="AL748" s="235"/>
      <c r="AM748" s="235"/>
      <c r="AN748" s="235"/>
      <c r="AO748" s="235"/>
      <c r="AP748" s="235"/>
      <c r="AQ748" s="235"/>
      <c r="AR748" s="235"/>
      <c r="AS748" s="235"/>
      <c r="AT748" s="235"/>
      <c r="AU748" s="235"/>
      <c r="AV748" s="235"/>
      <c r="AW748" s="235"/>
      <c r="AX748" s="235"/>
      <c r="AY748" s="235"/>
      <c r="AZ748" s="235"/>
      <c r="BA748" s="235"/>
      <c r="BB748" s="235"/>
      <c r="BC748" s="235"/>
      <c r="BD748" s="235"/>
      <c r="BE748" s="235"/>
      <c r="BF748" s="235"/>
      <c r="BG748" s="235"/>
      <c r="BH748" s="235"/>
      <c r="BI748" s="235"/>
      <c r="BJ748" s="235"/>
      <c r="BK748" s="235"/>
      <c r="BL748" s="235"/>
      <c r="BM748" s="235"/>
      <c r="BN748" s="235"/>
      <c r="BO748" s="235"/>
      <c r="BP748" s="235"/>
    </row>
    <row r="749" spans="1:68" ht="20.100000000000001" customHeight="1">
      <c r="A749" s="1216" t="s">
        <v>4888</v>
      </c>
      <c r="B749" s="1216" t="s">
        <v>4966</v>
      </c>
      <c r="C749" s="1216" t="s">
        <v>4979</v>
      </c>
      <c r="D749" s="948">
        <v>1325</v>
      </c>
      <c r="E749" s="948">
        <v>2450</v>
      </c>
      <c r="F749" s="948">
        <v>2500</v>
      </c>
      <c r="G749" s="29" t="s">
        <v>4549</v>
      </c>
      <c r="H749" s="36" t="s">
        <v>4635</v>
      </c>
      <c r="I749" s="50" t="s">
        <v>4948</v>
      </c>
      <c r="J749" s="50"/>
      <c r="K749" s="50" t="s">
        <v>4772</v>
      </c>
      <c r="L749" s="118" t="s">
        <v>4539</v>
      </c>
      <c r="M749" s="6">
        <v>43085</v>
      </c>
      <c r="N749" s="6">
        <v>43100</v>
      </c>
      <c r="O749" s="61" t="s">
        <v>4545</v>
      </c>
      <c r="P749" s="59"/>
      <c r="Q749" s="260"/>
      <c r="R749" s="238" t="s">
        <v>4947</v>
      </c>
      <c r="S749" s="328" t="s">
        <v>4543</v>
      </c>
      <c r="T749" s="858"/>
      <c r="U749" s="283"/>
      <c r="V749" s="283"/>
      <c r="W749" s="283"/>
      <c r="X749" s="283"/>
      <c r="Y749" s="283"/>
      <c r="Z749" s="283"/>
      <c r="AA749" s="283"/>
      <c r="AB749" s="283"/>
      <c r="AC749" s="283"/>
      <c r="AD749" s="283"/>
      <c r="AE749" s="283"/>
      <c r="AF749" s="283"/>
      <c r="AG749" s="283"/>
      <c r="AH749" s="283"/>
      <c r="AI749" s="283"/>
      <c r="AJ749" s="283"/>
      <c r="AK749" s="283"/>
      <c r="AL749" s="283"/>
      <c r="AM749" s="283"/>
      <c r="AN749" s="283"/>
      <c r="AO749" s="283"/>
      <c r="AP749" s="283"/>
      <c r="AQ749" s="283"/>
      <c r="AR749" s="283"/>
      <c r="AS749" s="283"/>
      <c r="AT749" s="283"/>
      <c r="AU749" s="283"/>
      <c r="AV749" s="283"/>
      <c r="AW749" s="283"/>
      <c r="AX749" s="283"/>
      <c r="AY749" s="283"/>
      <c r="AZ749" s="283"/>
      <c r="BA749" s="283"/>
      <c r="BB749" s="283"/>
      <c r="BC749" s="283"/>
      <c r="BD749" s="283"/>
      <c r="BE749" s="283"/>
      <c r="BF749" s="283"/>
      <c r="BG749" s="283"/>
      <c r="BH749" s="283"/>
      <c r="BI749" s="283"/>
      <c r="BJ749" s="283"/>
      <c r="BK749" s="283"/>
      <c r="BL749" s="283"/>
      <c r="BM749" s="283"/>
      <c r="BN749" s="283"/>
      <c r="BO749" s="283"/>
      <c r="BP749" s="283"/>
    </row>
    <row r="750" spans="1:68" ht="20.100000000000001" customHeight="1">
      <c r="A750" s="1216" t="s">
        <v>4888</v>
      </c>
      <c r="B750" s="1216" t="s">
        <v>4966</v>
      </c>
      <c r="C750" s="1216" t="s">
        <v>4979</v>
      </c>
      <c r="D750" s="952">
        <v>1450</v>
      </c>
      <c r="E750" s="952">
        <v>2800</v>
      </c>
      <c r="F750" s="952">
        <v>2800</v>
      </c>
      <c r="G750" s="29" t="s">
        <v>4645</v>
      </c>
      <c r="H750" s="48" t="s">
        <v>4565</v>
      </c>
      <c r="I750" s="37" t="s">
        <v>4982</v>
      </c>
      <c r="J750" s="37"/>
      <c r="K750" s="37" t="s">
        <v>4981</v>
      </c>
      <c r="L750" s="116" t="s">
        <v>4539</v>
      </c>
      <c r="M750" s="6">
        <v>43060</v>
      </c>
      <c r="N750" s="6">
        <v>43093</v>
      </c>
      <c r="O750" s="61" t="s">
        <v>4563</v>
      </c>
      <c r="P750" s="61"/>
      <c r="Q750" s="7"/>
      <c r="R750" s="239" t="s">
        <v>4562</v>
      </c>
      <c r="S750" s="326"/>
      <c r="T750" s="858"/>
      <c r="U750" s="207"/>
      <c r="V750" s="115"/>
      <c r="W750" s="115"/>
      <c r="X750" s="115"/>
      <c r="Y750" s="115"/>
      <c r="Z750" s="115"/>
      <c r="AA750" s="115"/>
      <c r="AB750" s="115"/>
      <c r="AC750" s="115"/>
      <c r="AD750" s="115"/>
      <c r="AE750" s="115"/>
      <c r="AF750" s="115"/>
      <c r="AG750" s="115"/>
      <c r="AH750" s="115"/>
      <c r="AI750" s="115"/>
      <c r="AJ750" s="115"/>
      <c r="AK750" s="115"/>
      <c r="AL750" s="115"/>
      <c r="AM750" s="115"/>
      <c r="AN750" s="115"/>
      <c r="AO750" s="115"/>
      <c r="AP750" s="115"/>
      <c r="AQ750" s="115"/>
      <c r="AR750" s="115"/>
      <c r="AS750" s="115"/>
      <c r="AT750" s="115"/>
      <c r="AU750" s="115"/>
      <c r="AV750" s="115"/>
      <c r="AW750" s="115"/>
      <c r="AX750" s="115"/>
      <c r="AY750" s="115"/>
      <c r="AZ750" s="115"/>
      <c r="BA750" s="115"/>
      <c r="BB750" s="115"/>
      <c r="BC750" s="115"/>
      <c r="BD750" s="115"/>
      <c r="BE750" s="115"/>
      <c r="BF750" s="115"/>
      <c r="BG750" s="115"/>
      <c r="BH750" s="115"/>
      <c r="BI750" s="115"/>
      <c r="BJ750" s="115"/>
      <c r="BK750" s="115"/>
      <c r="BL750" s="115"/>
      <c r="BM750" s="115"/>
      <c r="BN750" s="115"/>
      <c r="BO750" s="115"/>
      <c r="BP750" s="115"/>
    </row>
    <row r="751" spans="1:68" ht="20.100000000000001" customHeight="1">
      <c r="A751" s="1216" t="s">
        <v>4888</v>
      </c>
      <c r="B751" s="1216" t="s">
        <v>4966</v>
      </c>
      <c r="C751" s="1216" t="s">
        <v>4979</v>
      </c>
      <c r="D751" s="247">
        <f>D228+550</f>
        <v>1100</v>
      </c>
      <c r="E751" s="247">
        <f>E228+850</f>
        <v>1850</v>
      </c>
      <c r="F751" s="247">
        <f>F228+850</f>
        <v>1850</v>
      </c>
      <c r="G751" s="222" t="s">
        <v>4557</v>
      </c>
      <c r="H751" s="36" t="s">
        <v>4565</v>
      </c>
      <c r="I751" s="37" t="s">
        <v>4564</v>
      </c>
      <c r="J751" s="50"/>
      <c r="K751" s="50">
        <v>40</v>
      </c>
      <c r="L751" s="50" t="s">
        <v>4539</v>
      </c>
      <c r="M751" s="6">
        <v>43084</v>
      </c>
      <c r="N751" s="6">
        <v>43100</v>
      </c>
      <c r="O751" s="141" t="s">
        <v>4974</v>
      </c>
      <c r="P751" s="7"/>
      <c r="Q751" s="7"/>
      <c r="R751" s="239" t="s">
        <v>4562</v>
      </c>
      <c r="S751" s="327" t="s">
        <v>4973</v>
      </c>
      <c r="T751" s="858" t="s">
        <v>4980</v>
      </c>
      <c r="U751" s="207"/>
      <c r="V751" s="115"/>
      <c r="W751" s="115"/>
      <c r="X751" s="115"/>
      <c r="Y751" s="115"/>
      <c r="Z751" s="115"/>
      <c r="AA751" s="115"/>
      <c r="AB751" s="115"/>
      <c r="AC751" s="115"/>
      <c r="AD751" s="115"/>
      <c r="AE751" s="115"/>
      <c r="AF751" s="115"/>
      <c r="AG751" s="115"/>
      <c r="AH751" s="115"/>
      <c r="AI751" s="115"/>
      <c r="AJ751" s="115"/>
      <c r="AK751" s="115"/>
      <c r="AL751" s="115"/>
      <c r="AM751" s="115"/>
      <c r="AN751" s="115"/>
      <c r="AO751" s="115"/>
      <c r="AP751" s="115"/>
      <c r="AQ751" s="115"/>
      <c r="AR751" s="115"/>
      <c r="AS751" s="115"/>
      <c r="AT751" s="115"/>
      <c r="AU751" s="115"/>
      <c r="AV751" s="115"/>
      <c r="AW751" s="115"/>
      <c r="AX751" s="115"/>
      <c r="AY751" s="115"/>
      <c r="AZ751" s="115"/>
      <c r="BA751" s="115"/>
      <c r="BB751" s="115"/>
      <c r="BC751" s="115"/>
      <c r="BD751" s="115"/>
      <c r="BE751" s="115"/>
      <c r="BF751" s="115"/>
      <c r="BG751" s="115"/>
      <c r="BH751" s="115"/>
      <c r="BI751" s="115"/>
      <c r="BJ751" s="115"/>
      <c r="BK751" s="115"/>
      <c r="BL751" s="115"/>
      <c r="BM751" s="115"/>
      <c r="BN751" s="115"/>
      <c r="BO751" s="115"/>
      <c r="BP751" s="115"/>
    </row>
    <row r="752" spans="1:68" ht="20.100000000000001" customHeight="1">
      <c r="A752" s="1216" t="s">
        <v>4888</v>
      </c>
      <c r="B752" s="1216" t="s">
        <v>4966</v>
      </c>
      <c r="C752" s="1216" t="s">
        <v>4979</v>
      </c>
      <c r="D752" s="952">
        <v>1050</v>
      </c>
      <c r="E752" s="952">
        <v>1900</v>
      </c>
      <c r="F752" s="952">
        <v>1900</v>
      </c>
      <c r="G752" s="29" t="s">
        <v>4553</v>
      </c>
      <c r="H752" s="56" t="s">
        <v>4589</v>
      </c>
      <c r="I752" s="50" t="s">
        <v>4564</v>
      </c>
      <c r="J752" s="50"/>
      <c r="K752" s="50">
        <v>32</v>
      </c>
      <c r="L752" s="50" t="s">
        <v>4539</v>
      </c>
      <c r="M752" s="6">
        <v>43085</v>
      </c>
      <c r="N752" s="6">
        <v>43100</v>
      </c>
      <c r="O752" s="142" t="s">
        <v>4545</v>
      </c>
      <c r="P752" s="59"/>
      <c r="Q752" s="260"/>
      <c r="R752" s="239" t="s">
        <v>4588</v>
      </c>
      <c r="S752" s="328" t="s">
        <v>4543</v>
      </c>
      <c r="T752" s="858"/>
      <c r="U752" s="207"/>
      <c r="V752" s="115"/>
      <c r="W752" s="115"/>
      <c r="X752" s="115"/>
      <c r="Y752" s="115"/>
      <c r="Z752" s="115"/>
      <c r="AA752" s="115"/>
      <c r="AB752" s="115"/>
      <c r="AC752" s="115"/>
      <c r="AD752" s="115"/>
      <c r="AE752" s="115"/>
      <c r="AF752" s="115"/>
      <c r="AG752" s="115"/>
      <c r="AH752" s="115"/>
      <c r="AI752" s="115"/>
      <c r="AJ752" s="115"/>
      <c r="AK752" s="115"/>
      <c r="AL752" s="115"/>
      <c r="AM752" s="115"/>
      <c r="AN752" s="115"/>
      <c r="AO752" s="115"/>
      <c r="AP752" s="115"/>
      <c r="AQ752" s="115"/>
      <c r="AR752" s="115"/>
      <c r="AS752" s="115"/>
      <c r="AT752" s="115"/>
      <c r="AU752" s="115"/>
      <c r="AV752" s="115"/>
      <c r="AW752" s="115"/>
      <c r="AX752" s="115"/>
      <c r="AY752" s="115"/>
      <c r="AZ752" s="115"/>
      <c r="BA752" s="115"/>
      <c r="BB752" s="115"/>
      <c r="BC752" s="115"/>
      <c r="BD752" s="115"/>
      <c r="BE752" s="115"/>
      <c r="BF752" s="115"/>
      <c r="BG752" s="115"/>
      <c r="BH752" s="115"/>
      <c r="BI752" s="115"/>
      <c r="BJ752" s="115"/>
      <c r="BK752" s="115"/>
      <c r="BL752" s="115"/>
      <c r="BM752" s="115"/>
      <c r="BN752" s="115"/>
      <c r="BO752" s="115"/>
      <c r="BP752" s="115"/>
    </row>
    <row r="753" spans="1:68" ht="20.100000000000001" customHeight="1">
      <c r="A753" s="1216" t="s">
        <v>4888</v>
      </c>
      <c r="B753" s="1216" t="s">
        <v>4966</v>
      </c>
      <c r="C753" s="1216" t="s">
        <v>4979</v>
      </c>
      <c r="D753" s="951"/>
      <c r="E753" s="951"/>
      <c r="F753" s="951"/>
      <c r="G753" s="225" t="s">
        <v>4569</v>
      </c>
      <c r="H753" s="69" t="s">
        <v>4589</v>
      </c>
      <c r="I753" s="37" t="s">
        <v>4564</v>
      </c>
      <c r="J753" s="37"/>
      <c r="K753" s="37" t="s">
        <v>4546</v>
      </c>
      <c r="L753" s="50" t="s">
        <v>4539</v>
      </c>
      <c r="M753" s="6">
        <v>43057</v>
      </c>
      <c r="N753" s="6">
        <v>43069</v>
      </c>
      <c r="O753" s="61" t="s">
        <v>4921</v>
      </c>
      <c r="P753" s="59"/>
      <c r="Q753" s="7"/>
      <c r="R753" s="239" t="s">
        <v>4920</v>
      </c>
      <c r="S753" s="328" t="s">
        <v>4543</v>
      </c>
      <c r="T753" s="858"/>
      <c r="U753" s="207"/>
      <c r="V753" s="115"/>
      <c r="W753" s="115"/>
      <c r="X753" s="115"/>
      <c r="Y753" s="115"/>
      <c r="Z753" s="115"/>
      <c r="AA753" s="115"/>
      <c r="AB753" s="115"/>
      <c r="AC753" s="115"/>
      <c r="AD753" s="115"/>
      <c r="AE753" s="115"/>
      <c r="AF753" s="115"/>
      <c r="AG753" s="115"/>
      <c r="AH753" s="115"/>
      <c r="AI753" s="115"/>
      <c r="AJ753" s="115"/>
      <c r="AK753" s="115"/>
      <c r="AL753" s="115"/>
      <c r="AM753" s="115"/>
      <c r="AN753" s="115"/>
      <c r="AO753" s="115"/>
      <c r="AP753" s="115"/>
      <c r="AQ753" s="115"/>
      <c r="AR753" s="115"/>
      <c r="AS753" s="115"/>
      <c r="AT753" s="115"/>
      <c r="AU753" s="115"/>
      <c r="AV753" s="115"/>
      <c r="AW753" s="115"/>
      <c r="AX753" s="115"/>
      <c r="AY753" s="115"/>
      <c r="AZ753" s="115"/>
      <c r="BA753" s="115"/>
      <c r="BB753" s="115"/>
      <c r="BC753" s="115"/>
      <c r="BD753" s="115"/>
      <c r="BE753" s="115"/>
      <c r="BF753" s="115"/>
      <c r="BG753" s="115"/>
      <c r="BH753" s="115"/>
      <c r="BI753" s="115"/>
      <c r="BJ753" s="115"/>
      <c r="BK753" s="115"/>
      <c r="BL753" s="115"/>
      <c r="BM753" s="115"/>
      <c r="BN753" s="115"/>
      <c r="BO753" s="115"/>
      <c r="BP753" s="115"/>
    </row>
    <row r="754" spans="1:68" ht="20.100000000000001" customHeight="1">
      <c r="A754" s="1216" t="s">
        <v>4888</v>
      </c>
      <c r="B754" s="1216" t="s">
        <v>4966</v>
      </c>
      <c r="C754" s="1216" t="s">
        <v>4979</v>
      </c>
      <c r="D754" s="952">
        <v>775</v>
      </c>
      <c r="E754" s="952">
        <v>1250</v>
      </c>
      <c r="F754" s="952">
        <v>1250</v>
      </c>
      <c r="G754" s="29" t="s">
        <v>4566</v>
      </c>
      <c r="H754" s="36" t="s">
        <v>4565</v>
      </c>
      <c r="I754" s="50" t="s">
        <v>4564</v>
      </c>
      <c r="J754" s="37"/>
      <c r="K754" s="37" t="s">
        <v>4546</v>
      </c>
      <c r="L754" s="116" t="s">
        <v>4539</v>
      </c>
      <c r="M754" s="15">
        <v>43073</v>
      </c>
      <c r="N754" s="15">
        <v>43100</v>
      </c>
      <c r="O754" s="61" t="s">
        <v>4563</v>
      </c>
      <c r="P754" s="61"/>
      <c r="Q754" s="7"/>
      <c r="R754" s="21" t="s">
        <v>4562</v>
      </c>
      <c r="S754" s="327" t="s">
        <v>4561</v>
      </c>
      <c r="T754" s="858"/>
      <c r="U754" s="265"/>
      <c r="V754" s="265"/>
      <c r="W754" s="265"/>
      <c r="X754" s="265"/>
      <c r="Y754" s="265"/>
      <c r="Z754" s="265"/>
      <c r="AA754" s="265"/>
      <c r="AB754" s="265"/>
      <c r="AC754" s="265"/>
      <c r="AD754" s="265"/>
      <c r="AE754" s="265"/>
      <c r="AF754" s="265"/>
      <c r="AG754" s="265"/>
      <c r="AH754" s="265"/>
      <c r="AI754" s="265"/>
      <c r="AJ754" s="265"/>
      <c r="AK754" s="265"/>
      <c r="AL754" s="265"/>
      <c r="AM754" s="265"/>
      <c r="AN754" s="265"/>
      <c r="AO754" s="265"/>
      <c r="AP754" s="265"/>
      <c r="AQ754" s="265"/>
      <c r="AR754" s="265"/>
      <c r="AS754" s="265"/>
      <c r="AT754" s="265"/>
      <c r="AU754" s="265"/>
      <c r="AV754" s="265"/>
      <c r="AW754" s="265"/>
      <c r="AX754" s="265"/>
      <c r="AY754" s="265"/>
      <c r="AZ754" s="265"/>
      <c r="BA754" s="265"/>
      <c r="BB754" s="265"/>
      <c r="BC754" s="265"/>
      <c r="BD754" s="265"/>
      <c r="BE754" s="265"/>
      <c r="BF754" s="265"/>
      <c r="BG754" s="265"/>
      <c r="BH754" s="265"/>
      <c r="BI754" s="265"/>
      <c r="BJ754" s="265"/>
      <c r="BK754" s="265"/>
      <c r="BL754" s="265"/>
      <c r="BM754" s="265"/>
      <c r="BN754" s="265"/>
      <c r="BO754" s="265"/>
      <c r="BP754" s="265"/>
    </row>
    <row r="755" spans="1:68" ht="20.100000000000001" customHeight="1">
      <c r="A755" s="1216" t="s">
        <v>4888</v>
      </c>
      <c r="B755" s="1216" t="s">
        <v>4966</v>
      </c>
      <c r="C755" s="1216" t="s">
        <v>4971</v>
      </c>
      <c r="D755" s="945">
        <f>D745</f>
        <v>1150</v>
      </c>
      <c r="E755" s="945">
        <f>E745</f>
        <v>2000</v>
      </c>
      <c r="F755" s="945">
        <f>F745</f>
        <v>2075</v>
      </c>
      <c r="G755" s="222" t="s">
        <v>4572</v>
      </c>
      <c r="H755" s="56" t="s">
        <v>4552</v>
      </c>
      <c r="I755" s="50" t="s">
        <v>4885</v>
      </c>
      <c r="J755" s="37"/>
      <c r="K755" s="50" t="s">
        <v>4975</v>
      </c>
      <c r="L755" s="50" t="s">
        <v>4539</v>
      </c>
      <c r="M755" s="15">
        <v>43060</v>
      </c>
      <c r="N755" s="15">
        <v>43076</v>
      </c>
      <c r="O755" s="142" t="s">
        <v>4545</v>
      </c>
      <c r="P755" s="61"/>
      <c r="Q755" s="167"/>
      <c r="R755" s="239" t="s">
        <v>4584</v>
      </c>
      <c r="S755" s="328" t="s">
        <v>4543</v>
      </c>
      <c r="T755" s="858"/>
      <c r="U755" s="207"/>
      <c r="V755" s="115"/>
      <c r="W755" s="115"/>
      <c r="X755" s="115"/>
      <c r="Y755" s="115"/>
      <c r="Z755" s="115"/>
      <c r="AA755" s="115"/>
      <c r="AB755" s="115"/>
      <c r="AC755" s="115"/>
      <c r="AD755" s="115"/>
      <c r="AE755" s="115"/>
      <c r="AF755" s="115"/>
      <c r="AG755" s="115"/>
      <c r="AH755" s="115"/>
      <c r="AI755" s="115"/>
      <c r="AJ755" s="115"/>
      <c r="AK755" s="115"/>
      <c r="AL755" s="115"/>
      <c r="AM755" s="115"/>
      <c r="AN755" s="115"/>
      <c r="AO755" s="115"/>
      <c r="AP755" s="115"/>
      <c r="AQ755" s="115"/>
      <c r="AR755" s="115"/>
      <c r="AS755" s="115"/>
      <c r="AT755" s="115"/>
      <c r="AU755" s="115"/>
      <c r="AV755" s="115"/>
      <c r="AW755" s="115"/>
      <c r="AX755" s="115"/>
      <c r="AY755" s="115"/>
      <c r="AZ755" s="115"/>
      <c r="BA755" s="115"/>
      <c r="BB755" s="115"/>
      <c r="BC755" s="115"/>
      <c r="BD755" s="115"/>
      <c r="BE755" s="115"/>
      <c r="BF755" s="115"/>
      <c r="BG755" s="115"/>
      <c r="BH755" s="115"/>
      <c r="BI755" s="115"/>
      <c r="BJ755" s="115"/>
      <c r="BK755" s="115"/>
      <c r="BL755" s="115"/>
      <c r="BM755" s="115"/>
      <c r="BN755" s="115"/>
      <c r="BO755" s="115"/>
      <c r="BP755" s="115"/>
    </row>
    <row r="756" spans="1:68" ht="20.100000000000001" customHeight="1">
      <c r="A756" s="1216" t="s">
        <v>4888</v>
      </c>
      <c r="B756" s="1216" t="s">
        <v>4966</v>
      </c>
      <c r="C756" s="1216" t="s">
        <v>4971</v>
      </c>
      <c r="D756" s="887">
        <v>1075</v>
      </c>
      <c r="E756" s="887">
        <f>D756*2-300</f>
        <v>1850</v>
      </c>
      <c r="F756" s="887">
        <f>D756*2-250</f>
        <v>1900</v>
      </c>
      <c r="G756" s="234" t="s">
        <v>4575</v>
      </c>
      <c r="H756" s="245" t="s">
        <v>4978</v>
      </c>
      <c r="I756" s="37" t="s">
        <v>4977</v>
      </c>
      <c r="J756" s="37"/>
      <c r="K756" s="37" t="s">
        <v>4968</v>
      </c>
      <c r="L756" s="50" t="s">
        <v>4539</v>
      </c>
      <c r="M756" s="15">
        <v>43084</v>
      </c>
      <c r="N756" s="15">
        <v>43100</v>
      </c>
      <c r="O756" s="61" t="s">
        <v>4545</v>
      </c>
      <c r="P756" s="141"/>
      <c r="Q756" s="170"/>
      <c r="R756" s="238" t="s">
        <v>4976</v>
      </c>
      <c r="S756" s="327" t="s">
        <v>4576</v>
      </c>
      <c r="T756" s="858"/>
      <c r="U756" s="207"/>
      <c r="V756" s="115"/>
      <c r="W756" s="115"/>
      <c r="X756" s="115"/>
      <c r="Y756" s="115"/>
      <c r="Z756" s="115"/>
      <c r="AA756" s="115"/>
      <c r="AB756" s="115"/>
      <c r="AC756" s="115"/>
      <c r="AD756" s="115"/>
      <c r="AE756" s="115"/>
      <c r="AF756" s="115"/>
      <c r="AG756" s="115"/>
      <c r="AH756" s="115"/>
      <c r="AI756" s="115"/>
      <c r="AJ756" s="115"/>
      <c r="AK756" s="115"/>
      <c r="AL756" s="115"/>
      <c r="AM756" s="115"/>
      <c r="AN756" s="115"/>
      <c r="AO756" s="115"/>
      <c r="AP756" s="115"/>
      <c r="AQ756" s="115"/>
      <c r="AR756" s="115"/>
      <c r="AS756" s="115"/>
      <c r="AT756" s="115"/>
      <c r="AU756" s="115"/>
      <c r="AV756" s="115"/>
      <c r="AW756" s="115"/>
      <c r="AX756" s="115"/>
      <c r="AY756" s="115"/>
      <c r="AZ756" s="115"/>
      <c r="BA756" s="115"/>
      <c r="BB756" s="115"/>
      <c r="BC756" s="115"/>
      <c r="BD756" s="115"/>
      <c r="BE756" s="115"/>
      <c r="BF756" s="115"/>
      <c r="BG756" s="115"/>
      <c r="BH756" s="115"/>
      <c r="BI756" s="115"/>
      <c r="BJ756" s="115"/>
      <c r="BK756" s="115"/>
      <c r="BL756" s="115"/>
      <c r="BM756" s="115"/>
      <c r="BN756" s="115"/>
      <c r="BO756" s="115"/>
      <c r="BP756" s="115"/>
    </row>
    <row r="757" spans="1:68" ht="20.100000000000001" customHeight="1">
      <c r="A757" s="1216" t="s">
        <v>4888</v>
      </c>
      <c r="B757" s="1216" t="s">
        <v>4966</v>
      </c>
      <c r="C757" s="1216" t="s">
        <v>4971</v>
      </c>
      <c r="D757" s="954">
        <v>1050</v>
      </c>
      <c r="E757" s="954">
        <v>1900</v>
      </c>
      <c r="F757" s="954">
        <v>1950</v>
      </c>
      <c r="G757" s="29" t="s">
        <v>4542</v>
      </c>
      <c r="H757" s="69" t="s">
        <v>4912</v>
      </c>
      <c r="I757" s="37" t="s">
        <v>4564</v>
      </c>
      <c r="J757" s="37"/>
      <c r="K757" s="37">
        <v>48</v>
      </c>
      <c r="L757" s="50" t="s">
        <v>4539</v>
      </c>
      <c r="M757" s="15">
        <v>43080</v>
      </c>
      <c r="N757" s="15">
        <v>43083</v>
      </c>
      <c r="O757" s="61" t="s">
        <v>4961</v>
      </c>
      <c r="P757" s="143"/>
      <c r="Q757" s="7"/>
      <c r="R757" s="239" t="s">
        <v>4960</v>
      </c>
      <c r="S757" s="327" t="s">
        <v>4959</v>
      </c>
      <c r="T757" s="858"/>
      <c r="U757" s="207"/>
      <c r="V757" s="115"/>
      <c r="W757" s="115"/>
      <c r="X757" s="115"/>
      <c r="Y757" s="115"/>
      <c r="Z757" s="115"/>
      <c r="AA757" s="115"/>
      <c r="AB757" s="115"/>
      <c r="AC757" s="115"/>
      <c r="AD757" s="115"/>
      <c r="AE757" s="115"/>
      <c r="AF757" s="115"/>
      <c r="AG757" s="115"/>
      <c r="AH757" s="115"/>
      <c r="AI757" s="115"/>
      <c r="AJ757" s="115"/>
      <c r="AK757" s="115"/>
      <c r="AL757" s="115"/>
      <c r="AM757" s="115"/>
      <c r="AN757" s="115"/>
      <c r="AO757" s="115"/>
      <c r="AP757" s="115"/>
      <c r="AQ757" s="115"/>
      <c r="AR757" s="115"/>
      <c r="AS757" s="115"/>
      <c r="AT757" s="115"/>
      <c r="AU757" s="115"/>
      <c r="AV757" s="115"/>
      <c r="AW757" s="115"/>
      <c r="AX757" s="115"/>
      <c r="AY757" s="115"/>
      <c r="AZ757" s="115"/>
      <c r="BA757" s="115"/>
      <c r="BB757" s="115"/>
      <c r="BC757" s="115"/>
      <c r="BD757" s="115"/>
      <c r="BE757" s="115"/>
      <c r="BF757" s="115"/>
      <c r="BG757" s="115"/>
      <c r="BH757" s="115"/>
      <c r="BI757" s="115"/>
      <c r="BJ757" s="115"/>
      <c r="BK757" s="115"/>
      <c r="BL757" s="115"/>
      <c r="BM757" s="115"/>
      <c r="BN757" s="115"/>
      <c r="BO757" s="115"/>
      <c r="BP757" s="115"/>
    </row>
    <row r="758" spans="1:68" ht="20.100000000000001" customHeight="1">
      <c r="A758" s="1216" t="s">
        <v>4888</v>
      </c>
      <c r="B758" s="1216" t="s">
        <v>4966</v>
      </c>
      <c r="C758" s="1216" t="s">
        <v>4971</v>
      </c>
      <c r="D758" s="952">
        <v>775</v>
      </c>
      <c r="E758" s="952">
        <v>1250</v>
      </c>
      <c r="F758" s="952">
        <v>1250</v>
      </c>
      <c r="G758" s="29" t="s">
        <v>4566</v>
      </c>
      <c r="H758" s="36" t="s">
        <v>4649</v>
      </c>
      <c r="I758" s="50" t="s">
        <v>4725</v>
      </c>
      <c r="J758" s="37"/>
      <c r="K758" s="37" t="s">
        <v>4975</v>
      </c>
      <c r="L758" s="116" t="s">
        <v>4539</v>
      </c>
      <c r="M758" s="15">
        <v>43073</v>
      </c>
      <c r="N758" s="15">
        <v>43100</v>
      </c>
      <c r="O758" s="61" t="s">
        <v>4563</v>
      </c>
      <c r="P758" s="61"/>
      <c r="Q758" s="173"/>
      <c r="R758" s="21" t="s">
        <v>4969</v>
      </c>
      <c r="S758" s="327" t="s">
        <v>4561</v>
      </c>
      <c r="T758" s="858"/>
      <c r="U758" s="207"/>
      <c r="V758" s="115"/>
      <c r="W758" s="115"/>
      <c r="X758" s="115"/>
      <c r="Y758" s="115"/>
      <c r="Z758" s="115"/>
      <c r="AA758" s="115"/>
      <c r="AB758" s="115"/>
      <c r="AC758" s="115"/>
      <c r="AD758" s="115"/>
      <c r="AE758" s="115"/>
      <c r="AF758" s="115"/>
      <c r="AG758" s="115"/>
      <c r="AH758" s="115"/>
      <c r="AI758" s="115"/>
      <c r="AJ758" s="115"/>
      <c r="AK758" s="115"/>
      <c r="AL758" s="115"/>
      <c r="AM758" s="115"/>
      <c r="AN758" s="115"/>
      <c r="AO758" s="115"/>
      <c r="AP758" s="115"/>
      <c r="AQ758" s="115"/>
      <c r="AR758" s="115"/>
      <c r="AS758" s="115"/>
      <c r="AT758" s="115"/>
      <c r="AU758" s="115"/>
      <c r="AV758" s="115"/>
      <c r="AW758" s="115"/>
      <c r="AX758" s="115"/>
      <c r="AY758" s="115"/>
      <c r="AZ758" s="115"/>
      <c r="BA758" s="115"/>
      <c r="BB758" s="115"/>
      <c r="BC758" s="115"/>
      <c r="BD758" s="115"/>
      <c r="BE758" s="115"/>
      <c r="BF758" s="115"/>
      <c r="BG758" s="115"/>
      <c r="BH758" s="115"/>
      <c r="BI758" s="115"/>
      <c r="BJ758" s="115"/>
      <c r="BK758" s="115"/>
      <c r="BL758" s="115"/>
      <c r="BM758" s="115"/>
      <c r="BN758" s="115"/>
      <c r="BO758" s="115"/>
      <c r="BP758" s="115"/>
    </row>
    <row r="759" spans="1:68" ht="20.100000000000001" customHeight="1">
      <c r="A759" s="1216" t="s">
        <v>4888</v>
      </c>
      <c r="B759" s="1216" t="s">
        <v>4966</v>
      </c>
      <c r="C759" s="1216" t="s">
        <v>4971</v>
      </c>
      <c r="D759" s="952">
        <f>D450+150</f>
        <v>800</v>
      </c>
      <c r="E759" s="952">
        <f>E450+600</f>
        <v>1500</v>
      </c>
      <c r="F759" s="952">
        <f>F450+600</f>
        <v>1500</v>
      </c>
      <c r="G759" s="222" t="s">
        <v>4557</v>
      </c>
      <c r="H759" s="36" t="s">
        <v>4649</v>
      </c>
      <c r="I759" s="37" t="s">
        <v>4725</v>
      </c>
      <c r="J759" s="50"/>
      <c r="K759" s="50" t="s">
        <v>4975</v>
      </c>
      <c r="L759" s="50" t="s">
        <v>4539</v>
      </c>
      <c r="M759" s="6">
        <v>43084</v>
      </c>
      <c r="N759" s="6">
        <v>43100</v>
      </c>
      <c r="O759" s="141" t="s">
        <v>4974</v>
      </c>
      <c r="P759" s="61"/>
      <c r="Q759" s="173"/>
      <c r="R759" s="21" t="s">
        <v>4969</v>
      </c>
      <c r="S759" s="327" t="s">
        <v>4973</v>
      </c>
      <c r="T759" s="858"/>
      <c r="U759" s="235"/>
      <c r="V759" s="235"/>
      <c r="W759" s="235"/>
      <c r="X759" s="235"/>
      <c r="Y759" s="235"/>
      <c r="Z759" s="235"/>
      <c r="AA759" s="235"/>
      <c r="AB759" s="235"/>
      <c r="AC759" s="235"/>
      <c r="AD759" s="235"/>
      <c r="AE759" s="235"/>
      <c r="AF759" s="235"/>
      <c r="AG759" s="235"/>
      <c r="AH759" s="235"/>
      <c r="AI759" s="235"/>
      <c r="AJ759" s="235"/>
      <c r="AK759" s="235"/>
      <c r="AL759" s="235"/>
      <c r="AM759" s="235"/>
      <c r="AN759" s="235"/>
      <c r="AO759" s="235"/>
      <c r="AP759" s="235"/>
      <c r="AQ759" s="235"/>
      <c r="AR759" s="235"/>
      <c r="AS759" s="235"/>
      <c r="AT759" s="235"/>
      <c r="AU759" s="235"/>
      <c r="AV759" s="235"/>
      <c r="AW759" s="235"/>
      <c r="AX759" s="235"/>
      <c r="AY759" s="235"/>
      <c r="AZ759" s="235"/>
      <c r="BA759" s="235"/>
      <c r="BB759" s="235"/>
      <c r="BC759" s="235"/>
      <c r="BD759" s="235"/>
      <c r="BE759" s="235"/>
      <c r="BF759" s="235"/>
      <c r="BG759" s="235"/>
      <c r="BH759" s="235"/>
      <c r="BI759" s="235"/>
      <c r="BJ759" s="235"/>
      <c r="BK759" s="235"/>
      <c r="BL759" s="235"/>
      <c r="BM759" s="235"/>
      <c r="BN759" s="235"/>
      <c r="BO759" s="235"/>
      <c r="BP759" s="235"/>
    </row>
    <row r="760" spans="1:68" ht="20.100000000000001" customHeight="1">
      <c r="A760" s="1216" t="s">
        <v>4888</v>
      </c>
      <c r="B760" s="1216" t="s">
        <v>4966</v>
      </c>
      <c r="C760" s="1216" t="s">
        <v>4971</v>
      </c>
      <c r="D760" s="953"/>
      <c r="E760" s="953"/>
      <c r="F760" s="953"/>
      <c r="G760" s="224" t="s">
        <v>4569</v>
      </c>
      <c r="H760" s="69" t="s">
        <v>4635</v>
      </c>
      <c r="I760" s="37" t="s">
        <v>4725</v>
      </c>
      <c r="J760" s="37"/>
      <c r="K760" s="37" t="s">
        <v>4970</v>
      </c>
      <c r="L760" s="50" t="s">
        <v>4539</v>
      </c>
      <c r="M760" s="6">
        <v>43057</v>
      </c>
      <c r="N760" s="6">
        <v>43069</v>
      </c>
      <c r="O760" s="61" t="s">
        <v>4921</v>
      </c>
      <c r="P760" s="61"/>
      <c r="Q760" s="171"/>
      <c r="R760" s="238" t="s">
        <v>4972</v>
      </c>
      <c r="S760" s="328" t="s">
        <v>4543</v>
      </c>
      <c r="T760" s="858"/>
      <c r="U760" s="207"/>
      <c r="V760" s="115"/>
      <c r="W760" s="115"/>
      <c r="X760" s="115"/>
      <c r="Y760" s="115"/>
      <c r="Z760" s="115"/>
      <c r="AA760" s="115"/>
      <c r="AB760" s="115"/>
      <c r="AC760" s="115"/>
      <c r="AD760" s="115"/>
      <c r="AE760" s="115"/>
      <c r="AF760" s="115"/>
      <c r="AG760" s="115"/>
      <c r="AH760" s="115"/>
      <c r="AI760" s="115"/>
      <c r="AJ760" s="115"/>
      <c r="AK760" s="115"/>
      <c r="AL760" s="115"/>
      <c r="AM760" s="115"/>
      <c r="AN760" s="115"/>
      <c r="AO760" s="115"/>
      <c r="AP760" s="115"/>
      <c r="AQ760" s="115"/>
      <c r="AR760" s="115"/>
      <c r="AS760" s="115"/>
      <c r="AT760" s="115"/>
      <c r="AU760" s="115"/>
      <c r="AV760" s="115"/>
      <c r="AW760" s="115"/>
      <c r="AX760" s="115"/>
      <c r="AY760" s="115"/>
      <c r="AZ760" s="115"/>
      <c r="BA760" s="115"/>
      <c r="BB760" s="115"/>
      <c r="BC760" s="115"/>
      <c r="BD760" s="115"/>
      <c r="BE760" s="115"/>
      <c r="BF760" s="115"/>
      <c r="BG760" s="115"/>
      <c r="BH760" s="115"/>
      <c r="BI760" s="115"/>
      <c r="BJ760" s="115"/>
      <c r="BK760" s="115"/>
      <c r="BL760" s="115"/>
      <c r="BM760" s="115"/>
      <c r="BN760" s="115"/>
      <c r="BO760" s="115"/>
      <c r="BP760" s="115"/>
    </row>
    <row r="761" spans="1:68" ht="20.100000000000001" customHeight="1">
      <c r="A761" s="1216" t="s">
        <v>4888</v>
      </c>
      <c r="B761" s="1216" t="s">
        <v>4966</v>
      </c>
      <c r="C761" s="1216" t="s">
        <v>4971</v>
      </c>
      <c r="D761" s="948">
        <v>1375</v>
      </c>
      <c r="E761" s="948">
        <v>2550</v>
      </c>
      <c r="F761" s="948">
        <v>2600</v>
      </c>
      <c r="G761" s="29" t="s">
        <v>4549</v>
      </c>
      <c r="H761" s="36" t="s">
        <v>4635</v>
      </c>
      <c r="I761" s="50" t="s">
        <v>4725</v>
      </c>
      <c r="J761" s="50"/>
      <c r="K761" s="50" t="s">
        <v>4970</v>
      </c>
      <c r="L761" s="50" t="s">
        <v>4539</v>
      </c>
      <c r="M761" s="6">
        <v>43085</v>
      </c>
      <c r="N761" s="6">
        <v>43100</v>
      </c>
      <c r="O761" s="141" t="s">
        <v>4545</v>
      </c>
      <c r="P761" s="59"/>
      <c r="Q761" s="260"/>
      <c r="R761" s="238" t="s">
        <v>4947</v>
      </c>
      <c r="S761" s="328" t="s">
        <v>4543</v>
      </c>
      <c r="T761" s="858"/>
      <c r="U761" s="235"/>
      <c r="V761" s="235"/>
      <c r="W761" s="235"/>
      <c r="X761" s="235"/>
      <c r="Y761" s="235"/>
      <c r="Z761" s="235"/>
      <c r="AA761" s="235"/>
      <c r="AB761" s="235"/>
      <c r="AC761" s="235"/>
      <c r="AD761" s="235"/>
      <c r="AE761" s="235"/>
      <c r="AF761" s="235"/>
      <c r="AG761" s="235"/>
      <c r="AH761" s="235"/>
      <c r="AI761" s="235"/>
      <c r="AJ761" s="235"/>
      <c r="AK761" s="235"/>
      <c r="AL761" s="235"/>
      <c r="AM761" s="235"/>
      <c r="AN761" s="235"/>
      <c r="AO761" s="235"/>
      <c r="AP761" s="235"/>
      <c r="AQ761" s="235"/>
      <c r="AR761" s="235"/>
      <c r="AS761" s="235"/>
      <c r="AT761" s="235"/>
      <c r="AU761" s="235"/>
      <c r="AV761" s="235"/>
      <c r="AW761" s="235"/>
      <c r="AX761" s="235"/>
      <c r="AY761" s="235"/>
      <c r="AZ761" s="235"/>
      <c r="BA761" s="235"/>
      <c r="BB761" s="235"/>
      <c r="BC761" s="235"/>
      <c r="BD761" s="235"/>
      <c r="BE761" s="235"/>
      <c r="BF761" s="235"/>
      <c r="BG761" s="235"/>
      <c r="BH761" s="235"/>
      <c r="BI761" s="235"/>
      <c r="BJ761" s="235"/>
      <c r="BK761" s="235"/>
      <c r="BL761" s="235"/>
      <c r="BM761" s="235"/>
      <c r="BN761" s="235"/>
      <c r="BO761" s="235"/>
      <c r="BP761" s="235"/>
    </row>
    <row r="762" spans="1:68" ht="20.100000000000001" customHeight="1">
      <c r="A762" s="1217" t="s">
        <v>4888</v>
      </c>
      <c r="B762" s="1217" t="s">
        <v>4966</v>
      </c>
      <c r="C762" s="1217" t="s">
        <v>4967</v>
      </c>
      <c r="D762" s="952">
        <v>775</v>
      </c>
      <c r="E762" s="952">
        <v>1250</v>
      </c>
      <c r="F762" s="952">
        <v>1250</v>
      </c>
      <c r="G762" s="29" t="s">
        <v>4566</v>
      </c>
      <c r="H762" s="36" t="s">
        <v>4649</v>
      </c>
      <c r="I762" s="50" t="s">
        <v>4948</v>
      </c>
      <c r="J762" s="37"/>
      <c r="K762" s="37" t="s">
        <v>4940</v>
      </c>
      <c r="L762" s="116" t="s">
        <v>4539</v>
      </c>
      <c r="M762" s="15">
        <v>43073</v>
      </c>
      <c r="N762" s="15">
        <v>43100</v>
      </c>
      <c r="O762" s="61" t="s">
        <v>4563</v>
      </c>
      <c r="P762" s="59"/>
      <c r="Q762" s="173"/>
      <c r="R762" s="238" t="s">
        <v>4969</v>
      </c>
      <c r="S762" s="327" t="s">
        <v>4561</v>
      </c>
      <c r="T762" s="858"/>
      <c r="U762" s="207"/>
      <c r="V762" s="115"/>
      <c r="W762" s="115"/>
      <c r="X762" s="115"/>
      <c r="Y762" s="115"/>
      <c r="Z762" s="115"/>
      <c r="AA762" s="115"/>
      <c r="AB762" s="115"/>
      <c r="AC762" s="115"/>
      <c r="AD762" s="115"/>
      <c r="AE762" s="115"/>
      <c r="AF762" s="115"/>
      <c r="AG762" s="115"/>
      <c r="AH762" s="115"/>
      <c r="AI762" s="115"/>
      <c r="AJ762" s="115"/>
      <c r="AK762" s="115"/>
      <c r="AL762" s="115"/>
      <c r="AM762" s="115"/>
      <c r="AN762" s="115"/>
      <c r="AO762" s="115"/>
      <c r="AP762" s="115"/>
      <c r="AQ762" s="115"/>
      <c r="AR762" s="115"/>
      <c r="AS762" s="115"/>
      <c r="AT762" s="115"/>
      <c r="AU762" s="115"/>
      <c r="AV762" s="115"/>
      <c r="AW762" s="115"/>
      <c r="AX762" s="115"/>
      <c r="AY762" s="115"/>
      <c r="AZ762" s="115"/>
      <c r="BA762" s="115"/>
      <c r="BB762" s="115"/>
      <c r="BC762" s="115"/>
      <c r="BD762" s="115"/>
      <c r="BE762" s="115"/>
      <c r="BF762" s="115"/>
      <c r="BG762" s="115"/>
      <c r="BH762" s="115"/>
      <c r="BI762" s="115"/>
      <c r="BJ762" s="115"/>
      <c r="BK762" s="115"/>
      <c r="BL762" s="115"/>
      <c r="BM762" s="115"/>
      <c r="BN762" s="115"/>
      <c r="BO762" s="115"/>
      <c r="BP762" s="115"/>
    </row>
    <row r="763" spans="1:68" ht="20.100000000000001" customHeight="1">
      <c r="A763" s="1218" t="s">
        <v>4888</v>
      </c>
      <c r="B763" s="1218" t="s">
        <v>4966</v>
      </c>
      <c r="C763" s="1218" t="s">
        <v>4967</v>
      </c>
      <c r="D763" s="952">
        <v>1050</v>
      </c>
      <c r="E763" s="952">
        <v>1900</v>
      </c>
      <c r="F763" s="952">
        <v>1900</v>
      </c>
      <c r="G763" s="109" t="s">
        <v>4553</v>
      </c>
      <c r="H763" s="56" t="s">
        <v>4589</v>
      </c>
      <c r="I763" s="50" t="s">
        <v>4564</v>
      </c>
      <c r="J763" s="37"/>
      <c r="K763" s="37">
        <v>31</v>
      </c>
      <c r="L763" s="50" t="s">
        <v>4539</v>
      </c>
      <c r="M763" s="6">
        <v>43085</v>
      </c>
      <c r="N763" s="6">
        <v>43100</v>
      </c>
      <c r="O763" s="142" t="s">
        <v>4545</v>
      </c>
      <c r="P763" s="59"/>
      <c r="Q763" s="260"/>
      <c r="R763" s="239" t="s">
        <v>4588</v>
      </c>
      <c r="S763" s="328" t="s">
        <v>4543</v>
      </c>
      <c r="T763" s="858"/>
      <c r="U763" s="207"/>
      <c r="V763" s="115"/>
      <c r="W763" s="115"/>
      <c r="X763" s="115"/>
      <c r="Y763" s="115"/>
      <c r="Z763" s="115"/>
      <c r="AA763" s="115"/>
      <c r="AB763" s="115"/>
      <c r="AC763" s="115"/>
      <c r="AD763" s="115"/>
      <c r="AE763" s="115"/>
      <c r="AF763" s="115"/>
      <c r="AG763" s="115"/>
      <c r="AH763" s="115"/>
      <c r="AI763" s="115"/>
      <c r="AJ763" s="115"/>
      <c r="AK763" s="115"/>
      <c r="AL763" s="115"/>
      <c r="AM763" s="115"/>
      <c r="AN763" s="115"/>
      <c r="AO763" s="115"/>
      <c r="AP763" s="115"/>
      <c r="AQ763" s="115"/>
      <c r="AR763" s="115"/>
      <c r="AS763" s="115"/>
      <c r="AT763" s="115"/>
      <c r="AU763" s="115"/>
      <c r="AV763" s="115"/>
      <c r="AW763" s="115"/>
      <c r="AX763" s="115"/>
      <c r="AY763" s="115"/>
      <c r="AZ763" s="115"/>
      <c r="BA763" s="115"/>
      <c r="BB763" s="115"/>
      <c r="BC763" s="115"/>
      <c r="BD763" s="115"/>
      <c r="BE763" s="115"/>
      <c r="BF763" s="115"/>
      <c r="BG763" s="115"/>
      <c r="BH763" s="115"/>
      <c r="BI763" s="115"/>
      <c r="BJ763" s="115"/>
      <c r="BK763" s="115"/>
      <c r="BL763" s="115"/>
      <c r="BM763" s="115"/>
      <c r="BN763" s="115"/>
      <c r="BO763" s="115"/>
      <c r="BP763" s="115"/>
    </row>
    <row r="764" spans="1:68" ht="20.100000000000001" customHeight="1">
      <c r="A764" s="1218" t="s">
        <v>4888</v>
      </c>
      <c r="B764" s="1218" t="s">
        <v>4966</v>
      </c>
      <c r="C764" s="1218" t="s">
        <v>4967</v>
      </c>
      <c r="D764" s="948">
        <v>1425</v>
      </c>
      <c r="E764" s="948">
        <v>2550</v>
      </c>
      <c r="F764" s="948">
        <v>2600</v>
      </c>
      <c r="G764" s="192" t="s">
        <v>4549</v>
      </c>
      <c r="H764" s="36" t="s">
        <v>4548</v>
      </c>
      <c r="I764" s="50" t="s">
        <v>4547</v>
      </c>
      <c r="J764" s="50"/>
      <c r="K764" s="50" t="s">
        <v>4546</v>
      </c>
      <c r="L764" s="50" t="s">
        <v>4539</v>
      </c>
      <c r="M764" s="6">
        <v>43085</v>
      </c>
      <c r="N764" s="6">
        <v>43100</v>
      </c>
      <c r="O764" s="141" t="s">
        <v>4545</v>
      </c>
      <c r="P764" s="59"/>
      <c r="Q764" s="167"/>
      <c r="R764" s="238" t="s">
        <v>4544</v>
      </c>
      <c r="S764" s="328" t="s">
        <v>4543</v>
      </c>
      <c r="T764" s="858"/>
      <c r="U764" s="207"/>
      <c r="V764" s="115"/>
      <c r="W764" s="115"/>
      <c r="X764" s="115"/>
      <c r="Y764" s="115"/>
      <c r="Z764" s="115"/>
      <c r="AA764" s="115"/>
      <c r="AB764" s="115"/>
      <c r="AC764" s="115"/>
      <c r="AD764" s="115"/>
      <c r="AE764" s="115"/>
      <c r="AF764" s="115"/>
      <c r="AG764" s="115"/>
      <c r="AH764" s="115"/>
      <c r="AI764" s="115"/>
      <c r="AJ764" s="115"/>
      <c r="AK764" s="115"/>
      <c r="AL764" s="115"/>
      <c r="AM764" s="115"/>
      <c r="AN764" s="115"/>
      <c r="AO764" s="115"/>
      <c r="AP764" s="115"/>
      <c r="AQ764" s="115"/>
      <c r="AR764" s="115"/>
      <c r="AS764" s="115"/>
      <c r="AT764" s="115"/>
      <c r="AU764" s="115"/>
      <c r="AV764" s="115"/>
      <c r="AW764" s="115"/>
      <c r="AX764" s="115"/>
      <c r="AY764" s="115"/>
      <c r="AZ764" s="115"/>
      <c r="BA764" s="115"/>
      <c r="BB764" s="115"/>
      <c r="BC764" s="115"/>
      <c r="BD764" s="115"/>
      <c r="BE764" s="115"/>
      <c r="BF764" s="115"/>
      <c r="BG764" s="115"/>
      <c r="BH764" s="115"/>
      <c r="BI764" s="115"/>
      <c r="BJ764" s="115"/>
      <c r="BK764" s="115"/>
      <c r="BL764" s="115"/>
      <c r="BM764" s="115"/>
      <c r="BN764" s="115"/>
      <c r="BO764" s="115"/>
      <c r="BP764" s="115"/>
    </row>
    <row r="765" spans="1:68" ht="20.100000000000001" customHeight="1">
      <c r="A765" s="1218" t="s">
        <v>4891</v>
      </c>
      <c r="B765" s="1218" t="s">
        <v>4966</v>
      </c>
      <c r="C765" s="1218" t="s">
        <v>4967</v>
      </c>
      <c r="D765" s="934">
        <f>D266+780</f>
        <v>1505</v>
      </c>
      <c r="E765" s="934">
        <f>E266+1450</f>
        <v>2800</v>
      </c>
      <c r="F765" s="934">
        <f>F266+1450</f>
        <v>2850</v>
      </c>
      <c r="G765" s="222" t="s">
        <v>4575</v>
      </c>
      <c r="H765" s="55" t="s">
        <v>4548</v>
      </c>
      <c r="I765" s="37" t="s">
        <v>4547</v>
      </c>
      <c r="J765" s="37"/>
      <c r="K765" s="37" t="s">
        <v>4968</v>
      </c>
      <c r="L765" s="50" t="s">
        <v>4539</v>
      </c>
      <c r="M765" s="15">
        <v>43084</v>
      </c>
      <c r="N765" s="15">
        <v>43100</v>
      </c>
      <c r="O765" s="61" t="s">
        <v>4545</v>
      </c>
      <c r="P765" s="141"/>
      <c r="Q765" s="167"/>
      <c r="R765" s="239" t="s">
        <v>4577</v>
      </c>
      <c r="S765" s="327" t="s">
        <v>4576</v>
      </c>
      <c r="T765" s="858"/>
      <c r="U765" s="207"/>
      <c r="V765" s="115"/>
      <c r="W765" s="115"/>
      <c r="X765" s="115"/>
      <c r="Y765" s="115"/>
      <c r="Z765" s="115"/>
      <c r="AA765" s="115"/>
      <c r="AB765" s="115"/>
      <c r="AC765" s="115"/>
      <c r="AD765" s="115"/>
      <c r="AE765" s="115"/>
      <c r="AF765" s="115"/>
      <c r="AG765" s="115"/>
      <c r="AH765" s="115"/>
      <c r="AI765" s="115"/>
      <c r="AJ765" s="115"/>
      <c r="AK765" s="115"/>
      <c r="AL765" s="115"/>
      <c r="AM765" s="115"/>
      <c r="AN765" s="115"/>
      <c r="AO765" s="115"/>
      <c r="AP765" s="115"/>
      <c r="AQ765" s="115"/>
      <c r="AR765" s="115"/>
      <c r="AS765" s="115"/>
      <c r="AT765" s="115"/>
      <c r="AU765" s="115"/>
      <c r="AV765" s="115"/>
      <c r="AW765" s="115"/>
      <c r="AX765" s="115"/>
      <c r="AY765" s="115"/>
      <c r="AZ765" s="115"/>
      <c r="BA765" s="115"/>
      <c r="BB765" s="115"/>
      <c r="BC765" s="115"/>
      <c r="BD765" s="115"/>
      <c r="BE765" s="115"/>
      <c r="BF765" s="115"/>
      <c r="BG765" s="115"/>
      <c r="BH765" s="115"/>
      <c r="BI765" s="115"/>
      <c r="BJ765" s="115"/>
      <c r="BK765" s="115"/>
      <c r="BL765" s="115"/>
      <c r="BM765" s="115"/>
      <c r="BN765" s="115"/>
      <c r="BO765" s="115"/>
      <c r="BP765" s="115"/>
    </row>
    <row r="766" spans="1:68" ht="20.100000000000001" customHeight="1">
      <c r="A766" s="1219" t="s">
        <v>4888</v>
      </c>
      <c r="B766" s="1219" t="s">
        <v>4966</v>
      </c>
      <c r="C766" s="1219" t="s">
        <v>4967</v>
      </c>
      <c r="D766" s="955">
        <f>D745+50</f>
        <v>1200</v>
      </c>
      <c r="E766" s="955">
        <f>E745+100</f>
        <v>2100</v>
      </c>
      <c r="F766" s="955">
        <f>F745+100</f>
        <v>2175</v>
      </c>
      <c r="G766" s="222" t="s">
        <v>4572</v>
      </c>
      <c r="H766" s="36" t="s">
        <v>4548</v>
      </c>
      <c r="I766" s="50" t="s">
        <v>4547</v>
      </c>
      <c r="J766" s="37"/>
      <c r="K766" s="37">
        <v>32</v>
      </c>
      <c r="L766" s="50" t="s">
        <v>4539</v>
      </c>
      <c r="M766" s="15">
        <v>43060</v>
      </c>
      <c r="N766" s="15">
        <v>43076</v>
      </c>
      <c r="O766" s="142" t="s">
        <v>4545</v>
      </c>
      <c r="P766" s="61"/>
      <c r="Q766" s="167"/>
      <c r="R766" s="239" t="s">
        <v>4736</v>
      </c>
      <c r="S766" s="328" t="s">
        <v>4543</v>
      </c>
      <c r="T766" s="858"/>
      <c r="U766" s="207"/>
      <c r="V766" s="115"/>
      <c r="W766" s="115"/>
      <c r="X766" s="115"/>
      <c r="Y766" s="115"/>
      <c r="Z766" s="115"/>
      <c r="AA766" s="115"/>
      <c r="AB766" s="115"/>
      <c r="AC766" s="115"/>
      <c r="AD766" s="115"/>
      <c r="AE766" s="115"/>
      <c r="AF766" s="115"/>
      <c r="AG766" s="115"/>
      <c r="AH766" s="115"/>
      <c r="AI766" s="115"/>
      <c r="AJ766" s="115"/>
      <c r="AK766" s="115"/>
      <c r="AL766" s="115"/>
      <c r="AM766" s="115"/>
      <c r="AN766" s="115"/>
      <c r="AO766" s="115"/>
      <c r="AP766" s="115"/>
      <c r="AQ766" s="115"/>
      <c r="AR766" s="115"/>
      <c r="AS766" s="115"/>
      <c r="AT766" s="115"/>
      <c r="AU766" s="115"/>
      <c r="AV766" s="115"/>
      <c r="AW766" s="115"/>
      <c r="AX766" s="115"/>
      <c r="AY766" s="115"/>
      <c r="AZ766" s="115"/>
      <c r="BA766" s="115"/>
      <c r="BB766" s="115"/>
      <c r="BC766" s="115"/>
      <c r="BD766" s="115"/>
      <c r="BE766" s="115"/>
      <c r="BF766" s="115"/>
      <c r="BG766" s="115"/>
      <c r="BH766" s="115"/>
      <c r="BI766" s="115"/>
      <c r="BJ766" s="115"/>
      <c r="BK766" s="115"/>
      <c r="BL766" s="115"/>
      <c r="BM766" s="115"/>
      <c r="BN766" s="115"/>
      <c r="BO766" s="115"/>
      <c r="BP766" s="115"/>
    </row>
    <row r="767" spans="1:68" ht="20.100000000000001" customHeight="1">
      <c r="A767" s="296" t="s">
        <v>4891</v>
      </c>
      <c r="B767" s="918" t="s">
        <v>4966</v>
      </c>
      <c r="C767" s="918" t="s">
        <v>4965</v>
      </c>
      <c r="D767" s="955"/>
      <c r="E767" s="955"/>
      <c r="F767" s="955"/>
      <c r="G767" s="222" t="s">
        <v>4572</v>
      </c>
      <c r="H767" s="36" t="s">
        <v>4548</v>
      </c>
      <c r="I767" s="50" t="s">
        <v>4547</v>
      </c>
      <c r="J767" s="37"/>
      <c r="K767" s="37" t="s">
        <v>4601</v>
      </c>
      <c r="L767" s="50" t="s">
        <v>4539</v>
      </c>
      <c r="M767" s="15">
        <v>43060</v>
      </c>
      <c r="N767" s="15">
        <v>43076</v>
      </c>
      <c r="O767" s="142" t="s">
        <v>4545</v>
      </c>
      <c r="P767" s="61"/>
      <c r="Q767" s="167"/>
      <c r="R767" s="239" t="s">
        <v>4736</v>
      </c>
      <c r="S767" s="328" t="s">
        <v>4543</v>
      </c>
      <c r="T767" s="858"/>
      <c r="U767" s="229"/>
      <c r="V767" s="229"/>
      <c r="W767" s="229"/>
      <c r="X767" s="229"/>
      <c r="Y767" s="229"/>
      <c r="Z767" s="229"/>
      <c r="AA767" s="229"/>
      <c r="AB767" s="229"/>
      <c r="AC767" s="229"/>
      <c r="AD767" s="229"/>
      <c r="AE767" s="229"/>
      <c r="AF767" s="229"/>
      <c r="AG767" s="229"/>
      <c r="AH767" s="229"/>
      <c r="AI767" s="229"/>
      <c r="AJ767" s="229"/>
      <c r="AK767" s="229"/>
      <c r="AL767" s="229"/>
      <c r="AM767" s="229"/>
      <c r="AN767" s="229"/>
      <c r="AO767" s="229"/>
      <c r="AP767" s="229"/>
      <c r="AQ767" s="229"/>
      <c r="AR767" s="229"/>
      <c r="AS767" s="229"/>
      <c r="AT767" s="229"/>
      <c r="AU767" s="229"/>
      <c r="AV767" s="229"/>
      <c r="AW767" s="229"/>
      <c r="AX767" s="229"/>
      <c r="AY767" s="229"/>
      <c r="AZ767" s="229"/>
      <c r="BA767" s="229"/>
      <c r="BB767" s="229"/>
      <c r="BC767" s="229"/>
      <c r="BD767" s="229"/>
      <c r="BE767" s="229"/>
      <c r="BF767" s="229"/>
      <c r="BG767" s="229"/>
      <c r="BH767" s="229"/>
      <c r="BI767" s="229"/>
      <c r="BJ767" s="229"/>
      <c r="BK767" s="229"/>
      <c r="BL767" s="229"/>
      <c r="BM767" s="229"/>
      <c r="BN767" s="229"/>
      <c r="BO767" s="229"/>
      <c r="BP767" s="229"/>
    </row>
    <row r="768" spans="1:68" ht="20.100000000000001" customHeight="1">
      <c r="A768" s="1216" t="s">
        <v>4888</v>
      </c>
      <c r="B768" s="1216" t="s">
        <v>4933</v>
      </c>
      <c r="C768" s="1217" t="s">
        <v>4955</v>
      </c>
      <c r="D768" s="945">
        <v>1350</v>
      </c>
      <c r="E768" s="945">
        <v>2500</v>
      </c>
      <c r="F768" s="945">
        <v>2575</v>
      </c>
      <c r="G768" s="293" t="s">
        <v>4572</v>
      </c>
      <c r="H768" s="56" t="s">
        <v>4552</v>
      </c>
      <c r="I768" s="50" t="s">
        <v>4885</v>
      </c>
      <c r="J768" s="37"/>
      <c r="K768" s="37">
        <v>35</v>
      </c>
      <c r="L768" s="50" t="s">
        <v>4539</v>
      </c>
      <c r="M768" s="15">
        <v>43060</v>
      </c>
      <c r="N768" s="15">
        <v>43076</v>
      </c>
      <c r="O768" s="142" t="s">
        <v>4545</v>
      </c>
      <c r="P768" s="61"/>
      <c r="Q768" s="167"/>
      <c r="R768" s="239" t="s">
        <v>4584</v>
      </c>
      <c r="S768" s="328" t="s">
        <v>4543</v>
      </c>
      <c r="T768" s="858"/>
      <c r="U768" s="207"/>
      <c r="V768" s="115"/>
      <c r="W768" s="115"/>
      <c r="X768" s="115"/>
      <c r="Y768" s="115"/>
      <c r="Z768" s="115"/>
      <c r="AA768" s="115"/>
      <c r="AB768" s="115"/>
      <c r="AC768" s="115"/>
      <c r="AD768" s="115"/>
      <c r="AE768" s="115"/>
      <c r="AF768" s="115"/>
      <c r="AG768" s="115"/>
      <c r="AH768" s="115"/>
      <c r="AI768" s="115"/>
      <c r="AJ768" s="115"/>
      <c r="AK768" s="115"/>
      <c r="AL768" s="115"/>
      <c r="AM768" s="115"/>
      <c r="AN768" s="115"/>
      <c r="AO768" s="115"/>
      <c r="AP768" s="115"/>
      <c r="AQ768" s="115"/>
      <c r="AR768" s="115"/>
      <c r="AS768" s="115"/>
      <c r="AT768" s="115"/>
      <c r="AU768" s="115"/>
      <c r="AV768" s="115"/>
      <c r="AW768" s="115"/>
      <c r="AX768" s="115"/>
      <c r="AY768" s="115"/>
      <c r="AZ768" s="115"/>
      <c r="BA768" s="115"/>
      <c r="BB768" s="115"/>
      <c r="BC768" s="115"/>
      <c r="BD768" s="115"/>
      <c r="BE768" s="115"/>
      <c r="BF768" s="115"/>
      <c r="BG768" s="115"/>
      <c r="BH768" s="115"/>
      <c r="BI768" s="115"/>
      <c r="BJ768" s="115"/>
      <c r="BK768" s="115"/>
      <c r="BL768" s="115"/>
      <c r="BM768" s="115"/>
      <c r="BN768" s="115"/>
      <c r="BO768" s="115"/>
      <c r="BP768" s="115"/>
    </row>
    <row r="769" spans="1:68" ht="20.100000000000001" customHeight="1">
      <c r="A769" s="1216" t="s">
        <v>4888</v>
      </c>
      <c r="B769" s="1216" t="s">
        <v>4933</v>
      </c>
      <c r="C769" s="1218" t="s">
        <v>4955</v>
      </c>
      <c r="D769" s="934">
        <f>D746+150</f>
        <v>1075</v>
      </c>
      <c r="E769" s="934">
        <f>E746+200</f>
        <v>1850</v>
      </c>
      <c r="F769" s="934">
        <f>F746+200</f>
        <v>1900</v>
      </c>
      <c r="G769" s="217" t="s">
        <v>4575</v>
      </c>
      <c r="H769" s="22" t="s">
        <v>4964</v>
      </c>
      <c r="I769" s="50" t="s">
        <v>4963</v>
      </c>
      <c r="J769" s="50"/>
      <c r="K769" s="50"/>
      <c r="L769" s="50" t="s">
        <v>4539</v>
      </c>
      <c r="M769" s="15">
        <v>43084</v>
      </c>
      <c r="N769" s="15">
        <v>43100</v>
      </c>
      <c r="O769" s="128" t="s">
        <v>4938</v>
      </c>
      <c r="P769" s="144"/>
      <c r="Q769" s="144"/>
      <c r="R769" s="239" t="s">
        <v>4962</v>
      </c>
      <c r="S769" s="327" t="s">
        <v>4576</v>
      </c>
      <c r="T769" s="858"/>
      <c r="U769" s="207"/>
      <c r="V769" s="115"/>
      <c r="W769" s="115"/>
      <c r="X769" s="115"/>
      <c r="Y769" s="115"/>
      <c r="Z769" s="115"/>
      <c r="AA769" s="115"/>
      <c r="AB769" s="115"/>
      <c r="AC769" s="115"/>
      <c r="AD769" s="115"/>
      <c r="AE769" s="115"/>
      <c r="AF769" s="115"/>
      <c r="AG769" s="115"/>
      <c r="AH769" s="115"/>
      <c r="AI769" s="115"/>
      <c r="AJ769" s="115"/>
      <c r="AK769" s="115"/>
      <c r="AL769" s="115"/>
      <c r="AM769" s="115"/>
      <c r="AN769" s="115"/>
      <c r="AO769" s="115"/>
      <c r="AP769" s="115"/>
      <c r="AQ769" s="115"/>
      <c r="AR769" s="115"/>
      <c r="AS769" s="115"/>
      <c r="AT769" s="115"/>
      <c r="AU769" s="115"/>
      <c r="AV769" s="115"/>
      <c r="AW769" s="115"/>
      <c r="AX769" s="115"/>
      <c r="AY769" s="115"/>
      <c r="AZ769" s="115"/>
      <c r="BA769" s="115"/>
      <c r="BB769" s="115"/>
      <c r="BC769" s="115"/>
      <c r="BD769" s="115"/>
      <c r="BE769" s="115"/>
      <c r="BF769" s="115"/>
      <c r="BG769" s="115"/>
      <c r="BH769" s="115"/>
      <c r="BI769" s="115"/>
      <c r="BJ769" s="115"/>
      <c r="BK769" s="115"/>
      <c r="BL769" s="115"/>
      <c r="BM769" s="115"/>
      <c r="BN769" s="115"/>
      <c r="BO769" s="115"/>
      <c r="BP769" s="115"/>
    </row>
    <row r="770" spans="1:68" ht="20.100000000000001" customHeight="1">
      <c r="A770" s="1216" t="s">
        <v>4888</v>
      </c>
      <c r="B770" s="1216" t="s">
        <v>4933</v>
      </c>
      <c r="C770" s="1218" t="s">
        <v>4955</v>
      </c>
      <c r="D770" s="954"/>
      <c r="E770" s="954"/>
      <c r="F770" s="954"/>
      <c r="G770" s="3" t="s">
        <v>4542</v>
      </c>
      <c r="H770" s="36" t="s">
        <v>4912</v>
      </c>
      <c r="I770" s="37" t="s">
        <v>4564</v>
      </c>
      <c r="J770" s="37"/>
      <c r="K770" s="37">
        <v>45</v>
      </c>
      <c r="L770" s="50" t="s">
        <v>4539</v>
      </c>
      <c r="M770" s="15">
        <v>43055</v>
      </c>
      <c r="N770" s="15">
        <v>43083</v>
      </c>
      <c r="O770" s="61" t="s">
        <v>4961</v>
      </c>
      <c r="P770" s="143"/>
      <c r="Q770" s="7"/>
      <c r="R770" s="239" t="s">
        <v>4960</v>
      </c>
      <c r="S770" s="327" t="s">
        <v>4959</v>
      </c>
      <c r="T770" s="858"/>
      <c r="U770" s="207"/>
      <c r="V770" s="115"/>
      <c r="W770" s="115"/>
      <c r="X770" s="115"/>
      <c r="Y770" s="115"/>
      <c r="Z770" s="115"/>
      <c r="AA770" s="115"/>
      <c r="AB770" s="115"/>
      <c r="AC770" s="115"/>
      <c r="AD770" s="115"/>
      <c r="AE770" s="115"/>
      <c r="AF770" s="115"/>
      <c r="AG770" s="115"/>
      <c r="AH770" s="115"/>
      <c r="AI770" s="115"/>
      <c r="AJ770" s="115"/>
      <c r="AK770" s="115"/>
      <c r="AL770" s="115"/>
      <c r="AM770" s="115"/>
      <c r="AN770" s="115"/>
      <c r="AO770" s="115"/>
      <c r="AP770" s="115"/>
      <c r="AQ770" s="115"/>
      <c r="AR770" s="115"/>
      <c r="AS770" s="115"/>
      <c r="AT770" s="115"/>
      <c r="AU770" s="115"/>
      <c r="AV770" s="115"/>
      <c r="AW770" s="115"/>
      <c r="AX770" s="115"/>
      <c r="AY770" s="115"/>
      <c r="AZ770" s="115"/>
      <c r="BA770" s="115"/>
      <c r="BB770" s="115"/>
      <c r="BC770" s="115"/>
      <c r="BD770" s="115"/>
      <c r="BE770" s="115"/>
      <c r="BF770" s="115"/>
      <c r="BG770" s="115"/>
      <c r="BH770" s="115"/>
      <c r="BI770" s="115"/>
      <c r="BJ770" s="115"/>
      <c r="BK770" s="115"/>
      <c r="BL770" s="115"/>
      <c r="BM770" s="115"/>
      <c r="BN770" s="115"/>
      <c r="BO770" s="115"/>
      <c r="BP770" s="115"/>
    </row>
    <row r="771" spans="1:68" ht="20.100000000000001" customHeight="1">
      <c r="A771" s="1216" t="s">
        <v>4888</v>
      </c>
      <c r="B771" s="1216" t="s">
        <v>4933</v>
      </c>
      <c r="C771" s="1218" t="s">
        <v>4955</v>
      </c>
      <c r="D771" s="947">
        <v>1025</v>
      </c>
      <c r="E771" s="947">
        <v>1450</v>
      </c>
      <c r="F771" s="947">
        <v>1450</v>
      </c>
      <c r="G771" s="234" t="s">
        <v>4904</v>
      </c>
      <c r="H771" s="22" t="s">
        <v>4903</v>
      </c>
      <c r="I771" s="50" t="s">
        <v>4902</v>
      </c>
      <c r="J771" s="50" t="s">
        <v>4958</v>
      </c>
      <c r="K771" s="50">
        <v>33</v>
      </c>
      <c r="L771" s="50" t="s">
        <v>4539</v>
      </c>
      <c r="M771" s="15">
        <v>43054</v>
      </c>
      <c r="N771" s="15">
        <v>43089</v>
      </c>
      <c r="O771" s="61" t="s">
        <v>4957</v>
      </c>
      <c r="P771" s="59"/>
      <c r="Q771" s="59"/>
      <c r="R771" s="239" t="s">
        <v>4899</v>
      </c>
      <c r="S771" s="327" t="s">
        <v>4632</v>
      </c>
      <c r="T771" s="858"/>
      <c r="U771" s="207"/>
      <c r="V771" s="115"/>
      <c r="W771" s="115"/>
      <c r="X771" s="115"/>
      <c r="Y771" s="115"/>
      <c r="Z771" s="115"/>
      <c r="AA771" s="115"/>
      <c r="AB771" s="115"/>
      <c r="AC771" s="115"/>
      <c r="AD771" s="115"/>
      <c r="AE771" s="115"/>
      <c r="AF771" s="115"/>
      <c r="AG771" s="115"/>
      <c r="AH771" s="115"/>
      <c r="AI771" s="115"/>
      <c r="AJ771" s="115"/>
      <c r="AK771" s="115"/>
      <c r="AL771" s="115"/>
      <c r="AM771" s="115"/>
      <c r="AN771" s="115"/>
      <c r="AO771" s="115"/>
      <c r="AP771" s="115"/>
      <c r="AQ771" s="115"/>
      <c r="AR771" s="115"/>
      <c r="AS771" s="115"/>
      <c r="AT771" s="115"/>
      <c r="AU771" s="115"/>
      <c r="AV771" s="115"/>
      <c r="AW771" s="115"/>
      <c r="AX771" s="115"/>
      <c r="AY771" s="115"/>
      <c r="AZ771" s="115"/>
      <c r="BA771" s="115"/>
      <c r="BB771" s="115"/>
      <c r="BC771" s="115"/>
      <c r="BD771" s="115"/>
      <c r="BE771" s="115"/>
      <c r="BF771" s="115"/>
      <c r="BG771" s="115"/>
      <c r="BH771" s="115"/>
      <c r="BI771" s="115"/>
      <c r="BJ771" s="115"/>
      <c r="BK771" s="115"/>
      <c r="BL771" s="115"/>
      <c r="BM771" s="115"/>
      <c r="BN771" s="115"/>
      <c r="BO771" s="115"/>
      <c r="BP771" s="115"/>
    </row>
    <row r="772" spans="1:68" ht="20.100000000000001" customHeight="1">
      <c r="A772" s="1216" t="s">
        <v>4891</v>
      </c>
      <c r="B772" s="1216" t="s">
        <v>4933</v>
      </c>
      <c r="C772" s="1218" t="s">
        <v>4955</v>
      </c>
      <c r="D772" s="952">
        <v>1450</v>
      </c>
      <c r="E772" s="952">
        <v>2800</v>
      </c>
      <c r="F772" s="952">
        <v>2800</v>
      </c>
      <c r="G772" s="29" t="s">
        <v>4645</v>
      </c>
      <c r="H772" s="48" t="s">
        <v>4930</v>
      </c>
      <c r="I772" s="37" t="s">
        <v>4956</v>
      </c>
      <c r="J772" s="37"/>
      <c r="K772" s="37" t="s">
        <v>1768</v>
      </c>
      <c r="L772" s="116" t="s">
        <v>4539</v>
      </c>
      <c r="M772" s="6">
        <v>43060</v>
      </c>
      <c r="N772" s="6">
        <v>43093</v>
      </c>
      <c r="O772" s="61" t="s">
        <v>4563</v>
      </c>
      <c r="P772" s="59"/>
      <c r="Q772" s="7"/>
      <c r="R772" s="239" t="s">
        <v>4925</v>
      </c>
      <c r="S772" s="326"/>
      <c r="T772" s="858"/>
      <c r="U772" s="233"/>
      <c r="V772" s="233"/>
      <c r="W772" s="233"/>
      <c r="X772" s="233"/>
      <c r="Y772" s="233"/>
      <c r="Z772" s="233"/>
      <c r="AA772" s="233"/>
      <c r="AB772" s="233"/>
      <c r="AC772" s="233"/>
      <c r="AD772" s="233"/>
      <c r="AE772" s="233"/>
      <c r="AF772" s="233"/>
      <c r="AG772" s="233"/>
      <c r="AH772" s="233"/>
      <c r="AI772" s="233"/>
      <c r="AJ772" s="233"/>
      <c r="AK772" s="233"/>
      <c r="AL772" s="233"/>
      <c r="AM772" s="233"/>
      <c r="AN772" s="233"/>
      <c r="AO772" s="233"/>
      <c r="AP772" s="233"/>
      <c r="AQ772" s="233"/>
      <c r="AR772" s="233"/>
      <c r="AS772" s="233"/>
      <c r="AT772" s="233"/>
      <c r="AU772" s="233"/>
      <c r="AV772" s="233"/>
      <c r="AW772" s="233"/>
      <c r="AX772" s="233"/>
      <c r="AY772" s="233"/>
      <c r="AZ772" s="233"/>
      <c r="BA772" s="233"/>
      <c r="BB772" s="233"/>
      <c r="BC772" s="233"/>
      <c r="BD772" s="233"/>
      <c r="BE772" s="233"/>
      <c r="BF772" s="233"/>
      <c r="BG772" s="233"/>
      <c r="BH772" s="233"/>
      <c r="BI772" s="233"/>
      <c r="BJ772" s="233"/>
      <c r="BK772" s="233"/>
      <c r="BL772" s="233"/>
      <c r="BM772" s="233"/>
      <c r="BN772" s="233"/>
      <c r="BO772" s="233"/>
      <c r="BP772" s="233"/>
    </row>
    <row r="773" spans="1:68" ht="20.100000000000001" customHeight="1">
      <c r="A773" s="1216" t="s">
        <v>4891</v>
      </c>
      <c r="B773" s="1216" t="s">
        <v>4933</v>
      </c>
      <c r="C773" s="1218" t="s">
        <v>4955</v>
      </c>
      <c r="D773" s="943">
        <v>1225</v>
      </c>
      <c r="E773" s="943">
        <v>2250</v>
      </c>
      <c r="F773" s="943">
        <v>2250</v>
      </c>
      <c r="G773" s="29" t="s">
        <v>4566</v>
      </c>
      <c r="H773" s="56" t="s">
        <v>4565</v>
      </c>
      <c r="I773" s="50" t="s">
        <v>4564</v>
      </c>
      <c r="J773" s="50"/>
      <c r="K773" s="50" t="s">
        <v>4937</v>
      </c>
      <c r="L773" s="116" t="s">
        <v>4539</v>
      </c>
      <c r="M773" s="15">
        <v>43073</v>
      </c>
      <c r="N773" s="15">
        <v>43100</v>
      </c>
      <c r="O773" s="61" t="s">
        <v>4563</v>
      </c>
      <c r="P773" s="59"/>
      <c r="Q773" s="7"/>
      <c r="R773" s="21" t="s">
        <v>4562</v>
      </c>
      <c r="S773" s="327" t="s">
        <v>4561</v>
      </c>
      <c r="T773" s="858"/>
      <c r="U773" s="207"/>
      <c r="V773" s="115"/>
      <c r="W773" s="115"/>
      <c r="X773" s="115"/>
      <c r="Y773" s="115"/>
      <c r="Z773" s="115"/>
      <c r="AA773" s="115"/>
      <c r="AB773" s="115"/>
      <c r="AC773" s="115"/>
      <c r="AD773" s="115"/>
      <c r="AE773" s="115"/>
      <c r="AF773" s="115"/>
      <c r="AG773" s="115"/>
      <c r="AH773" s="115"/>
      <c r="AI773" s="115"/>
      <c r="AJ773" s="115"/>
      <c r="AK773" s="115"/>
      <c r="AL773" s="115"/>
      <c r="AM773" s="115"/>
      <c r="AN773" s="115"/>
      <c r="AO773" s="115"/>
      <c r="AP773" s="115"/>
      <c r="AQ773" s="115"/>
      <c r="AR773" s="115"/>
      <c r="AS773" s="115"/>
      <c r="AT773" s="115"/>
      <c r="AU773" s="115"/>
      <c r="AV773" s="115"/>
      <c r="AW773" s="115"/>
      <c r="AX773" s="115"/>
      <c r="AY773" s="115"/>
      <c r="AZ773" s="115"/>
      <c r="BA773" s="115"/>
      <c r="BB773" s="115"/>
      <c r="BC773" s="115"/>
      <c r="BD773" s="115"/>
      <c r="BE773" s="115"/>
      <c r="BF773" s="115"/>
      <c r="BG773" s="115"/>
      <c r="BH773" s="115"/>
      <c r="BI773" s="115"/>
      <c r="BJ773" s="115"/>
      <c r="BK773" s="115"/>
      <c r="BL773" s="115"/>
      <c r="BM773" s="115"/>
      <c r="BN773" s="115"/>
      <c r="BO773" s="115"/>
      <c r="BP773" s="115"/>
    </row>
    <row r="774" spans="1:68" ht="20.100000000000001" customHeight="1">
      <c r="A774" s="1216" t="s">
        <v>4888</v>
      </c>
      <c r="B774" s="1216" t="s">
        <v>4933</v>
      </c>
      <c r="C774" s="1218" t="s">
        <v>4955</v>
      </c>
      <c r="D774" s="948">
        <v>1475</v>
      </c>
      <c r="E774" s="948">
        <v>2750</v>
      </c>
      <c r="F774" s="948">
        <v>2800</v>
      </c>
      <c r="G774" s="29" t="s">
        <v>4549</v>
      </c>
      <c r="H774" s="56" t="s">
        <v>4589</v>
      </c>
      <c r="I774" s="37" t="s">
        <v>4885</v>
      </c>
      <c r="J774" s="37"/>
      <c r="K774" s="37">
        <v>35</v>
      </c>
      <c r="L774" s="50" t="s">
        <v>4539</v>
      </c>
      <c r="M774" s="6">
        <v>43085</v>
      </c>
      <c r="N774" s="6">
        <v>43100</v>
      </c>
      <c r="O774" s="141" t="s">
        <v>4545</v>
      </c>
      <c r="P774" s="61"/>
      <c r="Q774" s="61"/>
      <c r="R774" s="238" t="s">
        <v>4894</v>
      </c>
      <c r="S774" s="328" t="s">
        <v>4543</v>
      </c>
      <c r="T774" s="858"/>
      <c r="U774" s="207"/>
      <c r="V774" s="115"/>
      <c r="W774" s="115"/>
      <c r="X774" s="115"/>
      <c r="Y774" s="115"/>
      <c r="Z774" s="115"/>
      <c r="AA774" s="115"/>
      <c r="AB774" s="115"/>
      <c r="AC774" s="115"/>
      <c r="AD774" s="115"/>
      <c r="AE774" s="115"/>
      <c r="AF774" s="115"/>
      <c r="AG774" s="115"/>
      <c r="AH774" s="115"/>
      <c r="AI774" s="115"/>
      <c r="AJ774" s="115"/>
      <c r="AK774" s="115"/>
      <c r="AL774" s="115"/>
      <c r="AM774" s="115"/>
      <c r="AN774" s="115"/>
      <c r="AO774" s="115"/>
      <c r="AP774" s="115"/>
      <c r="AQ774" s="115"/>
      <c r="AR774" s="115"/>
      <c r="AS774" s="115"/>
      <c r="AT774" s="115"/>
      <c r="AU774" s="115"/>
      <c r="AV774" s="115"/>
      <c r="AW774" s="115"/>
      <c r="AX774" s="115"/>
      <c r="AY774" s="115"/>
      <c r="AZ774" s="115"/>
      <c r="BA774" s="115"/>
      <c r="BB774" s="115"/>
      <c r="BC774" s="115"/>
      <c r="BD774" s="115"/>
      <c r="BE774" s="115"/>
      <c r="BF774" s="115"/>
      <c r="BG774" s="115"/>
      <c r="BH774" s="115"/>
      <c r="BI774" s="115"/>
      <c r="BJ774" s="115"/>
      <c r="BK774" s="115"/>
      <c r="BL774" s="115"/>
      <c r="BM774" s="115"/>
      <c r="BN774" s="115"/>
      <c r="BO774" s="115"/>
      <c r="BP774" s="115"/>
    </row>
    <row r="775" spans="1:68" ht="20.100000000000001" customHeight="1">
      <c r="A775" s="1216" t="s">
        <v>4888</v>
      </c>
      <c r="B775" s="1216" t="s">
        <v>4933</v>
      </c>
      <c r="C775" s="1218" t="s">
        <v>4955</v>
      </c>
      <c r="D775" s="951"/>
      <c r="E775" s="951"/>
      <c r="F775" s="951"/>
      <c r="G775" s="225" t="s">
        <v>4569</v>
      </c>
      <c r="H775" s="69" t="s">
        <v>4589</v>
      </c>
      <c r="I775" s="37" t="s">
        <v>4564</v>
      </c>
      <c r="J775" s="37"/>
      <c r="K775" s="37" t="s">
        <v>4546</v>
      </c>
      <c r="L775" s="50" t="s">
        <v>4539</v>
      </c>
      <c r="M775" s="6">
        <v>43057</v>
      </c>
      <c r="N775" s="6">
        <v>43069</v>
      </c>
      <c r="O775" s="61" t="s">
        <v>4921</v>
      </c>
      <c r="P775" s="59"/>
      <c r="Q775" s="7"/>
      <c r="R775" s="239" t="s">
        <v>4920</v>
      </c>
      <c r="S775" s="328" t="s">
        <v>4543</v>
      </c>
      <c r="T775" s="858"/>
      <c r="U775" s="213"/>
      <c r="V775" s="213"/>
      <c r="W775" s="213"/>
      <c r="X775" s="213"/>
      <c r="Y775" s="213"/>
      <c r="Z775" s="213"/>
      <c r="AA775" s="213"/>
      <c r="AB775" s="213"/>
      <c r="AC775" s="213"/>
      <c r="AD775" s="213"/>
      <c r="AE775" s="213"/>
      <c r="AF775" s="213"/>
      <c r="AG775" s="213"/>
      <c r="AH775" s="213"/>
      <c r="AI775" s="213"/>
      <c r="AJ775" s="213"/>
      <c r="AK775" s="213"/>
      <c r="AL775" s="213"/>
      <c r="AM775" s="213"/>
      <c r="AN775" s="213"/>
      <c r="AO775" s="213"/>
      <c r="AP775" s="213"/>
      <c r="AQ775" s="213"/>
      <c r="AR775" s="213"/>
      <c r="AS775" s="213"/>
      <c r="AT775" s="213"/>
      <c r="AU775" s="213"/>
      <c r="AV775" s="213"/>
      <c r="AW775" s="213"/>
      <c r="AX775" s="213"/>
      <c r="AY775" s="213"/>
      <c r="AZ775" s="213"/>
      <c r="BA775" s="213"/>
      <c r="BB775" s="213"/>
      <c r="BC775" s="213"/>
      <c r="BD775" s="213"/>
      <c r="BE775" s="213"/>
      <c r="BF775" s="213"/>
      <c r="BG775" s="213"/>
      <c r="BH775" s="213"/>
      <c r="BI775" s="213"/>
      <c r="BJ775" s="213"/>
      <c r="BK775" s="213"/>
      <c r="BL775" s="213"/>
      <c r="BM775" s="213"/>
      <c r="BN775" s="213"/>
      <c r="BO775" s="213"/>
      <c r="BP775" s="213"/>
    </row>
    <row r="776" spans="1:68" ht="20.100000000000001" customHeight="1">
      <c r="A776" s="1216" t="s">
        <v>4888</v>
      </c>
      <c r="B776" s="1216" t="s">
        <v>4933</v>
      </c>
      <c r="C776" s="1219" t="s">
        <v>4955</v>
      </c>
      <c r="D776" s="952">
        <v>1150</v>
      </c>
      <c r="E776" s="952">
        <v>2100</v>
      </c>
      <c r="F776" s="952">
        <v>2150</v>
      </c>
      <c r="G776" s="29" t="s">
        <v>4553</v>
      </c>
      <c r="H776" s="56" t="s">
        <v>4589</v>
      </c>
      <c r="I776" s="50" t="s">
        <v>4579</v>
      </c>
      <c r="J776" s="50"/>
      <c r="K776" s="50">
        <v>37</v>
      </c>
      <c r="L776" s="50" t="s">
        <v>4539</v>
      </c>
      <c r="M776" s="6">
        <v>43085</v>
      </c>
      <c r="N776" s="6">
        <v>43100</v>
      </c>
      <c r="O776" s="142" t="s">
        <v>4545</v>
      </c>
      <c r="P776" s="59" t="s">
        <v>4942</v>
      </c>
      <c r="Q776" s="59"/>
      <c r="R776" s="239" t="s">
        <v>4588</v>
      </c>
      <c r="S776" s="328" t="s">
        <v>4543</v>
      </c>
      <c r="T776" s="858"/>
      <c r="U776" s="207"/>
      <c r="V776" s="115"/>
      <c r="W776" s="115"/>
      <c r="X776" s="115"/>
      <c r="Y776" s="115"/>
      <c r="Z776" s="115"/>
      <c r="AA776" s="115"/>
      <c r="AB776" s="115"/>
      <c r="AC776" s="115"/>
      <c r="AD776" s="115"/>
      <c r="AE776" s="115"/>
      <c r="AF776" s="115"/>
      <c r="AG776" s="115"/>
      <c r="AH776" s="115"/>
      <c r="AI776" s="115"/>
      <c r="AJ776" s="115"/>
      <c r="AK776" s="115"/>
      <c r="AL776" s="115"/>
      <c r="AM776" s="115"/>
      <c r="AN776" s="115"/>
      <c r="AO776" s="115"/>
      <c r="AP776" s="115"/>
      <c r="AQ776" s="115"/>
      <c r="AR776" s="115"/>
      <c r="AS776" s="115"/>
      <c r="AT776" s="115"/>
      <c r="AU776" s="115"/>
      <c r="AV776" s="115"/>
      <c r="AW776" s="115"/>
      <c r="AX776" s="115"/>
      <c r="AY776" s="115"/>
      <c r="AZ776" s="115"/>
      <c r="BA776" s="115"/>
      <c r="BB776" s="115"/>
      <c r="BC776" s="115"/>
      <c r="BD776" s="115"/>
      <c r="BE776" s="115"/>
      <c r="BF776" s="115"/>
      <c r="BG776" s="115"/>
      <c r="BH776" s="115"/>
      <c r="BI776" s="115"/>
      <c r="BJ776" s="115"/>
      <c r="BK776" s="115"/>
      <c r="BL776" s="115"/>
      <c r="BM776" s="115"/>
      <c r="BN776" s="115"/>
      <c r="BO776" s="115"/>
      <c r="BP776" s="115"/>
    </row>
    <row r="777" spans="1:68" ht="20.100000000000001" customHeight="1">
      <c r="A777" s="1216" t="s">
        <v>4888</v>
      </c>
      <c r="B777" s="1216" t="s">
        <v>4933</v>
      </c>
      <c r="C777" s="1216" t="s">
        <v>4952</v>
      </c>
      <c r="D777" s="945">
        <f>D768-0</f>
        <v>1350</v>
      </c>
      <c r="E777" s="945">
        <f>E768-0</f>
        <v>2500</v>
      </c>
      <c r="F777" s="945">
        <f>F768-0</f>
        <v>2575</v>
      </c>
      <c r="G777" s="222" t="s">
        <v>4572</v>
      </c>
      <c r="H777" s="56" t="s">
        <v>4552</v>
      </c>
      <c r="I777" s="50" t="s">
        <v>4885</v>
      </c>
      <c r="J777" s="37" t="s">
        <v>4954</v>
      </c>
      <c r="K777" s="37">
        <v>35</v>
      </c>
      <c r="L777" s="50" t="s">
        <v>4539</v>
      </c>
      <c r="M777" s="15">
        <v>43060</v>
      </c>
      <c r="N777" s="15">
        <v>43076</v>
      </c>
      <c r="O777" s="142" t="s">
        <v>4545</v>
      </c>
      <c r="P777" s="61"/>
      <c r="Q777" s="167"/>
      <c r="R777" s="239" t="s">
        <v>4584</v>
      </c>
      <c r="S777" s="328" t="s">
        <v>4543</v>
      </c>
      <c r="T777" s="858"/>
      <c r="U777" s="207"/>
      <c r="V777" s="115"/>
      <c r="W777" s="115"/>
      <c r="X777" s="115"/>
      <c r="Y777" s="115"/>
      <c r="Z777" s="115"/>
      <c r="AA777" s="115"/>
      <c r="AB777" s="115"/>
      <c r="AC777" s="115"/>
      <c r="AD777" s="115"/>
      <c r="AE777" s="115"/>
      <c r="AF777" s="115"/>
      <c r="AG777" s="115"/>
      <c r="AH777" s="115"/>
      <c r="AI777" s="115"/>
      <c r="AJ777" s="115"/>
      <c r="AK777" s="115"/>
      <c r="AL777" s="115"/>
      <c r="AM777" s="115"/>
      <c r="AN777" s="115"/>
      <c r="AO777" s="115"/>
      <c r="AP777" s="115"/>
      <c r="AQ777" s="115"/>
      <c r="AR777" s="115"/>
      <c r="AS777" s="115"/>
      <c r="AT777" s="115"/>
      <c r="AU777" s="115"/>
      <c r="AV777" s="115"/>
      <c r="AW777" s="115"/>
      <c r="AX777" s="115"/>
      <c r="AY777" s="115"/>
      <c r="AZ777" s="115"/>
      <c r="BA777" s="115"/>
      <c r="BB777" s="115"/>
      <c r="BC777" s="115"/>
      <c r="BD777" s="115"/>
      <c r="BE777" s="115"/>
      <c r="BF777" s="115"/>
      <c r="BG777" s="115"/>
      <c r="BH777" s="115"/>
      <c r="BI777" s="115"/>
      <c r="BJ777" s="115"/>
      <c r="BK777" s="115"/>
      <c r="BL777" s="115"/>
      <c r="BM777" s="115"/>
      <c r="BN777" s="115"/>
      <c r="BO777" s="115"/>
      <c r="BP777" s="115"/>
    </row>
    <row r="778" spans="1:68" ht="20.100000000000001" customHeight="1">
      <c r="A778" s="1216" t="s">
        <v>4891</v>
      </c>
      <c r="B778" s="1216" t="s">
        <v>4933</v>
      </c>
      <c r="C778" s="1216" t="s">
        <v>4952</v>
      </c>
      <c r="D778" s="934">
        <f>D746+500</f>
        <v>1425</v>
      </c>
      <c r="E778" s="934">
        <f>E746+900</f>
        <v>2550</v>
      </c>
      <c r="F778" s="934">
        <f>F746+900</f>
        <v>2600</v>
      </c>
      <c r="G778" s="217" t="s">
        <v>4575</v>
      </c>
      <c r="H778" s="55" t="s">
        <v>4912</v>
      </c>
      <c r="I778" s="37" t="s">
        <v>4564</v>
      </c>
      <c r="J778" s="37"/>
      <c r="K778" s="37" t="s">
        <v>4953</v>
      </c>
      <c r="L778" s="50" t="s">
        <v>4539</v>
      </c>
      <c r="M778" s="15">
        <v>43084</v>
      </c>
      <c r="N778" s="15">
        <v>43100</v>
      </c>
      <c r="O778" s="128" t="s">
        <v>4938</v>
      </c>
      <c r="P778" s="141"/>
      <c r="Q778" s="7"/>
      <c r="R778" s="238" t="s">
        <v>4918</v>
      </c>
      <c r="S778" s="327" t="s">
        <v>4576</v>
      </c>
      <c r="T778" s="858"/>
      <c r="U778" s="207"/>
      <c r="V778" s="115"/>
      <c r="W778" s="115"/>
      <c r="X778" s="115"/>
      <c r="Y778" s="115"/>
      <c r="Z778" s="115"/>
      <c r="AA778" s="115"/>
      <c r="AB778" s="115"/>
      <c r="AC778" s="115"/>
      <c r="AD778" s="115"/>
      <c r="AE778" s="115"/>
      <c r="AF778" s="115"/>
      <c r="AG778" s="115"/>
      <c r="AH778" s="115"/>
      <c r="AI778" s="115"/>
      <c r="AJ778" s="115"/>
      <c r="AK778" s="115"/>
      <c r="AL778" s="115"/>
      <c r="AM778" s="115"/>
      <c r="AN778" s="115"/>
      <c r="AO778" s="115"/>
      <c r="AP778" s="115"/>
      <c r="AQ778" s="115"/>
      <c r="AR778" s="115"/>
      <c r="AS778" s="115"/>
      <c r="AT778" s="115"/>
      <c r="AU778" s="115"/>
      <c r="AV778" s="115"/>
      <c r="AW778" s="115"/>
      <c r="AX778" s="115"/>
      <c r="AY778" s="115"/>
      <c r="AZ778" s="115"/>
      <c r="BA778" s="115"/>
      <c r="BB778" s="115"/>
      <c r="BC778" s="115"/>
      <c r="BD778" s="115"/>
      <c r="BE778" s="115"/>
      <c r="BF778" s="115"/>
      <c r="BG778" s="115"/>
      <c r="BH778" s="115"/>
      <c r="BI778" s="115"/>
      <c r="BJ778" s="115"/>
      <c r="BK778" s="115"/>
      <c r="BL778" s="115"/>
      <c r="BM778" s="115"/>
      <c r="BN778" s="115"/>
      <c r="BO778" s="115"/>
      <c r="BP778" s="115"/>
    </row>
    <row r="779" spans="1:68" ht="20.100000000000001" customHeight="1">
      <c r="A779" s="1216" t="s">
        <v>4888</v>
      </c>
      <c r="B779" s="1216" t="s">
        <v>4933</v>
      </c>
      <c r="C779" s="1216" t="s">
        <v>4952</v>
      </c>
      <c r="D779" s="952">
        <v>1275</v>
      </c>
      <c r="E779" s="952">
        <v>2350</v>
      </c>
      <c r="F779" s="952">
        <v>2400</v>
      </c>
      <c r="G779" s="29" t="s">
        <v>4553</v>
      </c>
      <c r="H779" s="56" t="s">
        <v>4589</v>
      </c>
      <c r="I779" s="50" t="s">
        <v>4564</v>
      </c>
      <c r="J779" s="50"/>
      <c r="K779" s="50">
        <v>33</v>
      </c>
      <c r="L779" s="50" t="s">
        <v>4539</v>
      </c>
      <c r="M779" s="6">
        <v>43085</v>
      </c>
      <c r="N779" s="6">
        <v>43100</v>
      </c>
      <c r="O779" s="142" t="s">
        <v>4545</v>
      </c>
      <c r="P779" s="59"/>
      <c r="Q779" s="59"/>
      <c r="R779" s="239" t="s">
        <v>4588</v>
      </c>
      <c r="S779" s="328" t="s">
        <v>4543</v>
      </c>
      <c r="T779" s="858"/>
      <c r="U779" s="207"/>
      <c r="V779" s="115"/>
      <c r="W779" s="115"/>
      <c r="X779" s="115"/>
      <c r="Y779" s="115"/>
      <c r="Z779" s="115"/>
      <c r="AA779" s="115"/>
      <c r="AB779" s="115"/>
      <c r="AC779" s="115"/>
      <c r="AD779" s="115"/>
      <c r="AE779" s="115"/>
      <c r="AF779" s="115"/>
      <c r="AG779" s="115"/>
      <c r="AH779" s="115"/>
      <c r="AI779" s="115"/>
      <c r="AJ779" s="115"/>
      <c r="AK779" s="115"/>
      <c r="AL779" s="115"/>
      <c r="AM779" s="115"/>
      <c r="AN779" s="115"/>
      <c r="AO779" s="115"/>
      <c r="AP779" s="115"/>
      <c r="AQ779" s="115"/>
      <c r="AR779" s="115"/>
      <c r="AS779" s="115"/>
      <c r="AT779" s="115"/>
      <c r="AU779" s="115"/>
      <c r="AV779" s="115"/>
      <c r="AW779" s="115"/>
      <c r="AX779" s="115"/>
      <c r="AY779" s="115"/>
      <c r="AZ779" s="115"/>
      <c r="BA779" s="115"/>
      <c r="BB779" s="115"/>
      <c r="BC779" s="115"/>
      <c r="BD779" s="115"/>
      <c r="BE779" s="115"/>
      <c r="BF779" s="115"/>
      <c r="BG779" s="115"/>
      <c r="BH779" s="115"/>
      <c r="BI779" s="115"/>
      <c r="BJ779" s="115"/>
      <c r="BK779" s="115"/>
      <c r="BL779" s="115"/>
      <c r="BM779" s="115"/>
      <c r="BN779" s="115"/>
      <c r="BO779" s="115"/>
      <c r="BP779" s="115"/>
    </row>
    <row r="780" spans="1:68" ht="20.100000000000001" customHeight="1">
      <c r="A780" s="1216" t="s">
        <v>4888</v>
      </c>
      <c r="B780" s="1216" t="s">
        <v>4933</v>
      </c>
      <c r="C780" s="1216" t="s">
        <v>4952</v>
      </c>
      <c r="D780" s="948">
        <v>1575</v>
      </c>
      <c r="E780" s="948">
        <v>2950</v>
      </c>
      <c r="F780" s="948">
        <v>3000</v>
      </c>
      <c r="G780" s="109" t="s">
        <v>4549</v>
      </c>
      <c r="H780" s="56" t="s">
        <v>4589</v>
      </c>
      <c r="I780" s="37" t="s">
        <v>4885</v>
      </c>
      <c r="J780" s="37"/>
      <c r="K780" s="37" t="s">
        <v>4951</v>
      </c>
      <c r="L780" s="50" t="s">
        <v>4539</v>
      </c>
      <c r="M780" s="6">
        <v>43085</v>
      </c>
      <c r="N780" s="6">
        <v>43100</v>
      </c>
      <c r="O780" s="141" t="s">
        <v>4545</v>
      </c>
      <c r="P780" s="61"/>
      <c r="Q780" s="61"/>
      <c r="R780" s="238" t="s">
        <v>4894</v>
      </c>
      <c r="S780" s="328" t="s">
        <v>4543</v>
      </c>
      <c r="T780" s="858"/>
      <c r="U780" s="207"/>
      <c r="V780" s="115"/>
      <c r="W780" s="115"/>
      <c r="X780" s="115"/>
      <c r="Y780" s="115"/>
      <c r="Z780" s="115"/>
      <c r="AA780" s="115"/>
      <c r="AB780" s="115"/>
      <c r="AC780" s="115"/>
      <c r="AD780" s="115"/>
      <c r="AE780" s="115"/>
      <c r="AF780" s="115"/>
      <c r="AG780" s="115"/>
      <c r="AH780" s="115"/>
      <c r="AI780" s="115"/>
      <c r="AJ780" s="115"/>
      <c r="AK780" s="115"/>
      <c r="AL780" s="115"/>
      <c r="AM780" s="115"/>
      <c r="AN780" s="115"/>
      <c r="AO780" s="115"/>
      <c r="AP780" s="115"/>
      <c r="AQ780" s="115"/>
      <c r="AR780" s="115"/>
      <c r="AS780" s="115"/>
      <c r="AT780" s="115"/>
      <c r="AU780" s="115"/>
      <c r="AV780" s="115"/>
      <c r="AW780" s="115"/>
      <c r="AX780" s="115"/>
      <c r="AY780" s="115"/>
      <c r="AZ780" s="115"/>
      <c r="BA780" s="115"/>
      <c r="BB780" s="115"/>
      <c r="BC780" s="115"/>
      <c r="BD780" s="115"/>
      <c r="BE780" s="115"/>
      <c r="BF780" s="115"/>
      <c r="BG780" s="115"/>
      <c r="BH780" s="115"/>
      <c r="BI780" s="115"/>
      <c r="BJ780" s="115"/>
      <c r="BK780" s="115"/>
      <c r="BL780" s="115"/>
      <c r="BM780" s="115"/>
      <c r="BN780" s="115"/>
      <c r="BO780" s="115"/>
      <c r="BP780" s="115"/>
    </row>
    <row r="781" spans="1:68" ht="20.100000000000001" customHeight="1">
      <c r="A781" s="296" t="s">
        <v>4891</v>
      </c>
      <c r="B781" s="918" t="s">
        <v>4933</v>
      </c>
      <c r="C781" s="918" t="s">
        <v>4950</v>
      </c>
      <c r="D781" s="953">
        <f>D768-0</f>
        <v>1350</v>
      </c>
      <c r="E781" s="953">
        <f>E768-0</f>
        <v>2500</v>
      </c>
      <c r="F781" s="953">
        <f>F768-0</f>
        <v>2575</v>
      </c>
      <c r="G781" s="222" t="s">
        <v>4572</v>
      </c>
      <c r="H781" s="56" t="s">
        <v>4552</v>
      </c>
      <c r="I781" s="50" t="s">
        <v>4579</v>
      </c>
      <c r="J781" s="50"/>
      <c r="K781" s="50">
        <v>34</v>
      </c>
      <c r="L781" s="50" t="s">
        <v>4539</v>
      </c>
      <c r="M781" s="15">
        <v>43060</v>
      </c>
      <c r="N781" s="15">
        <v>43076</v>
      </c>
      <c r="O781" s="142" t="s">
        <v>4545</v>
      </c>
      <c r="P781" s="59"/>
      <c r="Q781" s="167"/>
      <c r="R781" s="238" t="s">
        <v>4584</v>
      </c>
      <c r="S781" s="328" t="s">
        <v>4543</v>
      </c>
      <c r="T781" s="858"/>
      <c r="U781" s="207"/>
      <c r="V781" s="115"/>
      <c r="W781" s="115"/>
      <c r="X781" s="115"/>
      <c r="Y781" s="115"/>
      <c r="Z781" s="115"/>
      <c r="AA781" s="115"/>
      <c r="AB781" s="115"/>
      <c r="AC781" s="115"/>
      <c r="AD781" s="115"/>
      <c r="AE781" s="115"/>
      <c r="AF781" s="115"/>
      <c r="AG781" s="115"/>
      <c r="AH781" s="115"/>
      <c r="AI781" s="115"/>
      <c r="AJ781" s="115"/>
      <c r="AK781" s="115"/>
      <c r="AL781" s="115"/>
      <c r="AM781" s="115"/>
      <c r="AN781" s="115"/>
      <c r="AO781" s="115"/>
      <c r="AP781" s="115"/>
      <c r="AQ781" s="115"/>
      <c r="AR781" s="115"/>
      <c r="AS781" s="115"/>
      <c r="AT781" s="115"/>
      <c r="AU781" s="115"/>
      <c r="AV781" s="115"/>
      <c r="AW781" s="115"/>
      <c r="AX781" s="115"/>
      <c r="AY781" s="115"/>
      <c r="AZ781" s="115"/>
      <c r="BA781" s="115"/>
      <c r="BB781" s="115"/>
      <c r="BC781" s="115"/>
      <c r="BD781" s="115"/>
      <c r="BE781" s="115"/>
      <c r="BF781" s="115"/>
      <c r="BG781" s="115"/>
      <c r="BH781" s="115"/>
      <c r="BI781" s="115"/>
      <c r="BJ781" s="115"/>
      <c r="BK781" s="115"/>
      <c r="BL781" s="115"/>
      <c r="BM781" s="115"/>
      <c r="BN781" s="115"/>
      <c r="BO781" s="115"/>
      <c r="BP781" s="115"/>
    </row>
    <row r="782" spans="1:68" ht="20.100000000000001" customHeight="1">
      <c r="A782" s="1216" t="s">
        <v>4888</v>
      </c>
      <c r="B782" s="1216" t="s">
        <v>4933</v>
      </c>
      <c r="C782" s="1216" t="s">
        <v>4945</v>
      </c>
      <c r="D782" s="945">
        <f>D768-0</f>
        <v>1350</v>
      </c>
      <c r="E782" s="945">
        <f>E768-0</f>
        <v>2500</v>
      </c>
      <c r="F782" s="945">
        <f>F768-0</f>
        <v>2575</v>
      </c>
      <c r="G782" s="222" t="s">
        <v>4572</v>
      </c>
      <c r="H782" s="22" t="s">
        <v>4552</v>
      </c>
      <c r="I782" s="50" t="s">
        <v>4579</v>
      </c>
      <c r="J782" s="50" t="s">
        <v>4949</v>
      </c>
      <c r="K782" s="50">
        <v>34</v>
      </c>
      <c r="L782" s="50" t="s">
        <v>4539</v>
      </c>
      <c r="M782" s="15">
        <v>43060</v>
      </c>
      <c r="N782" s="15">
        <v>43076</v>
      </c>
      <c r="O782" s="142" t="s">
        <v>4545</v>
      </c>
      <c r="P782" s="59"/>
      <c r="Q782" s="167"/>
      <c r="R782" s="238" t="s">
        <v>4584</v>
      </c>
      <c r="S782" s="328" t="s">
        <v>4543</v>
      </c>
      <c r="T782" s="858"/>
      <c r="U782" s="207"/>
      <c r="V782" s="115"/>
      <c r="W782" s="115"/>
      <c r="X782" s="115"/>
      <c r="Y782" s="115"/>
      <c r="Z782" s="115"/>
      <c r="AA782" s="115"/>
      <c r="AB782" s="115"/>
      <c r="AC782" s="115"/>
      <c r="AD782" s="115"/>
      <c r="AE782" s="115"/>
      <c r="AF782" s="115"/>
      <c r="AG782" s="115"/>
      <c r="AH782" s="115"/>
      <c r="AI782" s="115"/>
      <c r="AJ782" s="115"/>
      <c r="AK782" s="115"/>
      <c r="AL782" s="115"/>
      <c r="AM782" s="115"/>
      <c r="AN782" s="115"/>
      <c r="AO782" s="115"/>
      <c r="AP782" s="115"/>
      <c r="AQ782" s="115"/>
      <c r="AR782" s="115"/>
      <c r="AS782" s="115"/>
      <c r="AT782" s="115"/>
      <c r="AU782" s="115"/>
      <c r="AV782" s="115"/>
      <c r="AW782" s="115"/>
      <c r="AX782" s="115"/>
      <c r="AY782" s="115"/>
      <c r="AZ782" s="115"/>
      <c r="BA782" s="115"/>
      <c r="BB782" s="115"/>
      <c r="BC782" s="115"/>
      <c r="BD782" s="115"/>
      <c r="BE782" s="115"/>
      <c r="BF782" s="115"/>
      <c r="BG782" s="115"/>
      <c r="BH782" s="115"/>
      <c r="BI782" s="115"/>
      <c r="BJ782" s="115"/>
      <c r="BK782" s="115"/>
      <c r="BL782" s="115"/>
      <c r="BM782" s="115"/>
      <c r="BN782" s="115"/>
      <c r="BO782" s="115"/>
      <c r="BP782" s="115"/>
    </row>
    <row r="783" spans="1:68" ht="20.100000000000001" customHeight="1">
      <c r="A783" s="1216" t="s">
        <v>4888</v>
      </c>
      <c r="B783" s="1216" t="s">
        <v>4933</v>
      </c>
      <c r="C783" s="1216" t="s">
        <v>4945</v>
      </c>
      <c r="D783" s="934">
        <f>D746+350</f>
        <v>1275</v>
      </c>
      <c r="E783" s="934">
        <f>E746+600</f>
        <v>2250</v>
      </c>
      <c r="F783" s="934">
        <f>F746+600</f>
        <v>2300</v>
      </c>
      <c r="G783" s="217" t="s">
        <v>4575</v>
      </c>
      <c r="H783" s="55" t="s">
        <v>4912</v>
      </c>
      <c r="I783" s="37" t="s">
        <v>4564</v>
      </c>
      <c r="J783" s="50"/>
      <c r="K783" s="50" t="s">
        <v>4739</v>
      </c>
      <c r="L783" s="50" t="s">
        <v>4539</v>
      </c>
      <c r="M783" s="15">
        <v>43084</v>
      </c>
      <c r="N783" s="15">
        <v>43100</v>
      </c>
      <c r="O783" s="128" t="s">
        <v>4938</v>
      </c>
      <c r="P783" s="144"/>
      <c r="Q783" s="7"/>
      <c r="R783" s="238" t="s">
        <v>4918</v>
      </c>
      <c r="S783" s="327" t="s">
        <v>4576</v>
      </c>
      <c r="T783" s="858"/>
      <c r="U783" s="207"/>
      <c r="V783" s="115"/>
      <c r="W783" s="115"/>
      <c r="X783" s="115"/>
      <c r="Y783" s="115"/>
      <c r="Z783" s="115"/>
      <c r="AA783" s="115"/>
      <c r="AB783" s="115"/>
      <c r="AC783" s="115"/>
      <c r="AD783" s="115"/>
      <c r="AE783" s="115"/>
      <c r="AF783" s="115"/>
      <c r="AG783" s="115"/>
      <c r="AH783" s="115"/>
      <c r="AI783" s="115"/>
      <c r="AJ783" s="115"/>
      <c r="AK783" s="115"/>
      <c r="AL783" s="115"/>
      <c r="AM783" s="115"/>
      <c r="AN783" s="115"/>
      <c r="AO783" s="115"/>
      <c r="AP783" s="115"/>
      <c r="AQ783" s="115"/>
      <c r="AR783" s="115"/>
      <c r="AS783" s="115"/>
      <c r="AT783" s="115"/>
      <c r="AU783" s="115"/>
      <c r="AV783" s="115"/>
      <c r="AW783" s="115"/>
      <c r="AX783" s="115"/>
      <c r="AY783" s="115"/>
      <c r="AZ783" s="115"/>
      <c r="BA783" s="115"/>
      <c r="BB783" s="115"/>
      <c r="BC783" s="115"/>
      <c r="BD783" s="115"/>
      <c r="BE783" s="115"/>
      <c r="BF783" s="115"/>
      <c r="BG783" s="115"/>
      <c r="BH783" s="115"/>
      <c r="BI783" s="115"/>
      <c r="BJ783" s="115"/>
      <c r="BK783" s="115"/>
      <c r="BL783" s="115"/>
      <c r="BM783" s="115"/>
      <c r="BN783" s="115"/>
      <c r="BO783" s="115"/>
      <c r="BP783" s="115"/>
    </row>
    <row r="784" spans="1:68" ht="20.100000000000001" customHeight="1">
      <c r="A784" s="1216" t="s">
        <v>4888</v>
      </c>
      <c r="B784" s="1216" t="s">
        <v>4933</v>
      </c>
      <c r="C784" s="1216" t="s">
        <v>4945</v>
      </c>
      <c r="D784" s="948">
        <v>1575</v>
      </c>
      <c r="E784" s="948">
        <v>2950</v>
      </c>
      <c r="F784" s="948">
        <v>3000</v>
      </c>
      <c r="G784" s="29" t="s">
        <v>4549</v>
      </c>
      <c r="H784" s="36" t="s">
        <v>4635</v>
      </c>
      <c r="I784" s="50" t="s">
        <v>4948</v>
      </c>
      <c r="J784" s="50"/>
      <c r="K784" s="50" t="s">
        <v>4940</v>
      </c>
      <c r="L784" s="50" t="s">
        <v>4539</v>
      </c>
      <c r="M784" s="6">
        <v>43085</v>
      </c>
      <c r="N784" s="6">
        <v>43100</v>
      </c>
      <c r="O784" s="144" t="s">
        <v>4545</v>
      </c>
      <c r="P784" s="59"/>
      <c r="Q784" s="260"/>
      <c r="R784" s="238" t="s">
        <v>4947</v>
      </c>
      <c r="S784" s="328" t="s">
        <v>4543</v>
      </c>
      <c r="T784" s="858"/>
      <c r="U784" s="207"/>
      <c r="V784" s="115"/>
      <c r="W784" s="115"/>
      <c r="X784" s="115"/>
      <c r="Y784" s="115"/>
      <c r="Z784" s="115"/>
      <c r="AA784" s="115"/>
      <c r="AB784" s="115"/>
      <c r="AC784" s="115"/>
      <c r="AD784" s="115"/>
      <c r="AE784" s="115"/>
      <c r="AF784" s="115"/>
      <c r="AG784" s="115"/>
      <c r="AH784" s="115"/>
      <c r="AI784" s="115"/>
      <c r="AJ784" s="115"/>
      <c r="AK784" s="115"/>
      <c r="AL784" s="115"/>
      <c r="AM784" s="115"/>
      <c r="AN784" s="115"/>
      <c r="AO784" s="115"/>
      <c r="AP784" s="115"/>
      <c r="AQ784" s="115"/>
      <c r="AR784" s="115"/>
      <c r="AS784" s="115"/>
      <c r="AT784" s="115"/>
      <c r="AU784" s="115"/>
      <c r="AV784" s="115"/>
      <c r="AW784" s="115"/>
      <c r="AX784" s="115"/>
      <c r="AY784" s="115"/>
      <c r="AZ784" s="115"/>
      <c r="BA784" s="115"/>
      <c r="BB784" s="115"/>
      <c r="BC784" s="115"/>
      <c r="BD784" s="115"/>
      <c r="BE784" s="115"/>
      <c r="BF784" s="115"/>
      <c r="BG784" s="115"/>
      <c r="BH784" s="115"/>
      <c r="BI784" s="115"/>
      <c r="BJ784" s="115"/>
      <c r="BK784" s="115"/>
      <c r="BL784" s="115"/>
      <c r="BM784" s="115"/>
      <c r="BN784" s="115"/>
      <c r="BO784" s="115"/>
      <c r="BP784" s="115"/>
    </row>
    <row r="785" spans="1:68" ht="20.100000000000001" customHeight="1">
      <c r="A785" s="1216" t="s">
        <v>4888</v>
      </c>
      <c r="B785" s="1216" t="s">
        <v>4933</v>
      </c>
      <c r="C785" s="1216" t="s">
        <v>4945</v>
      </c>
      <c r="D785" s="943">
        <v>1225</v>
      </c>
      <c r="E785" s="943">
        <v>2250</v>
      </c>
      <c r="F785" s="943">
        <v>2250</v>
      </c>
      <c r="G785" s="29" t="s">
        <v>4566</v>
      </c>
      <c r="H785" s="56" t="s">
        <v>4565</v>
      </c>
      <c r="I785" s="50" t="s">
        <v>4564</v>
      </c>
      <c r="J785" s="50"/>
      <c r="K785" s="50" t="s">
        <v>4937</v>
      </c>
      <c r="L785" s="116" t="s">
        <v>4539</v>
      </c>
      <c r="M785" s="15">
        <v>43073</v>
      </c>
      <c r="N785" s="15">
        <v>43100</v>
      </c>
      <c r="O785" s="61" t="s">
        <v>4563</v>
      </c>
      <c r="P785" s="144" t="s">
        <v>4946</v>
      </c>
      <c r="Q785" s="7"/>
      <c r="R785" s="21" t="s">
        <v>4562</v>
      </c>
      <c r="S785" s="327" t="s">
        <v>4561</v>
      </c>
      <c r="T785" s="858"/>
      <c r="U785" s="207"/>
      <c r="V785" s="115"/>
      <c r="W785" s="115"/>
      <c r="X785" s="115"/>
      <c r="Y785" s="115"/>
      <c r="Z785" s="115"/>
      <c r="AA785" s="115"/>
      <c r="AB785" s="115"/>
      <c r="AC785" s="115"/>
      <c r="AD785" s="115"/>
      <c r="AE785" s="115"/>
      <c r="AF785" s="115"/>
      <c r="AG785" s="115"/>
      <c r="AH785" s="115"/>
      <c r="AI785" s="115"/>
      <c r="AJ785" s="115"/>
      <c r="AK785" s="115"/>
      <c r="AL785" s="115"/>
      <c r="AM785" s="115"/>
      <c r="AN785" s="115"/>
      <c r="AO785" s="115"/>
      <c r="AP785" s="115"/>
      <c r="AQ785" s="115"/>
      <c r="AR785" s="115"/>
      <c r="AS785" s="115"/>
      <c r="AT785" s="115"/>
      <c r="AU785" s="115"/>
      <c r="AV785" s="115"/>
      <c r="AW785" s="115"/>
      <c r="AX785" s="115"/>
      <c r="AY785" s="115"/>
      <c r="AZ785" s="115"/>
      <c r="BA785" s="115"/>
      <c r="BB785" s="115"/>
      <c r="BC785" s="115"/>
      <c r="BD785" s="115"/>
      <c r="BE785" s="115"/>
      <c r="BF785" s="115"/>
      <c r="BG785" s="115"/>
      <c r="BH785" s="115"/>
      <c r="BI785" s="115"/>
      <c r="BJ785" s="115"/>
      <c r="BK785" s="115"/>
      <c r="BL785" s="115"/>
      <c r="BM785" s="115"/>
      <c r="BN785" s="115"/>
      <c r="BO785" s="115"/>
      <c r="BP785" s="115"/>
    </row>
    <row r="786" spans="1:68" ht="20.100000000000001" customHeight="1">
      <c r="A786" s="1216" t="s">
        <v>4888</v>
      </c>
      <c r="B786" s="1216" t="s">
        <v>4933</v>
      </c>
      <c r="C786" s="1216" t="s">
        <v>4945</v>
      </c>
      <c r="D786" s="952">
        <v>1275</v>
      </c>
      <c r="E786" s="952">
        <v>2350</v>
      </c>
      <c r="F786" s="952">
        <v>2400</v>
      </c>
      <c r="G786" s="29" t="s">
        <v>4553</v>
      </c>
      <c r="H786" s="56" t="s">
        <v>4589</v>
      </c>
      <c r="I786" s="50" t="s">
        <v>4564</v>
      </c>
      <c r="J786" s="50"/>
      <c r="K786" s="50">
        <v>31</v>
      </c>
      <c r="L786" s="50" t="s">
        <v>4539</v>
      </c>
      <c r="M786" s="6">
        <v>43085</v>
      </c>
      <c r="N786" s="6">
        <v>43100</v>
      </c>
      <c r="O786" s="142" t="s">
        <v>4545</v>
      </c>
      <c r="P786" s="59" t="s">
        <v>4942</v>
      </c>
      <c r="Q786" s="59"/>
      <c r="R786" s="239" t="s">
        <v>4588</v>
      </c>
      <c r="S786" s="328" t="s">
        <v>4543</v>
      </c>
      <c r="T786" s="858"/>
      <c r="U786" s="207"/>
      <c r="V786" s="115"/>
      <c r="W786" s="115"/>
      <c r="X786" s="115"/>
      <c r="Y786" s="115"/>
      <c r="Z786" s="115"/>
      <c r="AA786" s="115"/>
      <c r="AB786" s="115"/>
      <c r="AC786" s="115"/>
      <c r="AD786" s="115"/>
      <c r="AE786" s="115"/>
      <c r="AF786" s="115"/>
      <c r="AG786" s="115"/>
      <c r="AH786" s="115"/>
      <c r="AI786" s="115"/>
      <c r="AJ786" s="115"/>
      <c r="AK786" s="115"/>
      <c r="AL786" s="115"/>
      <c r="AM786" s="115"/>
      <c r="AN786" s="115"/>
      <c r="AO786" s="115"/>
      <c r="AP786" s="115"/>
      <c r="AQ786" s="115"/>
      <c r="AR786" s="115"/>
      <c r="AS786" s="115"/>
      <c r="AT786" s="115"/>
      <c r="AU786" s="115"/>
      <c r="AV786" s="115"/>
      <c r="AW786" s="115"/>
      <c r="AX786" s="115"/>
      <c r="AY786" s="115"/>
      <c r="AZ786" s="115"/>
      <c r="BA786" s="115"/>
      <c r="BB786" s="115"/>
      <c r="BC786" s="115"/>
      <c r="BD786" s="115"/>
      <c r="BE786" s="115"/>
      <c r="BF786" s="115"/>
      <c r="BG786" s="115"/>
      <c r="BH786" s="115"/>
      <c r="BI786" s="115"/>
      <c r="BJ786" s="115"/>
      <c r="BK786" s="115"/>
      <c r="BL786" s="115"/>
      <c r="BM786" s="115"/>
      <c r="BN786" s="115"/>
      <c r="BO786" s="115"/>
      <c r="BP786" s="115"/>
    </row>
    <row r="787" spans="1:68" ht="20.100000000000001" customHeight="1">
      <c r="A787" s="1216" t="s">
        <v>4888</v>
      </c>
      <c r="B787" s="1216" t="s">
        <v>4933</v>
      </c>
      <c r="C787" s="1216" t="s">
        <v>4945</v>
      </c>
      <c r="D787" s="945">
        <f>D768-0</f>
        <v>1350</v>
      </c>
      <c r="E787" s="945">
        <f>E768-0</f>
        <v>2500</v>
      </c>
      <c r="F787" s="945">
        <f>F768-0</f>
        <v>2575</v>
      </c>
      <c r="G787" s="222" t="s">
        <v>4572</v>
      </c>
      <c r="H787" s="36" t="s">
        <v>4552</v>
      </c>
      <c r="I787" s="50" t="s">
        <v>4579</v>
      </c>
      <c r="J787" s="37" t="s">
        <v>4944</v>
      </c>
      <c r="K787" s="37">
        <v>32</v>
      </c>
      <c r="L787" s="50" t="s">
        <v>4539</v>
      </c>
      <c r="M787" s="15">
        <v>43060</v>
      </c>
      <c r="N787" s="15">
        <v>43076</v>
      </c>
      <c r="O787" s="142" t="s">
        <v>4545</v>
      </c>
      <c r="P787" s="61"/>
      <c r="Q787" s="167"/>
      <c r="R787" s="238" t="s">
        <v>4584</v>
      </c>
      <c r="S787" s="328" t="s">
        <v>4543</v>
      </c>
      <c r="T787" s="858"/>
      <c r="U787" s="213"/>
      <c r="V787" s="213"/>
      <c r="W787" s="213"/>
      <c r="X787" s="213"/>
      <c r="Y787" s="213"/>
      <c r="Z787" s="213"/>
      <c r="AA787" s="213"/>
      <c r="AB787" s="213"/>
      <c r="AC787" s="213"/>
      <c r="AD787" s="213"/>
      <c r="AE787" s="213"/>
      <c r="AF787" s="213"/>
      <c r="AG787" s="213"/>
      <c r="AH787" s="213"/>
      <c r="AI787" s="213"/>
      <c r="AJ787" s="213"/>
      <c r="AK787" s="213"/>
      <c r="AL787" s="213"/>
      <c r="AM787" s="213"/>
      <c r="AN787" s="213"/>
      <c r="AO787" s="213"/>
      <c r="AP787" s="213"/>
      <c r="AQ787" s="213"/>
      <c r="AR787" s="213"/>
      <c r="AS787" s="213"/>
      <c r="AT787" s="213"/>
      <c r="AU787" s="213"/>
      <c r="AV787" s="213"/>
      <c r="AW787" s="213"/>
      <c r="AX787" s="213"/>
      <c r="AY787" s="213"/>
      <c r="AZ787" s="213"/>
      <c r="BA787" s="213"/>
      <c r="BB787" s="213"/>
      <c r="BC787" s="213"/>
      <c r="BD787" s="213"/>
      <c r="BE787" s="213"/>
      <c r="BF787" s="213"/>
      <c r="BG787" s="213"/>
      <c r="BH787" s="213"/>
      <c r="BI787" s="213"/>
      <c r="BJ787" s="213"/>
      <c r="BK787" s="213"/>
      <c r="BL787" s="213"/>
      <c r="BM787" s="213"/>
      <c r="BN787" s="213"/>
      <c r="BO787" s="213"/>
      <c r="BP787" s="213"/>
    </row>
    <row r="788" spans="1:68" ht="20.100000000000001" customHeight="1">
      <c r="A788" s="1216" t="s">
        <v>4888</v>
      </c>
      <c r="B788" s="1216" t="s">
        <v>4933</v>
      </c>
      <c r="C788" s="1216" t="s">
        <v>4941</v>
      </c>
      <c r="D788" s="945">
        <f>D768+50</f>
        <v>1400</v>
      </c>
      <c r="E788" s="945">
        <f>E768+100</f>
        <v>2600</v>
      </c>
      <c r="F788" s="945">
        <f>F768+100</f>
        <v>2675</v>
      </c>
      <c r="G788" s="222" t="s">
        <v>4572</v>
      </c>
      <c r="H788" s="56" t="s">
        <v>4552</v>
      </c>
      <c r="I788" s="50" t="s">
        <v>4885</v>
      </c>
      <c r="J788" s="37"/>
      <c r="K788" s="37">
        <v>35</v>
      </c>
      <c r="L788" s="50" t="s">
        <v>4539</v>
      </c>
      <c r="M788" s="15">
        <v>43060</v>
      </c>
      <c r="N788" s="15">
        <v>43076</v>
      </c>
      <c r="O788" s="142" t="s">
        <v>4545</v>
      </c>
      <c r="P788" s="61" t="s">
        <v>4943</v>
      </c>
      <c r="Q788" s="167"/>
      <c r="R788" s="239" t="s">
        <v>4584</v>
      </c>
      <c r="S788" s="328" t="s">
        <v>4543</v>
      </c>
      <c r="T788" s="858"/>
      <c r="U788" s="207"/>
      <c r="V788" s="115"/>
      <c r="W788" s="115"/>
      <c r="X788" s="115"/>
      <c r="Y788" s="115"/>
      <c r="Z788" s="115"/>
      <c r="AA788" s="115"/>
      <c r="AB788" s="115"/>
      <c r="AC788" s="115"/>
      <c r="AD788" s="115"/>
      <c r="AE788" s="115"/>
      <c r="AF788" s="115"/>
      <c r="AG788" s="115"/>
      <c r="AH788" s="115"/>
      <c r="AI788" s="115"/>
      <c r="AJ788" s="115"/>
      <c r="AK788" s="115"/>
      <c r="AL788" s="115"/>
      <c r="AM788" s="115"/>
      <c r="AN788" s="115"/>
      <c r="AO788" s="115"/>
      <c r="AP788" s="115"/>
      <c r="AQ788" s="115"/>
      <c r="AR788" s="115"/>
      <c r="AS788" s="115"/>
      <c r="AT788" s="115"/>
      <c r="AU788" s="115"/>
      <c r="AV788" s="115"/>
      <c r="AW788" s="115"/>
      <c r="AX788" s="115"/>
      <c r="AY788" s="115"/>
      <c r="AZ788" s="115"/>
      <c r="BA788" s="115"/>
      <c r="BB788" s="115"/>
      <c r="BC788" s="115"/>
      <c r="BD788" s="115"/>
      <c r="BE788" s="115"/>
      <c r="BF788" s="115"/>
      <c r="BG788" s="115"/>
      <c r="BH788" s="115"/>
      <c r="BI788" s="115"/>
      <c r="BJ788" s="115"/>
      <c r="BK788" s="115"/>
      <c r="BL788" s="115"/>
      <c r="BM788" s="115"/>
      <c r="BN788" s="115"/>
      <c r="BO788" s="115"/>
      <c r="BP788" s="115"/>
    </row>
    <row r="789" spans="1:68" ht="20.100000000000001" customHeight="1">
      <c r="A789" s="1216" t="s">
        <v>4888</v>
      </c>
      <c r="B789" s="1216" t="s">
        <v>4933</v>
      </c>
      <c r="C789" s="1216" t="s">
        <v>4941</v>
      </c>
      <c r="D789" s="952">
        <v>1150</v>
      </c>
      <c r="E789" s="952">
        <v>2100</v>
      </c>
      <c r="F789" s="952">
        <v>2150</v>
      </c>
      <c r="G789" s="29" t="s">
        <v>4553</v>
      </c>
      <c r="H789" s="56" t="s">
        <v>4589</v>
      </c>
      <c r="I789" s="50" t="s">
        <v>4564</v>
      </c>
      <c r="J789" s="50"/>
      <c r="K789" s="50">
        <v>34</v>
      </c>
      <c r="L789" s="50" t="s">
        <v>4539</v>
      </c>
      <c r="M789" s="6">
        <v>43085</v>
      </c>
      <c r="N789" s="6">
        <v>43100</v>
      </c>
      <c r="O789" s="142" t="s">
        <v>4545</v>
      </c>
      <c r="P789" s="59" t="s">
        <v>4942</v>
      </c>
      <c r="Q789" s="59"/>
      <c r="R789" s="239" t="s">
        <v>4588</v>
      </c>
      <c r="S789" s="328" t="s">
        <v>4543</v>
      </c>
      <c r="T789" s="858"/>
      <c r="U789" s="207"/>
      <c r="V789" s="115"/>
      <c r="W789" s="115"/>
      <c r="X789" s="115"/>
      <c r="Y789" s="115"/>
      <c r="Z789" s="115"/>
      <c r="AA789" s="115"/>
      <c r="AB789" s="115"/>
      <c r="AC789" s="115"/>
      <c r="AD789" s="115"/>
      <c r="AE789" s="115"/>
      <c r="AF789" s="115"/>
      <c r="AG789" s="115"/>
      <c r="AH789" s="115"/>
      <c r="AI789" s="115"/>
      <c r="AJ789" s="115"/>
      <c r="AK789" s="115"/>
      <c r="AL789" s="115"/>
      <c r="AM789" s="115"/>
      <c r="AN789" s="115"/>
      <c r="AO789" s="115"/>
      <c r="AP789" s="115"/>
      <c r="AQ789" s="115"/>
      <c r="AR789" s="115"/>
      <c r="AS789" s="115"/>
      <c r="AT789" s="115"/>
      <c r="AU789" s="115"/>
      <c r="AV789" s="115"/>
      <c r="AW789" s="115"/>
      <c r="AX789" s="115"/>
      <c r="AY789" s="115"/>
      <c r="AZ789" s="115"/>
      <c r="BA789" s="115"/>
      <c r="BB789" s="115"/>
      <c r="BC789" s="115"/>
      <c r="BD789" s="115"/>
      <c r="BE789" s="115"/>
      <c r="BF789" s="115"/>
      <c r="BG789" s="115"/>
      <c r="BH789" s="115"/>
      <c r="BI789" s="115"/>
      <c r="BJ789" s="115"/>
      <c r="BK789" s="115"/>
      <c r="BL789" s="115"/>
      <c r="BM789" s="115"/>
      <c r="BN789" s="115"/>
      <c r="BO789" s="115"/>
      <c r="BP789" s="115"/>
    </row>
    <row r="790" spans="1:68" ht="20.100000000000001" customHeight="1">
      <c r="A790" s="1216" t="s">
        <v>4888</v>
      </c>
      <c r="B790" s="1216" t="s">
        <v>4933</v>
      </c>
      <c r="C790" s="1216" t="s">
        <v>4941</v>
      </c>
      <c r="D790" s="948">
        <v>1525</v>
      </c>
      <c r="E790" s="948">
        <v>2850</v>
      </c>
      <c r="F790" s="948">
        <v>2900</v>
      </c>
      <c r="G790" s="29" t="s">
        <v>4549</v>
      </c>
      <c r="H790" s="56" t="s">
        <v>4589</v>
      </c>
      <c r="I790" s="37" t="s">
        <v>4885</v>
      </c>
      <c r="J790" s="37"/>
      <c r="K790" s="37" t="s">
        <v>4940</v>
      </c>
      <c r="L790" s="50" t="s">
        <v>4539</v>
      </c>
      <c r="M790" s="6">
        <v>43085</v>
      </c>
      <c r="N790" s="6">
        <v>43100</v>
      </c>
      <c r="O790" s="141" t="s">
        <v>4545</v>
      </c>
      <c r="P790" s="61"/>
      <c r="Q790" s="61"/>
      <c r="R790" s="238" t="s">
        <v>4894</v>
      </c>
      <c r="S790" s="328" t="s">
        <v>4543</v>
      </c>
      <c r="T790" s="858"/>
      <c r="U790" s="207"/>
      <c r="V790" s="115"/>
      <c r="W790" s="115"/>
      <c r="X790" s="115"/>
      <c r="Y790" s="115"/>
      <c r="Z790" s="115"/>
      <c r="AA790" s="115"/>
      <c r="AB790" s="115"/>
      <c r="AC790" s="115"/>
      <c r="AD790" s="115"/>
      <c r="AE790" s="115"/>
      <c r="AF790" s="115"/>
      <c r="AG790" s="115"/>
      <c r="AH790" s="115"/>
      <c r="AI790" s="115"/>
      <c r="AJ790" s="115"/>
      <c r="AK790" s="115"/>
      <c r="AL790" s="115"/>
      <c r="AM790" s="115"/>
      <c r="AN790" s="115"/>
      <c r="AO790" s="115"/>
      <c r="AP790" s="115"/>
      <c r="AQ790" s="115"/>
      <c r="AR790" s="115"/>
      <c r="AS790" s="115"/>
      <c r="AT790" s="115"/>
      <c r="AU790" s="115"/>
      <c r="AV790" s="115"/>
      <c r="AW790" s="115"/>
      <c r="AX790" s="115"/>
      <c r="AY790" s="115"/>
      <c r="AZ790" s="115"/>
      <c r="BA790" s="115"/>
      <c r="BB790" s="115"/>
      <c r="BC790" s="115"/>
      <c r="BD790" s="115"/>
      <c r="BE790" s="115"/>
      <c r="BF790" s="115"/>
      <c r="BG790" s="115"/>
      <c r="BH790" s="115"/>
      <c r="BI790" s="115"/>
      <c r="BJ790" s="115"/>
      <c r="BK790" s="115"/>
      <c r="BL790" s="115"/>
      <c r="BM790" s="115"/>
      <c r="BN790" s="115"/>
      <c r="BO790" s="115"/>
      <c r="BP790" s="115"/>
    </row>
    <row r="791" spans="1:68" ht="20.100000000000001" customHeight="1">
      <c r="A791" s="1216" t="s">
        <v>4888</v>
      </c>
      <c r="B791" s="1216" t="s">
        <v>4933</v>
      </c>
      <c r="C791" s="1216" t="s">
        <v>4936</v>
      </c>
      <c r="D791" s="945">
        <f>D768-0</f>
        <v>1350</v>
      </c>
      <c r="E791" s="945">
        <f>E768-0</f>
        <v>2500</v>
      </c>
      <c r="F791" s="945">
        <f>F768-0</f>
        <v>2575</v>
      </c>
      <c r="G791" s="222" t="s">
        <v>4572</v>
      </c>
      <c r="H791" s="56" t="s">
        <v>4552</v>
      </c>
      <c r="I791" s="37" t="s">
        <v>4885</v>
      </c>
      <c r="J791" s="37"/>
      <c r="K791" s="37">
        <v>35</v>
      </c>
      <c r="L791" s="50" t="s">
        <v>4539</v>
      </c>
      <c r="M791" s="15">
        <v>43060</v>
      </c>
      <c r="N791" s="15">
        <v>43076</v>
      </c>
      <c r="O791" s="142" t="s">
        <v>4545</v>
      </c>
      <c r="P791" s="61"/>
      <c r="Q791" s="167"/>
      <c r="R791" s="239" t="s">
        <v>4584</v>
      </c>
      <c r="S791" s="328" t="s">
        <v>4543</v>
      </c>
      <c r="T791" s="858"/>
      <c r="U791" s="207"/>
      <c r="V791" s="115"/>
      <c r="W791" s="115"/>
      <c r="X791" s="115"/>
      <c r="Y791" s="115"/>
      <c r="Z791" s="115"/>
      <c r="AA791" s="115"/>
      <c r="AB791" s="115"/>
      <c r="AC791" s="115"/>
      <c r="AD791" s="115"/>
      <c r="AE791" s="115"/>
      <c r="AF791" s="115"/>
      <c r="AG791" s="115"/>
      <c r="AH791" s="115"/>
      <c r="AI791" s="115"/>
      <c r="AJ791" s="115"/>
      <c r="AK791" s="115"/>
      <c r="AL791" s="115"/>
      <c r="AM791" s="115"/>
      <c r="AN791" s="115"/>
      <c r="AO791" s="115"/>
      <c r="AP791" s="115"/>
      <c r="AQ791" s="115"/>
      <c r="AR791" s="115"/>
      <c r="AS791" s="115"/>
      <c r="AT791" s="115"/>
      <c r="AU791" s="115"/>
      <c r="AV791" s="115"/>
      <c r="AW791" s="115"/>
      <c r="AX791" s="115"/>
      <c r="AY791" s="115"/>
      <c r="AZ791" s="115"/>
      <c r="BA791" s="115"/>
      <c r="BB791" s="115"/>
      <c r="BC791" s="115"/>
      <c r="BD791" s="115"/>
      <c r="BE791" s="115"/>
      <c r="BF791" s="115"/>
      <c r="BG791" s="115"/>
      <c r="BH791" s="115"/>
      <c r="BI791" s="115"/>
      <c r="BJ791" s="115"/>
      <c r="BK791" s="115"/>
      <c r="BL791" s="115"/>
      <c r="BM791" s="115"/>
      <c r="BN791" s="115"/>
      <c r="BO791" s="115"/>
      <c r="BP791" s="115"/>
    </row>
    <row r="792" spans="1:68" ht="20.100000000000001" customHeight="1">
      <c r="A792" s="1216" t="s">
        <v>4888</v>
      </c>
      <c r="B792" s="1216" t="s">
        <v>4933</v>
      </c>
      <c r="C792" s="1216" t="s">
        <v>4936</v>
      </c>
      <c r="D792" s="934">
        <f>D746+500</f>
        <v>1425</v>
      </c>
      <c r="E792" s="934">
        <f>E746+900</f>
        <v>2550</v>
      </c>
      <c r="F792" s="934">
        <f>F746+900</f>
        <v>2600</v>
      </c>
      <c r="G792" s="217" t="s">
        <v>4575</v>
      </c>
      <c r="H792" s="55" t="s">
        <v>4912</v>
      </c>
      <c r="I792" s="37" t="s">
        <v>4564</v>
      </c>
      <c r="J792" s="37"/>
      <c r="K792" s="37" t="s">
        <v>4939</v>
      </c>
      <c r="L792" s="50" t="s">
        <v>4539</v>
      </c>
      <c r="M792" s="15">
        <v>43084</v>
      </c>
      <c r="N792" s="15">
        <v>43100</v>
      </c>
      <c r="O792" s="128" t="s">
        <v>4938</v>
      </c>
      <c r="P792" s="141"/>
      <c r="Q792" s="7"/>
      <c r="R792" s="238" t="s">
        <v>4918</v>
      </c>
      <c r="S792" s="327" t="s">
        <v>4576</v>
      </c>
      <c r="T792" s="858"/>
      <c r="U792" s="233"/>
      <c r="V792" s="233"/>
      <c r="W792" s="233"/>
      <c r="X792" s="233"/>
      <c r="Y792" s="233"/>
      <c r="Z792" s="233"/>
      <c r="AA792" s="233"/>
      <c r="AB792" s="233"/>
      <c r="AC792" s="233"/>
      <c r="AD792" s="233"/>
      <c r="AE792" s="233"/>
      <c r="AF792" s="233"/>
      <c r="AG792" s="233"/>
      <c r="AH792" s="233"/>
      <c r="AI792" s="233"/>
      <c r="AJ792" s="233"/>
      <c r="AK792" s="233"/>
      <c r="AL792" s="233"/>
      <c r="AM792" s="233"/>
      <c r="AN792" s="233"/>
      <c r="AO792" s="233"/>
      <c r="AP792" s="233"/>
      <c r="AQ792" s="233"/>
      <c r="AR792" s="233"/>
      <c r="AS792" s="233"/>
      <c r="AT792" s="233"/>
      <c r="AU792" s="233"/>
      <c r="AV792" s="233"/>
      <c r="AW792" s="233"/>
      <c r="AX792" s="233"/>
      <c r="AY792" s="233"/>
      <c r="AZ792" s="233"/>
      <c r="BA792" s="233"/>
      <c r="BB792" s="233"/>
      <c r="BC792" s="233"/>
      <c r="BD792" s="233"/>
      <c r="BE792" s="233"/>
      <c r="BF792" s="233"/>
      <c r="BG792" s="233"/>
      <c r="BH792" s="233"/>
      <c r="BI792" s="233"/>
      <c r="BJ792" s="233"/>
      <c r="BK792" s="233"/>
      <c r="BL792" s="233"/>
      <c r="BM792" s="233"/>
      <c r="BN792" s="233"/>
      <c r="BO792" s="233"/>
      <c r="BP792" s="233"/>
    </row>
    <row r="793" spans="1:68" ht="20.100000000000001" customHeight="1">
      <c r="A793" s="1216" t="s">
        <v>4888</v>
      </c>
      <c r="B793" s="1216" t="s">
        <v>4933</v>
      </c>
      <c r="C793" s="1216" t="s">
        <v>4936</v>
      </c>
      <c r="D793" s="943">
        <v>1225</v>
      </c>
      <c r="E793" s="943">
        <v>2250</v>
      </c>
      <c r="F793" s="943">
        <v>2250</v>
      </c>
      <c r="G793" s="29" t="s">
        <v>4566</v>
      </c>
      <c r="H793" s="56" t="s">
        <v>4565</v>
      </c>
      <c r="I793" s="50" t="s">
        <v>4902</v>
      </c>
      <c r="J793" s="50"/>
      <c r="K793" s="50" t="s">
        <v>4937</v>
      </c>
      <c r="L793" s="116" t="s">
        <v>4539</v>
      </c>
      <c r="M793" s="15">
        <v>43073</v>
      </c>
      <c r="N793" s="15">
        <v>43100</v>
      </c>
      <c r="O793" s="61" t="s">
        <v>4563</v>
      </c>
      <c r="P793" s="59"/>
      <c r="Q793" s="7"/>
      <c r="R793" s="21" t="s">
        <v>4562</v>
      </c>
      <c r="S793" s="327" t="s">
        <v>4561</v>
      </c>
      <c r="T793" s="858"/>
      <c r="U793" s="207"/>
      <c r="V793" s="115"/>
      <c r="W793" s="115"/>
      <c r="X793" s="115"/>
      <c r="Y793" s="115"/>
      <c r="Z793" s="115"/>
      <c r="AA793" s="115"/>
      <c r="AB793" s="115"/>
      <c r="AC793" s="115"/>
      <c r="AD793" s="115"/>
      <c r="AE793" s="115"/>
      <c r="AF793" s="115"/>
      <c r="AG793" s="115"/>
      <c r="AH793" s="115"/>
      <c r="AI793" s="115"/>
      <c r="AJ793" s="115"/>
      <c r="AK793" s="115"/>
      <c r="AL793" s="115"/>
      <c r="AM793" s="115"/>
      <c r="AN793" s="115"/>
      <c r="AO793" s="115"/>
      <c r="AP793" s="115"/>
      <c r="AQ793" s="115"/>
      <c r="AR793" s="115"/>
      <c r="AS793" s="115"/>
      <c r="AT793" s="115"/>
      <c r="AU793" s="115"/>
      <c r="AV793" s="115"/>
      <c r="AW793" s="115"/>
      <c r="AX793" s="115"/>
      <c r="AY793" s="115"/>
      <c r="AZ793" s="115"/>
      <c r="BA793" s="115"/>
      <c r="BB793" s="115"/>
      <c r="BC793" s="115"/>
      <c r="BD793" s="115"/>
      <c r="BE793" s="115"/>
      <c r="BF793" s="115"/>
      <c r="BG793" s="115"/>
      <c r="BH793" s="115"/>
      <c r="BI793" s="115"/>
      <c r="BJ793" s="115"/>
      <c r="BK793" s="115"/>
      <c r="BL793" s="115"/>
      <c r="BM793" s="115"/>
      <c r="BN793" s="115"/>
      <c r="BO793" s="115"/>
      <c r="BP793" s="115"/>
    </row>
    <row r="794" spans="1:68" ht="20.100000000000001" customHeight="1">
      <c r="A794" s="1216" t="s">
        <v>4888</v>
      </c>
      <c r="B794" s="1216" t="s">
        <v>4933</v>
      </c>
      <c r="C794" s="1216" t="s">
        <v>4936</v>
      </c>
      <c r="D794" s="952">
        <v>1275</v>
      </c>
      <c r="E794" s="952">
        <v>2350</v>
      </c>
      <c r="F794" s="952">
        <v>2400</v>
      </c>
      <c r="G794" s="29" t="s">
        <v>4553</v>
      </c>
      <c r="H794" s="56" t="s">
        <v>4589</v>
      </c>
      <c r="I794" s="50" t="s">
        <v>4564</v>
      </c>
      <c r="J794" s="50"/>
      <c r="K794" s="50">
        <v>30</v>
      </c>
      <c r="L794" s="50" t="s">
        <v>4539</v>
      </c>
      <c r="M794" s="6">
        <v>43085</v>
      </c>
      <c r="N794" s="6">
        <v>43100</v>
      </c>
      <c r="O794" s="142" t="s">
        <v>4545</v>
      </c>
      <c r="P794" s="59"/>
      <c r="Q794" s="59"/>
      <c r="R794" s="239" t="s">
        <v>4588</v>
      </c>
      <c r="S794" s="328" t="s">
        <v>4543</v>
      </c>
      <c r="T794" s="858"/>
      <c r="U794" s="207"/>
      <c r="V794" s="115"/>
      <c r="W794" s="115"/>
      <c r="X794" s="115"/>
      <c r="Y794" s="115"/>
      <c r="Z794" s="115"/>
      <c r="AA794" s="115"/>
      <c r="AB794" s="115"/>
      <c r="AC794" s="115"/>
      <c r="AD794" s="115"/>
      <c r="AE794" s="115"/>
      <c r="AF794" s="115"/>
      <c r="AG794" s="115"/>
      <c r="AH794" s="115"/>
      <c r="AI794" s="115"/>
      <c r="AJ794" s="115"/>
      <c r="AK794" s="115"/>
      <c r="AL794" s="115"/>
      <c r="AM794" s="115"/>
      <c r="AN794" s="115"/>
      <c r="AO794" s="115"/>
      <c r="AP794" s="115"/>
      <c r="AQ794" s="115"/>
      <c r="AR794" s="115"/>
      <c r="AS794" s="115"/>
      <c r="AT794" s="115"/>
      <c r="AU794" s="115"/>
      <c r="AV794" s="115"/>
      <c r="AW794" s="115"/>
      <c r="AX794" s="115"/>
      <c r="AY794" s="115"/>
      <c r="AZ794" s="115"/>
      <c r="BA794" s="115"/>
      <c r="BB794" s="115"/>
      <c r="BC794" s="115"/>
      <c r="BD794" s="115"/>
      <c r="BE794" s="115"/>
      <c r="BF794" s="115"/>
      <c r="BG794" s="115"/>
      <c r="BH794" s="115"/>
      <c r="BI794" s="115"/>
      <c r="BJ794" s="115"/>
      <c r="BK794" s="115"/>
      <c r="BL794" s="115"/>
      <c r="BM794" s="115"/>
      <c r="BN794" s="115"/>
      <c r="BO794" s="115"/>
      <c r="BP794" s="115"/>
    </row>
    <row r="795" spans="1:68" ht="20.100000000000001" customHeight="1">
      <c r="A795" s="1216" t="s">
        <v>4888</v>
      </c>
      <c r="B795" s="1216" t="s">
        <v>4933</v>
      </c>
      <c r="C795" s="1216" t="s">
        <v>4936</v>
      </c>
      <c r="D795" s="948">
        <v>1425</v>
      </c>
      <c r="E795" s="948">
        <v>2650</v>
      </c>
      <c r="F795" s="948">
        <v>2700</v>
      </c>
      <c r="G795" s="109" t="s">
        <v>4549</v>
      </c>
      <c r="H795" s="56" t="s">
        <v>4589</v>
      </c>
      <c r="I795" s="37" t="s">
        <v>4885</v>
      </c>
      <c r="J795" s="37"/>
      <c r="K795" s="37" t="s">
        <v>4546</v>
      </c>
      <c r="L795" s="50" t="s">
        <v>4539</v>
      </c>
      <c r="M795" s="6">
        <v>43085</v>
      </c>
      <c r="N795" s="6">
        <v>43100</v>
      </c>
      <c r="O795" s="141" t="s">
        <v>4545</v>
      </c>
      <c r="P795" s="61"/>
      <c r="Q795" s="61"/>
      <c r="R795" s="238" t="s">
        <v>4894</v>
      </c>
      <c r="S795" s="328" t="s">
        <v>4543</v>
      </c>
      <c r="T795" s="858"/>
      <c r="U795" s="207"/>
      <c r="V795" s="115"/>
      <c r="W795" s="115"/>
      <c r="X795" s="115"/>
      <c r="Y795" s="115"/>
      <c r="Z795" s="115"/>
      <c r="AA795" s="115"/>
      <c r="AB795" s="115"/>
      <c r="AC795" s="115"/>
      <c r="AD795" s="115"/>
      <c r="AE795" s="115"/>
      <c r="AF795" s="115"/>
      <c r="AG795" s="115"/>
      <c r="AH795" s="115"/>
      <c r="AI795" s="115"/>
      <c r="AJ795" s="115"/>
      <c r="AK795" s="115"/>
      <c r="AL795" s="115"/>
      <c r="AM795" s="115"/>
      <c r="AN795" s="115"/>
      <c r="AO795" s="115"/>
      <c r="AP795" s="115"/>
      <c r="AQ795" s="115"/>
      <c r="AR795" s="115"/>
      <c r="AS795" s="115"/>
      <c r="AT795" s="115"/>
      <c r="AU795" s="115"/>
      <c r="AV795" s="115"/>
      <c r="AW795" s="115"/>
      <c r="AX795" s="115"/>
      <c r="AY795" s="115"/>
      <c r="AZ795" s="115"/>
      <c r="BA795" s="115"/>
      <c r="BB795" s="115"/>
      <c r="BC795" s="115"/>
      <c r="BD795" s="115"/>
      <c r="BE795" s="115"/>
      <c r="BF795" s="115"/>
      <c r="BG795" s="115"/>
      <c r="BH795" s="115"/>
      <c r="BI795" s="115"/>
      <c r="BJ795" s="115"/>
      <c r="BK795" s="115"/>
      <c r="BL795" s="115"/>
      <c r="BM795" s="115"/>
      <c r="BN795" s="115"/>
      <c r="BO795" s="115"/>
      <c r="BP795" s="115"/>
    </row>
    <row r="796" spans="1:68" ht="20.100000000000001" customHeight="1">
      <c r="A796" s="918" t="s">
        <v>4888</v>
      </c>
      <c r="B796" s="918" t="s">
        <v>4933</v>
      </c>
      <c r="C796" s="918" t="s">
        <v>4935</v>
      </c>
      <c r="D796" s="945">
        <f>D768-0</f>
        <v>1350</v>
      </c>
      <c r="E796" s="945">
        <f>E768-0</f>
        <v>2500</v>
      </c>
      <c r="F796" s="945">
        <f>F768-0</f>
        <v>2575</v>
      </c>
      <c r="G796" s="222" t="s">
        <v>4572</v>
      </c>
      <c r="H796" s="22" t="s">
        <v>4552</v>
      </c>
      <c r="I796" s="50" t="s">
        <v>4579</v>
      </c>
      <c r="J796" s="37"/>
      <c r="K796" s="37">
        <v>35</v>
      </c>
      <c r="L796" s="50" t="s">
        <v>4539</v>
      </c>
      <c r="M796" s="15">
        <v>43060</v>
      </c>
      <c r="N796" s="15">
        <v>43076</v>
      </c>
      <c r="O796" s="142" t="s">
        <v>4545</v>
      </c>
      <c r="P796" s="61"/>
      <c r="Q796" s="167"/>
      <c r="R796" s="238" t="s">
        <v>4584</v>
      </c>
      <c r="S796" s="328" t="s">
        <v>4543</v>
      </c>
      <c r="T796" s="858"/>
      <c r="U796" s="213"/>
      <c r="V796" s="213"/>
      <c r="W796" s="213"/>
      <c r="X796" s="213"/>
      <c r="Y796" s="213"/>
      <c r="Z796" s="213"/>
      <c r="AA796" s="213"/>
      <c r="AB796" s="213"/>
      <c r="AC796" s="213"/>
      <c r="AD796" s="213"/>
      <c r="AE796" s="213"/>
      <c r="AF796" s="213"/>
      <c r="AG796" s="213"/>
      <c r="AH796" s="213"/>
      <c r="AI796" s="213"/>
      <c r="AJ796" s="213"/>
      <c r="AK796" s="213"/>
      <c r="AL796" s="213"/>
      <c r="AM796" s="213"/>
      <c r="AN796" s="213"/>
      <c r="AO796" s="213"/>
      <c r="AP796" s="213"/>
      <c r="AQ796" s="213"/>
      <c r="AR796" s="213"/>
      <c r="AS796" s="213"/>
      <c r="AT796" s="213"/>
      <c r="AU796" s="213"/>
      <c r="AV796" s="213"/>
      <c r="AW796" s="213"/>
      <c r="AX796" s="213"/>
      <c r="AY796" s="213"/>
      <c r="AZ796" s="213"/>
      <c r="BA796" s="213"/>
      <c r="BB796" s="213"/>
      <c r="BC796" s="213"/>
      <c r="BD796" s="213"/>
      <c r="BE796" s="213"/>
      <c r="BF796" s="213"/>
      <c r="BG796" s="213"/>
      <c r="BH796" s="213"/>
      <c r="BI796" s="213"/>
      <c r="BJ796" s="213"/>
      <c r="BK796" s="213"/>
      <c r="BL796" s="213"/>
      <c r="BM796" s="213"/>
      <c r="BN796" s="213"/>
      <c r="BO796" s="213"/>
      <c r="BP796" s="213"/>
    </row>
    <row r="797" spans="1:68" ht="20.100000000000001" customHeight="1">
      <c r="A797" s="918" t="s">
        <v>4888</v>
      </c>
      <c r="B797" s="918" t="s">
        <v>4933</v>
      </c>
      <c r="C797" s="918" t="s">
        <v>4934</v>
      </c>
      <c r="D797" s="308">
        <f>D768+50+50</f>
        <v>1450</v>
      </c>
      <c r="E797" s="308">
        <f>E768+100+100</f>
        <v>2700</v>
      </c>
      <c r="F797" s="308">
        <f>F768+100+100</f>
        <v>2775</v>
      </c>
      <c r="G797" s="222" t="s">
        <v>4572</v>
      </c>
      <c r="H797" s="22" t="s">
        <v>4552</v>
      </c>
      <c r="I797" s="50" t="s">
        <v>4579</v>
      </c>
      <c r="J797" s="37"/>
      <c r="K797" s="37">
        <v>33</v>
      </c>
      <c r="L797" s="50" t="s">
        <v>4539</v>
      </c>
      <c r="M797" s="15">
        <v>43060</v>
      </c>
      <c r="N797" s="15">
        <v>43076</v>
      </c>
      <c r="O797" s="142" t="s">
        <v>4545</v>
      </c>
      <c r="P797" s="61"/>
      <c r="Q797" s="167"/>
      <c r="R797" s="238" t="s">
        <v>4584</v>
      </c>
      <c r="S797" s="328" t="s">
        <v>4543</v>
      </c>
      <c r="T797" s="858"/>
      <c r="U797" s="207"/>
      <c r="V797" s="115"/>
      <c r="W797" s="115"/>
      <c r="X797" s="115"/>
      <c r="Y797" s="115"/>
      <c r="Z797" s="115"/>
      <c r="AA797" s="115"/>
      <c r="AB797" s="115"/>
      <c r="AC797" s="115"/>
      <c r="AD797" s="115"/>
      <c r="AE797" s="115"/>
      <c r="AF797" s="115"/>
      <c r="AG797" s="115"/>
      <c r="AH797" s="115"/>
      <c r="AI797" s="115"/>
      <c r="AJ797" s="115"/>
      <c r="AK797" s="115"/>
      <c r="AL797" s="115"/>
      <c r="AM797" s="115"/>
      <c r="AN797" s="115"/>
      <c r="AO797" s="115"/>
      <c r="AP797" s="115"/>
      <c r="AQ797" s="115"/>
      <c r="AR797" s="115"/>
      <c r="AS797" s="115"/>
      <c r="AT797" s="115"/>
      <c r="AU797" s="115"/>
      <c r="AV797" s="115"/>
      <c r="AW797" s="115"/>
      <c r="AX797" s="115"/>
      <c r="AY797" s="115"/>
      <c r="AZ797" s="115"/>
      <c r="BA797" s="115"/>
      <c r="BB797" s="115"/>
      <c r="BC797" s="115"/>
      <c r="BD797" s="115"/>
      <c r="BE797" s="115"/>
      <c r="BF797" s="115"/>
      <c r="BG797" s="115"/>
      <c r="BH797" s="115"/>
      <c r="BI797" s="115"/>
      <c r="BJ797" s="115"/>
      <c r="BK797" s="115"/>
      <c r="BL797" s="115"/>
      <c r="BM797" s="115"/>
      <c r="BN797" s="115"/>
      <c r="BO797" s="115"/>
      <c r="BP797" s="115"/>
    </row>
    <row r="798" spans="1:68" ht="20.100000000000001" customHeight="1">
      <c r="A798" s="918" t="s">
        <v>4888</v>
      </c>
      <c r="B798" s="918" t="s">
        <v>4933</v>
      </c>
      <c r="C798" s="918" t="s">
        <v>4932</v>
      </c>
      <c r="D798" s="308">
        <f>D768+750</f>
        <v>2100</v>
      </c>
      <c r="E798" s="308">
        <f>E768+900</f>
        <v>3400</v>
      </c>
      <c r="F798" s="308">
        <f>F768+900</f>
        <v>3475</v>
      </c>
      <c r="G798" s="222" t="s">
        <v>4572</v>
      </c>
      <c r="H798" s="22" t="s">
        <v>4552</v>
      </c>
      <c r="I798" s="37" t="s">
        <v>4579</v>
      </c>
      <c r="J798" s="37"/>
      <c r="K798" s="37">
        <v>40</v>
      </c>
      <c r="L798" s="50" t="s">
        <v>4539</v>
      </c>
      <c r="M798" s="15">
        <v>43060</v>
      </c>
      <c r="N798" s="15">
        <v>43076</v>
      </c>
      <c r="O798" s="142" t="s">
        <v>4545</v>
      </c>
      <c r="P798" s="61"/>
      <c r="Q798" s="167"/>
      <c r="R798" s="238" t="s">
        <v>4584</v>
      </c>
      <c r="S798" s="328" t="s">
        <v>4543</v>
      </c>
      <c r="T798" s="858"/>
      <c r="U798" s="207"/>
      <c r="V798" s="115"/>
      <c r="W798" s="115"/>
      <c r="X798" s="115"/>
      <c r="Y798" s="115"/>
      <c r="Z798" s="115"/>
      <c r="AA798" s="115"/>
      <c r="AB798" s="115"/>
      <c r="AC798" s="115"/>
      <c r="AD798" s="115"/>
      <c r="AE798" s="115"/>
      <c r="AF798" s="115"/>
      <c r="AG798" s="115"/>
      <c r="AH798" s="115"/>
      <c r="AI798" s="115"/>
      <c r="AJ798" s="115"/>
      <c r="AK798" s="115"/>
      <c r="AL798" s="115"/>
      <c r="AM798" s="115"/>
      <c r="AN798" s="115"/>
      <c r="AO798" s="115"/>
      <c r="AP798" s="115"/>
      <c r="AQ798" s="115"/>
      <c r="AR798" s="115"/>
      <c r="AS798" s="115"/>
      <c r="AT798" s="115"/>
      <c r="AU798" s="115"/>
      <c r="AV798" s="115"/>
      <c r="AW798" s="115"/>
      <c r="AX798" s="115"/>
      <c r="AY798" s="115"/>
      <c r="AZ798" s="115"/>
      <c r="BA798" s="115"/>
      <c r="BB798" s="115"/>
      <c r="BC798" s="115"/>
      <c r="BD798" s="115"/>
      <c r="BE798" s="115"/>
      <c r="BF798" s="115"/>
      <c r="BG798" s="115"/>
      <c r="BH798" s="115"/>
      <c r="BI798" s="115"/>
      <c r="BJ798" s="115"/>
      <c r="BK798" s="115"/>
      <c r="BL798" s="115"/>
      <c r="BM798" s="115"/>
      <c r="BN798" s="115"/>
      <c r="BO798" s="115"/>
      <c r="BP798" s="115"/>
    </row>
    <row r="799" spans="1:68" ht="20.100000000000001" customHeight="1">
      <c r="A799" s="1216" t="s">
        <v>4888</v>
      </c>
      <c r="B799" s="1216" t="s">
        <v>4909</v>
      </c>
      <c r="C799" s="1216" t="s">
        <v>4917</v>
      </c>
      <c r="D799" s="945">
        <v>1225</v>
      </c>
      <c r="E799" s="945">
        <v>2250</v>
      </c>
      <c r="F799" s="945">
        <v>2325</v>
      </c>
      <c r="G799" s="293" t="s">
        <v>4572</v>
      </c>
      <c r="H799" s="22" t="s">
        <v>4552</v>
      </c>
      <c r="I799" s="37" t="s">
        <v>4885</v>
      </c>
      <c r="J799" s="37" t="s">
        <v>4916</v>
      </c>
      <c r="K799" s="37">
        <v>35</v>
      </c>
      <c r="L799" s="50" t="s">
        <v>4539</v>
      </c>
      <c r="M799" s="15">
        <v>43060</v>
      </c>
      <c r="N799" s="15">
        <v>43076</v>
      </c>
      <c r="O799" s="142" t="s">
        <v>4910</v>
      </c>
      <c r="P799" s="141" t="s">
        <v>4931</v>
      </c>
      <c r="Q799" s="167"/>
      <c r="R799" s="238" t="s">
        <v>4584</v>
      </c>
      <c r="S799" s="328" t="s">
        <v>4543</v>
      </c>
      <c r="T799" s="858"/>
      <c r="U799" s="207"/>
      <c r="V799" s="115"/>
      <c r="W799" s="115"/>
      <c r="X799" s="115"/>
      <c r="Y799" s="115"/>
      <c r="Z799" s="115"/>
      <c r="AA799" s="115"/>
      <c r="AB799" s="115"/>
      <c r="AC799" s="115"/>
      <c r="AD799" s="115"/>
      <c r="AE799" s="115"/>
      <c r="AF799" s="115"/>
      <c r="AG799" s="115"/>
      <c r="AH799" s="115"/>
      <c r="AI799" s="115"/>
      <c r="AJ799" s="115"/>
      <c r="AK799" s="115"/>
      <c r="AL799" s="115"/>
      <c r="AM799" s="115"/>
      <c r="AN799" s="115"/>
      <c r="AO799" s="115"/>
      <c r="AP799" s="115"/>
      <c r="AQ799" s="115"/>
      <c r="AR799" s="115"/>
      <c r="AS799" s="115"/>
      <c r="AT799" s="115"/>
      <c r="AU799" s="115"/>
      <c r="AV799" s="115"/>
      <c r="AW799" s="115"/>
      <c r="AX799" s="115"/>
      <c r="AY799" s="115"/>
      <c r="AZ799" s="115"/>
      <c r="BA799" s="115"/>
      <c r="BB799" s="115"/>
      <c r="BC799" s="115"/>
      <c r="BD799" s="115"/>
      <c r="BE799" s="115"/>
      <c r="BF799" s="115"/>
      <c r="BG799" s="115"/>
      <c r="BH799" s="115"/>
      <c r="BI799" s="115"/>
      <c r="BJ799" s="115"/>
      <c r="BK799" s="115"/>
      <c r="BL799" s="115"/>
      <c r="BM799" s="115"/>
      <c r="BN799" s="115"/>
      <c r="BO799" s="115"/>
      <c r="BP799" s="115"/>
    </row>
    <row r="800" spans="1:68" ht="20.100000000000001" customHeight="1">
      <c r="A800" s="1216" t="s">
        <v>4888</v>
      </c>
      <c r="B800" s="1216" t="s">
        <v>4909</v>
      </c>
      <c r="C800" s="1216" t="s">
        <v>4917</v>
      </c>
      <c r="D800" s="952">
        <v>1450</v>
      </c>
      <c r="E800" s="952">
        <v>2800</v>
      </c>
      <c r="F800" s="952">
        <v>2800</v>
      </c>
      <c r="G800" s="63" t="s">
        <v>4645</v>
      </c>
      <c r="H800" s="48" t="s">
        <v>4930</v>
      </c>
      <c r="I800" s="50" t="s">
        <v>4929</v>
      </c>
      <c r="J800" s="37" t="s">
        <v>4928</v>
      </c>
      <c r="K800" s="38">
        <v>31</v>
      </c>
      <c r="L800" s="116" t="s">
        <v>4539</v>
      </c>
      <c r="M800" s="6">
        <v>43060</v>
      </c>
      <c r="N800" s="6">
        <v>43093</v>
      </c>
      <c r="O800" s="61" t="s">
        <v>4927</v>
      </c>
      <c r="P800" s="112" t="s">
        <v>4926</v>
      </c>
      <c r="Q800" s="7"/>
      <c r="R800" s="239" t="s">
        <v>4925</v>
      </c>
      <c r="S800" s="326"/>
      <c r="T800" s="858"/>
      <c r="U800" s="207"/>
      <c r="V800" s="115"/>
      <c r="W800" s="115"/>
      <c r="X800" s="115"/>
      <c r="Y800" s="115"/>
      <c r="Z800" s="115"/>
      <c r="AA800" s="115"/>
      <c r="AB800" s="115"/>
      <c r="AC800" s="115"/>
      <c r="AD800" s="115"/>
      <c r="AE800" s="115"/>
      <c r="AF800" s="115"/>
      <c r="AG800" s="115"/>
      <c r="AH800" s="115"/>
      <c r="AI800" s="115"/>
      <c r="AJ800" s="115"/>
      <c r="AK800" s="115"/>
      <c r="AL800" s="115"/>
      <c r="AM800" s="115"/>
      <c r="AN800" s="115"/>
      <c r="AO800" s="115"/>
      <c r="AP800" s="115"/>
      <c r="AQ800" s="115"/>
      <c r="AR800" s="115"/>
      <c r="AS800" s="115"/>
      <c r="AT800" s="115"/>
      <c r="AU800" s="115"/>
      <c r="AV800" s="115"/>
      <c r="AW800" s="115"/>
      <c r="AX800" s="115"/>
      <c r="AY800" s="115"/>
      <c r="AZ800" s="115"/>
      <c r="BA800" s="115"/>
      <c r="BB800" s="115"/>
      <c r="BC800" s="115"/>
      <c r="BD800" s="115"/>
      <c r="BE800" s="115"/>
      <c r="BF800" s="115"/>
      <c r="BG800" s="115"/>
      <c r="BH800" s="115"/>
      <c r="BI800" s="115"/>
      <c r="BJ800" s="115"/>
      <c r="BK800" s="115"/>
      <c r="BL800" s="115"/>
      <c r="BM800" s="115"/>
      <c r="BN800" s="115"/>
      <c r="BO800" s="115"/>
      <c r="BP800" s="115"/>
    </row>
    <row r="801" spans="1:68" ht="20.100000000000001" customHeight="1">
      <c r="A801" s="1216" t="s">
        <v>4888</v>
      </c>
      <c r="B801" s="1216" t="s">
        <v>4909</v>
      </c>
      <c r="C801" s="1216" t="s">
        <v>4917</v>
      </c>
      <c r="D801" s="947">
        <v>1025</v>
      </c>
      <c r="E801" s="947">
        <v>1450</v>
      </c>
      <c r="F801" s="947">
        <v>1450</v>
      </c>
      <c r="G801" s="234" t="s">
        <v>4904</v>
      </c>
      <c r="H801" s="22" t="s">
        <v>4903</v>
      </c>
      <c r="I801" s="50" t="s">
        <v>4902</v>
      </c>
      <c r="J801" s="34" t="s">
        <v>4924</v>
      </c>
      <c r="K801" s="50">
        <v>32</v>
      </c>
      <c r="L801" s="50" t="s">
        <v>4539</v>
      </c>
      <c r="M801" s="15">
        <v>43054</v>
      </c>
      <c r="N801" s="15">
        <v>43089</v>
      </c>
      <c r="O801" s="61" t="s">
        <v>4900</v>
      </c>
      <c r="P801" s="59"/>
      <c r="Q801" s="113"/>
      <c r="R801" s="239" t="s">
        <v>4899</v>
      </c>
      <c r="S801" s="327" t="s">
        <v>4632</v>
      </c>
      <c r="T801" s="858"/>
      <c r="U801" s="207"/>
      <c r="V801" s="115"/>
      <c r="W801" s="115"/>
      <c r="X801" s="115"/>
      <c r="Y801" s="115"/>
      <c r="Z801" s="115"/>
      <c r="AA801" s="115"/>
      <c r="AB801" s="115"/>
      <c r="AC801" s="115"/>
      <c r="AD801" s="115"/>
      <c r="AE801" s="115"/>
      <c r="AF801" s="115"/>
      <c r="AG801" s="115"/>
      <c r="AH801" s="115"/>
      <c r="AI801" s="115"/>
      <c r="AJ801" s="115"/>
      <c r="AK801" s="115"/>
      <c r="AL801" s="115"/>
      <c r="AM801" s="115"/>
      <c r="AN801" s="115"/>
      <c r="AO801" s="115"/>
      <c r="AP801" s="115"/>
      <c r="AQ801" s="115"/>
      <c r="AR801" s="115"/>
      <c r="AS801" s="115"/>
      <c r="AT801" s="115"/>
      <c r="AU801" s="115"/>
      <c r="AV801" s="115"/>
      <c r="AW801" s="115"/>
      <c r="AX801" s="115"/>
      <c r="AY801" s="115"/>
      <c r="AZ801" s="115"/>
      <c r="BA801" s="115"/>
      <c r="BB801" s="115"/>
      <c r="BC801" s="115"/>
      <c r="BD801" s="115"/>
      <c r="BE801" s="115"/>
      <c r="BF801" s="115"/>
      <c r="BG801" s="115"/>
      <c r="BH801" s="115"/>
      <c r="BI801" s="115"/>
      <c r="BJ801" s="115"/>
      <c r="BK801" s="115"/>
      <c r="BL801" s="115"/>
      <c r="BM801" s="115"/>
      <c r="BN801" s="115"/>
      <c r="BO801" s="115"/>
      <c r="BP801" s="115"/>
    </row>
    <row r="802" spans="1:68" ht="20.100000000000001" customHeight="1">
      <c r="A802" s="1216" t="s">
        <v>4888</v>
      </c>
      <c r="B802" s="1216" t="s">
        <v>4909</v>
      </c>
      <c r="C802" s="1216" t="s">
        <v>4917</v>
      </c>
      <c r="D802" s="947"/>
      <c r="E802" s="947"/>
      <c r="F802" s="947"/>
      <c r="G802" s="234" t="s">
        <v>4904</v>
      </c>
      <c r="H802" s="22" t="s">
        <v>4903</v>
      </c>
      <c r="I802" s="50" t="s">
        <v>4902</v>
      </c>
      <c r="J802" s="37" t="s">
        <v>4916</v>
      </c>
      <c r="K802" s="50">
        <v>32</v>
      </c>
      <c r="L802" s="50" t="s">
        <v>4539</v>
      </c>
      <c r="M802" s="15">
        <v>43054</v>
      </c>
      <c r="N802" s="15">
        <v>43089</v>
      </c>
      <c r="O802" s="61" t="s">
        <v>4900</v>
      </c>
      <c r="P802" s="59" t="s">
        <v>4923</v>
      </c>
      <c r="Q802" s="250" t="s">
        <v>4922</v>
      </c>
      <c r="R802" s="239" t="s">
        <v>4899</v>
      </c>
      <c r="S802" s="327" t="s">
        <v>4632</v>
      </c>
      <c r="T802" s="858"/>
      <c r="U802" s="207"/>
      <c r="V802" s="115"/>
      <c r="W802" s="115"/>
      <c r="X802" s="115"/>
      <c r="Y802" s="115"/>
      <c r="Z802" s="115"/>
      <c r="AA802" s="115"/>
      <c r="AB802" s="115"/>
      <c r="AC802" s="115"/>
      <c r="AD802" s="115"/>
      <c r="AE802" s="115"/>
      <c r="AF802" s="115"/>
      <c r="AG802" s="115"/>
      <c r="AH802" s="115"/>
      <c r="AI802" s="115"/>
      <c r="AJ802" s="115"/>
      <c r="AK802" s="115"/>
      <c r="AL802" s="115"/>
      <c r="AM802" s="115"/>
      <c r="AN802" s="115"/>
      <c r="AO802" s="115"/>
      <c r="AP802" s="115"/>
      <c r="AQ802" s="115"/>
      <c r="AR802" s="115"/>
      <c r="AS802" s="115"/>
      <c r="AT802" s="115"/>
      <c r="AU802" s="115"/>
      <c r="AV802" s="115"/>
      <c r="AW802" s="115"/>
      <c r="AX802" s="115"/>
      <c r="AY802" s="115"/>
      <c r="AZ802" s="115"/>
      <c r="BA802" s="115"/>
      <c r="BB802" s="115"/>
      <c r="BC802" s="115"/>
      <c r="BD802" s="115"/>
      <c r="BE802" s="115"/>
      <c r="BF802" s="115"/>
      <c r="BG802" s="115"/>
      <c r="BH802" s="115"/>
      <c r="BI802" s="115"/>
      <c r="BJ802" s="115"/>
      <c r="BK802" s="115"/>
      <c r="BL802" s="115"/>
      <c r="BM802" s="115"/>
      <c r="BN802" s="115"/>
      <c r="BO802" s="115"/>
      <c r="BP802" s="115"/>
    </row>
    <row r="803" spans="1:68" ht="20.100000000000001" customHeight="1">
      <c r="A803" s="1216" t="s">
        <v>4888</v>
      </c>
      <c r="B803" s="1216" t="s">
        <v>4909</v>
      </c>
      <c r="C803" s="1216" t="s">
        <v>4917</v>
      </c>
      <c r="D803" s="943">
        <v>900</v>
      </c>
      <c r="E803" s="943">
        <v>1600</v>
      </c>
      <c r="F803" s="943">
        <v>1650</v>
      </c>
      <c r="G803" s="29" t="s">
        <v>4553</v>
      </c>
      <c r="H803" s="36" t="s">
        <v>4580</v>
      </c>
      <c r="I803" s="50" t="s">
        <v>4879</v>
      </c>
      <c r="J803" s="50"/>
      <c r="K803" s="50">
        <v>26</v>
      </c>
      <c r="L803" s="50" t="s">
        <v>4539</v>
      </c>
      <c r="M803" s="6">
        <v>43085</v>
      </c>
      <c r="N803" s="6">
        <v>43100</v>
      </c>
      <c r="O803" s="142" t="s">
        <v>4545</v>
      </c>
      <c r="P803" s="59"/>
      <c r="Q803" s="171"/>
      <c r="R803" s="238" t="s">
        <v>4878</v>
      </c>
      <c r="S803" s="328" t="s">
        <v>4543</v>
      </c>
      <c r="T803" s="858"/>
      <c r="U803" s="207"/>
      <c r="V803" s="115"/>
      <c r="W803" s="115"/>
      <c r="X803" s="115"/>
      <c r="Y803" s="115"/>
      <c r="Z803" s="115"/>
      <c r="AA803" s="115"/>
      <c r="AB803" s="115"/>
      <c r="AC803" s="115"/>
      <c r="AD803" s="115"/>
      <c r="AE803" s="115"/>
      <c r="AF803" s="115"/>
      <c r="AG803" s="115"/>
      <c r="AH803" s="115"/>
      <c r="AI803" s="115"/>
      <c r="AJ803" s="115"/>
      <c r="AK803" s="115"/>
      <c r="AL803" s="115"/>
      <c r="AM803" s="115"/>
      <c r="AN803" s="115"/>
      <c r="AO803" s="115"/>
      <c r="AP803" s="115"/>
      <c r="AQ803" s="115"/>
      <c r="AR803" s="115"/>
      <c r="AS803" s="115"/>
      <c r="AT803" s="115"/>
      <c r="AU803" s="115"/>
      <c r="AV803" s="115"/>
      <c r="AW803" s="115"/>
      <c r="AX803" s="115"/>
      <c r="AY803" s="115"/>
      <c r="AZ803" s="115"/>
      <c r="BA803" s="115"/>
      <c r="BB803" s="115"/>
      <c r="BC803" s="115"/>
      <c r="BD803" s="115"/>
      <c r="BE803" s="115"/>
      <c r="BF803" s="115"/>
      <c r="BG803" s="115"/>
      <c r="BH803" s="115"/>
      <c r="BI803" s="115"/>
      <c r="BJ803" s="115"/>
      <c r="BK803" s="115"/>
      <c r="BL803" s="115"/>
      <c r="BM803" s="115"/>
      <c r="BN803" s="115"/>
      <c r="BO803" s="115"/>
      <c r="BP803" s="115"/>
    </row>
    <row r="804" spans="1:68" ht="20.100000000000001" customHeight="1">
      <c r="A804" s="1216" t="s">
        <v>4888</v>
      </c>
      <c r="B804" s="1216" t="s">
        <v>4909</v>
      </c>
      <c r="C804" s="1216" t="s">
        <v>4917</v>
      </c>
      <c r="D804" s="948">
        <v>1225</v>
      </c>
      <c r="E804" s="948">
        <v>2250</v>
      </c>
      <c r="F804" s="948">
        <v>2300</v>
      </c>
      <c r="G804" s="29" t="s">
        <v>4549</v>
      </c>
      <c r="H804" s="56" t="s">
        <v>4589</v>
      </c>
      <c r="I804" s="50" t="s">
        <v>4885</v>
      </c>
      <c r="J804" s="50"/>
      <c r="K804" s="50" t="s">
        <v>4739</v>
      </c>
      <c r="L804" s="50" t="s">
        <v>4539</v>
      </c>
      <c r="M804" s="6">
        <v>43085</v>
      </c>
      <c r="N804" s="6">
        <v>43100</v>
      </c>
      <c r="O804" s="141" t="s">
        <v>4545</v>
      </c>
      <c r="P804" s="59"/>
      <c r="Q804" s="59"/>
      <c r="R804" s="238" t="s">
        <v>4894</v>
      </c>
      <c r="S804" s="328" t="s">
        <v>4543</v>
      </c>
      <c r="T804" s="858"/>
      <c r="U804" s="207"/>
      <c r="V804" s="115"/>
      <c r="W804" s="115"/>
      <c r="X804" s="115"/>
      <c r="Y804" s="115"/>
      <c r="Z804" s="115"/>
      <c r="AA804" s="115"/>
      <c r="AB804" s="115"/>
      <c r="AC804" s="115"/>
      <c r="AD804" s="115"/>
      <c r="AE804" s="115"/>
      <c r="AF804" s="115"/>
      <c r="AG804" s="115"/>
      <c r="AH804" s="115"/>
      <c r="AI804" s="115"/>
      <c r="AJ804" s="115"/>
      <c r="AK804" s="115"/>
      <c r="AL804" s="115"/>
      <c r="AM804" s="115"/>
      <c r="AN804" s="115"/>
      <c r="AO804" s="115"/>
      <c r="AP804" s="115"/>
      <c r="AQ804" s="115"/>
      <c r="AR804" s="115"/>
      <c r="AS804" s="115"/>
      <c r="AT804" s="115"/>
      <c r="AU804" s="115"/>
      <c r="AV804" s="115"/>
      <c r="AW804" s="115"/>
      <c r="AX804" s="115"/>
      <c r="AY804" s="115"/>
      <c r="AZ804" s="115"/>
      <c r="BA804" s="115"/>
      <c r="BB804" s="115"/>
      <c r="BC804" s="115"/>
      <c r="BD804" s="115"/>
      <c r="BE804" s="115"/>
      <c r="BF804" s="115"/>
      <c r="BG804" s="115"/>
      <c r="BH804" s="115"/>
      <c r="BI804" s="115"/>
      <c r="BJ804" s="115"/>
      <c r="BK804" s="115"/>
      <c r="BL804" s="115"/>
      <c r="BM804" s="115"/>
      <c r="BN804" s="115"/>
      <c r="BO804" s="115"/>
      <c r="BP804" s="115"/>
    </row>
    <row r="805" spans="1:68" ht="20.100000000000001" customHeight="1">
      <c r="A805" s="1216" t="s">
        <v>4888</v>
      </c>
      <c r="B805" s="1216" t="s">
        <v>4909</v>
      </c>
      <c r="C805" s="1216" t="s">
        <v>4917</v>
      </c>
      <c r="D805" s="951"/>
      <c r="E805" s="951"/>
      <c r="F805" s="951"/>
      <c r="G805" s="225" t="s">
        <v>4569</v>
      </c>
      <c r="H805" s="69" t="s">
        <v>4589</v>
      </c>
      <c r="I805" s="37" t="s">
        <v>4564</v>
      </c>
      <c r="J805" s="37"/>
      <c r="K805" s="37" t="s">
        <v>4919</v>
      </c>
      <c r="L805" s="50" t="s">
        <v>4539</v>
      </c>
      <c r="M805" s="6">
        <v>43057</v>
      </c>
      <c r="N805" s="6">
        <v>43069</v>
      </c>
      <c r="O805" s="61" t="s">
        <v>4921</v>
      </c>
      <c r="P805" s="61"/>
      <c r="Q805" s="7"/>
      <c r="R805" s="239" t="s">
        <v>4920</v>
      </c>
      <c r="S805" s="328" t="s">
        <v>4543</v>
      </c>
      <c r="T805" s="858"/>
      <c r="U805" s="207"/>
      <c r="V805" s="115"/>
      <c r="W805" s="115"/>
      <c r="X805" s="115"/>
      <c r="Y805" s="115"/>
      <c r="Z805" s="115"/>
      <c r="AA805" s="115"/>
      <c r="AB805" s="115"/>
      <c r="AC805" s="115"/>
      <c r="AD805" s="115"/>
      <c r="AE805" s="115"/>
      <c r="AF805" s="115"/>
      <c r="AG805" s="115"/>
      <c r="AH805" s="115"/>
      <c r="AI805" s="115"/>
      <c r="AJ805" s="115"/>
      <c r="AK805" s="115"/>
      <c r="AL805" s="115"/>
      <c r="AM805" s="115"/>
      <c r="AN805" s="115"/>
      <c r="AO805" s="115"/>
      <c r="AP805" s="115"/>
      <c r="AQ805" s="115"/>
      <c r="AR805" s="115"/>
      <c r="AS805" s="115"/>
      <c r="AT805" s="115"/>
      <c r="AU805" s="115"/>
      <c r="AV805" s="115"/>
      <c r="AW805" s="115"/>
      <c r="AX805" s="115"/>
      <c r="AY805" s="115"/>
      <c r="AZ805" s="115"/>
      <c r="BA805" s="115"/>
      <c r="BB805" s="115"/>
      <c r="BC805" s="115"/>
      <c r="BD805" s="115"/>
      <c r="BE805" s="115"/>
      <c r="BF805" s="115"/>
      <c r="BG805" s="115"/>
      <c r="BH805" s="115"/>
      <c r="BI805" s="115"/>
      <c r="BJ805" s="115"/>
      <c r="BK805" s="115"/>
      <c r="BL805" s="115"/>
      <c r="BM805" s="115"/>
      <c r="BN805" s="115"/>
      <c r="BO805" s="115"/>
      <c r="BP805" s="115"/>
    </row>
    <row r="806" spans="1:68" ht="20.100000000000001" customHeight="1">
      <c r="A806" s="1216" t="s">
        <v>4888</v>
      </c>
      <c r="B806" s="1216" t="s">
        <v>4909</v>
      </c>
      <c r="C806" s="1216" t="s">
        <v>4917</v>
      </c>
      <c r="D806" s="950"/>
      <c r="E806" s="950"/>
      <c r="F806" s="950"/>
      <c r="G806" s="234" t="s">
        <v>4575</v>
      </c>
      <c r="H806" s="55" t="s">
        <v>4912</v>
      </c>
      <c r="I806" s="50" t="s">
        <v>4564</v>
      </c>
      <c r="J806" s="37"/>
      <c r="K806" s="50" t="s">
        <v>4919</v>
      </c>
      <c r="L806" s="50" t="s">
        <v>4539</v>
      </c>
      <c r="M806" s="15">
        <v>43084</v>
      </c>
      <c r="N806" s="15">
        <v>43100</v>
      </c>
      <c r="O806" s="128" t="s">
        <v>4883</v>
      </c>
      <c r="P806" s="141"/>
      <c r="Q806" s="7"/>
      <c r="R806" s="238" t="s">
        <v>4918</v>
      </c>
      <c r="S806" s="327" t="s">
        <v>4576</v>
      </c>
      <c r="T806" s="858"/>
      <c r="U806" s="207"/>
      <c r="V806" s="115"/>
      <c r="W806" s="115"/>
      <c r="X806" s="115"/>
      <c r="Y806" s="115"/>
      <c r="Z806" s="115"/>
      <c r="AA806" s="115"/>
      <c r="AB806" s="115"/>
      <c r="AC806" s="115"/>
      <c r="AD806" s="115"/>
      <c r="AE806" s="115"/>
      <c r="AF806" s="115"/>
      <c r="AG806" s="115"/>
      <c r="AH806" s="115"/>
      <c r="AI806" s="115"/>
      <c r="AJ806" s="115"/>
      <c r="AK806" s="115"/>
      <c r="AL806" s="115"/>
      <c r="AM806" s="115"/>
      <c r="AN806" s="115"/>
      <c r="AO806" s="115"/>
      <c r="AP806" s="115"/>
      <c r="AQ806" s="115"/>
      <c r="AR806" s="115"/>
      <c r="AS806" s="115"/>
      <c r="AT806" s="115"/>
      <c r="AU806" s="115"/>
      <c r="AV806" s="115"/>
      <c r="AW806" s="115"/>
      <c r="AX806" s="115"/>
      <c r="AY806" s="115"/>
      <c r="AZ806" s="115"/>
      <c r="BA806" s="115"/>
      <c r="BB806" s="115"/>
      <c r="BC806" s="115"/>
      <c r="BD806" s="115"/>
      <c r="BE806" s="115"/>
      <c r="BF806" s="115"/>
      <c r="BG806" s="115"/>
      <c r="BH806" s="115"/>
      <c r="BI806" s="115"/>
      <c r="BJ806" s="115"/>
      <c r="BK806" s="115"/>
      <c r="BL806" s="115"/>
      <c r="BM806" s="115"/>
      <c r="BN806" s="115"/>
      <c r="BO806" s="115"/>
      <c r="BP806" s="115"/>
    </row>
    <row r="807" spans="1:68" ht="20.100000000000001" customHeight="1">
      <c r="A807" s="1216" t="s">
        <v>4888</v>
      </c>
      <c r="B807" s="1216" t="s">
        <v>4909</v>
      </c>
      <c r="C807" s="1216" t="s">
        <v>4917</v>
      </c>
      <c r="D807" s="943">
        <v>1025</v>
      </c>
      <c r="E807" s="943">
        <v>1900</v>
      </c>
      <c r="F807" s="943">
        <v>1900</v>
      </c>
      <c r="G807" s="29" t="s">
        <v>4566</v>
      </c>
      <c r="H807" s="69" t="s">
        <v>4565</v>
      </c>
      <c r="I807" s="50" t="s">
        <v>4564</v>
      </c>
      <c r="J807" s="37" t="s">
        <v>4916</v>
      </c>
      <c r="K807" s="50" t="s">
        <v>4915</v>
      </c>
      <c r="L807" s="116" t="s">
        <v>4539</v>
      </c>
      <c r="M807" s="15">
        <v>43073</v>
      </c>
      <c r="N807" s="15">
        <v>43100</v>
      </c>
      <c r="O807" s="61" t="s">
        <v>4563</v>
      </c>
      <c r="P807" s="355" t="s">
        <v>4914</v>
      </c>
      <c r="Q807" s="7"/>
      <c r="R807" s="21" t="s">
        <v>4562</v>
      </c>
      <c r="S807" s="327" t="s">
        <v>4561</v>
      </c>
      <c r="T807" s="858"/>
      <c r="U807" s="207"/>
      <c r="V807" s="115"/>
      <c r="W807" s="115"/>
      <c r="X807" s="115"/>
      <c r="Y807" s="115"/>
      <c r="Z807" s="115"/>
      <c r="AA807" s="115"/>
      <c r="AB807" s="115"/>
      <c r="AC807" s="115"/>
      <c r="AD807" s="115"/>
      <c r="AE807" s="115"/>
      <c r="AF807" s="115"/>
      <c r="AG807" s="115"/>
      <c r="AH807" s="115"/>
      <c r="AI807" s="115"/>
      <c r="AJ807" s="115"/>
      <c r="AK807" s="115"/>
      <c r="AL807" s="115"/>
      <c r="AM807" s="115"/>
      <c r="AN807" s="115"/>
      <c r="AO807" s="115"/>
      <c r="AP807" s="115"/>
      <c r="AQ807" s="115"/>
      <c r="AR807" s="115"/>
      <c r="AS807" s="115"/>
      <c r="AT807" s="115"/>
      <c r="AU807" s="115"/>
      <c r="AV807" s="115"/>
      <c r="AW807" s="115"/>
      <c r="AX807" s="115"/>
      <c r="AY807" s="115"/>
      <c r="AZ807" s="115"/>
      <c r="BA807" s="115"/>
      <c r="BB807" s="115"/>
      <c r="BC807" s="115"/>
      <c r="BD807" s="115"/>
      <c r="BE807" s="115"/>
      <c r="BF807" s="115"/>
      <c r="BG807" s="115"/>
      <c r="BH807" s="115"/>
      <c r="BI807" s="115"/>
      <c r="BJ807" s="115"/>
      <c r="BK807" s="115"/>
      <c r="BL807" s="115"/>
      <c r="BM807" s="115"/>
      <c r="BN807" s="115"/>
      <c r="BO807" s="115"/>
      <c r="BP807" s="115"/>
    </row>
    <row r="808" spans="1:68" ht="20.100000000000001" customHeight="1">
      <c r="A808" s="918" t="s">
        <v>4888</v>
      </c>
      <c r="B808" s="918" t="s">
        <v>4909</v>
      </c>
      <c r="C808" s="918" t="s">
        <v>4913</v>
      </c>
      <c r="D808" s="246">
        <f>D799-0</f>
        <v>1225</v>
      </c>
      <c r="E808" s="246">
        <f>E799-0</f>
        <v>2250</v>
      </c>
      <c r="F808" s="246">
        <f>F799-0</f>
        <v>2325</v>
      </c>
      <c r="G808" s="222" t="s">
        <v>4572</v>
      </c>
      <c r="H808" s="56" t="s">
        <v>4552</v>
      </c>
      <c r="I808" s="50" t="s">
        <v>4885</v>
      </c>
      <c r="J808" s="50"/>
      <c r="K808" s="50">
        <v>35</v>
      </c>
      <c r="L808" s="50" t="s">
        <v>4539</v>
      </c>
      <c r="M808" s="15">
        <v>43060</v>
      </c>
      <c r="N808" s="15">
        <v>43076</v>
      </c>
      <c r="O808" s="142" t="s">
        <v>4910</v>
      </c>
      <c r="P808" s="59"/>
      <c r="Q808" s="167"/>
      <c r="R808" s="239" t="s">
        <v>4584</v>
      </c>
      <c r="S808" s="328" t="s">
        <v>4543</v>
      </c>
      <c r="T808" s="858"/>
      <c r="U808" s="207"/>
      <c r="V808" s="115"/>
      <c r="W808" s="115"/>
      <c r="X808" s="115"/>
      <c r="Y808" s="115"/>
      <c r="Z808" s="115"/>
      <c r="AA808" s="115"/>
      <c r="AB808" s="115"/>
      <c r="AC808" s="115"/>
      <c r="AD808" s="115"/>
      <c r="AE808" s="115"/>
      <c r="AF808" s="115"/>
      <c r="AG808" s="115"/>
      <c r="AH808" s="115"/>
      <c r="AI808" s="115"/>
      <c r="AJ808" s="115"/>
      <c r="AK808" s="115"/>
      <c r="AL808" s="115"/>
      <c r="AM808" s="115"/>
      <c r="AN808" s="115"/>
      <c r="AO808" s="115"/>
      <c r="AP808" s="115"/>
      <c r="AQ808" s="115"/>
      <c r="AR808" s="115"/>
      <c r="AS808" s="115"/>
      <c r="AT808" s="115"/>
      <c r="AU808" s="115"/>
      <c r="AV808" s="115"/>
      <c r="AW808" s="115"/>
      <c r="AX808" s="115"/>
      <c r="AY808" s="115"/>
      <c r="AZ808" s="115"/>
      <c r="BA808" s="115"/>
      <c r="BB808" s="115"/>
      <c r="BC808" s="115"/>
      <c r="BD808" s="115"/>
      <c r="BE808" s="115"/>
      <c r="BF808" s="115"/>
      <c r="BG808" s="115"/>
      <c r="BH808" s="115"/>
      <c r="BI808" s="115"/>
      <c r="BJ808" s="115"/>
      <c r="BK808" s="115"/>
      <c r="BL808" s="115"/>
      <c r="BM808" s="115"/>
      <c r="BN808" s="115"/>
      <c r="BO808" s="115"/>
      <c r="BP808" s="115"/>
    </row>
    <row r="809" spans="1:68" ht="20.100000000000001" customHeight="1">
      <c r="A809" s="1216" t="s">
        <v>4888</v>
      </c>
      <c r="B809" s="1216" t="s">
        <v>4909</v>
      </c>
      <c r="C809" s="1216" t="s">
        <v>4908</v>
      </c>
      <c r="D809" s="949"/>
      <c r="E809" s="949"/>
      <c r="F809" s="949"/>
      <c r="G809" s="234" t="s">
        <v>4575</v>
      </c>
      <c r="H809" s="245" t="s">
        <v>4912</v>
      </c>
      <c r="I809" s="37" t="s">
        <v>4885</v>
      </c>
      <c r="J809" s="37"/>
      <c r="K809" s="37">
        <v>35</v>
      </c>
      <c r="L809" s="50" t="s">
        <v>4539</v>
      </c>
      <c r="M809" s="15">
        <v>43084</v>
      </c>
      <c r="N809" s="15">
        <v>43100</v>
      </c>
      <c r="O809" s="128" t="s">
        <v>4883</v>
      </c>
      <c r="P809" s="167"/>
      <c r="Q809" s="7"/>
      <c r="R809" s="239" t="s">
        <v>4911</v>
      </c>
      <c r="S809" s="327" t="s">
        <v>4576</v>
      </c>
      <c r="T809" s="858"/>
      <c r="U809" s="207"/>
      <c r="V809" s="115"/>
      <c r="W809" s="115"/>
      <c r="X809" s="115"/>
      <c r="Y809" s="115"/>
      <c r="Z809" s="115"/>
      <c r="AA809" s="115"/>
      <c r="AB809" s="115"/>
      <c r="AC809" s="115"/>
      <c r="AD809" s="115"/>
      <c r="AE809" s="115"/>
      <c r="AF809" s="115"/>
      <c r="AG809" s="115"/>
      <c r="AH809" s="115"/>
      <c r="AI809" s="115"/>
      <c r="AJ809" s="115"/>
      <c r="AK809" s="115"/>
      <c r="AL809" s="115"/>
      <c r="AM809" s="115"/>
      <c r="AN809" s="115"/>
      <c r="AO809" s="115"/>
      <c r="AP809" s="115"/>
      <c r="AQ809" s="115"/>
      <c r="AR809" s="115"/>
      <c r="AS809" s="115"/>
      <c r="AT809" s="115"/>
      <c r="AU809" s="115"/>
      <c r="AV809" s="115"/>
      <c r="AW809" s="115"/>
      <c r="AX809" s="115"/>
      <c r="AY809" s="115"/>
      <c r="AZ809" s="115"/>
      <c r="BA809" s="115"/>
      <c r="BB809" s="115"/>
      <c r="BC809" s="115"/>
      <c r="BD809" s="115"/>
      <c r="BE809" s="115"/>
      <c r="BF809" s="115"/>
      <c r="BG809" s="115"/>
      <c r="BH809" s="115"/>
      <c r="BI809" s="115"/>
      <c r="BJ809" s="115"/>
      <c r="BK809" s="115"/>
      <c r="BL809" s="115"/>
      <c r="BM809" s="115"/>
      <c r="BN809" s="115"/>
      <c r="BO809" s="115"/>
      <c r="BP809" s="115"/>
    </row>
    <row r="810" spans="1:68" ht="20.100000000000001" customHeight="1">
      <c r="A810" s="1216" t="s">
        <v>4888</v>
      </c>
      <c r="B810" s="1216" t="s">
        <v>4909</v>
      </c>
      <c r="C810" s="1216" t="s">
        <v>4908</v>
      </c>
      <c r="D810" s="246">
        <f>D799-0</f>
        <v>1225</v>
      </c>
      <c r="E810" s="246">
        <f>E799-0</f>
        <v>2250</v>
      </c>
      <c r="F810" s="246">
        <f>F799-0</f>
        <v>2325</v>
      </c>
      <c r="G810" s="222" t="s">
        <v>4572</v>
      </c>
      <c r="H810" s="56" t="s">
        <v>4552</v>
      </c>
      <c r="I810" s="50" t="s">
        <v>4885</v>
      </c>
      <c r="J810" s="50"/>
      <c r="K810" s="50">
        <v>35</v>
      </c>
      <c r="L810" s="50" t="s">
        <v>4539</v>
      </c>
      <c r="M810" s="15">
        <v>43060</v>
      </c>
      <c r="N810" s="15">
        <v>43076</v>
      </c>
      <c r="O810" s="142" t="s">
        <v>4910</v>
      </c>
      <c r="P810" s="59"/>
      <c r="Q810" s="167"/>
      <c r="R810" s="239" t="s">
        <v>4584</v>
      </c>
      <c r="S810" s="328" t="s">
        <v>4543</v>
      </c>
      <c r="T810" s="858"/>
      <c r="U810" s="207"/>
      <c r="V810" s="115"/>
      <c r="W810" s="115"/>
      <c r="X810" s="115"/>
      <c r="Y810" s="115"/>
      <c r="Z810" s="115"/>
      <c r="AA810" s="115"/>
      <c r="AB810" s="115"/>
      <c r="AC810" s="115"/>
      <c r="AD810" s="115"/>
      <c r="AE810" s="115"/>
      <c r="AF810" s="115"/>
      <c r="AG810" s="115"/>
      <c r="AH810" s="115"/>
      <c r="AI810" s="115"/>
      <c r="AJ810" s="115"/>
      <c r="AK810" s="115"/>
      <c r="AL810" s="115"/>
      <c r="AM810" s="115"/>
      <c r="AN810" s="115"/>
      <c r="AO810" s="115"/>
      <c r="AP810" s="115"/>
      <c r="AQ810" s="115"/>
      <c r="AR810" s="115"/>
      <c r="AS810" s="115"/>
      <c r="AT810" s="115"/>
      <c r="AU810" s="115"/>
      <c r="AV810" s="115"/>
      <c r="AW810" s="115"/>
      <c r="AX810" s="115"/>
      <c r="AY810" s="115"/>
      <c r="AZ810" s="115"/>
      <c r="BA810" s="115"/>
      <c r="BB810" s="115"/>
      <c r="BC810" s="115"/>
      <c r="BD810" s="115"/>
      <c r="BE810" s="115"/>
      <c r="BF810" s="115"/>
      <c r="BG810" s="115"/>
      <c r="BH810" s="115"/>
      <c r="BI810" s="115"/>
      <c r="BJ810" s="115"/>
      <c r="BK810" s="115"/>
      <c r="BL810" s="115"/>
      <c r="BM810" s="115"/>
      <c r="BN810" s="115"/>
      <c r="BO810" s="115"/>
      <c r="BP810" s="115"/>
    </row>
    <row r="811" spans="1:68" ht="20.100000000000001" customHeight="1">
      <c r="A811" s="1216" t="s">
        <v>4888</v>
      </c>
      <c r="B811" s="1216" t="s">
        <v>4909</v>
      </c>
      <c r="C811" s="1216" t="s">
        <v>4908</v>
      </c>
      <c r="D811" s="948">
        <v>1225</v>
      </c>
      <c r="E811" s="948">
        <v>2250</v>
      </c>
      <c r="F811" s="948">
        <v>2300</v>
      </c>
      <c r="G811" s="29" t="s">
        <v>4549</v>
      </c>
      <c r="H811" s="56" t="s">
        <v>4589</v>
      </c>
      <c r="I811" s="37" t="s">
        <v>4885</v>
      </c>
      <c r="J811" s="37"/>
      <c r="K811" s="37" t="s">
        <v>4546</v>
      </c>
      <c r="L811" s="50" t="s">
        <v>4539</v>
      </c>
      <c r="M811" s="6">
        <v>43085</v>
      </c>
      <c r="N811" s="6">
        <v>43100</v>
      </c>
      <c r="O811" s="141" t="s">
        <v>4545</v>
      </c>
      <c r="P811" s="61"/>
      <c r="Q811" s="61"/>
      <c r="R811" s="238" t="s">
        <v>4894</v>
      </c>
      <c r="S811" s="328" t="s">
        <v>4543</v>
      </c>
      <c r="T811" s="858" t="s">
        <v>4907</v>
      </c>
      <c r="U811" s="207"/>
      <c r="V811" s="115"/>
      <c r="W811" s="115"/>
      <c r="X811" s="115"/>
      <c r="Y811" s="115"/>
      <c r="Z811" s="115"/>
      <c r="AA811" s="115"/>
      <c r="AB811" s="115"/>
      <c r="AC811" s="115"/>
      <c r="AD811" s="115"/>
      <c r="AE811" s="115"/>
      <c r="AF811" s="115"/>
      <c r="AG811" s="115"/>
      <c r="AH811" s="115"/>
      <c r="AI811" s="115"/>
      <c r="AJ811" s="115"/>
      <c r="AK811" s="115"/>
      <c r="AL811" s="115"/>
      <c r="AM811" s="115"/>
      <c r="AN811" s="115"/>
      <c r="AO811" s="115"/>
      <c r="AP811" s="115"/>
      <c r="AQ811" s="115"/>
      <c r="AR811" s="115"/>
      <c r="AS811" s="115"/>
      <c r="AT811" s="115"/>
      <c r="AU811" s="115"/>
      <c r="AV811" s="115"/>
      <c r="AW811" s="115"/>
      <c r="AX811" s="115"/>
      <c r="AY811" s="115"/>
      <c r="AZ811" s="115"/>
      <c r="BA811" s="115"/>
      <c r="BB811" s="115"/>
      <c r="BC811" s="115"/>
      <c r="BD811" s="115"/>
      <c r="BE811" s="115"/>
      <c r="BF811" s="115"/>
      <c r="BG811" s="115"/>
      <c r="BH811" s="115"/>
      <c r="BI811" s="115"/>
      <c r="BJ811" s="115"/>
      <c r="BK811" s="115"/>
      <c r="BL811" s="115"/>
      <c r="BM811" s="115"/>
      <c r="BN811" s="115"/>
      <c r="BO811" s="115"/>
      <c r="BP811" s="115"/>
    </row>
    <row r="812" spans="1:68" ht="20.100000000000001" customHeight="1">
      <c r="A812" s="1216" t="s">
        <v>4888</v>
      </c>
      <c r="B812" s="1216" t="s">
        <v>4887</v>
      </c>
      <c r="C812" s="1216" t="s">
        <v>4898</v>
      </c>
      <c r="D812" s="945">
        <f>D823</f>
        <v>1150</v>
      </c>
      <c r="E812" s="945">
        <f>E823</f>
        <v>2100</v>
      </c>
      <c r="F812" s="945">
        <f>F823</f>
        <v>2175</v>
      </c>
      <c r="G812" s="222" t="s">
        <v>4572</v>
      </c>
      <c r="H812" s="56" t="s">
        <v>4552</v>
      </c>
      <c r="I812" s="37" t="s">
        <v>4885</v>
      </c>
      <c r="J812" s="37"/>
      <c r="K812" s="37">
        <v>40</v>
      </c>
      <c r="L812" s="50" t="s">
        <v>4539</v>
      </c>
      <c r="M812" s="15">
        <v>43060</v>
      </c>
      <c r="N812" s="15">
        <v>43076</v>
      </c>
      <c r="O812" s="145" t="s">
        <v>4906</v>
      </c>
      <c r="P812" s="61"/>
      <c r="Q812" s="167"/>
      <c r="R812" s="239" t="s">
        <v>4584</v>
      </c>
      <c r="S812" s="328" t="s">
        <v>4543</v>
      </c>
      <c r="T812" s="858" t="s">
        <v>4905</v>
      </c>
      <c r="U812" s="207"/>
      <c r="V812" s="115"/>
      <c r="W812" s="115"/>
      <c r="X812" s="115"/>
      <c r="Y812" s="115"/>
      <c r="Z812" s="115"/>
      <c r="AA812" s="115"/>
      <c r="AB812" s="115"/>
      <c r="AC812" s="115"/>
      <c r="AD812" s="115"/>
      <c r="AE812" s="115"/>
      <c r="AF812" s="115"/>
      <c r="AG812" s="115"/>
      <c r="AH812" s="115"/>
      <c r="AI812" s="115"/>
      <c r="AJ812" s="115"/>
      <c r="AK812" s="115"/>
      <c r="AL812" s="115"/>
      <c r="AM812" s="115"/>
      <c r="AN812" s="115"/>
      <c r="AO812" s="115"/>
      <c r="AP812" s="115"/>
      <c r="AQ812" s="115"/>
      <c r="AR812" s="115"/>
      <c r="AS812" s="115"/>
      <c r="AT812" s="115"/>
      <c r="AU812" s="115"/>
      <c r="AV812" s="115"/>
      <c r="AW812" s="115"/>
      <c r="AX812" s="115"/>
      <c r="AY812" s="115"/>
      <c r="AZ812" s="115"/>
      <c r="BA812" s="115"/>
      <c r="BB812" s="115"/>
      <c r="BC812" s="115"/>
      <c r="BD812" s="115"/>
      <c r="BE812" s="115"/>
      <c r="BF812" s="115"/>
      <c r="BG812" s="115"/>
      <c r="BH812" s="115"/>
      <c r="BI812" s="115"/>
      <c r="BJ812" s="115"/>
      <c r="BK812" s="115"/>
      <c r="BL812" s="115"/>
      <c r="BM812" s="115"/>
      <c r="BN812" s="115"/>
      <c r="BO812" s="115"/>
      <c r="BP812" s="115"/>
    </row>
    <row r="813" spans="1:68" ht="20.100000000000001" customHeight="1">
      <c r="A813" s="1216" t="s">
        <v>4888</v>
      </c>
      <c r="B813" s="1216" t="s">
        <v>4887</v>
      </c>
      <c r="C813" s="1216" t="s">
        <v>4898</v>
      </c>
      <c r="D813" s="943">
        <v>1025</v>
      </c>
      <c r="E813" s="943">
        <v>1950</v>
      </c>
      <c r="F813" s="943">
        <v>1950</v>
      </c>
      <c r="G813" s="29" t="s">
        <v>4566</v>
      </c>
      <c r="H813" s="56" t="s">
        <v>4580</v>
      </c>
      <c r="I813" s="50" t="s">
        <v>4881</v>
      </c>
      <c r="J813" s="37"/>
      <c r="K813" s="37" t="s">
        <v>4665</v>
      </c>
      <c r="L813" s="116" t="s">
        <v>4539</v>
      </c>
      <c r="M813" s="15">
        <v>43073</v>
      </c>
      <c r="N813" s="15">
        <v>43100</v>
      </c>
      <c r="O813" s="61" t="s">
        <v>4563</v>
      </c>
      <c r="P813" s="61"/>
      <c r="Q813" s="167"/>
      <c r="R813" s="239" t="s">
        <v>4578</v>
      </c>
      <c r="S813" s="327" t="s">
        <v>4561</v>
      </c>
      <c r="T813" s="858"/>
      <c r="U813" s="207"/>
      <c r="V813" s="115"/>
      <c r="W813" s="115"/>
      <c r="X813" s="115"/>
      <c r="Y813" s="115"/>
      <c r="Z813" s="115"/>
      <c r="AA813" s="115"/>
      <c r="AB813" s="115"/>
      <c r="AC813" s="115"/>
      <c r="AD813" s="115"/>
      <c r="AE813" s="115"/>
      <c r="AF813" s="115"/>
      <c r="AG813" s="115"/>
      <c r="AH813" s="115"/>
      <c r="AI813" s="115"/>
      <c r="AJ813" s="115"/>
      <c r="AK813" s="115"/>
      <c r="AL813" s="115"/>
      <c r="AM813" s="115"/>
      <c r="AN813" s="115"/>
      <c r="AO813" s="115"/>
      <c r="AP813" s="115"/>
      <c r="AQ813" s="115"/>
      <c r="AR813" s="115"/>
      <c r="AS813" s="115"/>
      <c r="AT813" s="115"/>
      <c r="AU813" s="115"/>
      <c r="AV813" s="115"/>
      <c r="AW813" s="115"/>
      <c r="AX813" s="115"/>
      <c r="AY813" s="115"/>
      <c r="AZ813" s="115"/>
      <c r="BA813" s="115"/>
      <c r="BB813" s="115"/>
      <c r="BC813" s="115"/>
      <c r="BD813" s="115"/>
      <c r="BE813" s="115"/>
      <c r="BF813" s="115"/>
      <c r="BG813" s="115"/>
      <c r="BH813" s="115"/>
      <c r="BI813" s="115"/>
      <c r="BJ813" s="115"/>
      <c r="BK813" s="115"/>
      <c r="BL813" s="115"/>
      <c r="BM813" s="115"/>
      <c r="BN813" s="115"/>
      <c r="BO813" s="115"/>
      <c r="BP813" s="115"/>
    </row>
    <row r="814" spans="1:68" ht="20.100000000000001" customHeight="1">
      <c r="A814" s="1216" t="s">
        <v>4888</v>
      </c>
      <c r="B814" s="1216" t="s">
        <v>4887</v>
      </c>
      <c r="C814" s="1216" t="s">
        <v>4898</v>
      </c>
      <c r="D814" s="947">
        <v>1025</v>
      </c>
      <c r="E814" s="947">
        <v>1450</v>
      </c>
      <c r="F814" s="947">
        <v>1450</v>
      </c>
      <c r="G814" s="234" t="s">
        <v>4904</v>
      </c>
      <c r="H814" s="22" t="s">
        <v>4903</v>
      </c>
      <c r="I814" s="50" t="s">
        <v>4902</v>
      </c>
      <c r="J814" s="50"/>
      <c r="K814" s="50" t="s">
        <v>4901</v>
      </c>
      <c r="L814" s="50" t="s">
        <v>4539</v>
      </c>
      <c r="M814" s="15">
        <v>43054</v>
      </c>
      <c r="N814" s="15">
        <v>43089</v>
      </c>
      <c r="O814" s="61" t="s">
        <v>4900</v>
      </c>
      <c r="P814" s="59"/>
      <c r="Q814" s="59"/>
      <c r="R814" s="239" t="s">
        <v>4899</v>
      </c>
      <c r="S814" s="327" t="s">
        <v>4632</v>
      </c>
      <c r="T814" s="858"/>
      <c r="U814" s="207"/>
      <c r="V814" s="115"/>
      <c r="W814" s="115"/>
      <c r="X814" s="115"/>
      <c r="Y814" s="115"/>
      <c r="Z814" s="115"/>
      <c r="AA814" s="115"/>
      <c r="AB814" s="115"/>
      <c r="AC814" s="115"/>
      <c r="AD814" s="115"/>
      <c r="AE814" s="115"/>
      <c r="AF814" s="115"/>
      <c r="AG814" s="115"/>
      <c r="AH814" s="115"/>
      <c r="AI814" s="115"/>
      <c r="AJ814" s="115"/>
      <c r="AK814" s="115"/>
      <c r="AL814" s="115"/>
      <c r="AM814" s="115"/>
      <c r="AN814" s="115"/>
      <c r="AO814" s="115"/>
      <c r="AP814" s="115"/>
      <c r="AQ814" s="115"/>
      <c r="AR814" s="115"/>
      <c r="AS814" s="115"/>
      <c r="AT814" s="115"/>
      <c r="AU814" s="115"/>
      <c r="AV814" s="115"/>
      <c r="AW814" s="115"/>
      <c r="AX814" s="115"/>
      <c r="AY814" s="115"/>
      <c r="AZ814" s="115"/>
      <c r="BA814" s="115"/>
      <c r="BB814" s="115"/>
      <c r="BC814" s="115"/>
      <c r="BD814" s="115"/>
      <c r="BE814" s="115"/>
      <c r="BF814" s="115"/>
      <c r="BG814" s="115"/>
      <c r="BH814" s="115"/>
      <c r="BI814" s="115"/>
      <c r="BJ814" s="115"/>
      <c r="BK814" s="115"/>
      <c r="BL814" s="115"/>
      <c r="BM814" s="115"/>
      <c r="BN814" s="115"/>
      <c r="BO814" s="115"/>
      <c r="BP814" s="115"/>
    </row>
    <row r="815" spans="1:68" ht="20.100000000000001" customHeight="1">
      <c r="A815" s="1216" t="s">
        <v>4888</v>
      </c>
      <c r="B815" s="1216" t="s">
        <v>4887</v>
      </c>
      <c r="C815" s="1216" t="s">
        <v>4898</v>
      </c>
      <c r="D815" s="887">
        <v>1025</v>
      </c>
      <c r="E815" s="887">
        <f>D815*2-300</f>
        <v>1750</v>
      </c>
      <c r="F815" s="887">
        <f>D815*2-250</f>
        <v>1800</v>
      </c>
      <c r="G815" s="234" t="s">
        <v>4575</v>
      </c>
      <c r="H815" s="36" t="s">
        <v>4890</v>
      </c>
      <c r="I815" s="37" t="s">
        <v>4884</v>
      </c>
      <c r="J815" s="37"/>
      <c r="K815" s="37">
        <v>27</v>
      </c>
      <c r="L815" s="50" t="s">
        <v>4539</v>
      </c>
      <c r="M815" s="15">
        <v>43084</v>
      </c>
      <c r="N815" s="15">
        <v>43100</v>
      </c>
      <c r="O815" s="128" t="s">
        <v>4883</v>
      </c>
      <c r="P815" s="167"/>
      <c r="Q815" s="7"/>
      <c r="R815" s="239" t="s">
        <v>4889</v>
      </c>
      <c r="S815" s="327" t="s">
        <v>4576</v>
      </c>
      <c r="T815" s="858"/>
      <c r="U815" s="207"/>
      <c r="V815" s="115"/>
      <c r="W815" s="115"/>
      <c r="X815" s="115"/>
      <c r="Y815" s="115"/>
      <c r="Z815" s="115"/>
      <c r="AA815" s="115"/>
      <c r="AB815" s="115"/>
      <c r="AC815" s="115"/>
      <c r="AD815" s="115"/>
      <c r="AE815" s="115"/>
      <c r="AF815" s="115"/>
      <c r="AG815" s="115"/>
      <c r="AH815" s="115"/>
      <c r="AI815" s="115"/>
      <c r="AJ815" s="115"/>
      <c r="AK815" s="115"/>
      <c r="AL815" s="115"/>
      <c r="AM815" s="115"/>
      <c r="AN815" s="115"/>
      <c r="AO815" s="115"/>
      <c r="AP815" s="115"/>
      <c r="AQ815" s="115"/>
      <c r="AR815" s="115"/>
      <c r="AS815" s="115"/>
      <c r="AT815" s="115"/>
      <c r="AU815" s="115"/>
      <c r="AV815" s="115"/>
      <c r="AW815" s="115"/>
      <c r="AX815" s="115"/>
      <c r="AY815" s="115"/>
      <c r="AZ815" s="115"/>
      <c r="BA815" s="115"/>
      <c r="BB815" s="115"/>
      <c r="BC815" s="115"/>
      <c r="BD815" s="115"/>
      <c r="BE815" s="115"/>
      <c r="BF815" s="115"/>
      <c r="BG815" s="115"/>
      <c r="BH815" s="115"/>
      <c r="BI815" s="115"/>
      <c r="BJ815" s="115"/>
      <c r="BK815" s="115"/>
      <c r="BL815" s="115"/>
      <c r="BM815" s="115"/>
      <c r="BN815" s="115"/>
      <c r="BO815" s="115"/>
      <c r="BP815" s="115"/>
    </row>
    <row r="816" spans="1:68" ht="20.100000000000001" customHeight="1">
      <c r="A816" s="1216" t="s">
        <v>4888</v>
      </c>
      <c r="B816" s="1216" t="s">
        <v>4887</v>
      </c>
      <c r="C816" s="1216" t="s">
        <v>4898</v>
      </c>
      <c r="D816" s="943">
        <v>875</v>
      </c>
      <c r="E816" s="943">
        <v>1550</v>
      </c>
      <c r="F816" s="943">
        <v>1600</v>
      </c>
      <c r="G816" s="29" t="s">
        <v>4553</v>
      </c>
      <c r="H816" s="36" t="s">
        <v>4580</v>
      </c>
      <c r="I816" s="50" t="s">
        <v>4879</v>
      </c>
      <c r="J816" s="37"/>
      <c r="K816" s="37">
        <v>34</v>
      </c>
      <c r="L816" s="50" t="s">
        <v>4539</v>
      </c>
      <c r="M816" s="6">
        <v>43085</v>
      </c>
      <c r="N816" s="6">
        <v>43100</v>
      </c>
      <c r="O816" s="142" t="s">
        <v>4545</v>
      </c>
      <c r="P816" s="61" t="s">
        <v>4897</v>
      </c>
      <c r="Q816" s="171"/>
      <c r="R816" s="238" t="s">
        <v>4878</v>
      </c>
      <c r="S816" s="328" t="s">
        <v>4543</v>
      </c>
      <c r="T816" s="858"/>
      <c r="U816" s="207"/>
      <c r="V816" s="115"/>
      <c r="W816" s="115"/>
      <c r="X816" s="115"/>
      <c r="Y816" s="115"/>
      <c r="Z816" s="115"/>
      <c r="AA816" s="115"/>
      <c r="AB816" s="115"/>
      <c r="AC816" s="115"/>
      <c r="AD816" s="115"/>
      <c r="AE816" s="115"/>
      <c r="AF816" s="115"/>
      <c r="AG816" s="115"/>
      <c r="AH816" s="115"/>
      <c r="AI816" s="115"/>
      <c r="AJ816" s="115"/>
      <c r="AK816" s="115"/>
      <c r="AL816" s="115"/>
      <c r="AM816" s="115"/>
      <c r="AN816" s="115"/>
      <c r="AO816" s="115"/>
      <c r="AP816" s="115"/>
      <c r="AQ816" s="115"/>
      <c r="AR816" s="115"/>
      <c r="AS816" s="115"/>
      <c r="AT816" s="115"/>
      <c r="AU816" s="115"/>
      <c r="AV816" s="115"/>
      <c r="AW816" s="115"/>
      <c r="AX816" s="115"/>
      <c r="AY816" s="115"/>
      <c r="AZ816" s="115"/>
      <c r="BA816" s="115"/>
      <c r="BB816" s="115"/>
      <c r="BC816" s="115"/>
      <c r="BD816" s="115"/>
      <c r="BE816" s="115"/>
      <c r="BF816" s="115"/>
      <c r="BG816" s="115"/>
      <c r="BH816" s="115"/>
      <c r="BI816" s="115"/>
      <c r="BJ816" s="115"/>
      <c r="BK816" s="115"/>
      <c r="BL816" s="115"/>
      <c r="BM816" s="115"/>
      <c r="BN816" s="115"/>
      <c r="BO816" s="115"/>
      <c r="BP816" s="115"/>
    </row>
    <row r="817" spans="1:68" ht="20.100000000000001" customHeight="1">
      <c r="A817" s="1216" t="s">
        <v>4888</v>
      </c>
      <c r="B817" s="1216" t="s">
        <v>4887</v>
      </c>
      <c r="C817" s="1216" t="s">
        <v>4898</v>
      </c>
      <c r="D817" s="946">
        <v>1375</v>
      </c>
      <c r="E817" s="946">
        <v>2550</v>
      </c>
      <c r="F817" s="946">
        <v>2550</v>
      </c>
      <c r="G817" s="29" t="s">
        <v>4549</v>
      </c>
      <c r="H817" s="56" t="s">
        <v>4589</v>
      </c>
      <c r="I817" s="37" t="s">
        <v>4885</v>
      </c>
      <c r="J817" s="37"/>
      <c r="K817" s="37" t="s">
        <v>4739</v>
      </c>
      <c r="L817" s="50" t="s">
        <v>4539</v>
      </c>
      <c r="M817" s="6">
        <v>43085</v>
      </c>
      <c r="N817" s="6">
        <v>43100</v>
      </c>
      <c r="O817" s="141" t="s">
        <v>4545</v>
      </c>
      <c r="P817" s="61"/>
      <c r="Q817" s="61"/>
      <c r="R817" s="238" t="s">
        <v>4894</v>
      </c>
      <c r="S817" s="328" t="s">
        <v>4543</v>
      </c>
      <c r="T817" s="858"/>
      <c r="U817" s="207"/>
      <c r="V817" s="115"/>
      <c r="W817" s="115"/>
      <c r="X817" s="115"/>
      <c r="Y817" s="115"/>
      <c r="Z817" s="115"/>
      <c r="AA817" s="115"/>
      <c r="AB817" s="115"/>
      <c r="AC817" s="115"/>
      <c r="AD817" s="115"/>
      <c r="AE817" s="115"/>
      <c r="AF817" s="115"/>
      <c r="AG817" s="115"/>
      <c r="AH817" s="115"/>
      <c r="AI817" s="115"/>
      <c r="AJ817" s="115"/>
      <c r="AK817" s="115"/>
      <c r="AL817" s="115"/>
      <c r="AM817" s="115"/>
      <c r="AN817" s="115"/>
      <c r="AO817" s="115"/>
      <c r="AP817" s="115"/>
      <c r="AQ817" s="115"/>
      <c r="AR817" s="115"/>
      <c r="AS817" s="115"/>
      <c r="AT817" s="115"/>
      <c r="AU817" s="115"/>
      <c r="AV817" s="115"/>
      <c r="AW817" s="115"/>
      <c r="AX817" s="115"/>
      <c r="AY817" s="115"/>
      <c r="AZ817" s="115"/>
      <c r="BA817" s="115"/>
      <c r="BB817" s="115"/>
      <c r="BC817" s="115"/>
      <c r="BD817" s="115"/>
      <c r="BE817" s="115"/>
      <c r="BF817" s="115"/>
      <c r="BG817" s="115"/>
      <c r="BH817" s="115"/>
      <c r="BI817" s="115"/>
      <c r="BJ817" s="115"/>
      <c r="BK817" s="115"/>
      <c r="BL817" s="115"/>
      <c r="BM817" s="115"/>
      <c r="BN817" s="115"/>
      <c r="BO817" s="115"/>
      <c r="BP817" s="115"/>
    </row>
    <row r="818" spans="1:68" ht="20.100000000000001" customHeight="1">
      <c r="A818" s="1216" t="s">
        <v>4888</v>
      </c>
      <c r="B818" s="1216" t="s">
        <v>4887</v>
      </c>
      <c r="C818" s="1216" t="s">
        <v>4896</v>
      </c>
      <c r="D818" s="945">
        <f>D823</f>
        <v>1150</v>
      </c>
      <c r="E818" s="945">
        <f>E823</f>
        <v>2100</v>
      </c>
      <c r="F818" s="945">
        <f>F823</f>
        <v>2175</v>
      </c>
      <c r="G818" s="222" t="s">
        <v>4572</v>
      </c>
      <c r="H818" s="56" t="s">
        <v>4552</v>
      </c>
      <c r="I818" s="37" t="s">
        <v>4885</v>
      </c>
      <c r="J818" s="37"/>
      <c r="K818" s="37">
        <v>40</v>
      </c>
      <c r="L818" s="50" t="s">
        <v>4539</v>
      </c>
      <c r="M818" s="15">
        <v>43060</v>
      </c>
      <c r="N818" s="15">
        <v>43076</v>
      </c>
      <c r="O818" s="142" t="s">
        <v>4545</v>
      </c>
      <c r="P818" s="61"/>
      <c r="Q818" s="167"/>
      <c r="R818" s="239" t="s">
        <v>4584</v>
      </c>
      <c r="S818" s="328" t="s">
        <v>4543</v>
      </c>
      <c r="T818" s="858"/>
      <c r="U818" s="207"/>
      <c r="V818" s="115"/>
      <c r="W818" s="115"/>
      <c r="X818" s="115"/>
      <c r="Y818" s="115"/>
      <c r="Z818" s="115"/>
      <c r="AA818" s="115"/>
      <c r="AB818" s="115"/>
      <c r="AC818" s="115"/>
      <c r="AD818" s="115"/>
      <c r="AE818" s="115"/>
      <c r="AF818" s="115"/>
      <c r="AG818" s="115"/>
      <c r="AH818" s="115"/>
      <c r="AI818" s="115"/>
      <c r="AJ818" s="115"/>
      <c r="AK818" s="115"/>
      <c r="AL818" s="115"/>
      <c r="AM818" s="115"/>
      <c r="AN818" s="115"/>
      <c r="AO818" s="115"/>
      <c r="AP818" s="115"/>
      <c r="AQ818" s="115"/>
      <c r="AR818" s="115"/>
      <c r="AS818" s="115"/>
      <c r="AT818" s="115"/>
      <c r="AU818" s="115"/>
      <c r="AV818" s="115"/>
      <c r="AW818" s="115"/>
      <c r="AX818" s="115"/>
      <c r="AY818" s="115"/>
      <c r="AZ818" s="115"/>
      <c r="BA818" s="115"/>
      <c r="BB818" s="115"/>
      <c r="BC818" s="115"/>
      <c r="BD818" s="115"/>
      <c r="BE818" s="115"/>
      <c r="BF818" s="115"/>
      <c r="BG818" s="115"/>
      <c r="BH818" s="115"/>
      <c r="BI818" s="115"/>
      <c r="BJ818" s="115"/>
      <c r="BK818" s="115"/>
      <c r="BL818" s="115"/>
      <c r="BM818" s="115"/>
      <c r="BN818" s="115"/>
      <c r="BO818" s="115"/>
      <c r="BP818" s="115"/>
    </row>
    <row r="819" spans="1:68" ht="20.100000000000001" customHeight="1">
      <c r="A819" s="1216" t="s">
        <v>4888</v>
      </c>
      <c r="B819" s="1216" t="s">
        <v>4887</v>
      </c>
      <c r="C819" s="1216" t="s">
        <v>4896</v>
      </c>
      <c r="D819" s="887">
        <v>1025</v>
      </c>
      <c r="E819" s="887">
        <f>D819*2-300</f>
        <v>1750</v>
      </c>
      <c r="F819" s="887">
        <f>D819*2-250</f>
        <v>1800</v>
      </c>
      <c r="G819" s="234" t="s">
        <v>4575</v>
      </c>
      <c r="H819" s="36" t="s">
        <v>4890</v>
      </c>
      <c r="I819" s="37" t="s">
        <v>4884</v>
      </c>
      <c r="J819" s="37"/>
      <c r="K819" s="37">
        <v>27</v>
      </c>
      <c r="L819" s="50" t="s">
        <v>4539</v>
      </c>
      <c r="M819" s="15">
        <v>43084</v>
      </c>
      <c r="N819" s="15">
        <v>43100</v>
      </c>
      <c r="O819" s="128" t="s">
        <v>4883</v>
      </c>
      <c r="P819" s="167"/>
      <c r="Q819" s="7"/>
      <c r="R819" s="239" t="s">
        <v>4889</v>
      </c>
      <c r="S819" s="327" t="s">
        <v>4576</v>
      </c>
      <c r="T819" s="858"/>
      <c r="U819" s="207"/>
      <c r="V819" s="115"/>
      <c r="W819" s="115"/>
      <c r="X819" s="115"/>
      <c r="Y819" s="115"/>
      <c r="Z819" s="115"/>
      <c r="AA819" s="115"/>
      <c r="AB819" s="115"/>
      <c r="AC819" s="115"/>
      <c r="AD819" s="115"/>
      <c r="AE819" s="115"/>
      <c r="AF819" s="115"/>
      <c r="AG819" s="115"/>
      <c r="AH819" s="115"/>
      <c r="AI819" s="115"/>
      <c r="AJ819" s="115"/>
      <c r="AK819" s="115"/>
      <c r="AL819" s="115"/>
      <c r="AM819" s="115"/>
      <c r="AN819" s="115"/>
      <c r="AO819" s="115"/>
      <c r="AP819" s="115"/>
      <c r="AQ819" s="115"/>
      <c r="AR819" s="115"/>
      <c r="AS819" s="115"/>
      <c r="AT819" s="115"/>
      <c r="AU819" s="115"/>
      <c r="AV819" s="115"/>
      <c r="AW819" s="115"/>
      <c r="AX819" s="115"/>
      <c r="AY819" s="115"/>
      <c r="AZ819" s="115"/>
      <c r="BA819" s="115"/>
      <c r="BB819" s="115"/>
      <c r="BC819" s="115"/>
      <c r="BD819" s="115"/>
      <c r="BE819" s="115"/>
      <c r="BF819" s="115"/>
      <c r="BG819" s="115"/>
      <c r="BH819" s="115"/>
      <c r="BI819" s="115"/>
      <c r="BJ819" s="115"/>
      <c r="BK819" s="115"/>
      <c r="BL819" s="115"/>
      <c r="BM819" s="115"/>
      <c r="BN819" s="115"/>
      <c r="BO819" s="115"/>
      <c r="BP819" s="115"/>
    </row>
    <row r="820" spans="1:68" ht="20.100000000000001" customHeight="1">
      <c r="A820" s="1216" t="s">
        <v>4888</v>
      </c>
      <c r="B820" s="1216" t="s">
        <v>4887</v>
      </c>
      <c r="C820" s="1216" t="s">
        <v>4896</v>
      </c>
      <c r="D820" s="943">
        <v>1025</v>
      </c>
      <c r="E820" s="943">
        <v>1950</v>
      </c>
      <c r="F820" s="943">
        <v>1950</v>
      </c>
      <c r="G820" s="29" t="s">
        <v>4566</v>
      </c>
      <c r="H820" s="56" t="s">
        <v>4580</v>
      </c>
      <c r="I820" s="50" t="s">
        <v>4881</v>
      </c>
      <c r="J820" s="37"/>
      <c r="K820" s="37" t="s">
        <v>4665</v>
      </c>
      <c r="L820" s="116" t="s">
        <v>4539</v>
      </c>
      <c r="M820" s="15">
        <v>43073</v>
      </c>
      <c r="N820" s="15">
        <v>43100</v>
      </c>
      <c r="O820" s="61" t="s">
        <v>4563</v>
      </c>
      <c r="P820" s="61"/>
      <c r="Q820" s="167"/>
      <c r="R820" s="239" t="s">
        <v>4578</v>
      </c>
      <c r="S820" s="327" t="s">
        <v>4561</v>
      </c>
      <c r="T820" s="858"/>
      <c r="U820" s="207"/>
      <c r="V820" s="115"/>
      <c r="W820" s="115"/>
      <c r="X820" s="115"/>
      <c r="Y820" s="115"/>
      <c r="Z820" s="115"/>
      <c r="AA820" s="115"/>
      <c r="AB820" s="115"/>
      <c r="AC820" s="115"/>
      <c r="AD820" s="115"/>
      <c r="AE820" s="115"/>
      <c r="AF820" s="115"/>
      <c r="AG820" s="115"/>
      <c r="AH820" s="115"/>
      <c r="AI820" s="115"/>
      <c r="AJ820" s="115"/>
      <c r="AK820" s="115"/>
      <c r="AL820" s="115"/>
      <c r="AM820" s="115"/>
      <c r="AN820" s="115"/>
      <c r="AO820" s="115"/>
      <c r="AP820" s="115"/>
      <c r="AQ820" s="115"/>
      <c r="AR820" s="115"/>
      <c r="AS820" s="115"/>
      <c r="AT820" s="115"/>
      <c r="AU820" s="115"/>
      <c r="AV820" s="115"/>
      <c r="AW820" s="115"/>
      <c r="AX820" s="115"/>
      <c r="AY820" s="115"/>
      <c r="AZ820" s="115"/>
      <c r="BA820" s="115"/>
      <c r="BB820" s="115"/>
      <c r="BC820" s="115"/>
      <c r="BD820" s="115"/>
      <c r="BE820" s="115"/>
      <c r="BF820" s="115"/>
      <c r="BG820" s="115"/>
      <c r="BH820" s="115"/>
      <c r="BI820" s="115"/>
      <c r="BJ820" s="115"/>
      <c r="BK820" s="115"/>
      <c r="BL820" s="115"/>
      <c r="BM820" s="115"/>
      <c r="BN820" s="115"/>
      <c r="BO820" s="115"/>
      <c r="BP820" s="115"/>
    </row>
    <row r="821" spans="1:68" ht="20.100000000000001" customHeight="1">
      <c r="A821" s="1216" t="s">
        <v>4888</v>
      </c>
      <c r="B821" s="1216" t="s">
        <v>4887</v>
      </c>
      <c r="C821" s="1216" t="s">
        <v>4896</v>
      </c>
      <c r="D821" s="943">
        <v>875</v>
      </c>
      <c r="E821" s="943">
        <v>1550</v>
      </c>
      <c r="F821" s="943">
        <v>1600</v>
      </c>
      <c r="G821" s="29" t="s">
        <v>4553</v>
      </c>
      <c r="H821" s="36" t="s">
        <v>4580</v>
      </c>
      <c r="I821" s="50" t="s">
        <v>4879</v>
      </c>
      <c r="J821" s="50"/>
      <c r="K821" s="50">
        <v>29</v>
      </c>
      <c r="L821" s="50" t="s">
        <v>4539</v>
      </c>
      <c r="M821" s="6">
        <v>43085</v>
      </c>
      <c r="N821" s="6">
        <v>43100</v>
      </c>
      <c r="O821" s="142" t="s">
        <v>4545</v>
      </c>
      <c r="P821" s="61" t="s">
        <v>4897</v>
      </c>
      <c r="Q821" s="171"/>
      <c r="R821" s="238" t="s">
        <v>4878</v>
      </c>
      <c r="S821" s="328" t="s">
        <v>4543</v>
      </c>
      <c r="T821" s="858"/>
      <c r="U821" s="207"/>
      <c r="V821" s="115"/>
      <c r="W821" s="115"/>
      <c r="X821" s="115"/>
      <c r="Y821" s="115"/>
      <c r="Z821" s="115"/>
      <c r="AA821" s="115"/>
      <c r="AB821" s="115"/>
      <c r="AC821" s="115"/>
      <c r="AD821" s="115"/>
      <c r="AE821" s="115"/>
      <c r="AF821" s="115"/>
      <c r="AG821" s="115"/>
      <c r="AH821" s="115"/>
      <c r="AI821" s="115"/>
      <c r="AJ821" s="115"/>
      <c r="AK821" s="115"/>
      <c r="AL821" s="115"/>
      <c r="AM821" s="115"/>
      <c r="AN821" s="115"/>
      <c r="AO821" s="115"/>
      <c r="AP821" s="115"/>
      <c r="AQ821" s="115"/>
      <c r="AR821" s="115"/>
      <c r="AS821" s="115"/>
      <c r="AT821" s="115"/>
      <c r="AU821" s="115"/>
      <c r="AV821" s="115"/>
      <c r="AW821" s="115"/>
      <c r="AX821" s="115"/>
      <c r="AY821" s="115"/>
      <c r="AZ821" s="115"/>
      <c r="BA821" s="115"/>
      <c r="BB821" s="115"/>
      <c r="BC821" s="115"/>
      <c r="BD821" s="115"/>
      <c r="BE821" s="115"/>
      <c r="BF821" s="115"/>
      <c r="BG821" s="115"/>
      <c r="BH821" s="115"/>
      <c r="BI821" s="115"/>
      <c r="BJ821" s="115"/>
      <c r="BK821" s="115"/>
      <c r="BL821" s="115"/>
      <c r="BM821" s="115"/>
      <c r="BN821" s="115"/>
      <c r="BO821" s="115"/>
      <c r="BP821" s="115"/>
    </row>
    <row r="822" spans="1:68" ht="20.100000000000001" customHeight="1">
      <c r="A822" s="1216" t="s">
        <v>4888</v>
      </c>
      <c r="B822" s="1216" t="s">
        <v>4887</v>
      </c>
      <c r="C822" s="1216" t="s">
        <v>4896</v>
      </c>
      <c r="D822" s="946">
        <v>1375</v>
      </c>
      <c r="E822" s="946">
        <v>2550</v>
      </c>
      <c r="F822" s="946">
        <v>2550</v>
      </c>
      <c r="G822" s="70" t="s">
        <v>4549</v>
      </c>
      <c r="H822" s="56" t="s">
        <v>4589</v>
      </c>
      <c r="I822" s="37" t="s">
        <v>4885</v>
      </c>
      <c r="J822" s="37"/>
      <c r="K822" s="37" t="s">
        <v>4895</v>
      </c>
      <c r="L822" s="50" t="s">
        <v>4539</v>
      </c>
      <c r="M822" s="6">
        <v>43085</v>
      </c>
      <c r="N822" s="6">
        <v>43100</v>
      </c>
      <c r="O822" s="141" t="s">
        <v>4545</v>
      </c>
      <c r="P822" s="61"/>
      <c r="Q822" s="61"/>
      <c r="R822" s="238" t="s">
        <v>4894</v>
      </c>
      <c r="S822" s="328" t="s">
        <v>4543</v>
      </c>
      <c r="T822" s="858"/>
      <c r="U822" s="207"/>
      <c r="V822" s="115"/>
      <c r="W822" s="115"/>
      <c r="X822" s="115"/>
      <c r="Y822" s="115"/>
      <c r="Z822" s="115"/>
      <c r="AA822" s="115"/>
      <c r="AB822" s="115"/>
      <c r="AC822" s="115"/>
      <c r="AD822" s="115"/>
      <c r="AE822" s="115"/>
      <c r="AF822" s="115"/>
      <c r="AG822" s="115"/>
      <c r="AH822" s="115"/>
      <c r="AI822" s="115"/>
      <c r="AJ822" s="115"/>
      <c r="AK822" s="115"/>
      <c r="AL822" s="115"/>
      <c r="AM822" s="115"/>
      <c r="AN822" s="115"/>
      <c r="AO822" s="115"/>
      <c r="AP822" s="115"/>
      <c r="AQ822" s="115"/>
      <c r="AR822" s="115"/>
      <c r="AS822" s="115"/>
      <c r="AT822" s="115"/>
      <c r="AU822" s="115"/>
      <c r="AV822" s="115"/>
      <c r="AW822" s="115"/>
      <c r="AX822" s="115"/>
      <c r="AY822" s="115"/>
      <c r="AZ822" s="115"/>
      <c r="BA822" s="115"/>
      <c r="BB822" s="115"/>
      <c r="BC822" s="115"/>
      <c r="BD822" s="115"/>
      <c r="BE822" s="115"/>
      <c r="BF822" s="115"/>
      <c r="BG822" s="115"/>
      <c r="BH822" s="115"/>
      <c r="BI822" s="115"/>
      <c r="BJ822" s="115"/>
      <c r="BK822" s="115"/>
      <c r="BL822" s="115"/>
      <c r="BM822" s="115"/>
      <c r="BN822" s="115"/>
      <c r="BO822" s="115"/>
      <c r="BP822" s="115"/>
    </row>
    <row r="823" spans="1:68" ht="20.100000000000001" customHeight="1">
      <c r="A823" s="1216" t="s">
        <v>4888</v>
      </c>
      <c r="B823" s="1216" t="s">
        <v>4887</v>
      </c>
      <c r="C823" s="1216" t="s">
        <v>4893</v>
      </c>
      <c r="D823" s="945">
        <v>1150</v>
      </c>
      <c r="E823" s="945">
        <v>2100</v>
      </c>
      <c r="F823" s="945">
        <v>2175</v>
      </c>
      <c r="G823" s="293" t="s">
        <v>4572</v>
      </c>
      <c r="H823" s="56" t="s">
        <v>4552</v>
      </c>
      <c r="I823" s="37" t="s">
        <v>4885</v>
      </c>
      <c r="J823" s="37"/>
      <c r="K823" s="37">
        <v>38</v>
      </c>
      <c r="L823" s="50" t="s">
        <v>4539</v>
      </c>
      <c r="M823" s="15">
        <v>43060</v>
      </c>
      <c r="N823" s="15">
        <v>43076</v>
      </c>
      <c r="O823" s="142" t="s">
        <v>4545</v>
      </c>
      <c r="P823" s="61"/>
      <c r="Q823" s="167"/>
      <c r="R823" s="239" t="s">
        <v>4584</v>
      </c>
      <c r="S823" s="328" t="s">
        <v>4543</v>
      </c>
      <c r="T823" s="858"/>
      <c r="U823" s="207"/>
      <c r="V823" s="115"/>
      <c r="W823" s="115"/>
      <c r="X823" s="115"/>
      <c r="Y823" s="115"/>
      <c r="Z823" s="115"/>
      <c r="AA823" s="115"/>
      <c r="AB823" s="115"/>
      <c r="AC823" s="115"/>
      <c r="AD823" s="115"/>
      <c r="AE823" s="115"/>
      <c r="AF823" s="115"/>
      <c r="AG823" s="115"/>
      <c r="AH823" s="115"/>
      <c r="AI823" s="115"/>
      <c r="AJ823" s="115"/>
      <c r="AK823" s="115"/>
      <c r="AL823" s="115"/>
      <c r="AM823" s="115"/>
      <c r="AN823" s="115"/>
      <c r="AO823" s="115"/>
      <c r="AP823" s="115"/>
      <c r="AQ823" s="115"/>
      <c r="AR823" s="115"/>
      <c r="AS823" s="115"/>
      <c r="AT823" s="115"/>
      <c r="AU823" s="115"/>
      <c r="AV823" s="115"/>
      <c r="AW823" s="115"/>
      <c r="AX823" s="115"/>
      <c r="AY823" s="115"/>
      <c r="AZ823" s="115"/>
      <c r="BA823" s="115"/>
      <c r="BB823" s="115"/>
      <c r="BC823" s="115"/>
      <c r="BD823" s="115"/>
      <c r="BE823" s="115"/>
      <c r="BF823" s="115"/>
      <c r="BG823" s="115"/>
      <c r="BH823" s="115"/>
      <c r="BI823" s="115"/>
      <c r="BJ823" s="115"/>
      <c r="BK823" s="115"/>
      <c r="BL823" s="115"/>
      <c r="BM823" s="115"/>
      <c r="BN823" s="115"/>
      <c r="BO823" s="115"/>
      <c r="BP823" s="115"/>
    </row>
    <row r="824" spans="1:68" ht="20.100000000000001" customHeight="1">
      <c r="A824" s="1216" t="s">
        <v>4888</v>
      </c>
      <c r="B824" s="1216" t="s">
        <v>4887</v>
      </c>
      <c r="C824" s="1216" t="s">
        <v>4893</v>
      </c>
      <c r="D824" s="887">
        <v>1025</v>
      </c>
      <c r="E824" s="887">
        <f>D824*2-300</f>
        <v>1750</v>
      </c>
      <c r="F824" s="887">
        <f>D824*2-250</f>
        <v>1800</v>
      </c>
      <c r="G824" s="234" t="s">
        <v>4575</v>
      </c>
      <c r="H824" s="36" t="s">
        <v>4890</v>
      </c>
      <c r="I824" s="37" t="s">
        <v>4884</v>
      </c>
      <c r="J824" s="37"/>
      <c r="K824" s="37">
        <v>27</v>
      </c>
      <c r="L824" s="50" t="s">
        <v>4539</v>
      </c>
      <c r="M824" s="15">
        <v>43084</v>
      </c>
      <c r="N824" s="15">
        <v>43100</v>
      </c>
      <c r="O824" s="128" t="s">
        <v>4883</v>
      </c>
      <c r="P824" s="167"/>
      <c r="Q824" s="7"/>
      <c r="R824" s="239" t="s">
        <v>4889</v>
      </c>
      <c r="S824" s="327" t="s">
        <v>4576</v>
      </c>
      <c r="T824" s="858"/>
      <c r="U824" s="207"/>
      <c r="V824" s="115"/>
      <c r="W824" s="115"/>
      <c r="X824" s="115"/>
      <c r="Y824" s="115"/>
      <c r="Z824" s="115"/>
      <c r="AA824" s="115"/>
      <c r="AB824" s="115"/>
      <c r="AC824" s="115"/>
      <c r="AD824" s="115"/>
      <c r="AE824" s="115"/>
      <c r="AF824" s="115"/>
      <c r="AG824" s="115"/>
      <c r="AH824" s="115"/>
      <c r="AI824" s="115"/>
      <c r="AJ824" s="115"/>
      <c r="AK824" s="115"/>
      <c r="AL824" s="115"/>
      <c r="AM824" s="115"/>
      <c r="AN824" s="115"/>
      <c r="AO824" s="115"/>
      <c r="AP824" s="115"/>
      <c r="AQ824" s="115"/>
      <c r="AR824" s="115"/>
      <c r="AS824" s="115"/>
      <c r="AT824" s="115"/>
      <c r="AU824" s="115"/>
      <c r="AV824" s="115"/>
      <c r="AW824" s="115"/>
      <c r="AX824" s="115"/>
      <c r="AY824" s="115"/>
      <c r="AZ824" s="115"/>
      <c r="BA824" s="115"/>
      <c r="BB824" s="115"/>
      <c r="BC824" s="115"/>
      <c r="BD824" s="115"/>
      <c r="BE824" s="115"/>
      <c r="BF824" s="115"/>
      <c r="BG824" s="115"/>
      <c r="BH824" s="115"/>
      <c r="BI824" s="115"/>
      <c r="BJ824" s="115"/>
      <c r="BK824" s="115"/>
      <c r="BL824" s="115"/>
      <c r="BM824" s="115"/>
      <c r="BN824" s="115"/>
      <c r="BO824" s="115"/>
      <c r="BP824" s="115"/>
    </row>
    <row r="825" spans="1:68" ht="20.100000000000001" customHeight="1">
      <c r="A825" s="1216" t="s">
        <v>4888</v>
      </c>
      <c r="B825" s="1216" t="s">
        <v>4887</v>
      </c>
      <c r="C825" s="1216" t="s">
        <v>4893</v>
      </c>
      <c r="D825" s="943">
        <v>1025</v>
      </c>
      <c r="E825" s="943">
        <v>1950</v>
      </c>
      <c r="F825" s="943">
        <v>1950</v>
      </c>
      <c r="G825" s="29" t="s">
        <v>4566</v>
      </c>
      <c r="H825" s="56" t="s">
        <v>4580</v>
      </c>
      <c r="I825" s="50" t="s">
        <v>4881</v>
      </c>
      <c r="J825" s="37"/>
      <c r="K825" s="37" t="s">
        <v>4665</v>
      </c>
      <c r="L825" s="116" t="s">
        <v>4539</v>
      </c>
      <c r="M825" s="15">
        <v>43073</v>
      </c>
      <c r="N825" s="15">
        <v>43100</v>
      </c>
      <c r="O825" s="61" t="s">
        <v>4563</v>
      </c>
      <c r="P825" s="61"/>
      <c r="Q825" s="167"/>
      <c r="R825" s="239" t="s">
        <v>4578</v>
      </c>
      <c r="S825" s="327" t="s">
        <v>4561</v>
      </c>
      <c r="T825" s="858"/>
      <c r="U825" s="207"/>
      <c r="V825" s="115"/>
      <c r="W825" s="115"/>
      <c r="X825" s="115"/>
      <c r="Y825" s="115"/>
      <c r="Z825" s="115"/>
      <c r="AA825" s="115"/>
      <c r="AB825" s="115"/>
      <c r="AC825" s="115"/>
      <c r="AD825" s="115"/>
      <c r="AE825" s="115"/>
      <c r="AF825" s="115"/>
      <c r="AG825" s="115"/>
      <c r="AH825" s="115"/>
      <c r="AI825" s="115"/>
      <c r="AJ825" s="115"/>
      <c r="AK825" s="115"/>
      <c r="AL825" s="115"/>
      <c r="AM825" s="115"/>
      <c r="AN825" s="115"/>
      <c r="AO825" s="115"/>
      <c r="AP825" s="115"/>
      <c r="AQ825" s="115"/>
      <c r="AR825" s="115"/>
      <c r="AS825" s="115"/>
      <c r="AT825" s="115"/>
      <c r="AU825" s="115"/>
      <c r="AV825" s="115"/>
      <c r="AW825" s="115"/>
      <c r="AX825" s="115"/>
      <c r="AY825" s="115"/>
      <c r="AZ825" s="115"/>
      <c r="BA825" s="115"/>
      <c r="BB825" s="115"/>
      <c r="BC825" s="115"/>
      <c r="BD825" s="115"/>
      <c r="BE825" s="115"/>
      <c r="BF825" s="115"/>
      <c r="BG825" s="115"/>
      <c r="BH825" s="115"/>
      <c r="BI825" s="115"/>
      <c r="BJ825" s="115"/>
      <c r="BK825" s="115"/>
      <c r="BL825" s="115"/>
      <c r="BM825" s="115"/>
      <c r="BN825" s="115"/>
      <c r="BO825" s="115"/>
      <c r="BP825" s="115"/>
    </row>
    <row r="826" spans="1:68" ht="20.100000000000001" customHeight="1">
      <c r="A826" s="1216" t="s">
        <v>4888</v>
      </c>
      <c r="B826" s="1216" t="s">
        <v>4887</v>
      </c>
      <c r="C826" s="1216" t="s">
        <v>4893</v>
      </c>
      <c r="D826" s="943">
        <v>875</v>
      </c>
      <c r="E826" s="943">
        <v>1550</v>
      </c>
      <c r="F826" s="943">
        <v>1600</v>
      </c>
      <c r="G826" s="29" t="s">
        <v>4553</v>
      </c>
      <c r="H826" s="36" t="s">
        <v>4580</v>
      </c>
      <c r="I826" s="50" t="s">
        <v>4879</v>
      </c>
      <c r="J826" s="50"/>
      <c r="K826" s="50">
        <v>28</v>
      </c>
      <c r="L826" s="50" t="s">
        <v>4539</v>
      </c>
      <c r="M826" s="6">
        <v>43085</v>
      </c>
      <c r="N826" s="6">
        <v>43100</v>
      </c>
      <c r="O826" s="142" t="s">
        <v>4545</v>
      </c>
      <c r="P826" s="61" t="s">
        <v>4892</v>
      </c>
      <c r="Q826" s="171"/>
      <c r="R826" s="238" t="s">
        <v>4878</v>
      </c>
      <c r="S826" s="328" t="s">
        <v>4543</v>
      </c>
      <c r="T826" s="858"/>
      <c r="U826" s="207"/>
      <c r="V826" s="115"/>
      <c r="W826" s="115"/>
      <c r="X826" s="115"/>
      <c r="Y826" s="115"/>
      <c r="Z826" s="115"/>
      <c r="AA826" s="115"/>
      <c r="AB826" s="115"/>
      <c r="AC826" s="115"/>
      <c r="AD826" s="115"/>
      <c r="AE826" s="115"/>
      <c r="AF826" s="115"/>
      <c r="AG826" s="115"/>
      <c r="AH826" s="115"/>
      <c r="AI826" s="115"/>
      <c r="AJ826" s="115"/>
      <c r="AK826" s="115"/>
      <c r="AL826" s="115"/>
      <c r="AM826" s="115"/>
      <c r="AN826" s="115"/>
      <c r="AO826" s="115"/>
      <c r="AP826" s="115"/>
      <c r="AQ826" s="115"/>
      <c r="AR826" s="115"/>
      <c r="AS826" s="115"/>
      <c r="AT826" s="115"/>
      <c r="AU826" s="115"/>
      <c r="AV826" s="115"/>
      <c r="AW826" s="115"/>
      <c r="AX826" s="115"/>
      <c r="AY826" s="115"/>
      <c r="AZ826" s="115"/>
      <c r="BA826" s="115"/>
      <c r="BB826" s="115"/>
      <c r="BC826" s="115"/>
      <c r="BD826" s="115"/>
      <c r="BE826" s="115"/>
      <c r="BF826" s="115"/>
      <c r="BG826" s="115"/>
      <c r="BH826" s="115"/>
      <c r="BI826" s="115"/>
      <c r="BJ826" s="115"/>
      <c r="BK826" s="115"/>
      <c r="BL826" s="115"/>
      <c r="BM826" s="115"/>
      <c r="BN826" s="115"/>
      <c r="BO826" s="115"/>
      <c r="BP826" s="115"/>
    </row>
    <row r="827" spans="1:68" ht="20.100000000000001" customHeight="1">
      <c r="A827" s="1220" t="s">
        <v>4891</v>
      </c>
      <c r="B827" s="1217" t="s">
        <v>4887</v>
      </c>
      <c r="C827" s="1217" t="s">
        <v>4886</v>
      </c>
      <c r="D827" s="944"/>
      <c r="E827" s="944"/>
      <c r="F827" s="944"/>
      <c r="G827" s="222" t="s">
        <v>4572</v>
      </c>
      <c r="H827" s="56" t="s">
        <v>4552</v>
      </c>
      <c r="I827" s="37" t="s">
        <v>4885</v>
      </c>
      <c r="J827" s="37"/>
      <c r="K827" s="37">
        <v>38</v>
      </c>
      <c r="L827" s="50" t="s">
        <v>4539</v>
      </c>
      <c r="M827" s="15">
        <v>43060</v>
      </c>
      <c r="N827" s="15">
        <v>43076</v>
      </c>
      <c r="O827" s="142" t="s">
        <v>4545</v>
      </c>
      <c r="P827" s="61"/>
      <c r="Q827" s="167"/>
      <c r="R827" s="239" t="s">
        <v>4584</v>
      </c>
      <c r="S827" s="328" t="s">
        <v>4543</v>
      </c>
      <c r="T827" s="858"/>
      <c r="U827" s="283"/>
      <c r="V827" s="283"/>
      <c r="W827" s="283"/>
      <c r="X827" s="283"/>
      <c r="Y827" s="283"/>
      <c r="Z827" s="283"/>
      <c r="AA827" s="283"/>
      <c r="AB827" s="283"/>
      <c r="AC827" s="283"/>
      <c r="AD827" s="283"/>
      <c r="AE827" s="283"/>
      <c r="AF827" s="283"/>
      <c r="AG827" s="283"/>
      <c r="AH827" s="283"/>
      <c r="AI827" s="283"/>
      <c r="AJ827" s="283"/>
      <c r="AK827" s="283"/>
      <c r="AL827" s="283"/>
      <c r="AM827" s="283"/>
      <c r="AN827" s="283"/>
      <c r="AO827" s="283"/>
      <c r="AP827" s="283"/>
      <c r="AQ827" s="283"/>
      <c r="AR827" s="283"/>
      <c r="AS827" s="283"/>
      <c r="AT827" s="283"/>
      <c r="AU827" s="283"/>
      <c r="AV827" s="283"/>
      <c r="AW827" s="283"/>
      <c r="AX827" s="283"/>
      <c r="AY827" s="283"/>
      <c r="AZ827" s="283"/>
      <c r="BA827" s="283"/>
      <c r="BB827" s="283"/>
      <c r="BC827" s="283"/>
      <c r="BD827" s="283"/>
      <c r="BE827" s="283"/>
      <c r="BF827" s="283"/>
      <c r="BG827" s="283"/>
      <c r="BH827" s="283"/>
      <c r="BI827" s="283"/>
      <c r="BJ827" s="283"/>
      <c r="BK827" s="283"/>
      <c r="BL827" s="283"/>
      <c r="BM827" s="283"/>
      <c r="BN827" s="283"/>
      <c r="BO827" s="283"/>
      <c r="BP827" s="283"/>
    </row>
    <row r="828" spans="1:68" ht="20.100000000000001" customHeight="1">
      <c r="A828" s="1218" t="s">
        <v>4888</v>
      </c>
      <c r="B828" s="1218" t="s">
        <v>4887</v>
      </c>
      <c r="C828" s="1218" t="s">
        <v>4886</v>
      </c>
      <c r="D828" s="887"/>
      <c r="E828" s="887"/>
      <c r="F828" s="887"/>
      <c r="G828" s="234" t="s">
        <v>4575</v>
      </c>
      <c r="H828" s="36" t="s">
        <v>4890</v>
      </c>
      <c r="I828" s="37" t="s">
        <v>4884</v>
      </c>
      <c r="J828" s="37"/>
      <c r="K828" s="37">
        <v>27</v>
      </c>
      <c r="L828" s="50" t="s">
        <v>4539</v>
      </c>
      <c r="M828" s="15">
        <v>43084</v>
      </c>
      <c r="N828" s="15">
        <v>43100</v>
      </c>
      <c r="O828" s="128" t="s">
        <v>4883</v>
      </c>
      <c r="P828" s="167"/>
      <c r="Q828" s="7"/>
      <c r="R828" s="239" t="s">
        <v>4889</v>
      </c>
      <c r="S828" s="327" t="s">
        <v>4576</v>
      </c>
      <c r="T828" s="858"/>
      <c r="U828" s="207"/>
      <c r="V828" s="115"/>
      <c r="W828" s="115"/>
      <c r="X828" s="115"/>
      <c r="Y828" s="115"/>
      <c r="Z828" s="115"/>
      <c r="AA828" s="115"/>
      <c r="AB828" s="115"/>
      <c r="AC828" s="115"/>
      <c r="AD828" s="115"/>
      <c r="AE828" s="115"/>
      <c r="AF828" s="115"/>
      <c r="AG828" s="115"/>
      <c r="AH828" s="115"/>
      <c r="AI828" s="115"/>
      <c r="AJ828" s="115"/>
      <c r="AK828" s="115"/>
      <c r="AL828" s="115"/>
      <c r="AM828" s="115"/>
      <c r="AN828" s="115"/>
      <c r="AO828" s="115"/>
      <c r="AP828" s="115"/>
      <c r="AQ828" s="115"/>
      <c r="AR828" s="115"/>
      <c r="AS828" s="115"/>
      <c r="AT828" s="115"/>
      <c r="AU828" s="115"/>
      <c r="AV828" s="115"/>
      <c r="AW828" s="115"/>
      <c r="AX828" s="115"/>
      <c r="AY828" s="115"/>
      <c r="AZ828" s="115"/>
      <c r="BA828" s="115"/>
      <c r="BB828" s="115"/>
      <c r="BC828" s="115"/>
      <c r="BD828" s="115"/>
      <c r="BE828" s="115"/>
      <c r="BF828" s="115"/>
      <c r="BG828" s="115"/>
      <c r="BH828" s="115"/>
      <c r="BI828" s="115"/>
      <c r="BJ828" s="115"/>
      <c r="BK828" s="115"/>
      <c r="BL828" s="115"/>
      <c r="BM828" s="115"/>
      <c r="BN828" s="115"/>
      <c r="BO828" s="115"/>
      <c r="BP828" s="115"/>
    </row>
    <row r="829" spans="1:68" ht="20.100000000000001" customHeight="1">
      <c r="A829" s="1219" t="s">
        <v>4888</v>
      </c>
      <c r="B829" s="1219" t="s">
        <v>4887</v>
      </c>
      <c r="C829" s="1219" t="s">
        <v>4886</v>
      </c>
      <c r="D829" s="943"/>
      <c r="E829" s="943"/>
      <c r="F829" s="943"/>
      <c r="G829" s="29" t="s">
        <v>4566</v>
      </c>
      <c r="H829" s="56" t="s">
        <v>4580</v>
      </c>
      <c r="I829" s="50" t="s">
        <v>4881</v>
      </c>
      <c r="J829" s="34"/>
      <c r="K829" s="34" t="s">
        <v>4665</v>
      </c>
      <c r="L829" s="116" t="s">
        <v>4539</v>
      </c>
      <c r="M829" s="15">
        <v>43073</v>
      </c>
      <c r="N829" s="15">
        <v>43100</v>
      </c>
      <c r="O829" s="61" t="s">
        <v>4563</v>
      </c>
      <c r="P829" s="167"/>
      <c r="Q829" s="167"/>
      <c r="R829" s="239" t="s">
        <v>4578</v>
      </c>
      <c r="S829" s="327" t="s">
        <v>4561</v>
      </c>
      <c r="T829" s="858"/>
      <c r="U829" s="207"/>
      <c r="V829" s="115"/>
      <c r="W829" s="115"/>
      <c r="X829" s="115"/>
      <c r="Y829" s="115"/>
      <c r="Z829" s="115"/>
      <c r="AA829" s="115"/>
      <c r="AB829" s="115"/>
      <c r="AC829" s="115"/>
      <c r="AD829" s="115"/>
      <c r="AE829" s="115"/>
      <c r="AF829" s="115"/>
      <c r="AG829" s="115"/>
      <c r="AH829" s="115"/>
      <c r="AI829" s="115"/>
      <c r="AJ829" s="115"/>
      <c r="AK829" s="115"/>
      <c r="AL829" s="115"/>
      <c r="AM829" s="115"/>
      <c r="AN829" s="115"/>
      <c r="AO829" s="115"/>
      <c r="AP829" s="115"/>
      <c r="AQ829" s="115"/>
      <c r="AR829" s="115"/>
      <c r="AS829" s="115"/>
      <c r="AT829" s="115"/>
      <c r="AU829" s="115"/>
      <c r="AV829" s="115"/>
      <c r="AW829" s="115"/>
      <c r="AX829" s="115"/>
      <c r="AY829" s="115"/>
      <c r="AZ829" s="115"/>
      <c r="BA829" s="115"/>
      <c r="BB829" s="115"/>
      <c r="BC829" s="115"/>
      <c r="BD829" s="115"/>
      <c r="BE829" s="115"/>
      <c r="BF829" s="115"/>
      <c r="BG829" s="115"/>
      <c r="BH829" s="115"/>
      <c r="BI829" s="115"/>
      <c r="BJ829" s="115"/>
      <c r="BK829" s="115"/>
      <c r="BL829" s="115"/>
      <c r="BM829" s="115"/>
      <c r="BN829" s="115"/>
      <c r="BO829" s="115"/>
      <c r="BP829" s="115"/>
    </row>
    <row r="830" spans="1:68" ht="20.100000000000001" customHeight="1">
      <c r="A830" s="1217" t="s">
        <v>2819</v>
      </c>
      <c r="B830" s="1217" t="s">
        <v>2818</v>
      </c>
      <c r="C830" s="1217" t="s">
        <v>4880</v>
      </c>
      <c r="D830" s="247">
        <f>D823+75</f>
        <v>1225</v>
      </c>
      <c r="E830" s="247">
        <f>E823+150</f>
        <v>2250</v>
      </c>
      <c r="F830" s="247">
        <f>F823+150</f>
        <v>2325</v>
      </c>
      <c r="G830" s="222" t="s">
        <v>4572</v>
      </c>
      <c r="H830" s="56" t="s">
        <v>4552</v>
      </c>
      <c r="I830" s="37" t="s">
        <v>4885</v>
      </c>
      <c r="J830" s="37"/>
      <c r="K830" s="37" t="s">
        <v>4665</v>
      </c>
      <c r="L830" s="50" t="s">
        <v>4539</v>
      </c>
      <c r="M830" s="15">
        <v>43060</v>
      </c>
      <c r="N830" s="15">
        <v>43076</v>
      </c>
      <c r="O830" s="142" t="s">
        <v>4545</v>
      </c>
      <c r="P830" s="61"/>
      <c r="Q830" s="167"/>
      <c r="R830" s="239" t="s">
        <v>4584</v>
      </c>
      <c r="S830" s="328" t="s">
        <v>4543</v>
      </c>
      <c r="T830" s="858"/>
      <c r="U830" s="283"/>
      <c r="V830" s="283"/>
      <c r="W830" s="283"/>
      <c r="X830" s="283"/>
      <c r="Y830" s="283"/>
      <c r="Z830" s="283"/>
      <c r="AA830" s="283"/>
      <c r="AB830" s="283"/>
      <c r="AC830" s="283"/>
      <c r="AD830" s="283"/>
      <c r="AE830" s="283"/>
      <c r="AF830" s="283"/>
      <c r="AG830" s="283"/>
      <c r="AH830" s="283"/>
      <c r="AI830" s="283"/>
      <c r="AJ830" s="283"/>
      <c r="AK830" s="283"/>
      <c r="AL830" s="283"/>
      <c r="AM830" s="283"/>
      <c r="AN830" s="283"/>
      <c r="AO830" s="283"/>
      <c r="AP830" s="283"/>
      <c r="AQ830" s="283"/>
      <c r="AR830" s="283"/>
      <c r="AS830" s="283"/>
      <c r="AT830" s="283"/>
      <c r="AU830" s="283"/>
      <c r="AV830" s="283"/>
      <c r="AW830" s="283"/>
      <c r="AX830" s="283"/>
      <c r="AY830" s="283"/>
      <c r="AZ830" s="283"/>
      <c r="BA830" s="283"/>
      <c r="BB830" s="283"/>
      <c r="BC830" s="283"/>
      <c r="BD830" s="283"/>
      <c r="BE830" s="283"/>
      <c r="BF830" s="283"/>
      <c r="BG830" s="283"/>
      <c r="BH830" s="283"/>
      <c r="BI830" s="283"/>
      <c r="BJ830" s="283"/>
      <c r="BK830" s="283"/>
      <c r="BL830" s="283"/>
      <c r="BM830" s="283"/>
      <c r="BN830" s="283"/>
      <c r="BO830" s="283"/>
      <c r="BP830" s="283"/>
    </row>
    <row r="831" spans="1:68" ht="20.100000000000001" customHeight="1">
      <c r="A831" s="1218" t="s">
        <v>2819</v>
      </c>
      <c r="B831" s="1218" t="s">
        <v>2818</v>
      </c>
      <c r="C831" s="1218" t="s">
        <v>4880</v>
      </c>
      <c r="D831" s="320">
        <v>1025</v>
      </c>
      <c r="E831" s="320">
        <v>1950</v>
      </c>
      <c r="F831" s="320">
        <v>2000</v>
      </c>
      <c r="G831" s="234" t="s">
        <v>4575</v>
      </c>
      <c r="H831" s="36" t="s">
        <v>4635</v>
      </c>
      <c r="I831" s="37" t="s">
        <v>4884</v>
      </c>
      <c r="J831" s="37"/>
      <c r="K831" s="37" t="s">
        <v>4739</v>
      </c>
      <c r="L831" s="50" t="s">
        <v>4539</v>
      </c>
      <c r="M831" s="15">
        <v>43084</v>
      </c>
      <c r="N831" s="15">
        <v>43100</v>
      </c>
      <c r="O831" s="128" t="s">
        <v>4883</v>
      </c>
      <c r="P831" s="61"/>
      <c r="Q831" s="167"/>
      <c r="R831" s="239" t="s">
        <v>4882</v>
      </c>
      <c r="S831" s="328"/>
      <c r="T831" s="858"/>
      <c r="U831" s="213"/>
      <c r="V831" s="213"/>
      <c r="W831" s="213"/>
      <c r="X831" s="213"/>
      <c r="Y831" s="213"/>
      <c r="Z831" s="213"/>
      <c r="AA831" s="213"/>
      <c r="AB831" s="213"/>
      <c r="AC831" s="213"/>
      <c r="AD831" s="213"/>
      <c r="AE831" s="213"/>
      <c r="AF831" s="213"/>
      <c r="AG831" s="213"/>
      <c r="AH831" s="213"/>
      <c r="AI831" s="213"/>
      <c r="AJ831" s="213"/>
      <c r="AK831" s="213"/>
      <c r="AL831" s="213"/>
      <c r="AM831" s="213"/>
      <c r="AN831" s="213"/>
      <c r="AO831" s="213"/>
      <c r="AP831" s="213"/>
      <c r="AQ831" s="213"/>
      <c r="AR831" s="213"/>
      <c r="AS831" s="213"/>
      <c r="AT831" s="213"/>
      <c r="AU831" s="213"/>
      <c r="AV831" s="213"/>
      <c r="AW831" s="213"/>
      <c r="AX831" s="213"/>
      <c r="AY831" s="213"/>
      <c r="AZ831" s="213"/>
      <c r="BA831" s="213"/>
      <c r="BB831" s="213"/>
      <c r="BC831" s="213"/>
      <c r="BD831" s="213"/>
      <c r="BE831" s="213"/>
      <c r="BF831" s="213"/>
      <c r="BG831" s="213"/>
      <c r="BH831" s="213"/>
      <c r="BI831" s="213"/>
      <c r="BJ831" s="213"/>
      <c r="BK831" s="213"/>
      <c r="BL831" s="213"/>
      <c r="BM831" s="213"/>
      <c r="BN831" s="213"/>
      <c r="BO831" s="213"/>
      <c r="BP831" s="213"/>
    </row>
    <row r="832" spans="1:68" ht="20.100000000000001" customHeight="1">
      <c r="A832" s="1218" t="s">
        <v>2819</v>
      </c>
      <c r="B832" s="1218" t="s">
        <v>2818</v>
      </c>
      <c r="C832" s="1218" t="s">
        <v>4880</v>
      </c>
      <c r="D832" s="943">
        <v>1025</v>
      </c>
      <c r="E832" s="943">
        <v>1950</v>
      </c>
      <c r="F832" s="943">
        <v>1950</v>
      </c>
      <c r="G832" s="29" t="s">
        <v>4566</v>
      </c>
      <c r="H832" s="56" t="s">
        <v>4580</v>
      </c>
      <c r="I832" s="50" t="s">
        <v>4881</v>
      </c>
      <c r="J832" s="34"/>
      <c r="K832" s="34" t="s">
        <v>4665</v>
      </c>
      <c r="L832" s="116" t="s">
        <v>4539</v>
      </c>
      <c r="M832" s="15">
        <v>43073</v>
      </c>
      <c r="N832" s="15">
        <v>43100</v>
      </c>
      <c r="O832" s="61" t="s">
        <v>4563</v>
      </c>
      <c r="P832" s="167"/>
      <c r="Q832" s="167"/>
      <c r="R832" s="239" t="s">
        <v>4578</v>
      </c>
      <c r="S832" s="327"/>
      <c r="T832" s="858"/>
      <c r="U832" s="283"/>
      <c r="V832" s="283"/>
      <c r="W832" s="283"/>
      <c r="X832" s="283"/>
      <c r="Y832" s="283"/>
      <c r="Z832" s="283"/>
      <c r="AA832" s="283"/>
      <c r="AB832" s="283"/>
      <c r="AC832" s="283"/>
      <c r="AD832" s="283"/>
      <c r="AE832" s="283"/>
      <c r="AF832" s="283"/>
      <c r="AG832" s="283"/>
      <c r="AH832" s="283"/>
      <c r="AI832" s="283"/>
      <c r="AJ832" s="283"/>
      <c r="AK832" s="283"/>
      <c r="AL832" s="283"/>
      <c r="AM832" s="283"/>
      <c r="AN832" s="283"/>
      <c r="AO832" s="283"/>
      <c r="AP832" s="283"/>
      <c r="AQ832" s="283"/>
      <c r="AR832" s="283"/>
      <c r="AS832" s="283"/>
      <c r="AT832" s="283"/>
      <c r="AU832" s="283"/>
      <c r="AV832" s="283"/>
      <c r="AW832" s="283"/>
      <c r="AX832" s="283"/>
      <c r="AY832" s="283"/>
      <c r="AZ832" s="283"/>
      <c r="BA832" s="283"/>
      <c r="BB832" s="283"/>
      <c r="BC832" s="283"/>
      <c r="BD832" s="283"/>
      <c r="BE832" s="283"/>
      <c r="BF832" s="283"/>
      <c r="BG832" s="283"/>
      <c r="BH832" s="283"/>
      <c r="BI832" s="283"/>
      <c r="BJ832" s="283"/>
      <c r="BK832" s="283"/>
      <c r="BL832" s="283"/>
      <c r="BM832" s="283"/>
      <c r="BN832" s="283"/>
      <c r="BO832" s="283"/>
      <c r="BP832" s="283"/>
    </row>
    <row r="833" spans="1:68" ht="20.100000000000001" customHeight="1">
      <c r="A833" s="1219" t="s">
        <v>2819</v>
      </c>
      <c r="B833" s="1219" t="s">
        <v>2818</v>
      </c>
      <c r="C833" s="1219" t="s">
        <v>4880</v>
      </c>
      <c r="D833" s="943">
        <v>975</v>
      </c>
      <c r="E833" s="943">
        <v>1750</v>
      </c>
      <c r="F833" s="943">
        <v>1800</v>
      </c>
      <c r="G833" s="29" t="s">
        <v>4553</v>
      </c>
      <c r="H833" s="36" t="s">
        <v>4580</v>
      </c>
      <c r="I833" s="50" t="s">
        <v>4879</v>
      </c>
      <c r="J833" s="50"/>
      <c r="K833" s="50" t="s">
        <v>4665</v>
      </c>
      <c r="L833" s="50" t="s">
        <v>4539</v>
      </c>
      <c r="M833" s="6">
        <v>43085</v>
      </c>
      <c r="N833" s="6">
        <v>43100</v>
      </c>
      <c r="O833" s="142" t="s">
        <v>4545</v>
      </c>
      <c r="P833" s="59"/>
      <c r="Q833" s="171"/>
      <c r="R833" s="238" t="s">
        <v>4878</v>
      </c>
      <c r="S833" s="328" t="s">
        <v>4543</v>
      </c>
      <c r="T833" s="858"/>
      <c r="U833" s="207"/>
      <c r="V833" s="115"/>
      <c r="W833" s="115"/>
      <c r="X833" s="115"/>
      <c r="Y833" s="115"/>
      <c r="Z833" s="115"/>
      <c r="AA833" s="115"/>
      <c r="AB833" s="115"/>
      <c r="AC833" s="115"/>
      <c r="AD833" s="115"/>
      <c r="AE833" s="115"/>
      <c r="AF833" s="115"/>
      <c r="AG833" s="115"/>
      <c r="AH833" s="115"/>
      <c r="AI833" s="115"/>
      <c r="AJ833" s="115"/>
      <c r="AK833" s="115"/>
      <c r="AL833" s="115"/>
      <c r="AM833" s="115"/>
      <c r="AN833" s="115"/>
      <c r="AO833" s="115"/>
      <c r="AP833" s="115"/>
      <c r="AQ833" s="115"/>
      <c r="AR833" s="115"/>
      <c r="AS833" s="115"/>
      <c r="AT833" s="115"/>
      <c r="AU833" s="115"/>
      <c r="AV833" s="115"/>
      <c r="AW833" s="115"/>
      <c r="AX833" s="115"/>
      <c r="AY833" s="115"/>
      <c r="AZ833" s="115"/>
      <c r="BA833" s="115"/>
      <c r="BB833" s="115"/>
      <c r="BC833" s="115"/>
      <c r="BD833" s="115"/>
      <c r="BE833" s="115"/>
      <c r="BF833" s="115"/>
      <c r="BG833" s="115"/>
      <c r="BH833" s="115"/>
      <c r="BI833" s="115"/>
      <c r="BJ833" s="115"/>
      <c r="BK833" s="115"/>
      <c r="BL833" s="115"/>
      <c r="BM833" s="115"/>
      <c r="BN833" s="115"/>
      <c r="BO833" s="115"/>
      <c r="BP833" s="115"/>
    </row>
    <row r="834" spans="1:68" ht="20.100000000000001" customHeight="1">
      <c r="A834" s="1233" t="s">
        <v>4614</v>
      </c>
      <c r="B834" s="1228" t="s">
        <v>4868</v>
      </c>
      <c r="C834" s="1228" t="s">
        <v>4876</v>
      </c>
      <c r="D834" s="345">
        <f>D20+125+25</f>
        <v>1000</v>
      </c>
      <c r="E834" s="345">
        <f>E20+250+50</f>
        <v>1900</v>
      </c>
      <c r="F834" s="345">
        <f>F20+250+50</f>
        <v>1950</v>
      </c>
      <c r="G834" s="217" t="s">
        <v>4572</v>
      </c>
      <c r="H834" s="56" t="s">
        <v>4541</v>
      </c>
      <c r="I834" s="20" t="s">
        <v>4595</v>
      </c>
      <c r="J834" s="30"/>
      <c r="K834" s="38"/>
      <c r="L834" s="116" t="s">
        <v>4539</v>
      </c>
      <c r="M834" s="15">
        <v>43070</v>
      </c>
      <c r="N834" s="15">
        <v>43100</v>
      </c>
      <c r="O834" s="61" t="s">
        <v>4655</v>
      </c>
      <c r="P834" s="61"/>
      <c r="Q834" s="7"/>
      <c r="R834" s="239"/>
      <c r="S834" s="327" t="s">
        <v>4570</v>
      </c>
      <c r="T834" s="858"/>
      <c r="U834" s="207"/>
      <c r="V834" s="115"/>
      <c r="W834" s="115"/>
      <c r="X834" s="115"/>
      <c r="Y834" s="115"/>
      <c r="Z834" s="115"/>
      <c r="AA834" s="115"/>
      <c r="AB834" s="115"/>
      <c r="AC834" s="115"/>
      <c r="AD834" s="115"/>
      <c r="AE834" s="115"/>
      <c r="AF834" s="115"/>
      <c r="AG834" s="115"/>
      <c r="AH834" s="115"/>
      <c r="AI834" s="115"/>
      <c r="AJ834" s="115"/>
      <c r="AK834" s="115"/>
      <c r="AL834" s="115"/>
      <c r="AM834" s="115"/>
      <c r="AN834" s="115"/>
      <c r="AO834" s="115"/>
      <c r="AP834" s="115"/>
      <c r="AQ834" s="115"/>
      <c r="AR834" s="115"/>
      <c r="AS834" s="115"/>
      <c r="AT834" s="115"/>
      <c r="AU834" s="115"/>
      <c r="AV834" s="115"/>
      <c r="AW834" s="115"/>
      <c r="AX834" s="115"/>
      <c r="AY834" s="115"/>
      <c r="AZ834" s="115"/>
      <c r="BA834" s="115"/>
      <c r="BB834" s="115"/>
      <c r="BC834" s="115"/>
      <c r="BD834" s="115"/>
      <c r="BE834" s="115"/>
      <c r="BF834" s="115"/>
      <c r="BG834" s="115"/>
      <c r="BH834" s="115"/>
      <c r="BI834" s="115"/>
      <c r="BJ834" s="115"/>
      <c r="BK834" s="115"/>
      <c r="BL834" s="115"/>
      <c r="BM834" s="115"/>
      <c r="BN834" s="115"/>
      <c r="BO834" s="115"/>
      <c r="BP834" s="115"/>
    </row>
    <row r="835" spans="1:68" ht="20.100000000000001" customHeight="1">
      <c r="A835" s="1228" t="s">
        <v>4582</v>
      </c>
      <c r="B835" s="1228" t="s">
        <v>4868</v>
      </c>
      <c r="C835" s="1228" t="s">
        <v>4876</v>
      </c>
      <c r="D835" s="196">
        <f>D36+150</f>
        <v>1025</v>
      </c>
      <c r="E835" s="196">
        <f>E36+250</f>
        <v>1800</v>
      </c>
      <c r="F835" s="196">
        <f>F36+250</f>
        <v>1850</v>
      </c>
      <c r="G835" s="217" t="s">
        <v>4575</v>
      </c>
      <c r="H835" s="48" t="s">
        <v>4541</v>
      </c>
      <c r="I835" s="38" t="s">
        <v>4595</v>
      </c>
      <c r="J835" s="30"/>
      <c r="K835" s="38" t="s">
        <v>4877</v>
      </c>
      <c r="L835" s="116" t="s">
        <v>4539</v>
      </c>
      <c r="M835" s="15">
        <v>43084</v>
      </c>
      <c r="N835" s="15">
        <v>43100</v>
      </c>
      <c r="O835" s="61" t="s">
        <v>4573</v>
      </c>
      <c r="P835" s="61"/>
      <c r="Q835" s="61" t="s">
        <v>4680</v>
      </c>
      <c r="R835" s="239"/>
      <c r="S835" s="328" t="s">
        <v>4543</v>
      </c>
      <c r="T835" s="858"/>
      <c r="U835" s="207"/>
      <c r="V835" s="115"/>
      <c r="W835" s="115"/>
      <c r="X835" s="115"/>
      <c r="Y835" s="115"/>
      <c r="Z835" s="115"/>
      <c r="AA835" s="115"/>
      <c r="AB835" s="115"/>
      <c r="AC835" s="115"/>
      <c r="AD835" s="115"/>
      <c r="AE835" s="115"/>
      <c r="AF835" s="115"/>
      <c r="AG835" s="115"/>
      <c r="AH835" s="115"/>
      <c r="AI835" s="115"/>
      <c r="AJ835" s="115"/>
      <c r="AK835" s="115"/>
      <c r="AL835" s="115"/>
      <c r="AM835" s="115"/>
      <c r="AN835" s="115"/>
      <c r="AO835" s="115"/>
      <c r="AP835" s="115"/>
      <c r="AQ835" s="115"/>
      <c r="AR835" s="115"/>
      <c r="AS835" s="115"/>
      <c r="AT835" s="115"/>
      <c r="AU835" s="115"/>
      <c r="AV835" s="115"/>
      <c r="AW835" s="115"/>
      <c r="AX835" s="115"/>
      <c r="AY835" s="115"/>
      <c r="AZ835" s="115"/>
      <c r="BA835" s="115"/>
      <c r="BB835" s="115"/>
      <c r="BC835" s="115"/>
      <c r="BD835" s="115"/>
      <c r="BE835" s="115"/>
      <c r="BF835" s="115"/>
      <c r="BG835" s="115"/>
      <c r="BH835" s="115"/>
      <c r="BI835" s="115"/>
      <c r="BJ835" s="115"/>
      <c r="BK835" s="115"/>
      <c r="BL835" s="115"/>
      <c r="BM835" s="115"/>
      <c r="BN835" s="115"/>
      <c r="BO835" s="115"/>
      <c r="BP835" s="115"/>
    </row>
    <row r="836" spans="1:68" ht="20.100000000000001" customHeight="1">
      <c r="A836" s="1228" t="s">
        <v>4582</v>
      </c>
      <c r="B836" s="1228" t="s">
        <v>4868</v>
      </c>
      <c r="C836" s="1228" t="s">
        <v>4876</v>
      </c>
      <c r="D836" s="273">
        <f>D211+50+25</f>
        <v>800</v>
      </c>
      <c r="E836" s="273">
        <f>E211+100+50</f>
        <v>1500</v>
      </c>
      <c r="F836" s="273">
        <f>F211+100+50</f>
        <v>1550</v>
      </c>
      <c r="G836" s="110" t="s">
        <v>4566</v>
      </c>
      <c r="H836" s="69" t="s">
        <v>4556</v>
      </c>
      <c r="I836" s="38" t="s">
        <v>4595</v>
      </c>
      <c r="J836" s="30"/>
      <c r="K836" s="38"/>
      <c r="L836" s="116" t="s">
        <v>4539</v>
      </c>
      <c r="M836" s="15">
        <v>43084</v>
      </c>
      <c r="N836" s="15">
        <v>43100</v>
      </c>
      <c r="O836" s="59" t="s">
        <v>4674</v>
      </c>
      <c r="P836" s="61"/>
      <c r="Q836" s="61"/>
      <c r="R836" s="239"/>
      <c r="S836" s="327" t="s">
        <v>4561</v>
      </c>
      <c r="T836" s="858"/>
      <c r="U836" s="207"/>
      <c r="V836" s="115"/>
      <c r="W836" s="115"/>
      <c r="X836" s="115"/>
      <c r="Y836" s="115"/>
      <c r="Z836" s="115"/>
      <c r="AA836" s="115"/>
      <c r="AB836" s="115"/>
      <c r="AC836" s="115"/>
      <c r="AD836" s="115"/>
      <c r="AE836" s="115"/>
      <c r="AF836" s="115"/>
      <c r="AG836" s="115"/>
      <c r="AH836" s="115"/>
      <c r="AI836" s="115"/>
      <c r="AJ836" s="115"/>
      <c r="AK836" s="115"/>
      <c r="AL836" s="115"/>
      <c r="AM836" s="115"/>
      <c r="AN836" s="115"/>
      <c r="AO836" s="115"/>
      <c r="AP836" s="115"/>
      <c r="AQ836" s="115"/>
      <c r="AR836" s="115"/>
      <c r="AS836" s="115"/>
      <c r="AT836" s="115"/>
      <c r="AU836" s="115"/>
      <c r="AV836" s="115"/>
      <c r="AW836" s="115"/>
      <c r="AX836" s="115"/>
      <c r="AY836" s="115"/>
      <c r="AZ836" s="115"/>
      <c r="BA836" s="115"/>
      <c r="BB836" s="115"/>
      <c r="BC836" s="115"/>
      <c r="BD836" s="115"/>
      <c r="BE836" s="115"/>
      <c r="BF836" s="115"/>
      <c r="BG836" s="115"/>
      <c r="BH836" s="115"/>
      <c r="BI836" s="115"/>
      <c r="BJ836" s="115"/>
      <c r="BK836" s="115"/>
      <c r="BL836" s="115"/>
      <c r="BM836" s="115"/>
      <c r="BN836" s="115"/>
      <c r="BO836" s="115"/>
      <c r="BP836" s="115"/>
    </row>
    <row r="837" spans="1:68" ht="20.100000000000001" customHeight="1">
      <c r="A837" s="1228" t="s">
        <v>4582</v>
      </c>
      <c r="B837" s="1228" t="s">
        <v>4868</v>
      </c>
      <c r="C837" s="1228" t="s">
        <v>4876</v>
      </c>
      <c r="D837" s="195">
        <f>D43+190+25</f>
        <v>965</v>
      </c>
      <c r="E837" s="195">
        <f>E43+190+50</f>
        <v>1640</v>
      </c>
      <c r="F837" s="195">
        <f>F43+190+50</f>
        <v>1690</v>
      </c>
      <c r="G837" s="110" t="s">
        <v>4636</v>
      </c>
      <c r="H837" s="36" t="s">
        <v>4667</v>
      </c>
      <c r="I837" s="38" t="s">
        <v>4666</v>
      </c>
      <c r="J837" s="30"/>
      <c r="K837" s="38"/>
      <c r="L837" s="116" t="s">
        <v>4539</v>
      </c>
      <c r="M837" s="6">
        <v>43084</v>
      </c>
      <c r="N837" s="6">
        <v>43100</v>
      </c>
      <c r="O837" s="61" t="s">
        <v>4633</v>
      </c>
      <c r="P837" s="61"/>
      <c r="Q837" s="61"/>
      <c r="R837" s="239"/>
      <c r="S837" s="327" t="s">
        <v>4632</v>
      </c>
      <c r="T837" s="858"/>
      <c r="U837" s="279"/>
      <c r="V837" s="279"/>
      <c r="W837" s="279"/>
      <c r="X837" s="279"/>
      <c r="Y837" s="279"/>
      <c r="Z837" s="279"/>
      <c r="AA837" s="279"/>
      <c r="AB837" s="279"/>
      <c r="AC837" s="279"/>
      <c r="AD837" s="279"/>
      <c r="AE837" s="279"/>
      <c r="AF837" s="279"/>
      <c r="AG837" s="279"/>
      <c r="AH837" s="279"/>
      <c r="AI837" s="279"/>
      <c r="AJ837" s="279"/>
      <c r="AK837" s="279"/>
      <c r="AL837" s="279"/>
      <c r="AM837" s="279"/>
      <c r="AN837" s="279"/>
      <c r="AO837" s="279"/>
      <c r="AP837" s="279"/>
      <c r="AQ837" s="279"/>
      <c r="AR837" s="279"/>
      <c r="AS837" s="279"/>
      <c r="AT837" s="279"/>
      <c r="AU837" s="279"/>
      <c r="AV837" s="279"/>
      <c r="AW837" s="279"/>
      <c r="AX837" s="279"/>
      <c r="AY837" s="279"/>
      <c r="AZ837" s="279"/>
      <c r="BA837" s="279"/>
      <c r="BB837" s="279"/>
      <c r="BC837" s="279"/>
      <c r="BD837" s="279"/>
      <c r="BE837" s="279"/>
      <c r="BF837" s="279"/>
      <c r="BG837" s="279"/>
      <c r="BH837" s="279"/>
      <c r="BI837" s="279"/>
      <c r="BJ837" s="279"/>
      <c r="BK837" s="279"/>
      <c r="BL837" s="279"/>
      <c r="BM837" s="279"/>
      <c r="BN837" s="279"/>
      <c r="BO837" s="279"/>
      <c r="BP837" s="279"/>
    </row>
    <row r="838" spans="1:68" ht="20.100000000000001" customHeight="1">
      <c r="A838" s="1228" t="s">
        <v>4582</v>
      </c>
      <c r="B838" s="1228" t="s">
        <v>4868</v>
      </c>
      <c r="C838" s="1228" t="s">
        <v>4876</v>
      </c>
      <c r="D838" s="273">
        <f>D14+200</f>
        <v>980</v>
      </c>
      <c r="E838" s="273">
        <f>E14+350</f>
        <v>1807</v>
      </c>
      <c r="F838" s="273">
        <f>F14+350</f>
        <v>1807</v>
      </c>
      <c r="G838" s="225" t="s">
        <v>4569</v>
      </c>
      <c r="H838" s="69" t="s">
        <v>4602</v>
      </c>
      <c r="I838" s="38" t="s">
        <v>4595</v>
      </c>
      <c r="J838" s="30"/>
      <c r="K838" s="38" t="s">
        <v>4546</v>
      </c>
      <c r="L838" s="116" t="s">
        <v>4539</v>
      </c>
      <c r="M838" s="6">
        <v>43074</v>
      </c>
      <c r="N838" s="6">
        <v>43084</v>
      </c>
      <c r="O838" s="61" t="s">
        <v>4664</v>
      </c>
      <c r="P838" s="61"/>
      <c r="Q838" s="61"/>
      <c r="R838" s="239"/>
      <c r="S838" s="328"/>
      <c r="T838" s="858"/>
      <c r="U838" s="207"/>
      <c r="V838" s="115"/>
      <c r="W838" s="115"/>
      <c r="X838" s="115"/>
      <c r="Y838" s="115"/>
      <c r="Z838" s="115"/>
      <c r="AA838" s="115"/>
      <c r="AB838" s="115"/>
      <c r="AC838" s="115"/>
      <c r="AD838" s="115"/>
      <c r="AE838" s="115"/>
      <c r="AF838" s="115"/>
      <c r="AG838" s="115"/>
      <c r="AH838" s="115"/>
      <c r="AI838" s="115"/>
      <c r="AJ838" s="115"/>
      <c r="AK838" s="115"/>
      <c r="AL838" s="115"/>
      <c r="AM838" s="115"/>
      <c r="AN838" s="115"/>
      <c r="AO838" s="115"/>
      <c r="AP838" s="115"/>
      <c r="AQ838" s="115"/>
      <c r="AR838" s="115"/>
      <c r="AS838" s="115"/>
      <c r="AT838" s="115"/>
      <c r="AU838" s="115"/>
      <c r="AV838" s="115"/>
      <c r="AW838" s="115"/>
      <c r="AX838" s="115"/>
      <c r="AY838" s="115"/>
      <c r="AZ838" s="115"/>
      <c r="BA838" s="115"/>
      <c r="BB838" s="115"/>
      <c r="BC838" s="115"/>
      <c r="BD838" s="115"/>
      <c r="BE838" s="115"/>
      <c r="BF838" s="115"/>
      <c r="BG838" s="115"/>
      <c r="BH838" s="115"/>
      <c r="BI838" s="115"/>
      <c r="BJ838" s="115"/>
      <c r="BK838" s="115"/>
      <c r="BL838" s="115"/>
      <c r="BM838" s="115"/>
      <c r="BN838" s="115"/>
      <c r="BO838" s="115"/>
      <c r="BP838" s="115"/>
    </row>
    <row r="839" spans="1:68" ht="20.100000000000001" customHeight="1">
      <c r="A839" s="1228" t="s">
        <v>4582</v>
      </c>
      <c r="B839" s="1228" t="s">
        <v>4868</v>
      </c>
      <c r="C839" s="1228" t="s">
        <v>4876</v>
      </c>
      <c r="D839" s="195">
        <f>D10+225</f>
        <v>990</v>
      </c>
      <c r="E839" s="195">
        <f>E10+300</f>
        <v>1730</v>
      </c>
      <c r="F839" s="195">
        <f>F10+300</f>
        <v>1780</v>
      </c>
      <c r="G839" s="110" t="s">
        <v>4560</v>
      </c>
      <c r="H839" s="48" t="s">
        <v>4556</v>
      </c>
      <c r="I839" s="38" t="s">
        <v>4595</v>
      </c>
      <c r="J839" s="30"/>
      <c r="K839" s="38">
        <v>32</v>
      </c>
      <c r="L839" s="116" t="s">
        <v>4539</v>
      </c>
      <c r="M839" s="15">
        <v>43084</v>
      </c>
      <c r="N839" s="15">
        <v>43100</v>
      </c>
      <c r="O839" s="59" t="s">
        <v>4559</v>
      </c>
      <c r="P839" s="61"/>
      <c r="Q839" s="61"/>
      <c r="R839" s="239"/>
      <c r="S839" s="336" t="s">
        <v>4558</v>
      </c>
      <c r="T839" s="858"/>
      <c r="U839" s="233"/>
      <c r="V839" s="233"/>
      <c r="W839" s="233"/>
      <c r="X839" s="233"/>
      <c r="Y839" s="233"/>
      <c r="Z839" s="233"/>
      <c r="AA839" s="233"/>
      <c r="AB839" s="233"/>
      <c r="AC839" s="233"/>
      <c r="AD839" s="233"/>
      <c r="AE839" s="233"/>
      <c r="AF839" s="233"/>
      <c r="AG839" s="233"/>
      <c r="AH839" s="233"/>
      <c r="AI839" s="233"/>
      <c r="AJ839" s="233"/>
      <c r="AK839" s="233"/>
      <c r="AL839" s="233"/>
      <c r="AM839" s="233"/>
      <c r="AN839" s="233"/>
      <c r="AO839" s="233"/>
      <c r="AP839" s="233"/>
      <c r="AQ839" s="233"/>
      <c r="AR839" s="233"/>
      <c r="AS839" s="233"/>
      <c r="AT839" s="233"/>
      <c r="AU839" s="233"/>
      <c r="AV839" s="233"/>
      <c r="AW839" s="233"/>
      <c r="AX839" s="233"/>
      <c r="AY839" s="233"/>
      <c r="AZ839" s="233"/>
      <c r="BA839" s="233"/>
      <c r="BB839" s="233"/>
      <c r="BC839" s="233"/>
      <c r="BD839" s="233"/>
      <c r="BE839" s="233"/>
      <c r="BF839" s="233"/>
      <c r="BG839" s="233"/>
      <c r="BH839" s="233"/>
      <c r="BI839" s="233"/>
      <c r="BJ839" s="233"/>
      <c r="BK839" s="233"/>
      <c r="BL839" s="233"/>
      <c r="BM839" s="233"/>
      <c r="BN839" s="233"/>
      <c r="BO839" s="233"/>
      <c r="BP839" s="233"/>
    </row>
    <row r="840" spans="1:68" ht="20.100000000000001" customHeight="1">
      <c r="A840" s="1228" t="s">
        <v>4582</v>
      </c>
      <c r="B840" s="1228" t="s">
        <v>4868</v>
      </c>
      <c r="C840" s="1228" t="s">
        <v>4876</v>
      </c>
      <c r="D840" s="195">
        <f>D64+600</f>
        <v>1350</v>
      </c>
      <c r="E840" s="195">
        <f>E64+700</f>
        <v>2100</v>
      </c>
      <c r="F840" s="195">
        <f>F64+700</f>
        <v>2100</v>
      </c>
      <c r="G840" s="217" t="s">
        <v>4557</v>
      </c>
      <c r="H840" s="69" t="s">
        <v>4556</v>
      </c>
      <c r="I840" s="38" t="s">
        <v>4540</v>
      </c>
      <c r="J840" s="30"/>
      <c r="K840" s="38"/>
      <c r="L840" s="116" t="s">
        <v>4539</v>
      </c>
      <c r="M840" s="6">
        <v>43084</v>
      </c>
      <c r="N840" s="6">
        <v>43100</v>
      </c>
      <c r="O840" s="61" t="s">
        <v>4555</v>
      </c>
      <c r="P840" s="61"/>
      <c r="Q840" s="7"/>
      <c r="R840" s="239" t="s">
        <v>4554</v>
      </c>
      <c r="S840" s="326" t="s">
        <v>4543</v>
      </c>
      <c r="T840" s="858"/>
      <c r="U840" s="207"/>
      <c r="V840" s="115"/>
      <c r="W840" s="115"/>
      <c r="X840" s="115"/>
      <c r="Y840" s="115"/>
      <c r="Z840" s="115"/>
      <c r="AA840" s="115"/>
      <c r="AB840" s="115"/>
      <c r="AC840" s="115"/>
      <c r="AD840" s="115"/>
      <c r="AE840" s="115"/>
      <c r="AF840" s="115"/>
      <c r="AG840" s="115"/>
      <c r="AH840" s="115"/>
      <c r="AI840" s="115"/>
      <c r="AJ840" s="115"/>
      <c r="AK840" s="115"/>
      <c r="AL840" s="115"/>
      <c r="AM840" s="115"/>
      <c r="AN840" s="115"/>
      <c r="AO840" s="115"/>
      <c r="AP840" s="115"/>
      <c r="AQ840" s="115"/>
      <c r="AR840" s="115"/>
      <c r="AS840" s="115"/>
      <c r="AT840" s="115"/>
      <c r="AU840" s="115"/>
      <c r="AV840" s="115"/>
      <c r="AW840" s="115"/>
      <c r="AX840" s="115"/>
      <c r="AY840" s="115"/>
      <c r="AZ840" s="115"/>
      <c r="BA840" s="115"/>
      <c r="BB840" s="115"/>
      <c r="BC840" s="115"/>
      <c r="BD840" s="115"/>
      <c r="BE840" s="115"/>
      <c r="BF840" s="115"/>
      <c r="BG840" s="115"/>
      <c r="BH840" s="115"/>
      <c r="BI840" s="115"/>
      <c r="BJ840" s="115"/>
      <c r="BK840" s="115"/>
      <c r="BL840" s="115"/>
      <c r="BM840" s="115"/>
      <c r="BN840" s="115"/>
      <c r="BO840" s="115"/>
      <c r="BP840" s="115"/>
    </row>
    <row r="841" spans="1:68" ht="20.100000000000001" customHeight="1">
      <c r="A841" s="1228" t="s">
        <v>4582</v>
      </c>
      <c r="B841" s="1228" t="s">
        <v>4868</v>
      </c>
      <c r="C841" s="1228" t="s">
        <v>4876</v>
      </c>
      <c r="D841" s="195">
        <f>D120+0</f>
        <v>900</v>
      </c>
      <c r="E841" s="195">
        <f>E120+0</f>
        <v>1600</v>
      </c>
      <c r="F841" s="195">
        <f>F120+0</f>
        <v>1650</v>
      </c>
      <c r="G841" s="110" t="s">
        <v>4553</v>
      </c>
      <c r="H841" s="56" t="s">
        <v>4552</v>
      </c>
      <c r="I841" s="38" t="s">
        <v>4639</v>
      </c>
      <c r="J841" s="30"/>
      <c r="K841" s="38">
        <v>38</v>
      </c>
      <c r="L841" s="116" t="s">
        <v>4539</v>
      </c>
      <c r="M841" s="6">
        <v>43085</v>
      </c>
      <c r="N841" s="6">
        <v>43100</v>
      </c>
      <c r="O841" s="61" t="s">
        <v>4663</v>
      </c>
      <c r="P841" s="61"/>
      <c r="Q841" s="61"/>
      <c r="R841" s="239"/>
      <c r="S841" s="328" t="s">
        <v>4543</v>
      </c>
      <c r="T841" s="858"/>
      <c r="U841" s="207"/>
      <c r="V841" s="115"/>
      <c r="W841" s="115"/>
      <c r="X841" s="115"/>
      <c r="Y841" s="115"/>
      <c r="Z841" s="115"/>
      <c r="AA841" s="115"/>
      <c r="AB841" s="115"/>
      <c r="AC841" s="115"/>
      <c r="AD841" s="115"/>
      <c r="AE841" s="115"/>
      <c r="AF841" s="115"/>
      <c r="AG841" s="115"/>
      <c r="AH841" s="115"/>
      <c r="AI841" s="115"/>
      <c r="AJ841" s="115"/>
      <c r="AK841" s="115"/>
      <c r="AL841" s="115"/>
      <c r="AM841" s="115"/>
      <c r="AN841" s="115"/>
      <c r="AO841" s="115"/>
      <c r="AP841" s="115"/>
      <c r="AQ841" s="115"/>
      <c r="AR841" s="115"/>
      <c r="AS841" s="115"/>
      <c r="AT841" s="115"/>
      <c r="AU841" s="115"/>
      <c r="AV841" s="115"/>
      <c r="AW841" s="115"/>
      <c r="AX841" s="115"/>
      <c r="AY841" s="115"/>
      <c r="AZ841" s="115"/>
      <c r="BA841" s="115"/>
      <c r="BB841" s="115"/>
      <c r="BC841" s="115"/>
      <c r="BD841" s="115"/>
      <c r="BE841" s="115"/>
      <c r="BF841" s="115"/>
      <c r="BG841" s="115"/>
      <c r="BH841" s="115"/>
      <c r="BI841" s="115"/>
      <c r="BJ841" s="115"/>
      <c r="BK841" s="115"/>
      <c r="BL841" s="115"/>
      <c r="BM841" s="115"/>
      <c r="BN841" s="115"/>
      <c r="BO841" s="115"/>
      <c r="BP841" s="115"/>
    </row>
    <row r="842" spans="1:68" ht="20.100000000000001" customHeight="1">
      <c r="A842" s="1228" t="s">
        <v>4582</v>
      </c>
      <c r="B842" s="1228" t="s">
        <v>4868</v>
      </c>
      <c r="C842" s="1228" t="s">
        <v>4876</v>
      </c>
      <c r="D842" s="195">
        <f>D19+575+25</f>
        <v>1375</v>
      </c>
      <c r="E842" s="195">
        <f>E19+800+50</f>
        <v>2300</v>
      </c>
      <c r="F842" s="195">
        <f>F19+800+50</f>
        <v>2350</v>
      </c>
      <c r="G842" s="12" t="s">
        <v>4542</v>
      </c>
      <c r="H842" s="69" t="s">
        <v>4541</v>
      </c>
      <c r="I842" s="38" t="s">
        <v>4595</v>
      </c>
      <c r="J842" s="140"/>
      <c r="K842" s="38"/>
      <c r="L842" s="116" t="s">
        <v>4539</v>
      </c>
      <c r="M842" s="15">
        <v>43084</v>
      </c>
      <c r="N842" s="15">
        <v>43100</v>
      </c>
      <c r="O842" s="61" t="s">
        <v>4538</v>
      </c>
      <c r="P842" s="61"/>
      <c r="Q842" s="61"/>
      <c r="R842" s="239"/>
      <c r="S842" s="326" t="s">
        <v>4537</v>
      </c>
      <c r="T842" s="858"/>
      <c r="U842" s="207"/>
      <c r="V842" s="115"/>
      <c r="W842" s="115"/>
      <c r="X842" s="115"/>
      <c r="Y842" s="115"/>
      <c r="Z842" s="115"/>
      <c r="AA842" s="115"/>
      <c r="AB842" s="115"/>
      <c r="AC842" s="115"/>
      <c r="AD842" s="115"/>
      <c r="AE842" s="115"/>
      <c r="AF842" s="115"/>
      <c r="AG842" s="115"/>
      <c r="AH842" s="115"/>
      <c r="AI842" s="115"/>
      <c r="AJ842" s="115"/>
      <c r="AK842" s="115"/>
      <c r="AL842" s="115"/>
      <c r="AM842" s="115"/>
      <c r="AN842" s="115"/>
      <c r="AO842" s="115"/>
      <c r="AP842" s="115"/>
      <c r="AQ842" s="115"/>
      <c r="AR842" s="115"/>
      <c r="AS842" s="115"/>
      <c r="AT842" s="115"/>
      <c r="AU842" s="115"/>
      <c r="AV842" s="115"/>
      <c r="AW842" s="115"/>
      <c r="AX842" s="115"/>
      <c r="AY842" s="115"/>
      <c r="AZ842" s="115"/>
      <c r="BA842" s="115"/>
      <c r="BB842" s="115"/>
      <c r="BC842" s="115"/>
      <c r="BD842" s="115"/>
      <c r="BE842" s="115"/>
      <c r="BF842" s="115"/>
      <c r="BG842" s="115"/>
      <c r="BH842" s="115"/>
      <c r="BI842" s="115"/>
      <c r="BJ842" s="115"/>
      <c r="BK842" s="115"/>
      <c r="BL842" s="115"/>
      <c r="BM842" s="115"/>
      <c r="BN842" s="115"/>
      <c r="BO842" s="115"/>
      <c r="BP842" s="115"/>
    </row>
    <row r="843" spans="1:68" ht="20.100000000000001" customHeight="1">
      <c r="A843" s="1228" t="s">
        <v>4582</v>
      </c>
      <c r="B843" s="1228" t="s">
        <v>4868</v>
      </c>
      <c r="C843" s="1228" t="s">
        <v>4876</v>
      </c>
      <c r="D843" s="195">
        <f>D65+300</f>
        <v>1100</v>
      </c>
      <c r="E843" s="195">
        <f>E65+300</f>
        <v>1800</v>
      </c>
      <c r="F843" s="195">
        <f>F65+300</f>
        <v>1850</v>
      </c>
      <c r="G843" s="12" t="s">
        <v>4645</v>
      </c>
      <c r="H843" s="48" t="s">
        <v>4556</v>
      </c>
      <c r="I843" s="38" t="s">
        <v>4595</v>
      </c>
      <c r="J843" s="30"/>
      <c r="K843" s="38" t="s">
        <v>4875</v>
      </c>
      <c r="L843" s="116" t="s">
        <v>4539</v>
      </c>
      <c r="M843" s="6">
        <v>43084</v>
      </c>
      <c r="N843" s="6">
        <v>43100</v>
      </c>
      <c r="O843" s="61" t="s">
        <v>4643</v>
      </c>
      <c r="P843" s="61"/>
      <c r="Q843" s="61"/>
      <c r="R843" s="239"/>
      <c r="S843" s="326" t="s">
        <v>4641</v>
      </c>
      <c r="T843" s="858"/>
      <c r="U843" s="207"/>
      <c r="V843" s="115"/>
      <c r="W843" s="115"/>
      <c r="X843" s="115"/>
      <c r="Y843" s="115"/>
      <c r="Z843" s="115"/>
      <c r="AA843" s="115"/>
      <c r="AB843" s="115"/>
      <c r="AC843" s="115"/>
      <c r="AD843" s="115"/>
      <c r="AE843" s="115"/>
      <c r="AF843" s="115"/>
      <c r="AG843" s="115"/>
      <c r="AH843" s="115"/>
      <c r="AI843" s="115"/>
      <c r="AJ843" s="115"/>
      <c r="AK843" s="115"/>
      <c r="AL843" s="115"/>
      <c r="AM843" s="115"/>
      <c r="AN843" s="115"/>
      <c r="AO843" s="115"/>
      <c r="AP843" s="115"/>
      <c r="AQ843" s="115"/>
      <c r="AR843" s="115"/>
      <c r="AS843" s="115"/>
      <c r="AT843" s="115"/>
      <c r="AU843" s="115"/>
      <c r="AV843" s="115"/>
      <c r="AW843" s="115"/>
      <c r="AX843" s="115"/>
      <c r="AY843" s="115"/>
      <c r="AZ843" s="115"/>
      <c r="BA843" s="115"/>
      <c r="BB843" s="115"/>
      <c r="BC843" s="115"/>
      <c r="BD843" s="115"/>
      <c r="BE843" s="115"/>
      <c r="BF843" s="115"/>
      <c r="BG843" s="115"/>
      <c r="BH843" s="115"/>
      <c r="BI843" s="115"/>
      <c r="BJ843" s="115"/>
      <c r="BK843" s="115"/>
      <c r="BL843" s="115"/>
      <c r="BM843" s="115"/>
      <c r="BN843" s="115"/>
      <c r="BO843" s="115"/>
      <c r="BP843" s="115"/>
    </row>
    <row r="844" spans="1:68" ht="20.100000000000001" customHeight="1">
      <c r="A844" s="909" t="s">
        <v>4614</v>
      </c>
      <c r="B844" s="907" t="s">
        <v>4868</v>
      </c>
      <c r="C844" s="907" t="s">
        <v>4874</v>
      </c>
      <c r="D844" s="345">
        <f>D20+125+25</f>
        <v>1000</v>
      </c>
      <c r="E844" s="345">
        <f>E20+250+50</f>
        <v>1900</v>
      </c>
      <c r="F844" s="345">
        <f>F20+250+50</f>
        <v>1950</v>
      </c>
      <c r="G844" s="217" t="s">
        <v>4572</v>
      </c>
      <c r="H844" s="56" t="s">
        <v>4541</v>
      </c>
      <c r="I844" s="20" t="s">
        <v>4595</v>
      </c>
      <c r="J844" s="30"/>
      <c r="K844" s="38"/>
      <c r="L844" s="116" t="s">
        <v>4539</v>
      </c>
      <c r="M844" s="15">
        <v>43070</v>
      </c>
      <c r="N844" s="15">
        <v>43100</v>
      </c>
      <c r="O844" s="61" t="s">
        <v>4655</v>
      </c>
      <c r="P844" s="61"/>
      <c r="Q844" s="7"/>
      <c r="R844" s="239"/>
      <c r="S844" s="327" t="s">
        <v>4570</v>
      </c>
      <c r="T844" s="858"/>
      <c r="U844" s="207"/>
      <c r="V844" s="115"/>
      <c r="W844" s="115"/>
      <c r="X844" s="115"/>
      <c r="Y844" s="115"/>
      <c r="Z844" s="115"/>
      <c r="AA844" s="115"/>
      <c r="AB844" s="115"/>
      <c r="AC844" s="115"/>
      <c r="AD844" s="115"/>
      <c r="AE844" s="115"/>
      <c r="AF844" s="115"/>
      <c r="AG844" s="115"/>
      <c r="AH844" s="115"/>
      <c r="AI844" s="115"/>
      <c r="AJ844" s="115"/>
      <c r="AK844" s="115"/>
      <c r="AL844" s="115"/>
      <c r="AM844" s="115"/>
      <c r="AN844" s="115"/>
      <c r="AO844" s="115"/>
      <c r="AP844" s="115"/>
      <c r="AQ844" s="115"/>
      <c r="AR844" s="115"/>
      <c r="AS844" s="115"/>
      <c r="AT844" s="115"/>
      <c r="AU844" s="115"/>
      <c r="AV844" s="115"/>
      <c r="AW844" s="115"/>
      <c r="AX844" s="115"/>
      <c r="AY844" s="115"/>
      <c r="AZ844" s="115"/>
      <c r="BA844" s="115"/>
      <c r="BB844" s="115"/>
      <c r="BC844" s="115"/>
      <c r="BD844" s="115"/>
      <c r="BE844" s="115"/>
      <c r="BF844" s="115"/>
      <c r="BG844" s="115"/>
      <c r="BH844" s="115"/>
      <c r="BI844" s="115"/>
      <c r="BJ844" s="115"/>
      <c r="BK844" s="115"/>
      <c r="BL844" s="115"/>
      <c r="BM844" s="115"/>
      <c r="BN844" s="115"/>
      <c r="BO844" s="115"/>
      <c r="BP844" s="115"/>
    </row>
    <row r="845" spans="1:68" ht="20.100000000000001" customHeight="1">
      <c r="A845" s="1228" t="s">
        <v>4582</v>
      </c>
      <c r="B845" s="1228" t="s">
        <v>4868</v>
      </c>
      <c r="C845" s="1228" t="s">
        <v>4872</v>
      </c>
      <c r="D845" s="345">
        <f>D20+125+25</f>
        <v>1000</v>
      </c>
      <c r="E845" s="345">
        <f>E20+250+50</f>
        <v>1900</v>
      </c>
      <c r="F845" s="345">
        <f>F20+250+50</f>
        <v>1950</v>
      </c>
      <c r="G845" s="217" t="s">
        <v>4572</v>
      </c>
      <c r="H845" s="56" t="s">
        <v>4541</v>
      </c>
      <c r="I845" s="10" t="s">
        <v>4595</v>
      </c>
      <c r="J845" s="30"/>
      <c r="K845" s="38"/>
      <c r="L845" s="116" t="s">
        <v>4539</v>
      </c>
      <c r="M845" s="15">
        <v>43070</v>
      </c>
      <c r="N845" s="15">
        <v>43100</v>
      </c>
      <c r="O845" s="61" t="s">
        <v>4655</v>
      </c>
      <c r="P845" s="61"/>
      <c r="Q845" s="7"/>
      <c r="R845" s="239"/>
      <c r="S845" s="327" t="s">
        <v>4570</v>
      </c>
      <c r="T845" s="858"/>
      <c r="U845" s="207"/>
      <c r="V845" s="115"/>
      <c r="W845" s="115"/>
      <c r="X845" s="115"/>
      <c r="Y845" s="115"/>
      <c r="Z845" s="115"/>
      <c r="AA845" s="115"/>
      <c r="AB845" s="115"/>
      <c r="AC845" s="115"/>
      <c r="AD845" s="115"/>
      <c r="AE845" s="115"/>
      <c r="AF845" s="115"/>
      <c r="AG845" s="115"/>
      <c r="AH845" s="115"/>
      <c r="AI845" s="115"/>
      <c r="AJ845" s="115"/>
      <c r="AK845" s="115"/>
      <c r="AL845" s="115"/>
      <c r="AM845" s="115"/>
      <c r="AN845" s="115"/>
      <c r="AO845" s="115"/>
      <c r="AP845" s="115"/>
      <c r="AQ845" s="115"/>
      <c r="AR845" s="115"/>
      <c r="AS845" s="115"/>
      <c r="AT845" s="115"/>
      <c r="AU845" s="115"/>
      <c r="AV845" s="115"/>
      <c r="AW845" s="115"/>
      <c r="AX845" s="115"/>
      <c r="AY845" s="115"/>
      <c r="AZ845" s="115"/>
      <c r="BA845" s="115"/>
      <c r="BB845" s="115"/>
      <c r="BC845" s="115"/>
      <c r="BD845" s="115"/>
      <c r="BE845" s="115"/>
      <c r="BF845" s="115"/>
      <c r="BG845" s="115"/>
      <c r="BH845" s="115"/>
      <c r="BI845" s="115"/>
      <c r="BJ845" s="115"/>
      <c r="BK845" s="115"/>
      <c r="BL845" s="115"/>
      <c r="BM845" s="115"/>
      <c r="BN845" s="115"/>
      <c r="BO845" s="115"/>
      <c r="BP845" s="115"/>
    </row>
    <row r="846" spans="1:68" ht="20.100000000000001" customHeight="1">
      <c r="A846" s="1228" t="s">
        <v>4582</v>
      </c>
      <c r="B846" s="1228" t="s">
        <v>4868</v>
      </c>
      <c r="C846" s="1228" t="s">
        <v>4872</v>
      </c>
      <c r="D846" s="196">
        <f>D36+150</f>
        <v>1025</v>
      </c>
      <c r="E846" s="196">
        <f>E36+250</f>
        <v>1800</v>
      </c>
      <c r="F846" s="196">
        <f>F36+250</f>
        <v>1850</v>
      </c>
      <c r="G846" s="217" t="s">
        <v>4575</v>
      </c>
      <c r="H846" s="48" t="s">
        <v>4541</v>
      </c>
      <c r="I846" s="38" t="s">
        <v>4595</v>
      </c>
      <c r="J846" s="30"/>
      <c r="K846" s="38" t="s">
        <v>4873</v>
      </c>
      <c r="L846" s="116" t="s">
        <v>4539</v>
      </c>
      <c r="M846" s="15">
        <v>43084</v>
      </c>
      <c r="N846" s="15">
        <v>43100</v>
      </c>
      <c r="O846" s="61" t="s">
        <v>4573</v>
      </c>
      <c r="P846" s="61"/>
      <c r="Q846" s="61" t="s">
        <v>4680</v>
      </c>
      <c r="R846" s="239"/>
      <c r="S846" s="328" t="s">
        <v>4543</v>
      </c>
      <c r="T846" s="858"/>
      <c r="U846" s="207"/>
      <c r="V846" s="115"/>
      <c r="W846" s="115"/>
      <c r="X846" s="115"/>
      <c r="Y846" s="115"/>
      <c r="Z846" s="115"/>
      <c r="AA846" s="115"/>
      <c r="AB846" s="115"/>
      <c r="AC846" s="115"/>
      <c r="AD846" s="115"/>
      <c r="AE846" s="115"/>
      <c r="AF846" s="115"/>
      <c r="AG846" s="115"/>
      <c r="AH846" s="115"/>
      <c r="AI846" s="115"/>
      <c r="AJ846" s="115"/>
      <c r="AK846" s="115"/>
      <c r="AL846" s="115"/>
      <c r="AM846" s="115"/>
      <c r="AN846" s="115"/>
      <c r="AO846" s="115"/>
      <c r="AP846" s="115"/>
      <c r="AQ846" s="115"/>
      <c r="AR846" s="115"/>
      <c r="AS846" s="115"/>
      <c r="AT846" s="115"/>
      <c r="AU846" s="115"/>
      <c r="AV846" s="115"/>
      <c r="AW846" s="115"/>
      <c r="AX846" s="115"/>
      <c r="AY846" s="115"/>
      <c r="AZ846" s="115"/>
      <c r="BA846" s="115"/>
      <c r="BB846" s="115"/>
      <c r="BC846" s="115"/>
      <c r="BD846" s="115"/>
      <c r="BE846" s="115"/>
      <c r="BF846" s="115"/>
      <c r="BG846" s="115"/>
      <c r="BH846" s="115"/>
      <c r="BI846" s="115"/>
      <c r="BJ846" s="115"/>
      <c r="BK846" s="115"/>
      <c r="BL846" s="115"/>
      <c r="BM846" s="115"/>
      <c r="BN846" s="115"/>
      <c r="BO846" s="115"/>
      <c r="BP846" s="115"/>
    </row>
    <row r="847" spans="1:68" ht="20.100000000000001" customHeight="1">
      <c r="A847" s="1228" t="s">
        <v>4582</v>
      </c>
      <c r="B847" s="1228" t="s">
        <v>4868</v>
      </c>
      <c r="C847" s="1228" t="s">
        <v>4872</v>
      </c>
      <c r="D847" s="274">
        <f>D14+425</f>
        <v>1205</v>
      </c>
      <c r="E847" s="274">
        <f>E14+425</f>
        <v>1882</v>
      </c>
      <c r="F847" s="274">
        <f>F14+425</f>
        <v>1882</v>
      </c>
      <c r="G847" s="225" t="s">
        <v>4569</v>
      </c>
      <c r="H847" s="69" t="s">
        <v>4602</v>
      </c>
      <c r="I847" s="38" t="s">
        <v>4595</v>
      </c>
      <c r="J847" s="30"/>
      <c r="K847" s="38" t="s">
        <v>4546</v>
      </c>
      <c r="L847" s="116" t="s">
        <v>4539</v>
      </c>
      <c r="M847" s="6">
        <v>43074</v>
      </c>
      <c r="N847" s="6">
        <v>43084</v>
      </c>
      <c r="O847" s="61" t="s">
        <v>4664</v>
      </c>
      <c r="P847" s="61"/>
      <c r="Q847" s="61"/>
      <c r="R847" s="239"/>
      <c r="S847" s="328" t="s">
        <v>4543</v>
      </c>
      <c r="T847" s="858"/>
      <c r="U847" s="283"/>
      <c r="V847" s="283"/>
      <c r="W847" s="283"/>
      <c r="X847" s="283"/>
      <c r="Y847" s="283"/>
      <c r="Z847" s="283"/>
      <c r="AA847" s="283"/>
      <c r="AB847" s="283"/>
      <c r="AC847" s="283"/>
      <c r="AD847" s="283"/>
      <c r="AE847" s="283"/>
      <c r="AF847" s="283"/>
      <c r="AG847" s="283"/>
      <c r="AH847" s="283"/>
      <c r="AI847" s="283"/>
      <c r="AJ847" s="283"/>
      <c r="AK847" s="283"/>
      <c r="AL847" s="283"/>
      <c r="AM847" s="283"/>
      <c r="AN847" s="283"/>
      <c r="AO847" s="283"/>
      <c r="AP847" s="283"/>
      <c r="AQ847" s="283"/>
      <c r="AR847" s="283"/>
      <c r="AS847" s="283"/>
      <c r="AT847" s="283"/>
      <c r="AU847" s="283"/>
      <c r="AV847" s="283"/>
      <c r="AW847" s="283"/>
      <c r="AX847" s="283"/>
      <c r="AY847" s="283"/>
      <c r="AZ847" s="283"/>
      <c r="BA847" s="283"/>
      <c r="BB847" s="283"/>
      <c r="BC847" s="283"/>
      <c r="BD847" s="283"/>
      <c r="BE847" s="283"/>
      <c r="BF847" s="283"/>
      <c r="BG847" s="283"/>
      <c r="BH847" s="283"/>
      <c r="BI847" s="283"/>
      <c r="BJ847" s="283"/>
      <c r="BK847" s="283"/>
      <c r="BL847" s="283"/>
      <c r="BM847" s="283"/>
      <c r="BN847" s="283"/>
      <c r="BO847" s="283"/>
      <c r="BP847" s="283"/>
    </row>
    <row r="848" spans="1:68" ht="20.100000000000001" customHeight="1">
      <c r="A848" s="1228" t="s">
        <v>4582</v>
      </c>
      <c r="B848" s="1228" t="s">
        <v>4868</v>
      </c>
      <c r="C848" s="1228" t="s">
        <v>4872</v>
      </c>
      <c r="D848" s="273">
        <f>D211+50+25</f>
        <v>800</v>
      </c>
      <c r="E848" s="273">
        <f>E211+100+50</f>
        <v>1500</v>
      </c>
      <c r="F848" s="273">
        <f>F211+100+50</f>
        <v>1550</v>
      </c>
      <c r="G848" s="110" t="s">
        <v>4566</v>
      </c>
      <c r="H848" s="69" t="s">
        <v>4556</v>
      </c>
      <c r="I848" s="38" t="s">
        <v>4595</v>
      </c>
      <c r="J848" s="30"/>
      <c r="K848" s="38"/>
      <c r="L848" s="116" t="s">
        <v>4539</v>
      </c>
      <c r="M848" s="15">
        <v>43084</v>
      </c>
      <c r="N848" s="15">
        <v>43100</v>
      </c>
      <c r="O848" s="59" t="s">
        <v>4674</v>
      </c>
      <c r="P848" s="61"/>
      <c r="Q848" s="61"/>
      <c r="R848" s="239"/>
      <c r="S848" s="327" t="s">
        <v>4561</v>
      </c>
      <c r="T848" s="858"/>
      <c r="U848" s="207"/>
      <c r="V848" s="115"/>
      <c r="W848" s="115"/>
      <c r="X848" s="115"/>
      <c r="Y848" s="115"/>
      <c r="Z848" s="115"/>
      <c r="AA848" s="115"/>
      <c r="AB848" s="115"/>
      <c r="AC848" s="115"/>
      <c r="AD848" s="115"/>
      <c r="AE848" s="115"/>
      <c r="AF848" s="115"/>
      <c r="AG848" s="115"/>
      <c r="AH848" s="115"/>
      <c r="AI848" s="115"/>
      <c r="AJ848" s="115"/>
      <c r="AK848" s="115"/>
      <c r="AL848" s="115"/>
      <c r="AM848" s="115"/>
      <c r="AN848" s="115"/>
      <c r="AO848" s="115"/>
      <c r="AP848" s="115"/>
      <c r="AQ848" s="115"/>
      <c r="AR848" s="115"/>
      <c r="AS848" s="115"/>
      <c r="AT848" s="115"/>
      <c r="AU848" s="115"/>
      <c r="AV848" s="115"/>
      <c r="AW848" s="115"/>
      <c r="AX848" s="115"/>
      <c r="AY848" s="115"/>
      <c r="AZ848" s="115"/>
      <c r="BA848" s="115"/>
      <c r="BB848" s="115"/>
      <c r="BC848" s="115"/>
      <c r="BD848" s="115"/>
      <c r="BE848" s="115"/>
      <c r="BF848" s="115"/>
      <c r="BG848" s="115"/>
      <c r="BH848" s="115"/>
      <c r="BI848" s="115"/>
      <c r="BJ848" s="115"/>
      <c r="BK848" s="115"/>
      <c r="BL848" s="115"/>
      <c r="BM848" s="115"/>
      <c r="BN848" s="115"/>
      <c r="BO848" s="115"/>
      <c r="BP848" s="115"/>
    </row>
    <row r="849" spans="1:68" ht="20.100000000000001" customHeight="1">
      <c r="A849" s="1228" t="s">
        <v>4582</v>
      </c>
      <c r="B849" s="1228" t="s">
        <v>4868</v>
      </c>
      <c r="C849" s="1228" t="s">
        <v>4872</v>
      </c>
      <c r="D849" s="195">
        <f>D43+190+25</f>
        <v>965</v>
      </c>
      <c r="E849" s="195">
        <f>E43+190+50</f>
        <v>1640</v>
      </c>
      <c r="F849" s="195">
        <f>F43+190+50</f>
        <v>1690</v>
      </c>
      <c r="G849" s="110" t="s">
        <v>4636</v>
      </c>
      <c r="H849" s="36" t="s">
        <v>4667</v>
      </c>
      <c r="I849" s="38" t="s">
        <v>4666</v>
      </c>
      <c r="J849" s="30"/>
      <c r="K849" s="38"/>
      <c r="L849" s="116" t="s">
        <v>4539</v>
      </c>
      <c r="M849" s="6">
        <v>43084</v>
      </c>
      <c r="N849" s="6">
        <v>43100</v>
      </c>
      <c r="O849" s="61" t="s">
        <v>4633</v>
      </c>
      <c r="P849" s="61"/>
      <c r="Q849" s="61"/>
      <c r="R849" s="239"/>
      <c r="S849" s="327" t="s">
        <v>4632</v>
      </c>
      <c r="T849" s="858"/>
      <c r="U849" s="207"/>
      <c r="V849" s="115"/>
      <c r="W849" s="115"/>
      <c r="X849" s="115"/>
      <c r="Y849" s="115"/>
      <c r="Z849" s="115"/>
      <c r="AA849" s="115"/>
      <c r="AB849" s="115"/>
      <c r="AC849" s="115"/>
      <c r="AD849" s="115"/>
      <c r="AE849" s="115"/>
      <c r="AF849" s="115"/>
      <c r="AG849" s="115"/>
      <c r="AH849" s="115"/>
      <c r="AI849" s="115"/>
      <c r="AJ849" s="115"/>
      <c r="AK849" s="115"/>
      <c r="AL849" s="115"/>
      <c r="AM849" s="115"/>
      <c r="AN849" s="115"/>
      <c r="AO849" s="115"/>
      <c r="AP849" s="115"/>
      <c r="AQ849" s="115"/>
      <c r="AR849" s="115"/>
      <c r="AS849" s="115"/>
      <c r="AT849" s="115"/>
      <c r="AU849" s="115"/>
      <c r="AV849" s="115"/>
      <c r="AW849" s="115"/>
      <c r="AX849" s="115"/>
      <c r="AY849" s="115"/>
      <c r="AZ849" s="115"/>
      <c r="BA849" s="115"/>
      <c r="BB849" s="115"/>
      <c r="BC849" s="115"/>
      <c r="BD849" s="115"/>
      <c r="BE849" s="115"/>
      <c r="BF849" s="115"/>
      <c r="BG849" s="115"/>
      <c r="BH849" s="115"/>
      <c r="BI849" s="115"/>
      <c r="BJ849" s="115"/>
      <c r="BK849" s="115"/>
      <c r="BL849" s="115"/>
      <c r="BM849" s="115"/>
      <c r="BN849" s="115"/>
      <c r="BO849" s="115"/>
      <c r="BP849" s="115"/>
    </row>
    <row r="850" spans="1:68" ht="20.100000000000001" customHeight="1">
      <c r="A850" s="1228" t="s">
        <v>4582</v>
      </c>
      <c r="B850" s="1228" t="s">
        <v>4868</v>
      </c>
      <c r="C850" s="1228" t="s">
        <v>4872</v>
      </c>
      <c r="D850" s="195">
        <f>D10+400</f>
        <v>1165</v>
      </c>
      <c r="E850" s="195">
        <f>E10+450</f>
        <v>1880</v>
      </c>
      <c r="F850" s="195">
        <f>F10+450</f>
        <v>1930</v>
      </c>
      <c r="G850" s="110" t="s">
        <v>4560</v>
      </c>
      <c r="H850" s="48" t="s">
        <v>4556</v>
      </c>
      <c r="I850" s="38" t="s">
        <v>4595</v>
      </c>
      <c r="J850" s="30"/>
      <c r="K850" s="38">
        <v>33</v>
      </c>
      <c r="L850" s="116" t="s">
        <v>4539</v>
      </c>
      <c r="M850" s="15">
        <v>43084</v>
      </c>
      <c r="N850" s="15">
        <v>43100</v>
      </c>
      <c r="O850" s="59" t="s">
        <v>4559</v>
      </c>
      <c r="P850" s="61"/>
      <c r="Q850" s="61"/>
      <c r="R850" s="239"/>
      <c r="S850" s="336" t="s">
        <v>4558</v>
      </c>
      <c r="T850" s="858"/>
      <c r="U850" s="283"/>
      <c r="V850" s="283"/>
      <c r="W850" s="283"/>
      <c r="X850" s="283"/>
      <c r="Y850" s="283"/>
      <c r="Z850" s="283"/>
      <c r="AA850" s="283"/>
      <c r="AB850" s="283"/>
      <c r="AC850" s="283"/>
      <c r="AD850" s="283"/>
      <c r="AE850" s="283"/>
      <c r="AF850" s="283"/>
      <c r="AG850" s="283"/>
      <c r="AH850" s="283"/>
      <c r="AI850" s="283"/>
      <c r="AJ850" s="283"/>
      <c r="AK850" s="283"/>
      <c r="AL850" s="283"/>
      <c r="AM850" s="283"/>
      <c r="AN850" s="283"/>
      <c r="AO850" s="283"/>
      <c r="AP850" s="283"/>
      <c r="AQ850" s="283"/>
      <c r="AR850" s="283"/>
      <c r="AS850" s="283"/>
      <c r="AT850" s="283"/>
      <c r="AU850" s="283"/>
      <c r="AV850" s="283"/>
      <c r="AW850" s="283"/>
      <c r="AX850" s="283"/>
      <c r="AY850" s="283"/>
      <c r="AZ850" s="283"/>
      <c r="BA850" s="283"/>
      <c r="BB850" s="283"/>
      <c r="BC850" s="283"/>
      <c r="BD850" s="283"/>
      <c r="BE850" s="283"/>
      <c r="BF850" s="283"/>
      <c r="BG850" s="283"/>
      <c r="BH850" s="283"/>
      <c r="BI850" s="283"/>
      <c r="BJ850" s="283"/>
      <c r="BK850" s="283"/>
      <c r="BL850" s="283"/>
      <c r="BM850" s="283"/>
      <c r="BN850" s="283"/>
      <c r="BO850" s="283"/>
      <c r="BP850" s="283"/>
    </row>
    <row r="851" spans="1:68" ht="20.100000000000001" customHeight="1">
      <c r="A851" s="1228" t="s">
        <v>4582</v>
      </c>
      <c r="B851" s="1228" t="s">
        <v>4868</v>
      </c>
      <c r="C851" s="1228" t="s">
        <v>4872</v>
      </c>
      <c r="D851" s="195">
        <f>D120+50</f>
        <v>950</v>
      </c>
      <c r="E851" s="195">
        <f>E120+100</f>
        <v>1700</v>
      </c>
      <c r="F851" s="195">
        <f>F120+100</f>
        <v>1750</v>
      </c>
      <c r="G851" s="110" t="s">
        <v>4553</v>
      </c>
      <c r="H851" s="56" t="s">
        <v>4552</v>
      </c>
      <c r="I851" s="38" t="s">
        <v>4639</v>
      </c>
      <c r="J851" s="30"/>
      <c r="K851" s="38">
        <v>38</v>
      </c>
      <c r="L851" s="116" t="s">
        <v>4539</v>
      </c>
      <c r="M851" s="6">
        <v>43085</v>
      </c>
      <c r="N851" s="6">
        <v>43100</v>
      </c>
      <c r="O851" s="61" t="s">
        <v>4673</v>
      </c>
      <c r="P851" s="61"/>
      <c r="Q851" s="61"/>
      <c r="R851" s="239"/>
      <c r="S851" s="328" t="s">
        <v>4543</v>
      </c>
      <c r="T851" s="858"/>
      <c r="U851" s="207"/>
      <c r="V851" s="115"/>
      <c r="W851" s="115"/>
      <c r="X851" s="115"/>
      <c r="Y851" s="115"/>
      <c r="Z851" s="115"/>
      <c r="AA851" s="115"/>
      <c r="AB851" s="115"/>
      <c r="AC851" s="115"/>
      <c r="AD851" s="115"/>
      <c r="AE851" s="115"/>
      <c r="AF851" s="115"/>
      <c r="AG851" s="115"/>
      <c r="AH851" s="115"/>
      <c r="AI851" s="115"/>
      <c r="AJ851" s="115"/>
      <c r="AK851" s="115"/>
      <c r="AL851" s="115"/>
      <c r="AM851" s="115"/>
      <c r="AN851" s="115"/>
      <c r="AO851" s="115"/>
      <c r="AP851" s="115"/>
      <c r="AQ851" s="115"/>
      <c r="AR851" s="115"/>
      <c r="AS851" s="115"/>
      <c r="AT851" s="115"/>
      <c r="AU851" s="115"/>
      <c r="AV851" s="115"/>
      <c r="AW851" s="115"/>
      <c r="AX851" s="115"/>
      <c r="AY851" s="115"/>
      <c r="AZ851" s="115"/>
      <c r="BA851" s="115"/>
      <c r="BB851" s="115"/>
      <c r="BC851" s="115"/>
      <c r="BD851" s="115"/>
      <c r="BE851" s="115"/>
      <c r="BF851" s="115"/>
      <c r="BG851" s="115"/>
      <c r="BH851" s="115"/>
      <c r="BI851" s="115"/>
      <c r="BJ851" s="115"/>
      <c r="BK851" s="115"/>
      <c r="BL851" s="115"/>
      <c r="BM851" s="115"/>
      <c r="BN851" s="115"/>
      <c r="BO851" s="115"/>
      <c r="BP851" s="115"/>
    </row>
    <row r="852" spans="1:68" ht="20.100000000000001" customHeight="1">
      <c r="A852" s="1228" t="s">
        <v>4582</v>
      </c>
      <c r="B852" s="1228" t="s">
        <v>4868</v>
      </c>
      <c r="C852" s="1228" t="s">
        <v>4872</v>
      </c>
      <c r="D852" s="195">
        <f>D19+625+25</f>
        <v>1425</v>
      </c>
      <c r="E852" s="195">
        <f>E19+850+50</f>
        <v>2350</v>
      </c>
      <c r="F852" s="195">
        <f>F19+850+50</f>
        <v>2400</v>
      </c>
      <c r="G852" s="12" t="s">
        <v>4542</v>
      </c>
      <c r="H852" s="69" t="s">
        <v>4541</v>
      </c>
      <c r="I852" s="38" t="s">
        <v>4595</v>
      </c>
      <c r="J852" s="140"/>
      <c r="K852" s="38"/>
      <c r="L852" s="116" t="s">
        <v>4539</v>
      </c>
      <c r="M852" s="15">
        <v>43084</v>
      </c>
      <c r="N852" s="15">
        <v>43100</v>
      </c>
      <c r="O852" s="61" t="s">
        <v>4538</v>
      </c>
      <c r="P852" s="61"/>
      <c r="Q852" s="61"/>
      <c r="R852" s="239"/>
      <c r="S852" s="326" t="s">
        <v>4537</v>
      </c>
      <c r="T852" s="858"/>
      <c r="U852" s="207"/>
      <c r="V852" s="115"/>
      <c r="W852" s="115"/>
      <c r="X852" s="115"/>
      <c r="Y852" s="115"/>
      <c r="Z852" s="115"/>
      <c r="AA852" s="115"/>
      <c r="AB852" s="115"/>
      <c r="AC852" s="115"/>
      <c r="AD852" s="115"/>
      <c r="AE852" s="115"/>
      <c r="AF852" s="115"/>
      <c r="AG852" s="115"/>
      <c r="AH852" s="115"/>
      <c r="AI852" s="115"/>
      <c r="AJ852" s="115"/>
      <c r="AK852" s="115"/>
      <c r="AL852" s="115"/>
      <c r="AM852" s="115"/>
      <c r="AN852" s="115"/>
      <c r="AO852" s="115"/>
      <c r="AP852" s="115"/>
      <c r="AQ852" s="115"/>
      <c r="AR852" s="115"/>
      <c r="AS852" s="115"/>
      <c r="AT852" s="115"/>
      <c r="AU852" s="115"/>
      <c r="AV852" s="115"/>
      <c r="AW852" s="115"/>
      <c r="AX852" s="115"/>
      <c r="AY852" s="115"/>
      <c r="AZ852" s="115"/>
      <c r="BA852" s="115"/>
      <c r="BB852" s="115"/>
      <c r="BC852" s="115"/>
      <c r="BD852" s="115"/>
      <c r="BE852" s="115"/>
      <c r="BF852" s="115"/>
      <c r="BG852" s="115"/>
      <c r="BH852" s="115"/>
      <c r="BI852" s="115"/>
      <c r="BJ852" s="115"/>
      <c r="BK852" s="115"/>
      <c r="BL852" s="115"/>
      <c r="BM852" s="115"/>
      <c r="BN852" s="115"/>
      <c r="BO852" s="115"/>
      <c r="BP852" s="115"/>
    </row>
    <row r="853" spans="1:68" ht="20.100000000000001" customHeight="1">
      <c r="A853" s="1228" t="s">
        <v>4582</v>
      </c>
      <c r="B853" s="1228" t="s">
        <v>4868</v>
      </c>
      <c r="C853" s="1228" t="s">
        <v>4872</v>
      </c>
      <c r="D853" s="195">
        <f>D65+300</f>
        <v>1100</v>
      </c>
      <c r="E853" s="195">
        <f>E65+300</f>
        <v>1800</v>
      </c>
      <c r="F853" s="195">
        <f>F65+300</f>
        <v>1850</v>
      </c>
      <c r="G853" s="12" t="s">
        <v>4645</v>
      </c>
      <c r="H853" s="48" t="s">
        <v>4556</v>
      </c>
      <c r="I853" s="38" t="s">
        <v>4595</v>
      </c>
      <c r="J853" s="30"/>
      <c r="K853" s="38" t="s">
        <v>4871</v>
      </c>
      <c r="L853" s="116" t="s">
        <v>4539</v>
      </c>
      <c r="M853" s="6">
        <v>43084</v>
      </c>
      <c r="N853" s="6">
        <v>43100</v>
      </c>
      <c r="O853" s="61" t="s">
        <v>4643</v>
      </c>
      <c r="P853" s="61"/>
      <c r="Q853" s="61"/>
      <c r="R853" s="239"/>
      <c r="S853" s="326" t="s">
        <v>4641</v>
      </c>
      <c r="T853" s="858"/>
      <c r="U853" s="207"/>
      <c r="V853" s="115"/>
      <c r="W853" s="115"/>
      <c r="X853" s="115"/>
      <c r="Y853" s="115"/>
      <c r="Z853" s="115"/>
      <c r="AA853" s="115"/>
      <c r="AB853" s="115"/>
      <c r="AC853" s="115"/>
      <c r="AD853" s="115"/>
      <c r="AE853" s="115"/>
      <c r="AF853" s="115"/>
      <c r="AG853" s="115"/>
      <c r="AH853" s="115"/>
      <c r="AI853" s="115"/>
      <c r="AJ853" s="115"/>
      <c r="AK853" s="115"/>
      <c r="AL853" s="115"/>
      <c r="AM853" s="115"/>
      <c r="AN853" s="115"/>
      <c r="AO853" s="115"/>
      <c r="AP853" s="115"/>
      <c r="AQ853" s="115"/>
      <c r="AR853" s="115"/>
      <c r="AS853" s="115"/>
      <c r="AT853" s="115"/>
      <c r="AU853" s="115"/>
      <c r="AV853" s="115"/>
      <c r="AW853" s="115"/>
      <c r="AX853" s="115"/>
      <c r="AY853" s="115"/>
      <c r="AZ853" s="115"/>
      <c r="BA853" s="115"/>
      <c r="BB853" s="115"/>
      <c r="BC853" s="115"/>
      <c r="BD853" s="115"/>
      <c r="BE853" s="115"/>
      <c r="BF853" s="115"/>
      <c r="BG853" s="115"/>
      <c r="BH853" s="115"/>
      <c r="BI853" s="115"/>
      <c r="BJ853" s="115"/>
      <c r="BK853" s="115"/>
      <c r="BL853" s="115"/>
      <c r="BM853" s="115"/>
      <c r="BN853" s="115"/>
      <c r="BO853" s="115"/>
      <c r="BP853" s="115"/>
    </row>
    <row r="854" spans="1:68" ht="20.100000000000001" customHeight="1">
      <c r="A854" s="1228" t="s">
        <v>4582</v>
      </c>
      <c r="B854" s="1228" t="s">
        <v>4868</v>
      </c>
      <c r="C854" s="1228" t="s">
        <v>4870</v>
      </c>
      <c r="D854" s="345">
        <f>D20+100+25</f>
        <v>975</v>
      </c>
      <c r="E854" s="345">
        <f>E20+200+50</f>
        <v>1850</v>
      </c>
      <c r="F854" s="345">
        <f>F20+200+50</f>
        <v>1900</v>
      </c>
      <c r="G854" s="217" t="s">
        <v>4572</v>
      </c>
      <c r="H854" s="56" t="s">
        <v>4541</v>
      </c>
      <c r="I854" s="10" t="s">
        <v>4595</v>
      </c>
      <c r="J854" s="30"/>
      <c r="K854" s="38"/>
      <c r="L854" s="116" t="s">
        <v>4539</v>
      </c>
      <c r="M854" s="15">
        <v>43070</v>
      </c>
      <c r="N854" s="15">
        <v>43100</v>
      </c>
      <c r="O854" s="61" t="s">
        <v>4655</v>
      </c>
      <c r="P854" s="904"/>
      <c r="Q854" s="7"/>
      <c r="R854" s="239"/>
      <c r="S854" s="327" t="s">
        <v>4570</v>
      </c>
      <c r="T854" s="858"/>
      <c r="U854" s="207"/>
      <c r="V854" s="115"/>
      <c r="W854" s="115"/>
      <c r="X854" s="115"/>
      <c r="Y854" s="115"/>
      <c r="Z854" s="115"/>
      <c r="AA854" s="115"/>
      <c r="AB854" s="115"/>
      <c r="AC854" s="115"/>
      <c r="AD854" s="115"/>
      <c r="AE854" s="115"/>
      <c r="AF854" s="115"/>
      <c r="AG854" s="115"/>
      <c r="AH854" s="115"/>
      <c r="AI854" s="115"/>
      <c r="AJ854" s="115"/>
      <c r="AK854" s="115"/>
      <c r="AL854" s="115"/>
      <c r="AM854" s="115"/>
      <c r="AN854" s="115"/>
      <c r="AO854" s="115"/>
      <c r="AP854" s="115"/>
      <c r="AQ854" s="115"/>
      <c r="AR854" s="115"/>
      <c r="AS854" s="115"/>
      <c r="AT854" s="115"/>
      <c r="AU854" s="115"/>
      <c r="AV854" s="115"/>
      <c r="AW854" s="115"/>
      <c r="AX854" s="115"/>
      <c r="AY854" s="115"/>
      <c r="AZ854" s="115"/>
      <c r="BA854" s="115"/>
      <c r="BB854" s="115"/>
      <c r="BC854" s="115"/>
      <c r="BD854" s="115"/>
      <c r="BE854" s="115"/>
      <c r="BF854" s="115"/>
      <c r="BG854" s="115"/>
      <c r="BH854" s="115"/>
      <c r="BI854" s="115"/>
      <c r="BJ854" s="115"/>
      <c r="BK854" s="115"/>
      <c r="BL854" s="115"/>
      <c r="BM854" s="115"/>
      <c r="BN854" s="115"/>
      <c r="BO854" s="115"/>
      <c r="BP854" s="115"/>
    </row>
    <row r="855" spans="1:68" ht="20.100000000000001" customHeight="1">
      <c r="A855" s="1228" t="s">
        <v>4582</v>
      </c>
      <c r="B855" s="1228" t="s">
        <v>4868</v>
      </c>
      <c r="C855" s="1228" t="s">
        <v>4870</v>
      </c>
      <c r="D855" s="196">
        <f>D36+200</f>
        <v>1075</v>
      </c>
      <c r="E855" s="196">
        <f>E36+250</f>
        <v>1800</v>
      </c>
      <c r="F855" s="196">
        <f>F36+250</f>
        <v>1850</v>
      </c>
      <c r="G855" s="217" t="s">
        <v>4575</v>
      </c>
      <c r="H855" s="48" t="s">
        <v>4541</v>
      </c>
      <c r="I855" s="38" t="s">
        <v>4595</v>
      </c>
      <c r="J855" s="30"/>
      <c r="K855" s="38" t="s">
        <v>4866</v>
      </c>
      <c r="L855" s="116" t="s">
        <v>4539</v>
      </c>
      <c r="M855" s="15">
        <v>43084</v>
      </c>
      <c r="N855" s="15">
        <v>43100</v>
      </c>
      <c r="O855" s="61" t="s">
        <v>4573</v>
      </c>
      <c r="P855" s="904"/>
      <c r="Q855" s="61" t="s">
        <v>4680</v>
      </c>
      <c r="R855" s="239"/>
      <c r="S855" s="328" t="s">
        <v>4543</v>
      </c>
      <c r="T855" s="858"/>
      <c r="U855" s="207"/>
      <c r="V855" s="115"/>
      <c r="W855" s="115"/>
      <c r="X855" s="115"/>
      <c r="Y855" s="115"/>
      <c r="Z855" s="115"/>
      <c r="AA855" s="115"/>
      <c r="AB855" s="115"/>
      <c r="AC855" s="115"/>
      <c r="AD855" s="115"/>
      <c r="AE855" s="115"/>
      <c r="AF855" s="115"/>
      <c r="AG855" s="115"/>
      <c r="AH855" s="115"/>
      <c r="AI855" s="115"/>
      <c r="AJ855" s="115"/>
      <c r="AK855" s="115"/>
      <c r="AL855" s="115"/>
      <c r="AM855" s="115"/>
      <c r="AN855" s="115"/>
      <c r="AO855" s="115"/>
      <c r="AP855" s="115"/>
      <c r="AQ855" s="115"/>
      <c r="AR855" s="115"/>
      <c r="AS855" s="115"/>
      <c r="AT855" s="115"/>
      <c r="AU855" s="115"/>
      <c r="AV855" s="115"/>
      <c r="AW855" s="115"/>
      <c r="AX855" s="115"/>
      <c r="AY855" s="115"/>
      <c r="AZ855" s="115"/>
      <c r="BA855" s="115"/>
      <c r="BB855" s="115"/>
      <c r="BC855" s="115"/>
      <c r="BD855" s="115"/>
      <c r="BE855" s="115"/>
      <c r="BF855" s="115"/>
      <c r="BG855" s="115"/>
      <c r="BH855" s="115"/>
      <c r="BI855" s="115"/>
      <c r="BJ855" s="115"/>
      <c r="BK855" s="115"/>
      <c r="BL855" s="115"/>
      <c r="BM855" s="115"/>
      <c r="BN855" s="115"/>
      <c r="BO855" s="115"/>
      <c r="BP855" s="115"/>
    </row>
    <row r="856" spans="1:68" ht="20.100000000000001" customHeight="1">
      <c r="A856" s="1228" t="s">
        <v>4582</v>
      </c>
      <c r="B856" s="1228" t="s">
        <v>4868</v>
      </c>
      <c r="C856" s="1228" t="s">
        <v>4870</v>
      </c>
      <c r="D856" s="273">
        <f>D211+50+25</f>
        <v>800</v>
      </c>
      <c r="E856" s="273">
        <f>E211+100+50</f>
        <v>1500</v>
      </c>
      <c r="F856" s="273">
        <f>F211+100+50</f>
        <v>1550</v>
      </c>
      <c r="G856" s="110" t="s">
        <v>4566</v>
      </c>
      <c r="H856" s="69" t="s">
        <v>4556</v>
      </c>
      <c r="I856" s="38" t="s">
        <v>4595</v>
      </c>
      <c r="J856" s="30"/>
      <c r="K856" s="38"/>
      <c r="L856" s="116" t="s">
        <v>4539</v>
      </c>
      <c r="M856" s="15">
        <v>43084</v>
      </c>
      <c r="N856" s="15">
        <v>43100</v>
      </c>
      <c r="O856" s="59" t="s">
        <v>4674</v>
      </c>
      <c r="P856" s="61"/>
      <c r="Q856" s="61"/>
      <c r="R856" s="239"/>
      <c r="S856" s="327" t="s">
        <v>4561</v>
      </c>
      <c r="T856" s="858"/>
      <c r="U856" s="207"/>
      <c r="V856" s="115"/>
      <c r="W856" s="115"/>
      <c r="X856" s="115"/>
      <c r="Y856" s="115"/>
      <c r="Z856" s="115"/>
      <c r="AA856" s="115"/>
      <c r="AB856" s="115"/>
      <c r="AC856" s="115"/>
      <c r="AD856" s="115"/>
      <c r="AE856" s="115"/>
      <c r="AF856" s="115"/>
      <c r="AG856" s="115"/>
      <c r="AH856" s="115"/>
      <c r="AI856" s="115"/>
      <c r="AJ856" s="115"/>
      <c r="AK856" s="115"/>
      <c r="AL856" s="115"/>
      <c r="AM856" s="115"/>
      <c r="AN856" s="115"/>
      <c r="AO856" s="115"/>
      <c r="AP856" s="115"/>
      <c r="AQ856" s="115"/>
      <c r="AR856" s="115"/>
      <c r="AS856" s="115"/>
      <c r="AT856" s="115"/>
      <c r="AU856" s="115"/>
      <c r="AV856" s="115"/>
      <c r="AW856" s="115"/>
      <c r="AX856" s="115"/>
      <c r="AY856" s="115"/>
      <c r="AZ856" s="115"/>
      <c r="BA856" s="115"/>
      <c r="BB856" s="115"/>
      <c r="BC856" s="115"/>
      <c r="BD856" s="115"/>
      <c r="BE856" s="115"/>
      <c r="BF856" s="115"/>
      <c r="BG856" s="115"/>
      <c r="BH856" s="115"/>
      <c r="BI856" s="115"/>
      <c r="BJ856" s="115"/>
      <c r="BK856" s="115"/>
      <c r="BL856" s="115"/>
      <c r="BM856" s="115"/>
      <c r="BN856" s="115"/>
      <c r="BO856" s="115"/>
      <c r="BP856" s="115"/>
    </row>
    <row r="857" spans="1:68" ht="20.100000000000001" customHeight="1">
      <c r="A857" s="1228" t="s">
        <v>4582</v>
      </c>
      <c r="B857" s="1228" t="s">
        <v>4868</v>
      </c>
      <c r="C857" s="1228" t="s">
        <v>4870</v>
      </c>
      <c r="D857" s="273">
        <f>D14+200</f>
        <v>980</v>
      </c>
      <c r="E857" s="273">
        <f>E14+350</f>
        <v>1807</v>
      </c>
      <c r="F857" s="273">
        <f>F14+350</f>
        <v>1807</v>
      </c>
      <c r="G857" s="225" t="s">
        <v>4569</v>
      </c>
      <c r="H857" s="69" t="s">
        <v>4602</v>
      </c>
      <c r="I857" s="38" t="s">
        <v>4595</v>
      </c>
      <c r="J857" s="30"/>
      <c r="K857" s="38" t="s">
        <v>4546</v>
      </c>
      <c r="L857" s="116" t="s">
        <v>4539</v>
      </c>
      <c r="M857" s="6">
        <v>43074</v>
      </c>
      <c r="N857" s="6">
        <v>43084</v>
      </c>
      <c r="O857" s="61" t="s">
        <v>4664</v>
      </c>
      <c r="P857" s="61"/>
      <c r="Q857" s="61"/>
      <c r="R857" s="239"/>
      <c r="S857" s="328" t="s">
        <v>4543</v>
      </c>
      <c r="T857" s="858"/>
      <c r="U857" s="207"/>
      <c r="V857" s="115"/>
      <c r="W857" s="115"/>
      <c r="X857" s="115"/>
      <c r="Y857" s="115"/>
      <c r="Z857" s="115"/>
      <c r="AA857" s="115"/>
      <c r="AB857" s="115"/>
      <c r="AC857" s="115"/>
      <c r="AD857" s="115"/>
      <c r="AE857" s="115"/>
      <c r="AF857" s="115"/>
      <c r="AG857" s="115"/>
      <c r="AH857" s="115"/>
      <c r="AI857" s="115"/>
      <c r="AJ857" s="115"/>
      <c r="AK857" s="115"/>
      <c r="AL857" s="115"/>
      <c r="AM857" s="115"/>
      <c r="AN857" s="115"/>
      <c r="AO857" s="115"/>
      <c r="AP857" s="115"/>
      <c r="AQ857" s="115"/>
      <c r="AR857" s="115"/>
      <c r="AS857" s="115"/>
      <c r="AT857" s="115"/>
      <c r="AU857" s="115"/>
      <c r="AV857" s="115"/>
      <c r="AW857" s="115"/>
      <c r="AX857" s="115"/>
      <c r="AY857" s="115"/>
      <c r="AZ857" s="115"/>
      <c r="BA857" s="115"/>
      <c r="BB857" s="115"/>
      <c r="BC857" s="115"/>
      <c r="BD857" s="115"/>
      <c r="BE857" s="115"/>
      <c r="BF857" s="115"/>
      <c r="BG857" s="115"/>
      <c r="BH857" s="115"/>
      <c r="BI857" s="115"/>
      <c r="BJ857" s="115"/>
      <c r="BK857" s="115"/>
      <c r="BL857" s="115"/>
      <c r="BM857" s="115"/>
      <c r="BN857" s="115"/>
      <c r="BO857" s="115"/>
      <c r="BP857" s="115"/>
    </row>
    <row r="858" spans="1:68" ht="20.100000000000001" customHeight="1">
      <c r="A858" s="1228" t="s">
        <v>4582</v>
      </c>
      <c r="B858" s="1228" t="s">
        <v>4868</v>
      </c>
      <c r="C858" s="1228" t="s">
        <v>4870</v>
      </c>
      <c r="D858" s="195">
        <f>D11+600</f>
        <v>1350</v>
      </c>
      <c r="E858" s="195">
        <f>E11+700</f>
        <v>2100</v>
      </c>
      <c r="F858" s="195">
        <f>F11+700</f>
        <v>2100</v>
      </c>
      <c r="G858" s="225" t="s">
        <v>4557</v>
      </c>
      <c r="H858" s="69" t="s">
        <v>4556</v>
      </c>
      <c r="I858" s="38" t="s">
        <v>4595</v>
      </c>
      <c r="J858" s="30"/>
      <c r="K858" s="38"/>
      <c r="L858" s="116" t="s">
        <v>4539</v>
      </c>
      <c r="M858" s="6">
        <v>43084</v>
      </c>
      <c r="N858" s="6">
        <v>43100</v>
      </c>
      <c r="O858" s="61" t="s">
        <v>4555</v>
      </c>
      <c r="P858" s="61"/>
      <c r="Q858" s="7"/>
      <c r="R858" s="239" t="s">
        <v>4554</v>
      </c>
      <c r="S858" s="326" t="s">
        <v>4543</v>
      </c>
      <c r="T858" s="858"/>
      <c r="U858" s="279"/>
      <c r="V858" s="279"/>
      <c r="W858" s="279"/>
      <c r="X858" s="279"/>
      <c r="Y858" s="279"/>
      <c r="Z858" s="279"/>
      <c r="AA858" s="279"/>
      <c r="AB858" s="279"/>
      <c r="AC858" s="279"/>
      <c r="AD858" s="279"/>
      <c r="AE858" s="279"/>
      <c r="AF858" s="279"/>
      <c r="AG858" s="279"/>
      <c r="AH858" s="279"/>
      <c r="AI858" s="279"/>
      <c r="AJ858" s="279"/>
      <c r="AK858" s="279"/>
      <c r="AL858" s="279"/>
      <c r="AM858" s="279"/>
      <c r="AN858" s="279"/>
      <c r="AO858" s="279"/>
      <c r="AP858" s="279"/>
      <c r="AQ858" s="279"/>
      <c r="AR858" s="279"/>
      <c r="AS858" s="279"/>
      <c r="AT858" s="279"/>
      <c r="AU858" s="279"/>
      <c r="AV858" s="279"/>
      <c r="AW858" s="279"/>
      <c r="AX858" s="279"/>
      <c r="AY858" s="279"/>
      <c r="AZ858" s="279"/>
      <c r="BA858" s="279"/>
      <c r="BB858" s="279"/>
      <c r="BC858" s="279"/>
      <c r="BD858" s="279"/>
      <c r="BE858" s="279"/>
      <c r="BF858" s="279"/>
      <c r="BG858" s="279"/>
      <c r="BH858" s="279"/>
      <c r="BI858" s="279"/>
      <c r="BJ858" s="279"/>
      <c r="BK858" s="279"/>
      <c r="BL858" s="279"/>
      <c r="BM858" s="279"/>
      <c r="BN858" s="279"/>
      <c r="BO858" s="279"/>
      <c r="BP858" s="279"/>
    </row>
    <row r="859" spans="1:68" ht="20.100000000000001" customHeight="1">
      <c r="A859" s="1228" t="s">
        <v>4582</v>
      </c>
      <c r="B859" s="1228" t="s">
        <v>4868</v>
      </c>
      <c r="C859" s="1228" t="s">
        <v>4870</v>
      </c>
      <c r="D859" s="195">
        <f>D120+50</f>
        <v>950</v>
      </c>
      <c r="E859" s="195">
        <f>E120+100</f>
        <v>1700</v>
      </c>
      <c r="F859" s="195">
        <f>F120+100</f>
        <v>1750</v>
      </c>
      <c r="G859" s="110" t="s">
        <v>4553</v>
      </c>
      <c r="H859" s="56" t="s">
        <v>4552</v>
      </c>
      <c r="I859" s="38" t="s">
        <v>4639</v>
      </c>
      <c r="J859" s="30"/>
      <c r="K859" s="38">
        <v>37</v>
      </c>
      <c r="L859" s="116" t="s">
        <v>4539</v>
      </c>
      <c r="M859" s="6">
        <v>43085</v>
      </c>
      <c r="N859" s="6">
        <v>43100</v>
      </c>
      <c r="O859" s="61" t="s">
        <v>4673</v>
      </c>
      <c r="P859" s="61"/>
      <c r="Q859" s="61"/>
      <c r="R859" s="239"/>
      <c r="S859" s="328" t="s">
        <v>4543</v>
      </c>
      <c r="T859" s="858"/>
      <c r="U859" s="207"/>
      <c r="V859" s="115"/>
      <c r="W859" s="115"/>
      <c r="X859" s="115"/>
      <c r="Y859" s="115"/>
      <c r="Z859" s="115"/>
      <c r="AA859" s="115"/>
      <c r="AB859" s="115"/>
      <c r="AC859" s="115"/>
      <c r="AD859" s="115"/>
      <c r="AE859" s="115"/>
      <c r="AF859" s="115"/>
      <c r="AG859" s="115"/>
      <c r="AH859" s="115"/>
      <c r="AI859" s="115"/>
      <c r="AJ859" s="115"/>
      <c r="AK859" s="115"/>
      <c r="AL859" s="115"/>
      <c r="AM859" s="115"/>
      <c r="AN859" s="115"/>
      <c r="AO859" s="115"/>
      <c r="AP859" s="115"/>
      <c r="AQ859" s="115"/>
      <c r="AR859" s="115"/>
      <c r="AS859" s="115"/>
      <c r="AT859" s="115"/>
      <c r="AU859" s="115"/>
      <c r="AV859" s="115"/>
      <c r="AW859" s="115"/>
      <c r="AX859" s="115"/>
      <c r="AY859" s="115"/>
      <c r="AZ859" s="115"/>
      <c r="BA859" s="115"/>
      <c r="BB859" s="115"/>
      <c r="BC859" s="115"/>
      <c r="BD859" s="115"/>
      <c r="BE859" s="115"/>
      <c r="BF859" s="115"/>
      <c r="BG859" s="115"/>
      <c r="BH859" s="115"/>
      <c r="BI859" s="115"/>
      <c r="BJ859" s="115"/>
      <c r="BK859" s="115"/>
      <c r="BL859" s="115"/>
      <c r="BM859" s="115"/>
      <c r="BN859" s="115"/>
      <c r="BO859" s="115"/>
      <c r="BP859" s="115"/>
    </row>
    <row r="860" spans="1:68" ht="20.100000000000001" customHeight="1">
      <c r="A860" s="1228" t="s">
        <v>4582</v>
      </c>
      <c r="B860" s="1228" t="s">
        <v>4868</v>
      </c>
      <c r="C860" s="1228" t="s">
        <v>4870</v>
      </c>
      <c r="D860" s="195">
        <f>D19+325+25</f>
        <v>1125</v>
      </c>
      <c r="E860" s="195">
        <f>E19+550+50</f>
        <v>2050</v>
      </c>
      <c r="F860" s="195">
        <f>F19+550+50</f>
        <v>2100</v>
      </c>
      <c r="G860" s="12" t="s">
        <v>4542</v>
      </c>
      <c r="H860" s="69" t="s">
        <v>4541</v>
      </c>
      <c r="I860" s="38" t="s">
        <v>4595</v>
      </c>
      <c r="J860" s="140"/>
      <c r="K860" s="38"/>
      <c r="L860" s="116" t="s">
        <v>4539</v>
      </c>
      <c r="M860" s="15">
        <v>43084</v>
      </c>
      <c r="N860" s="15">
        <v>43100</v>
      </c>
      <c r="O860" s="61" t="s">
        <v>4538</v>
      </c>
      <c r="P860" s="61"/>
      <c r="Q860" s="61"/>
      <c r="R860" s="239"/>
      <c r="S860" s="326" t="s">
        <v>4537</v>
      </c>
      <c r="T860" s="858"/>
      <c r="U860" s="213"/>
      <c r="V860" s="213"/>
      <c r="W860" s="213"/>
      <c r="X860" s="213"/>
      <c r="Y860" s="213"/>
      <c r="Z860" s="213"/>
      <c r="AA860" s="213"/>
      <c r="AB860" s="213"/>
      <c r="AC860" s="213"/>
      <c r="AD860" s="213"/>
      <c r="AE860" s="213"/>
      <c r="AF860" s="213"/>
      <c r="AG860" s="213"/>
      <c r="AH860" s="213"/>
      <c r="AI860" s="213"/>
      <c r="AJ860" s="213"/>
      <c r="AK860" s="213"/>
      <c r="AL860" s="213"/>
      <c r="AM860" s="213"/>
      <c r="AN860" s="213"/>
      <c r="AO860" s="213"/>
      <c r="AP860" s="213"/>
      <c r="AQ860" s="213"/>
      <c r="AR860" s="213"/>
      <c r="AS860" s="213"/>
      <c r="AT860" s="213"/>
      <c r="AU860" s="213"/>
      <c r="AV860" s="213"/>
      <c r="AW860" s="213"/>
      <c r="AX860" s="213"/>
      <c r="AY860" s="213"/>
      <c r="AZ860" s="213"/>
      <c r="BA860" s="213"/>
      <c r="BB860" s="213"/>
      <c r="BC860" s="213"/>
      <c r="BD860" s="213"/>
      <c r="BE860" s="213"/>
      <c r="BF860" s="213"/>
      <c r="BG860" s="213"/>
      <c r="BH860" s="213"/>
      <c r="BI860" s="213"/>
      <c r="BJ860" s="213"/>
      <c r="BK860" s="213"/>
      <c r="BL860" s="213"/>
      <c r="BM860" s="213"/>
      <c r="BN860" s="213"/>
      <c r="BO860" s="213"/>
      <c r="BP860" s="213"/>
    </row>
    <row r="861" spans="1:68" ht="20.100000000000001" customHeight="1">
      <c r="A861" s="1228" t="s">
        <v>4582</v>
      </c>
      <c r="B861" s="1228" t="s">
        <v>4868</v>
      </c>
      <c r="C861" s="1228" t="s">
        <v>4870</v>
      </c>
      <c r="D861" s="195">
        <f>D12+300</f>
        <v>1100</v>
      </c>
      <c r="E861" s="195">
        <f>E12+300</f>
        <v>1800</v>
      </c>
      <c r="F861" s="195">
        <f>F12+300</f>
        <v>1850</v>
      </c>
      <c r="G861" s="12" t="s">
        <v>4645</v>
      </c>
      <c r="H861" s="48" t="s">
        <v>4556</v>
      </c>
      <c r="I861" s="38" t="s">
        <v>4595</v>
      </c>
      <c r="J861" s="30"/>
      <c r="K861" s="38" t="s">
        <v>4869</v>
      </c>
      <c r="L861" s="116" t="s">
        <v>4539</v>
      </c>
      <c r="M861" s="6">
        <v>43084</v>
      </c>
      <c r="N861" s="6">
        <v>43100</v>
      </c>
      <c r="O861" s="61" t="s">
        <v>4643</v>
      </c>
      <c r="P861" s="61"/>
      <c r="Q861" s="61"/>
      <c r="R861" s="239"/>
      <c r="S861" s="326" t="s">
        <v>4641</v>
      </c>
      <c r="T861" s="858"/>
      <c r="U861" s="207"/>
      <c r="V861" s="115"/>
      <c r="W861" s="115"/>
      <c r="X861" s="115"/>
      <c r="Y861" s="115"/>
      <c r="Z861" s="115"/>
      <c r="AA861" s="115"/>
      <c r="AB861" s="115"/>
      <c r="AC861" s="115"/>
      <c r="AD861" s="115"/>
      <c r="AE861" s="115"/>
      <c r="AF861" s="115"/>
      <c r="AG861" s="115"/>
      <c r="AH861" s="115"/>
      <c r="AI861" s="115"/>
      <c r="AJ861" s="115"/>
      <c r="AK861" s="115"/>
      <c r="AL861" s="115"/>
      <c r="AM861" s="115"/>
      <c r="AN861" s="115"/>
      <c r="AO861" s="115"/>
      <c r="AP861" s="115"/>
      <c r="AQ861" s="115"/>
      <c r="AR861" s="115"/>
      <c r="AS861" s="115"/>
      <c r="AT861" s="115"/>
      <c r="AU861" s="115"/>
      <c r="AV861" s="115"/>
      <c r="AW861" s="115"/>
      <c r="AX861" s="115"/>
      <c r="AY861" s="115"/>
      <c r="AZ861" s="115"/>
      <c r="BA861" s="115"/>
      <c r="BB861" s="115"/>
      <c r="BC861" s="115"/>
      <c r="BD861" s="115"/>
      <c r="BE861" s="115"/>
      <c r="BF861" s="115"/>
      <c r="BG861" s="115"/>
      <c r="BH861" s="115"/>
      <c r="BI861" s="115"/>
      <c r="BJ861" s="115"/>
      <c r="BK861" s="115"/>
      <c r="BL861" s="115"/>
      <c r="BM861" s="115"/>
      <c r="BN861" s="115"/>
      <c r="BO861" s="115"/>
      <c r="BP861" s="115"/>
    </row>
    <row r="862" spans="1:68" ht="20.100000000000001" customHeight="1">
      <c r="A862" s="1228" t="s">
        <v>4582</v>
      </c>
      <c r="B862" s="1228" t="s">
        <v>4868</v>
      </c>
      <c r="C862" s="1228" t="s">
        <v>4867</v>
      </c>
      <c r="D862" s="345">
        <f>D20+350+25</f>
        <v>1225</v>
      </c>
      <c r="E862" s="345">
        <f>E20+500+50</f>
        <v>2150</v>
      </c>
      <c r="F862" s="345">
        <f>F20+500+50</f>
        <v>2200</v>
      </c>
      <c r="G862" s="217" t="s">
        <v>4572</v>
      </c>
      <c r="H862" s="56" t="s">
        <v>4541</v>
      </c>
      <c r="I862" s="20" t="s">
        <v>4595</v>
      </c>
      <c r="J862" s="30"/>
      <c r="K862" s="38"/>
      <c r="L862" s="116" t="s">
        <v>4539</v>
      </c>
      <c r="M862" s="15">
        <v>43070</v>
      </c>
      <c r="N862" s="15">
        <v>43100</v>
      </c>
      <c r="O862" s="61" t="s">
        <v>4655</v>
      </c>
      <c r="P862" s="61"/>
      <c r="Q862" s="7"/>
      <c r="R862" s="239"/>
      <c r="S862" s="327" t="s">
        <v>4570</v>
      </c>
      <c r="T862" s="858"/>
      <c r="U862" s="207"/>
      <c r="V862" s="115"/>
      <c r="W862" s="115"/>
      <c r="X862" s="115"/>
      <c r="Y862" s="115"/>
      <c r="Z862" s="115"/>
      <c r="AA862" s="115"/>
      <c r="AB862" s="115"/>
      <c r="AC862" s="115"/>
      <c r="AD862" s="115"/>
      <c r="AE862" s="115"/>
      <c r="AF862" s="115"/>
      <c r="AG862" s="115"/>
      <c r="AH862" s="115"/>
      <c r="AI862" s="115"/>
      <c r="AJ862" s="115"/>
      <c r="AK862" s="115"/>
      <c r="AL862" s="115"/>
      <c r="AM862" s="115"/>
      <c r="AN862" s="115"/>
      <c r="AO862" s="115"/>
      <c r="AP862" s="115"/>
      <c r="AQ862" s="115"/>
      <c r="AR862" s="115"/>
      <c r="AS862" s="115"/>
      <c r="AT862" s="115"/>
      <c r="AU862" s="115"/>
      <c r="AV862" s="115"/>
      <c r="AW862" s="115"/>
      <c r="AX862" s="115"/>
      <c r="AY862" s="115"/>
      <c r="AZ862" s="115"/>
      <c r="BA862" s="115"/>
      <c r="BB862" s="115"/>
      <c r="BC862" s="115"/>
      <c r="BD862" s="115"/>
      <c r="BE862" s="115"/>
      <c r="BF862" s="115"/>
      <c r="BG862" s="115"/>
      <c r="BH862" s="115"/>
      <c r="BI862" s="115"/>
      <c r="BJ862" s="115"/>
      <c r="BK862" s="115"/>
      <c r="BL862" s="115"/>
      <c r="BM862" s="115"/>
      <c r="BN862" s="115"/>
      <c r="BO862" s="115"/>
      <c r="BP862" s="115"/>
    </row>
    <row r="863" spans="1:68" ht="20.100000000000001" customHeight="1">
      <c r="A863" s="1228" t="s">
        <v>4582</v>
      </c>
      <c r="B863" s="1228" t="s">
        <v>4868</v>
      </c>
      <c r="C863" s="1228" t="s">
        <v>4867</v>
      </c>
      <c r="D863" s="195">
        <f>D36+600</f>
        <v>1475</v>
      </c>
      <c r="E863" s="195">
        <f>E36+1000</f>
        <v>2550</v>
      </c>
      <c r="F863" s="195">
        <f>F36+500</f>
        <v>2100</v>
      </c>
      <c r="G863" s="217" t="s">
        <v>4575</v>
      </c>
      <c r="H863" s="48" t="s">
        <v>4541</v>
      </c>
      <c r="I863" s="38" t="s">
        <v>4595</v>
      </c>
      <c r="J863" s="30"/>
      <c r="K863" s="38" t="s">
        <v>4866</v>
      </c>
      <c r="L863" s="116" t="s">
        <v>4539</v>
      </c>
      <c r="M863" s="15">
        <v>43084</v>
      </c>
      <c r="N863" s="15">
        <v>43100</v>
      </c>
      <c r="O863" s="61" t="s">
        <v>4573</v>
      </c>
      <c r="P863" s="61"/>
      <c r="Q863" s="61" t="s">
        <v>4680</v>
      </c>
      <c r="R863" s="239"/>
      <c r="S863" s="328" t="s">
        <v>4543</v>
      </c>
      <c r="T863" s="858"/>
      <c r="U863" s="207"/>
      <c r="V863" s="115"/>
      <c r="W863" s="115"/>
      <c r="X863" s="115"/>
      <c r="Y863" s="115"/>
      <c r="Z863" s="115"/>
      <c r="AA863" s="115"/>
      <c r="AB863" s="115"/>
      <c r="AC863" s="115"/>
      <c r="AD863" s="115"/>
      <c r="AE863" s="115"/>
      <c r="AF863" s="115"/>
      <c r="AG863" s="115"/>
      <c r="AH863" s="115"/>
      <c r="AI863" s="115"/>
      <c r="AJ863" s="115"/>
      <c r="AK863" s="115"/>
      <c r="AL863" s="115"/>
      <c r="AM863" s="115"/>
      <c r="AN863" s="115"/>
      <c r="AO863" s="115"/>
      <c r="AP863" s="115"/>
      <c r="AQ863" s="115"/>
      <c r="AR863" s="115"/>
      <c r="AS863" s="115"/>
      <c r="AT863" s="115"/>
      <c r="AU863" s="115"/>
      <c r="AV863" s="115"/>
      <c r="AW863" s="115"/>
      <c r="AX863" s="115"/>
      <c r="AY863" s="115"/>
      <c r="AZ863" s="115"/>
      <c r="BA863" s="115"/>
      <c r="BB863" s="115"/>
      <c r="BC863" s="115"/>
      <c r="BD863" s="115"/>
      <c r="BE863" s="115"/>
      <c r="BF863" s="115"/>
      <c r="BG863" s="115"/>
      <c r="BH863" s="115"/>
      <c r="BI863" s="115"/>
      <c r="BJ863" s="115"/>
      <c r="BK863" s="115"/>
      <c r="BL863" s="115"/>
      <c r="BM863" s="115"/>
      <c r="BN863" s="115"/>
      <c r="BO863" s="115"/>
      <c r="BP863" s="115"/>
    </row>
    <row r="864" spans="1:68" ht="20.100000000000001" customHeight="1">
      <c r="A864" s="1228" t="s">
        <v>4582</v>
      </c>
      <c r="B864" s="1228" t="s">
        <v>4826</v>
      </c>
      <c r="C864" s="1228" t="s">
        <v>4864</v>
      </c>
      <c r="D864" s="196">
        <f>D97+600</f>
        <v>1475</v>
      </c>
      <c r="E864" s="196">
        <f>E97+900</f>
        <v>2450</v>
      </c>
      <c r="F864" s="196">
        <f>F97+900</f>
        <v>2500</v>
      </c>
      <c r="G864" s="217" t="s">
        <v>4575</v>
      </c>
      <c r="H864" s="48" t="s">
        <v>4541</v>
      </c>
      <c r="I864" s="38" t="s">
        <v>4540</v>
      </c>
      <c r="J864" s="30"/>
      <c r="K864" s="38" t="s">
        <v>4865</v>
      </c>
      <c r="L864" s="116" t="s">
        <v>4539</v>
      </c>
      <c r="M864" s="15">
        <v>43084</v>
      </c>
      <c r="N864" s="15">
        <v>43100</v>
      </c>
      <c r="O864" s="61" t="s">
        <v>4573</v>
      </c>
      <c r="P864" s="61"/>
      <c r="Q864" s="61"/>
      <c r="R864" s="239"/>
      <c r="S864" s="328" t="s">
        <v>4543</v>
      </c>
      <c r="T864" s="858"/>
      <c r="U864" s="207"/>
      <c r="V864" s="115"/>
      <c r="W864" s="115"/>
      <c r="X864" s="115"/>
      <c r="Y864" s="115"/>
      <c r="Z864" s="115"/>
      <c r="AA864" s="115"/>
      <c r="AB864" s="115"/>
      <c r="AC864" s="115"/>
      <c r="AD864" s="115"/>
      <c r="AE864" s="115"/>
      <c r="AF864" s="115"/>
      <c r="AG864" s="115"/>
      <c r="AH864" s="115"/>
      <c r="AI864" s="115"/>
      <c r="AJ864" s="115"/>
      <c r="AK864" s="115"/>
      <c r="AL864" s="115"/>
      <c r="AM864" s="115"/>
      <c r="AN864" s="115"/>
      <c r="AO864" s="115"/>
      <c r="AP864" s="115"/>
      <c r="AQ864" s="115"/>
      <c r="AR864" s="115"/>
      <c r="AS864" s="115"/>
      <c r="AT864" s="115"/>
      <c r="AU864" s="115"/>
      <c r="AV864" s="115"/>
      <c r="AW864" s="115"/>
      <c r="AX864" s="115"/>
      <c r="AY864" s="115"/>
      <c r="AZ864" s="115"/>
      <c r="BA864" s="115"/>
      <c r="BB864" s="115"/>
      <c r="BC864" s="115"/>
      <c r="BD864" s="115"/>
      <c r="BE864" s="115"/>
      <c r="BF864" s="115"/>
      <c r="BG864" s="115"/>
      <c r="BH864" s="115"/>
      <c r="BI864" s="115"/>
      <c r="BJ864" s="115"/>
      <c r="BK864" s="115"/>
      <c r="BL864" s="115"/>
      <c r="BM864" s="115"/>
      <c r="BN864" s="115"/>
      <c r="BO864" s="115"/>
      <c r="BP864" s="115"/>
    </row>
    <row r="865" spans="1:68" ht="20.100000000000001" customHeight="1">
      <c r="A865" s="1228" t="s">
        <v>4582</v>
      </c>
      <c r="B865" s="1228" t="s">
        <v>4826</v>
      </c>
      <c r="C865" s="1228" t="s">
        <v>4864</v>
      </c>
      <c r="D865" s="347">
        <f>D77+600+25</f>
        <v>1475</v>
      </c>
      <c r="E865" s="347">
        <f>E77+1000+50</f>
        <v>2650</v>
      </c>
      <c r="F865" s="347">
        <f>F77+1000+50</f>
        <v>2700</v>
      </c>
      <c r="G865" s="217" t="s">
        <v>4572</v>
      </c>
      <c r="H865" s="56" t="s">
        <v>4541</v>
      </c>
      <c r="I865" s="10" t="s">
        <v>4540</v>
      </c>
      <c r="J865" s="30"/>
      <c r="K865" s="38"/>
      <c r="L865" s="116" t="s">
        <v>4539</v>
      </c>
      <c r="M865" s="15">
        <v>43070</v>
      </c>
      <c r="N865" s="15">
        <v>43100</v>
      </c>
      <c r="O865" s="61" t="s">
        <v>4824</v>
      </c>
      <c r="P865" s="61"/>
      <c r="Q865" s="7"/>
      <c r="R865" s="239"/>
      <c r="S865" s="327" t="s">
        <v>4570</v>
      </c>
      <c r="T865" s="858"/>
      <c r="U865" s="207"/>
      <c r="V865" s="115"/>
      <c r="W865" s="115"/>
      <c r="X865" s="115"/>
      <c r="Y865" s="115"/>
      <c r="Z865" s="115"/>
      <c r="AA865" s="115"/>
      <c r="AB865" s="115"/>
      <c r="AC865" s="115"/>
      <c r="AD865" s="115"/>
      <c r="AE865" s="115"/>
      <c r="AF865" s="115"/>
      <c r="AG865" s="115"/>
      <c r="AH865" s="115"/>
      <c r="AI865" s="115"/>
      <c r="AJ865" s="115"/>
      <c r="AK865" s="115"/>
      <c r="AL865" s="115"/>
      <c r="AM865" s="115"/>
      <c r="AN865" s="115"/>
      <c r="AO865" s="115"/>
      <c r="AP865" s="115"/>
      <c r="AQ865" s="115"/>
      <c r="AR865" s="115"/>
      <c r="AS865" s="115"/>
      <c r="AT865" s="115"/>
      <c r="AU865" s="115"/>
      <c r="AV865" s="115"/>
      <c r="AW865" s="115"/>
      <c r="AX865" s="115"/>
      <c r="AY865" s="115"/>
      <c r="AZ865" s="115"/>
      <c r="BA865" s="115"/>
      <c r="BB865" s="115"/>
      <c r="BC865" s="115"/>
      <c r="BD865" s="115"/>
      <c r="BE865" s="115"/>
      <c r="BF865" s="115"/>
      <c r="BG865" s="115"/>
      <c r="BH865" s="115"/>
      <c r="BI865" s="115"/>
      <c r="BJ865" s="115"/>
      <c r="BK865" s="115"/>
      <c r="BL865" s="115"/>
      <c r="BM865" s="115"/>
      <c r="BN865" s="115"/>
      <c r="BO865" s="115"/>
      <c r="BP865" s="115"/>
    </row>
    <row r="866" spans="1:68" ht="20.100000000000001" customHeight="1">
      <c r="A866" s="1228" t="s">
        <v>4582</v>
      </c>
      <c r="B866" s="1228" t="s">
        <v>4826</v>
      </c>
      <c r="C866" s="1228" t="s">
        <v>4864</v>
      </c>
      <c r="D866" s="273">
        <f>D211+300+25</f>
        <v>1050</v>
      </c>
      <c r="E866" s="273">
        <f>E211+600+50</f>
        <v>2000</v>
      </c>
      <c r="F866" s="273">
        <f>F211+600+50</f>
        <v>2050</v>
      </c>
      <c r="G866" s="110" t="s">
        <v>4566</v>
      </c>
      <c r="H866" s="69" t="s">
        <v>4556</v>
      </c>
      <c r="I866" s="38" t="s">
        <v>4595</v>
      </c>
      <c r="J866" s="30"/>
      <c r="K866" s="38"/>
      <c r="L866" s="116" t="s">
        <v>4539</v>
      </c>
      <c r="M866" s="15">
        <v>43084</v>
      </c>
      <c r="N866" s="15">
        <v>43100</v>
      </c>
      <c r="O866" s="59" t="s">
        <v>4674</v>
      </c>
      <c r="P866" s="61"/>
      <c r="Q866" s="61"/>
      <c r="R866" s="239"/>
      <c r="S866" s="327" t="s">
        <v>4561</v>
      </c>
      <c r="T866" s="858"/>
      <c r="U866" s="42"/>
      <c r="V866" s="115"/>
      <c r="W866" s="115"/>
      <c r="X866" s="115"/>
      <c r="Y866" s="115"/>
      <c r="Z866" s="115"/>
      <c r="AA866" s="115"/>
      <c r="AB866" s="115"/>
      <c r="AC866" s="115"/>
      <c r="AD866" s="115"/>
      <c r="AE866" s="115"/>
      <c r="AF866" s="115"/>
      <c r="AG866" s="115"/>
      <c r="AH866" s="115"/>
      <c r="AI866" s="115"/>
      <c r="AJ866" s="115"/>
      <c r="AK866" s="115"/>
      <c r="AL866" s="115"/>
      <c r="AM866" s="115"/>
      <c r="AN866" s="115"/>
      <c r="AO866" s="115"/>
      <c r="AP866" s="115"/>
      <c r="AQ866" s="115"/>
      <c r="AR866" s="115"/>
      <c r="AS866" s="115"/>
      <c r="AT866" s="115"/>
      <c r="AU866" s="115"/>
      <c r="AV866" s="115"/>
      <c r="AW866" s="115"/>
      <c r="AX866" s="115"/>
      <c r="AY866" s="115"/>
      <c r="AZ866" s="115"/>
      <c r="BA866" s="115"/>
      <c r="BB866" s="115"/>
      <c r="BC866" s="115"/>
      <c r="BD866" s="115"/>
      <c r="BE866" s="115"/>
      <c r="BF866" s="115"/>
      <c r="BG866" s="115"/>
      <c r="BH866" s="115"/>
      <c r="BI866" s="115"/>
      <c r="BJ866" s="115"/>
      <c r="BK866" s="115"/>
      <c r="BL866" s="115"/>
      <c r="BM866" s="115"/>
      <c r="BN866" s="115"/>
      <c r="BO866" s="115"/>
      <c r="BP866" s="115"/>
    </row>
    <row r="867" spans="1:68" ht="20.100000000000001" customHeight="1">
      <c r="A867" s="1228" t="s">
        <v>4582</v>
      </c>
      <c r="B867" s="1228" t="s">
        <v>4826</v>
      </c>
      <c r="C867" s="1228" t="s">
        <v>4864</v>
      </c>
      <c r="D867" s="195">
        <f>D19+1675+25</f>
        <v>2475</v>
      </c>
      <c r="E867" s="195">
        <f>E19+2550+50</f>
        <v>4050</v>
      </c>
      <c r="F867" s="195">
        <f>F19+2550+50</f>
        <v>4100</v>
      </c>
      <c r="G867" s="12" t="s">
        <v>4542</v>
      </c>
      <c r="H867" s="69" t="s">
        <v>4541</v>
      </c>
      <c r="I867" s="38" t="s">
        <v>4595</v>
      </c>
      <c r="J867" s="140"/>
      <c r="K867" s="38"/>
      <c r="L867" s="116" t="s">
        <v>4539</v>
      </c>
      <c r="M867" s="15">
        <v>43084</v>
      </c>
      <c r="N867" s="15">
        <v>43100</v>
      </c>
      <c r="O867" s="61" t="s">
        <v>4538</v>
      </c>
      <c r="P867" s="61"/>
      <c r="Q867" s="61"/>
      <c r="R867" s="239"/>
      <c r="S867" s="326" t="s">
        <v>4537</v>
      </c>
      <c r="T867" s="858"/>
      <c r="U867" s="42"/>
      <c r="AE867" s="115"/>
      <c r="AF867" s="115"/>
      <c r="AG867" s="115"/>
      <c r="AH867" s="115"/>
      <c r="AI867" s="115"/>
      <c r="AJ867" s="115"/>
      <c r="AK867" s="115"/>
      <c r="AL867" s="115"/>
      <c r="AM867" s="115"/>
      <c r="AN867" s="115"/>
      <c r="AO867" s="115"/>
      <c r="AP867" s="115"/>
      <c r="AQ867" s="115"/>
      <c r="AR867" s="115"/>
      <c r="AS867" s="115"/>
      <c r="AT867" s="115"/>
      <c r="AU867" s="115"/>
      <c r="AV867" s="115"/>
      <c r="AW867" s="115"/>
      <c r="AX867" s="115"/>
      <c r="AY867" s="115"/>
      <c r="AZ867" s="115"/>
      <c r="BA867" s="115"/>
      <c r="BB867" s="115"/>
      <c r="BC867" s="115"/>
      <c r="BD867" s="115"/>
      <c r="BE867" s="115"/>
      <c r="BF867" s="115"/>
      <c r="BG867" s="115"/>
      <c r="BH867" s="115"/>
      <c r="BI867" s="115"/>
      <c r="BJ867" s="115"/>
      <c r="BK867" s="115"/>
      <c r="BL867" s="115"/>
      <c r="BM867" s="115"/>
      <c r="BN867" s="115"/>
      <c r="BO867" s="115"/>
      <c r="BP867" s="115"/>
    </row>
    <row r="868" spans="1:68" ht="20.100000000000001" customHeight="1">
      <c r="A868" s="1228" t="s">
        <v>4582</v>
      </c>
      <c r="B868" s="1228" t="s">
        <v>4826</v>
      </c>
      <c r="C868" s="1228" t="s">
        <v>4864</v>
      </c>
      <c r="D868" s="195">
        <f>D39+555</f>
        <v>1455</v>
      </c>
      <c r="E868" s="195">
        <f>E39+985</f>
        <v>2585</v>
      </c>
      <c r="F868" s="195">
        <f>F39+985</f>
        <v>2635</v>
      </c>
      <c r="G868" s="110" t="s">
        <v>4553</v>
      </c>
      <c r="H868" s="36" t="s">
        <v>4667</v>
      </c>
      <c r="I868" s="38" t="s">
        <v>4666</v>
      </c>
      <c r="J868" s="30"/>
      <c r="K868" s="38">
        <v>33</v>
      </c>
      <c r="L868" s="116" t="s">
        <v>4539</v>
      </c>
      <c r="M868" s="6">
        <v>43085</v>
      </c>
      <c r="N868" s="6">
        <v>43100</v>
      </c>
      <c r="O868" s="61" t="s">
        <v>4827</v>
      </c>
      <c r="P868" s="61"/>
      <c r="Q868" s="61"/>
      <c r="R868" s="239"/>
      <c r="S868" s="328" t="s">
        <v>4543</v>
      </c>
      <c r="T868" s="858"/>
      <c r="U868" s="42"/>
      <c r="AE868" s="115"/>
      <c r="AF868" s="115"/>
      <c r="AG868" s="115"/>
      <c r="AH868" s="115"/>
      <c r="AI868" s="115"/>
      <c r="AJ868" s="115"/>
      <c r="AK868" s="115"/>
      <c r="AL868" s="115"/>
      <c r="AM868" s="115"/>
      <c r="AN868" s="115"/>
      <c r="AO868" s="115"/>
      <c r="AP868" s="115"/>
      <c r="AQ868" s="115"/>
      <c r="AR868" s="115"/>
      <c r="AS868" s="115"/>
      <c r="AT868" s="115"/>
      <c r="AU868" s="115"/>
      <c r="AV868" s="115"/>
      <c r="AW868" s="115"/>
      <c r="AX868" s="115"/>
      <c r="AY868" s="115"/>
      <c r="AZ868" s="115"/>
      <c r="BA868" s="115"/>
      <c r="BB868" s="115"/>
      <c r="BC868" s="115"/>
      <c r="BD868" s="115"/>
      <c r="BE868" s="115"/>
      <c r="BF868" s="115"/>
      <c r="BG868" s="115"/>
      <c r="BH868" s="115"/>
      <c r="BI868" s="115"/>
      <c r="BJ868" s="115"/>
      <c r="BK868" s="115"/>
      <c r="BL868" s="115"/>
      <c r="BM868" s="115"/>
      <c r="BN868" s="115"/>
      <c r="BO868" s="115"/>
      <c r="BP868" s="115"/>
    </row>
    <row r="869" spans="1:68" ht="20.100000000000001" customHeight="1">
      <c r="A869" s="1228" t="s">
        <v>4582</v>
      </c>
      <c r="B869" s="1228" t="s">
        <v>4826</v>
      </c>
      <c r="C869" s="1228" t="s">
        <v>4861</v>
      </c>
      <c r="D869" s="345">
        <f>D77+650+25</f>
        <v>1525</v>
      </c>
      <c r="E869" s="345">
        <f>E77+1250+50</f>
        <v>2900</v>
      </c>
      <c r="F869" s="345">
        <f>F77+1250+50</f>
        <v>2950</v>
      </c>
      <c r="G869" s="217" t="s">
        <v>4572</v>
      </c>
      <c r="H869" s="56" t="s">
        <v>4541</v>
      </c>
      <c r="I869" s="10" t="s">
        <v>4540</v>
      </c>
      <c r="J869" s="30"/>
      <c r="K869" s="38"/>
      <c r="L869" s="116" t="s">
        <v>4539</v>
      </c>
      <c r="M869" s="15">
        <v>43070</v>
      </c>
      <c r="N869" s="15">
        <v>43100</v>
      </c>
      <c r="O869" s="61" t="s">
        <v>4824</v>
      </c>
      <c r="P869" s="61"/>
      <c r="Q869" s="7"/>
      <c r="R869" s="239"/>
      <c r="S869" s="327" t="s">
        <v>4570</v>
      </c>
      <c r="T869" s="858"/>
      <c r="U869" s="42"/>
      <c r="AE869" s="115"/>
      <c r="AF869" s="115"/>
      <c r="AG869" s="115"/>
      <c r="AH869" s="115"/>
      <c r="AI869" s="115"/>
      <c r="AJ869" s="115"/>
      <c r="AK869" s="115"/>
      <c r="AL869" s="115"/>
      <c r="AM869" s="115"/>
      <c r="AN869" s="115"/>
      <c r="AO869" s="115"/>
      <c r="AP869" s="115"/>
      <c r="AQ869" s="115"/>
      <c r="AR869" s="115"/>
      <c r="AS869" s="115"/>
      <c r="AT869" s="115"/>
      <c r="AU869" s="115"/>
      <c r="AV869" s="115"/>
      <c r="AW869" s="115"/>
      <c r="AX869" s="115"/>
      <c r="AY869" s="115"/>
      <c r="AZ869" s="115"/>
      <c r="BA869" s="115"/>
      <c r="BB869" s="115"/>
      <c r="BC869" s="115"/>
      <c r="BD869" s="115"/>
      <c r="BE869" s="115"/>
      <c r="BF869" s="115"/>
      <c r="BG869" s="115"/>
      <c r="BH869" s="115"/>
      <c r="BI869" s="115"/>
      <c r="BJ869" s="115"/>
      <c r="BK869" s="115"/>
      <c r="BL869" s="115"/>
      <c r="BM869" s="115"/>
      <c r="BN869" s="115"/>
      <c r="BO869" s="115"/>
      <c r="BP869" s="115"/>
    </row>
    <row r="870" spans="1:68" ht="20.100000000000001" customHeight="1">
      <c r="A870" s="1228" t="s">
        <v>4582</v>
      </c>
      <c r="B870" s="1228" t="s">
        <v>4826</v>
      </c>
      <c r="C870" s="1228" t="s">
        <v>4861</v>
      </c>
      <c r="D870" s="196">
        <f>D97+650</f>
        <v>1525</v>
      </c>
      <c r="E870" s="196">
        <f>E97+900</f>
        <v>2450</v>
      </c>
      <c r="F870" s="196">
        <f>F97+900</f>
        <v>2500</v>
      </c>
      <c r="G870" s="217" t="s">
        <v>4575</v>
      </c>
      <c r="H870" s="56" t="s">
        <v>4541</v>
      </c>
      <c r="I870" s="38" t="s">
        <v>4540</v>
      </c>
      <c r="J870" s="30"/>
      <c r="K870" s="38" t="s">
        <v>4863</v>
      </c>
      <c r="L870" s="116" t="s">
        <v>4539</v>
      </c>
      <c r="M870" s="15">
        <v>43084</v>
      </c>
      <c r="N870" s="15">
        <v>43100</v>
      </c>
      <c r="O870" s="61" t="s">
        <v>4573</v>
      </c>
      <c r="P870" s="61"/>
      <c r="Q870" s="61"/>
      <c r="R870" s="239"/>
      <c r="S870" s="328" t="s">
        <v>4543</v>
      </c>
      <c r="T870" s="858"/>
      <c r="U870" s="42"/>
      <c r="AE870" s="115"/>
      <c r="AF870" s="115"/>
      <c r="AG870" s="115"/>
      <c r="AH870" s="115"/>
      <c r="AI870" s="115"/>
      <c r="AJ870" s="115"/>
      <c r="AK870" s="115"/>
      <c r="AL870" s="115"/>
      <c r="AM870" s="115"/>
      <c r="AN870" s="115"/>
      <c r="AO870" s="115"/>
      <c r="AP870" s="115"/>
      <c r="AQ870" s="115"/>
      <c r="AR870" s="115"/>
      <c r="AS870" s="115"/>
      <c r="AT870" s="115"/>
      <c r="AU870" s="115"/>
      <c r="AV870" s="115"/>
      <c r="AW870" s="115"/>
      <c r="AX870" s="115"/>
      <c r="AY870" s="115"/>
      <c r="AZ870" s="115"/>
      <c r="BA870" s="115"/>
      <c r="BB870" s="115"/>
      <c r="BC870" s="115"/>
      <c r="BD870" s="115"/>
      <c r="BE870" s="115"/>
      <c r="BF870" s="115"/>
      <c r="BG870" s="115"/>
      <c r="BH870" s="115"/>
      <c r="BI870" s="115"/>
      <c r="BJ870" s="115"/>
      <c r="BK870" s="115"/>
      <c r="BL870" s="115"/>
      <c r="BM870" s="115"/>
      <c r="BN870" s="115"/>
      <c r="BO870" s="115"/>
      <c r="BP870" s="115"/>
    </row>
    <row r="871" spans="1:68" ht="20.100000000000001" customHeight="1">
      <c r="A871" s="1228" t="s">
        <v>4582</v>
      </c>
      <c r="B871" s="1228" t="s">
        <v>4826</v>
      </c>
      <c r="C871" s="1228" t="s">
        <v>4861</v>
      </c>
      <c r="D871" s="201">
        <f>D13+550+25</f>
        <v>1325</v>
      </c>
      <c r="E871" s="201">
        <f>E13+920+50</f>
        <v>2370</v>
      </c>
      <c r="F871" s="201">
        <f>F13+920+50</f>
        <v>2420</v>
      </c>
      <c r="G871" s="110" t="s">
        <v>4636</v>
      </c>
      <c r="H871" s="36" t="s">
        <v>4635</v>
      </c>
      <c r="I871" s="38" t="s">
        <v>4595</v>
      </c>
      <c r="J871" s="30"/>
      <c r="K871" s="38" t="s">
        <v>4862</v>
      </c>
      <c r="L871" s="116" t="s">
        <v>4539</v>
      </c>
      <c r="M871" s="6">
        <v>43084</v>
      </c>
      <c r="N871" s="6">
        <v>43100</v>
      </c>
      <c r="O871" s="61" t="s">
        <v>4633</v>
      </c>
      <c r="P871" s="61"/>
      <c r="Q871" s="61"/>
      <c r="R871" s="239"/>
      <c r="S871" s="327" t="s">
        <v>4632</v>
      </c>
      <c r="T871" s="858"/>
      <c r="U871" s="42"/>
      <c r="AE871" s="115"/>
      <c r="AF871" s="115"/>
      <c r="AG871" s="115"/>
      <c r="AH871" s="115"/>
      <c r="AI871" s="115"/>
      <c r="AJ871" s="115"/>
      <c r="AK871" s="115"/>
      <c r="AL871" s="115"/>
      <c r="AM871" s="115"/>
      <c r="AN871" s="115"/>
      <c r="AO871" s="115"/>
      <c r="AP871" s="115"/>
      <c r="AQ871" s="115"/>
      <c r="AR871" s="115"/>
      <c r="AS871" s="115"/>
      <c r="AT871" s="115"/>
      <c r="AU871" s="115"/>
      <c r="AV871" s="115"/>
      <c r="AW871" s="115"/>
      <c r="AX871" s="115"/>
      <c r="AY871" s="115"/>
      <c r="AZ871" s="115"/>
      <c r="BA871" s="115"/>
      <c r="BB871" s="115"/>
      <c r="BC871" s="115"/>
      <c r="BD871" s="115"/>
      <c r="BE871" s="115"/>
      <c r="BF871" s="115"/>
      <c r="BG871" s="115"/>
      <c r="BH871" s="115"/>
      <c r="BI871" s="115"/>
      <c r="BJ871" s="115"/>
      <c r="BK871" s="115"/>
      <c r="BL871" s="115"/>
      <c r="BM871" s="115"/>
      <c r="BN871" s="115"/>
      <c r="BO871" s="115"/>
      <c r="BP871" s="115"/>
    </row>
    <row r="872" spans="1:68" ht="20.100000000000001" customHeight="1">
      <c r="A872" s="1228" t="s">
        <v>4582</v>
      </c>
      <c r="B872" s="1228" t="s">
        <v>4826</v>
      </c>
      <c r="C872" s="1228" t="s">
        <v>4861</v>
      </c>
      <c r="D872" s="273">
        <f>D211+300+25</f>
        <v>1050</v>
      </c>
      <c r="E872" s="273">
        <f>E211+600+50</f>
        <v>2000</v>
      </c>
      <c r="F872" s="273">
        <f>F211+600+50</f>
        <v>2050</v>
      </c>
      <c r="G872" s="110" t="s">
        <v>4566</v>
      </c>
      <c r="H872" s="36" t="s">
        <v>4556</v>
      </c>
      <c r="I872" s="38" t="s">
        <v>4595</v>
      </c>
      <c r="J872" s="30"/>
      <c r="K872" s="38"/>
      <c r="L872" s="116" t="s">
        <v>4539</v>
      </c>
      <c r="M872" s="15">
        <v>43084</v>
      </c>
      <c r="N872" s="15">
        <v>43100</v>
      </c>
      <c r="O872" s="59" t="s">
        <v>4674</v>
      </c>
      <c r="P872" s="61"/>
      <c r="Q872" s="61"/>
      <c r="R872" s="239"/>
      <c r="S872" s="327" t="s">
        <v>4561</v>
      </c>
      <c r="T872" s="858"/>
      <c r="U872" s="42"/>
      <c r="AE872" s="115"/>
      <c r="AF872" s="115"/>
      <c r="AG872" s="115"/>
      <c r="AH872" s="115"/>
      <c r="AI872" s="115"/>
      <c r="AJ872" s="115"/>
      <c r="AK872" s="115"/>
      <c r="AL872" s="115"/>
      <c r="AM872" s="115"/>
      <c r="AN872" s="115"/>
      <c r="AO872" s="115"/>
      <c r="AP872" s="115"/>
      <c r="AQ872" s="115"/>
      <c r="AR872" s="115"/>
      <c r="AS872" s="115"/>
      <c r="AT872" s="115"/>
      <c r="AU872" s="115"/>
      <c r="AV872" s="115"/>
      <c r="AW872" s="115"/>
      <c r="AX872" s="115"/>
      <c r="AY872" s="115"/>
      <c r="AZ872" s="115"/>
      <c r="BA872" s="115"/>
      <c r="BB872" s="115"/>
      <c r="BC872" s="115"/>
      <c r="BD872" s="115"/>
      <c r="BE872" s="115"/>
      <c r="BF872" s="115"/>
      <c r="BG872" s="115"/>
      <c r="BH872" s="115"/>
      <c r="BI872" s="115"/>
      <c r="BJ872" s="115"/>
      <c r="BK872" s="115"/>
      <c r="BL872" s="115"/>
      <c r="BM872" s="115"/>
      <c r="BN872" s="115"/>
      <c r="BO872" s="115"/>
      <c r="BP872" s="115"/>
    </row>
    <row r="873" spans="1:68" ht="20.100000000000001" customHeight="1">
      <c r="A873" s="1228" t="s">
        <v>4582</v>
      </c>
      <c r="B873" s="1228" t="s">
        <v>4826</v>
      </c>
      <c r="C873" s="1228" t="s">
        <v>4861</v>
      </c>
      <c r="D873" s="195">
        <f>D10+1650</f>
        <v>2415</v>
      </c>
      <c r="E873" s="195">
        <f>E10+1500</f>
        <v>2930</v>
      </c>
      <c r="F873" s="195">
        <f>F10+1500</f>
        <v>2980</v>
      </c>
      <c r="G873" s="110" t="s">
        <v>4560</v>
      </c>
      <c r="H873" s="56" t="s">
        <v>4556</v>
      </c>
      <c r="I873" s="38" t="s">
        <v>4595</v>
      </c>
      <c r="J873" s="30"/>
      <c r="K873" s="38"/>
      <c r="L873" s="116" t="s">
        <v>4539</v>
      </c>
      <c r="M873" s="15">
        <v>43084</v>
      </c>
      <c r="N873" s="15">
        <v>43100</v>
      </c>
      <c r="O873" s="59" t="s">
        <v>4559</v>
      </c>
      <c r="P873" s="61"/>
      <c r="Q873" s="61"/>
      <c r="R873" s="239"/>
      <c r="S873" s="336" t="s">
        <v>4558</v>
      </c>
      <c r="T873" s="858"/>
      <c r="U873" s="42"/>
      <c r="AE873" s="115"/>
      <c r="AF873" s="115"/>
      <c r="AG873" s="115"/>
      <c r="AH873" s="115"/>
      <c r="AI873" s="115"/>
      <c r="AJ873" s="115"/>
      <c r="AK873" s="115"/>
      <c r="AL873" s="115"/>
      <c r="AM873" s="115"/>
      <c r="AN873" s="115"/>
      <c r="AO873" s="115"/>
      <c r="AP873" s="115"/>
      <c r="AQ873" s="115"/>
      <c r="AR873" s="115"/>
      <c r="AS873" s="115"/>
      <c r="AT873" s="115"/>
      <c r="AU873" s="115"/>
      <c r="AV873" s="115"/>
      <c r="AW873" s="115"/>
      <c r="AX873" s="115"/>
      <c r="AY873" s="115"/>
      <c r="AZ873" s="115"/>
      <c r="BA873" s="115"/>
      <c r="BB873" s="115"/>
      <c r="BC873" s="115"/>
      <c r="BD873" s="115"/>
      <c r="BE873" s="115"/>
      <c r="BF873" s="115"/>
      <c r="BG873" s="115"/>
      <c r="BH873" s="115"/>
      <c r="BI873" s="115"/>
      <c r="BJ873" s="115"/>
      <c r="BK873" s="115"/>
      <c r="BL873" s="115"/>
      <c r="BM873" s="115"/>
      <c r="BN873" s="115"/>
      <c r="BO873" s="115"/>
      <c r="BP873" s="115"/>
    </row>
    <row r="874" spans="1:68" ht="20.100000000000001" customHeight="1">
      <c r="A874" s="1228" t="s">
        <v>4582</v>
      </c>
      <c r="B874" s="1228" t="s">
        <v>4826</v>
      </c>
      <c r="C874" s="1228" t="s">
        <v>4861</v>
      </c>
      <c r="D874" s="195">
        <f>D39+625</f>
        <v>1525</v>
      </c>
      <c r="E874" s="195">
        <f>E39+1050</f>
        <v>2650</v>
      </c>
      <c r="F874" s="195">
        <f>F39+1050</f>
        <v>2700</v>
      </c>
      <c r="G874" s="110" t="s">
        <v>4553</v>
      </c>
      <c r="H874" s="36" t="s">
        <v>4667</v>
      </c>
      <c r="I874" s="38" t="s">
        <v>4666</v>
      </c>
      <c r="J874" s="30"/>
      <c r="K874" s="38">
        <v>33</v>
      </c>
      <c r="L874" s="116" t="s">
        <v>4539</v>
      </c>
      <c r="M874" s="6">
        <v>43085</v>
      </c>
      <c r="N874" s="6">
        <v>43100</v>
      </c>
      <c r="O874" s="61" t="s">
        <v>4827</v>
      </c>
      <c r="P874" s="61"/>
      <c r="Q874" s="61"/>
      <c r="R874" s="239"/>
      <c r="S874" s="328" t="s">
        <v>4543</v>
      </c>
      <c r="T874" s="858"/>
      <c r="U874" s="42"/>
      <c r="AE874" s="233"/>
      <c r="AF874" s="233"/>
      <c r="AG874" s="233"/>
      <c r="AH874" s="233"/>
      <c r="AI874" s="233"/>
      <c r="AJ874" s="233"/>
      <c r="AK874" s="233"/>
      <c r="AL874" s="233"/>
      <c r="AM874" s="233"/>
      <c r="AN874" s="233"/>
      <c r="AO874" s="233"/>
      <c r="AP874" s="233"/>
      <c r="AQ874" s="233"/>
      <c r="AR874" s="233"/>
      <c r="AS874" s="233"/>
      <c r="AT874" s="233"/>
      <c r="AU874" s="233"/>
      <c r="AV874" s="233"/>
      <c r="AW874" s="233"/>
      <c r="AX874" s="233"/>
      <c r="AY874" s="233"/>
      <c r="AZ874" s="233"/>
      <c r="BA874" s="233"/>
      <c r="BB874" s="233"/>
      <c r="BC874" s="233"/>
      <c r="BD874" s="233"/>
      <c r="BE874" s="233"/>
      <c r="BF874" s="233"/>
      <c r="BG874" s="233"/>
      <c r="BH874" s="233"/>
      <c r="BI874" s="233"/>
      <c r="BJ874" s="233"/>
      <c r="BK874" s="233"/>
      <c r="BL874" s="233"/>
      <c r="BM874" s="233"/>
      <c r="BN874" s="233"/>
      <c r="BO874" s="233"/>
      <c r="BP874" s="233"/>
    </row>
    <row r="875" spans="1:68" ht="20.100000000000001" customHeight="1">
      <c r="A875" s="1228" t="s">
        <v>4582</v>
      </c>
      <c r="B875" s="1228" t="s">
        <v>4826</v>
      </c>
      <c r="C875" s="1228" t="s">
        <v>4861</v>
      </c>
      <c r="D875" s="195">
        <f>D19+1675+25</f>
        <v>2475</v>
      </c>
      <c r="E875" s="195">
        <f>E19+2550+50</f>
        <v>4050</v>
      </c>
      <c r="F875" s="195">
        <f>F19+2550+50</f>
        <v>4100</v>
      </c>
      <c r="G875" s="12" t="s">
        <v>4542</v>
      </c>
      <c r="H875" s="36" t="s">
        <v>4541</v>
      </c>
      <c r="I875" s="38" t="s">
        <v>4595</v>
      </c>
      <c r="J875" s="140"/>
      <c r="K875" s="38"/>
      <c r="L875" s="116" t="s">
        <v>4539</v>
      </c>
      <c r="M875" s="15">
        <v>43084</v>
      </c>
      <c r="N875" s="15">
        <v>43100</v>
      </c>
      <c r="O875" s="61" t="s">
        <v>4538</v>
      </c>
      <c r="P875" s="61"/>
      <c r="Q875" s="61"/>
      <c r="R875" s="239"/>
      <c r="S875" s="326" t="s">
        <v>4537</v>
      </c>
      <c r="T875" s="858"/>
      <c r="U875" s="42"/>
      <c r="AE875" s="115"/>
      <c r="AF875" s="115"/>
      <c r="AG875" s="115"/>
      <c r="AH875" s="115"/>
      <c r="AI875" s="115"/>
      <c r="AJ875" s="115"/>
      <c r="AK875" s="115"/>
      <c r="AL875" s="115"/>
      <c r="AM875" s="115"/>
      <c r="AN875" s="115"/>
      <c r="AO875" s="115"/>
      <c r="AP875" s="115"/>
      <c r="AQ875" s="115"/>
      <c r="AR875" s="115"/>
      <c r="AS875" s="115"/>
      <c r="AT875" s="115"/>
      <c r="AU875" s="115"/>
      <c r="AV875" s="115"/>
      <c r="AW875" s="115"/>
      <c r="AX875" s="115"/>
      <c r="AY875" s="115"/>
      <c r="AZ875" s="115"/>
      <c r="BA875" s="115"/>
      <c r="BB875" s="115"/>
      <c r="BC875" s="115"/>
      <c r="BD875" s="115"/>
      <c r="BE875" s="115"/>
      <c r="BF875" s="115"/>
      <c r="BG875" s="115"/>
      <c r="BH875" s="115"/>
      <c r="BI875" s="115"/>
      <c r="BJ875" s="115"/>
      <c r="BK875" s="115"/>
      <c r="BL875" s="115"/>
      <c r="BM875" s="115"/>
      <c r="BN875" s="115"/>
      <c r="BO875" s="115"/>
      <c r="BP875" s="115"/>
    </row>
    <row r="876" spans="1:68" ht="20.100000000000001" customHeight="1">
      <c r="A876" s="1228" t="s">
        <v>4582</v>
      </c>
      <c r="B876" s="1228" t="s">
        <v>4826</v>
      </c>
      <c r="C876" s="1228" t="s">
        <v>4861</v>
      </c>
      <c r="D876" s="195">
        <f>D65+1000</f>
        <v>1800</v>
      </c>
      <c r="E876" s="195">
        <f>E65+1500</f>
        <v>3000</v>
      </c>
      <c r="F876" s="195">
        <f>F65+1500</f>
        <v>3050</v>
      </c>
      <c r="G876" s="12" t="s">
        <v>4645</v>
      </c>
      <c r="H876" s="56" t="s">
        <v>4556</v>
      </c>
      <c r="I876" s="38" t="s">
        <v>4540</v>
      </c>
      <c r="J876" s="30"/>
      <c r="K876" s="38" t="s">
        <v>4860</v>
      </c>
      <c r="L876" s="116" t="s">
        <v>4539</v>
      </c>
      <c r="M876" s="6">
        <v>43084</v>
      </c>
      <c r="N876" s="6">
        <v>43100</v>
      </c>
      <c r="O876" s="61" t="s">
        <v>4643</v>
      </c>
      <c r="P876" s="61"/>
      <c r="Q876" s="61"/>
      <c r="R876" s="239"/>
      <c r="S876" s="326" t="s">
        <v>4641</v>
      </c>
      <c r="T876" s="858"/>
      <c r="U876" s="42"/>
      <c r="AE876" s="115"/>
      <c r="AF876" s="115"/>
      <c r="AG876" s="115"/>
      <c r="AH876" s="115"/>
      <c r="AI876" s="115"/>
      <c r="AJ876" s="115"/>
      <c r="AK876" s="115"/>
      <c r="AL876" s="115"/>
      <c r="AM876" s="115"/>
      <c r="AN876" s="115"/>
      <c r="AO876" s="115"/>
      <c r="AP876" s="115"/>
      <c r="AQ876" s="115"/>
      <c r="AR876" s="115"/>
      <c r="AS876" s="115"/>
      <c r="AT876" s="115"/>
      <c r="AU876" s="115"/>
      <c r="AV876" s="115"/>
      <c r="AW876" s="115"/>
      <c r="AX876" s="115"/>
      <c r="AY876" s="115"/>
      <c r="AZ876" s="115"/>
      <c r="BA876" s="115"/>
      <c r="BB876" s="115"/>
      <c r="BC876" s="115"/>
      <c r="BD876" s="115"/>
      <c r="BE876" s="115"/>
      <c r="BF876" s="115"/>
      <c r="BG876" s="115"/>
      <c r="BH876" s="115"/>
      <c r="BI876" s="115"/>
      <c r="BJ876" s="115"/>
      <c r="BK876" s="115"/>
      <c r="BL876" s="115"/>
      <c r="BM876" s="115"/>
      <c r="BN876" s="115"/>
      <c r="BO876" s="115"/>
      <c r="BP876" s="115"/>
    </row>
    <row r="877" spans="1:68" ht="20.100000000000001" customHeight="1">
      <c r="A877" s="907" t="s">
        <v>4858</v>
      </c>
      <c r="B877" s="907" t="s">
        <v>4826</v>
      </c>
      <c r="C877" s="907" t="s">
        <v>4859</v>
      </c>
      <c r="D877" s="247"/>
      <c r="E877" s="247"/>
      <c r="F877" s="247"/>
      <c r="G877" s="12"/>
      <c r="H877" s="56"/>
      <c r="I877" s="51"/>
      <c r="J877" s="34"/>
      <c r="K877" s="51"/>
      <c r="L877" s="118"/>
      <c r="M877" s="118"/>
      <c r="N877" s="15"/>
      <c r="O877" s="59"/>
      <c r="P877" s="59"/>
      <c r="Q877" s="59"/>
      <c r="R877" s="21"/>
      <c r="S877" s="328"/>
      <c r="T877" s="858"/>
      <c r="U877" s="42"/>
      <c r="AE877" s="115"/>
      <c r="AF877" s="115"/>
      <c r="AG877" s="115"/>
      <c r="AH877" s="115"/>
      <c r="AI877" s="115"/>
      <c r="AJ877" s="115"/>
      <c r="AK877" s="115"/>
      <c r="AL877" s="115"/>
      <c r="AM877" s="115"/>
      <c r="AN877" s="115"/>
      <c r="AO877" s="115"/>
      <c r="AP877" s="115"/>
      <c r="AQ877" s="115"/>
      <c r="AR877" s="115"/>
      <c r="AS877" s="115"/>
      <c r="AT877" s="115"/>
      <c r="AU877" s="115"/>
      <c r="AV877" s="115"/>
      <c r="AW877" s="115"/>
      <c r="AX877" s="115"/>
      <c r="AY877" s="115"/>
      <c r="AZ877" s="115"/>
      <c r="BA877" s="115"/>
      <c r="BB877" s="115"/>
      <c r="BC877" s="115"/>
      <c r="BD877" s="115"/>
      <c r="BE877" s="115"/>
      <c r="BF877" s="115"/>
      <c r="BG877" s="115"/>
      <c r="BH877" s="115"/>
      <c r="BI877" s="115"/>
      <c r="BJ877" s="115"/>
      <c r="BK877" s="115"/>
      <c r="BL877" s="115"/>
      <c r="BM877" s="115"/>
      <c r="BN877" s="115"/>
      <c r="BO877" s="115"/>
      <c r="BP877" s="115"/>
    </row>
    <row r="878" spans="1:68" ht="20.100000000000001" customHeight="1">
      <c r="A878" s="1228" t="s">
        <v>4858</v>
      </c>
      <c r="B878" s="1228" t="s">
        <v>4826</v>
      </c>
      <c r="C878" s="1228" t="s">
        <v>4856</v>
      </c>
      <c r="D878" s="345">
        <f>D77+100+25</f>
        <v>975</v>
      </c>
      <c r="E878" s="345">
        <f>E77+200+50</f>
        <v>1850</v>
      </c>
      <c r="F878" s="345">
        <f>F77+200+50</f>
        <v>1900</v>
      </c>
      <c r="G878" s="217" t="s">
        <v>4572</v>
      </c>
      <c r="H878" s="56" t="s">
        <v>4541</v>
      </c>
      <c r="I878" s="20" t="s">
        <v>4540</v>
      </c>
      <c r="J878" s="30"/>
      <c r="K878" s="38"/>
      <c r="L878" s="116" t="s">
        <v>4539</v>
      </c>
      <c r="M878" s="15">
        <v>43070</v>
      </c>
      <c r="N878" s="15">
        <v>43100</v>
      </c>
      <c r="O878" s="61" t="s">
        <v>4824</v>
      </c>
      <c r="P878" s="61"/>
      <c r="Q878" s="7"/>
      <c r="R878" s="239"/>
      <c r="S878" s="327" t="s">
        <v>4570</v>
      </c>
      <c r="T878" s="858"/>
      <c r="U878" s="42"/>
      <c r="AE878" s="115"/>
      <c r="AF878" s="115"/>
      <c r="AG878" s="115"/>
      <c r="AH878" s="115"/>
      <c r="AI878" s="115"/>
      <c r="AJ878" s="115"/>
      <c r="AK878" s="115"/>
      <c r="AL878" s="115"/>
      <c r="AM878" s="115"/>
      <c r="AN878" s="115"/>
      <c r="AO878" s="115"/>
      <c r="AP878" s="115"/>
      <c r="AQ878" s="115"/>
      <c r="AR878" s="115"/>
      <c r="AS878" s="115"/>
      <c r="AT878" s="115"/>
      <c r="AU878" s="115"/>
      <c r="AV878" s="115"/>
      <c r="AW878" s="115"/>
      <c r="AX878" s="115"/>
      <c r="AY878" s="115"/>
      <c r="AZ878" s="115"/>
      <c r="BA878" s="115"/>
      <c r="BB878" s="115"/>
      <c r="BC878" s="115"/>
      <c r="BD878" s="115"/>
      <c r="BE878" s="115"/>
      <c r="BF878" s="115"/>
      <c r="BG878" s="115"/>
      <c r="BH878" s="115"/>
      <c r="BI878" s="115"/>
      <c r="BJ878" s="115"/>
      <c r="BK878" s="115"/>
      <c r="BL878" s="115"/>
      <c r="BM878" s="115"/>
      <c r="BN878" s="115"/>
      <c r="BO878" s="115"/>
      <c r="BP878" s="115"/>
    </row>
    <row r="879" spans="1:68" ht="20.100000000000001" customHeight="1">
      <c r="A879" s="1228" t="s">
        <v>4582</v>
      </c>
      <c r="B879" s="1228" t="s">
        <v>4826</v>
      </c>
      <c r="C879" s="1228" t="s">
        <v>4856</v>
      </c>
      <c r="D879" s="196">
        <f>D97+150</f>
        <v>1025</v>
      </c>
      <c r="E879" s="196">
        <f>E97+300</f>
        <v>1850</v>
      </c>
      <c r="F879" s="196">
        <f>F97+300</f>
        <v>1900</v>
      </c>
      <c r="G879" s="217" t="s">
        <v>4575</v>
      </c>
      <c r="H879" s="48" t="s">
        <v>4675</v>
      </c>
      <c r="I879" s="38" t="s">
        <v>4540</v>
      </c>
      <c r="J879" s="30"/>
      <c r="K879" s="38" t="s">
        <v>4857</v>
      </c>
      <c r="L879" s="116" t="s">
        <v>4539</v>
      </c>
      <c r="M879" s="15">
        <v>43084</v>
      </c>
      <c r="N879" s="15">
        <v>43100</v>
      </c>
      <c r="O879" s="61" t="s">
        <v>4573</v>
      </c>
      <c r="P879" s="61"/>
      <c r="Q879" s="61"/>
      <c r="R879" s="239"/>
      <c r="S879" s="328" t="s">
        <v>4543</v>
      </c>
      <c r="T879" s="858"/>
      <c r="U879" s="42"/>
      <c r="AE879" s="115"/>
      <c r="AF879" s="115"/>
      <c r="AG879" s="115"/>
      <c r="AH879" s="115"/>
      <c r="AI879" s="115"/>
      <c r="AJ879" s="115"/>
      <c r="AK879" s="115"/>
      <c r="AL879" s="115"/>
      <c r="AM879" s="115"/>
      <c r="AN879" s="115"/>
      <c r="AO879" s="115"/>
      <c r="AP879" s="115"/>
      <c r="AQ879" s="115"/>
      <c r="AR879" s="115"/>
      <c r="AS879" s="115"/>
      <c r="AT879" s="115"/>
      <c r="AU879" s="115"/>
      <c r="AV879" s="115"/>
      <c r="AW879" s="115"/>
      <c r="AX879" s="115"/>
      <c r="AY879" s="115"/>
      <c r="AZ879" s="115"/>
      <c r="BA879" s="115"/>
      <c r="BB879" s="115"/>
      <c r="BC879" s="115"/>
      <c r="BD879" s="115"/>
      <c r="BE879" s="115"/>
      <c r="BF879" s="115"/>
      <c r="BG879" s="115"/>
      <c r="BH879" s="115"/>
      <c r="BI879" s="115"/>
      <c r="BJ879" s="115"/>
      <c r="BK879" s="115"/>
      <c r="BL879" s="115"/>
      <c r="BM879" s="115"/>
      <c r="BN879" s="115"/>
      <c r="BO879" s="115"/>
      <c r="BP879" s="115"/>
    </row>
    <row r="880" spans="1:68" ht="20.100000000000001" customHeight="1">
      <c r="A880" s="1228" t="s">
        <v>4582</v>
      </c>
      <c r="B880" s="1228" t="s">
        <v>4826</v>
      </c>
      <c r="C880" s="1228" t="s">
        <v>4856</v>
      </c>
      <c r="D880" s="273">
        <f>D211+100+25</f>
        <v>850</v>
      </c>
      <c r="E880" s="273">
        <f>E211+175+50</f>
        <v>1575</v>
      </c>
      <c r="F880" s="273">
        <f>F211+175+50</f>
        <v>1625</v>
      </c>
      <c r="G880" s="110" t="s">
        <v>4566</v>
      </c>
      <c r="H880" s="69" t="s">
        <v>4556</v>
      </c>
      <c r="I880" s="38" t="s">
        <v>4595</v>
      </c>
      <c r="J880" s="30"/>
      <c r="K880" s="38"/>
      <c r="L880" s="116" t="s">
        <v>4539</v>
      </c>
      <c r="M880" s="15">
        <v>43084</v>
      </c>
      <c r="N880" s="15">
        <v>43100</v>
      </c>
      <c r="O880" s="59" t="s">
        <v>4674</v>
      </c>
      <c r="P880" s="61"/>
      <c r="Q880" s="61"/>
      <c r="R880" s="239"/>
      <c r="S880" s="327" t="s">
        <v>4561</v>
      </c>
      <c r="T880" s="858"/>
      <c r="U880" s="42"/>
      <c r="AE880" s="283"/>
      <c r="AF880" s="283"/>
      <c r="AG880" s="283"/>
      <c r="AH880" s="283"/>
      <c r="AI880" s="283"/>
      <c r="AJ880" s="283"/>
      <c r="AK880" s="283"/>
      <c r="AL880" s="283"/>
      <c r="AM880" s="283"/>
      <c r="AN880" s="283"/>
      <c r="AO880" s="283"/>
      <c r="AP880" s="283"/>
      <c r="AQ880" s="283"/>
      <c r="AR880" s="283"/>
      <c r="AS880" s="283"/>
      <c r="AT880" s="283"/>
      <c r="AU880" s="283"/>
      <c r="AV880" s="283"/>
      <c r="AW880" s="283"/>
      <c r="AX880" s="283"/>
      <c r="AY880" s="283"/>
      <c r="AZ880" s="283"/>
      <c r="BA880" s="283"/>
      <c r="BB880" s="283"/>
      <c r="BC880" s="283"/>
      <c r="BD880" s="283"/>
      <c r="BE880" s="283"/>
      <c r="BF880" s="283"/>
      <c r="BG880" s="283"/>
      <c r="BH880" s="283"/>
      <c r="BI880" s="283"/>
      <c r="BJ880" s="283"/>
      <c r="BK880" s="283"/>
      <c r="BL880" s="283"/>
      <c r="BM880" s="283"/>
      <c r="BN880" s="283"/>
      <c r="BO880" s="283"/>
      <c r="BP880" s="283"/>
    </row>
    <row r="881" spans="1:68" ht="20.100000000000001" customHeight="1">
      <c r="A881" s="1228" t="s">
        <v>4582</v>
      </c>
      <c r="B881" s="1228" t="s">
        <v>4826</v>
      </c>
      <c r="C881" s="1228" t="s">
        <v>4856</v>
      </c>
      <c r="D881" s="273">
        <f>D14+250</f>
        <v>1030</v>
      </c>
      <c r="E881" s="273">
        <f>E14+600</f>
        <v>2057</v>
      </c>
      <c r="F881" s="273">
        <f>F14+600</f>
        <v>2057</v>
      </c>
      <c r="G881" s="225" t="s">
        <v>4569</v>
      </c>
      <c r="H881" s="69" t="s">
        <v>4602</v>
      </c>
      <c r="I881" s="38" t="s">
        <v>4595</v>
      </c>
      <c r="J881" s="30"/>
      <c r="K881" s="38" t="s">
        <v>4546</v>
      </c>
      <c r="L881" s="116" t="s">
        <v>4539</v>
      </c>
      <c r="M881" s="6">
        <v>43074</v>
      </c>
      <c r="N881" s="6">
        <v>43084</v>
      </c>
      <c r="O881" s="61" t="s">
        <v>4664</v>
      </c>
      <c r="P881" s="61"/>
      <c r="Q881" s="61"/>
      <c r="R881" s="239"/>
      <c r="S881" s="328" t="s">
        <v>4543</v>
      </c>
      <c r="T881" s="722"/>
      <c r="U881" s="42"/>
      <c r="AE881" s="115"/>
      <c r="AF881" s="115"/>
      <c r="AG881" s="115"/>
      <c r="AH881" s="115"/>
      <c r="AI881" s="115"/>
      <c r="AJ881" s="115"/>
      <c r="AK881" s="115"/>
      <c r="AL881" s="115"/>
      <c r="AM881" s="115"/>
      <c r="AN881" s="115"/>
      <c r="AO881" s="115"/>
      <c r="AP881" s="115"/>
      <c r="AQ881" s="115"/>
      <c r="AR881" s="115"/>
      <c r="AS881" s="115"/>
      <c r="AT881" s="115"/>
      <c r="AU881" s="115"/>
      <c r="AV881" s="115"/>
      <c r="AW881" s="115"/>
      <c r="AX881" s="115"/>
      <c r="AY881" s="115"/>
      <c r="AZ881" s="115"/>
      <c r="BA881" s="115"/>
      <c r="BB881" s="115"/>
      <c r="BC881" s="115"/>
      <c r="BD881" s="115"/>
      <c r="BE881" s="115"/>
      <c r="BF881" s="115"/>
      <c r="BG881" s="115"/>
      <c r="BH881" s="115"/>
      <c r="BI881" s="115"/>
      <c r="BJ881" s="115"/>
      <c r="BK881" s="115"/>
      <c r="BL881" s="115"/>
      <c r="BM881" s="115"/>
      <c r="BN881" s="115"/>
      <c r="BO881" s="115"/>
      <c r="BP881" s="115"/>
    </row>
    <row r="882" spans="1:68" ht="20.100000000000001" customHeight="1">
      <c r="A882" s="1228" t="s">
        <v>4582</v>
      </c>
      <c r="B882" s="1228" t="s">
        <v>4826</v>
      </c>
      <c r="C882" s="1228" t="s">
        <v>4856</v>
      </c>
      <c r="D882" s="195">
        <f>D19+400+25</f>
        <v>1200</v>
      </c>
      <c r="E882" s="195">
        <f>E19+600+50</f>
        <v>2100</v>
      </c>
      <c r="F882" s="195">
        <f>F19+600+50</f>
        <v>2150</v>
      </c>
      <c r="G882" s="12" t="s">
        <v>4542</v>
      </c>
      <c r="H882" s="69" t="s">
        <v>4541</v>
      </c>
      <c r="I882" s="38" t="s">
        <v>4595</v>
      </c>
      <c r="J882" s="140"/>
      <c r="K882" s="38"/>
      <c r="L882" s="116" t="s">
        <v>4539</v>
      </c>
      <c r="M882" s="15">
        <v>43084</v>
      </c>
      <c r="N882" s="15">
        <v>43100</v>
      </c>
      <c r="O882" s="61" t="s">
        <v>4538</v>
      </c>
      <c r="P882" s="61"/>
      <c r="Q882" s="61"/>
      <c r="R882" s="239"/>
      <c r="S882" s="326" t="s">
        <v>4537</v>
      </c>
      <c r="T882" s="722"/>
      <c r="U882" s="42"/>
      <c r="AE882" s="115"/>
      <c r="AF882" s="115"/>
      <c r="AG882" s="115"/>
      <c r="AH882" s="115"/>
      <c r="AI882" s="115"/>
      <c r="AJ882" s="115"/>
      <c r="AK882" s="115"/>
      <c r="AL882" s="115"/>
      <c r="AM882" s="115"/>
      <c r="AN882" s="115"/>
      <c r="AO882" s="115"/>
      <c r="AP882" s="115"/>
      <c r="AQ882" s="115"/>
      <c r="AR882" s="115"/>
      <c r="AS882" s="115"/>
      <c r="AT882" s="115"/>
      <c r="AU882" s="115"/>
      <c r="AV882" s="115"/>
      <c r="AW882" s="115"/>
      <c r="AX882" s="115"/>
      <c r="AY882" s="115"/>
      <c r="AZ882" s="115"/>
      <c r="BA882" s="115"/>
      <c r="BB882" s="115"/>
      <c r="BC882" s="115"/>
      <c r="BD882" s="115"/>
      <c r="BE882" s="115"/>
      <c r="BF882" s="115"/>
      <c r="BG882" s="115"/>
      <c r="BH882" s="115"/>
      <c r="BI882" s="115"/>
      <c r="BJ882" s="115"/>
      <c r="BK882" s="115"/>
      <c r="BL882" s="115"/>
      <c r="BM882" s="115"/>
      <c r="BN882" s="115"/>
      <c r="BO882" s="115"/>
      <c r="BP882" s="115"/>
    </row>
    <row r="883" spans="1:68" ht="20.100000000000001" customHeight="1">
      <c r="A883" s="1228" t="s">
        <v>4582</v>
      </c>
      <c r="B883" s="1228" t="s">
        <v>4826</v>
      </c>
      <c r="C883" s="1228" t="s">
        <v>4856</v>
      </c>
      <c r="D883" s="195">
        <f>D65+200</f>
        <v>1000</v>
      </c>
      <c r="E883" s="195">
        <f>E65+400</f>
        <v>1900</v>
      </c>
      <c r="F883" s="195">
        <f>F65+400</f>
        <v>1950</v>
      </c>
      <c r="G883" s="12" t="s">
        <v>4645</v>
      </c>
      <c r="H883" s="48" t="s">
        <v>4556</v>
      </c>
      <c r="I883" s="38" t="s">
        <v>4540</v>
      </c>
      <c r="J883" s="30"/>
      <c r="K883" s="38" t="s">
        <v>4835</v>
      </c>
      <c r="L883" s="116" t="s">
        <v>4539</v>
      </c>
      <c r="M883" s="6">
        <v>43084</v>
      </c>
      <c r="N883" s="6">
        <v>43100</v>
      </c>
      <c r="O883" s="61" t="s">
        <v>4643</v>
      </c>
      <c r="P883" s="61"/>
      <c r="Q883" s="61"/>
      <c r="R883" s="239"/>
      <c r="S883" s="326" t="s">
        <v>4641</v>
      </c>
      <c r="T883" s="722"/>
      <c r="U883" s="42"/>
      <c r="AE883" s="115"/>
      <c r="AF883" s="115"/>
      <c r="AG883" s="115"/>
      <c r="AH883" s="115"/>
      <c r="AI883" s="115"/>
      <c r="AJ883" s="115"/>
      <c r="AK883" s="115"/>
      <c r="AL883" s="115"/>
      <c r="AM883" s="115"/>
      <c r="AN883" s="115"/>
      <c r="AO883" s="115"/>
      <c r="AP883" s="115"/>
      <c r="AQ883" s="115"/>
      <c r="AR883" s="115"/>
      <c r="AS883" s="115"/>
      <c r="AT883" s="115"/>
      <c r="AU883" s="115"/>
      <c r="AV883" s="115"/>
      <c r="AW883" s="115"/>
      <c r="AX883" s="115"/>
      <c r="AY883" s="115"/>
      <c r="AZ883" s="115"/>
      <c r="BA883" s="115"/>
      <c r="BB883" s="115"/>
      <c r="BC883" s="115"/>
      <c r="BD883" s="115"/>
      <c r="BE883" s="115"/>
      <c r="BF883" s="115"/>
      <c r="BG883" s="115"/>
      <c r="BH883" s="115"/>
      <c r="BI883" s="115"/>
      <c r="BJ883" s="115"/>
      <c r="BK883" s="115"/>
      <c r="BL883" s="115"/>
      <c r="BM883" s="115"/>
      <c r="BN883" s="115"/>
      <c r="BO883" s="115"/>
      <c r="BP883" s="115"/>
    </row>
    <row r="884" spans="1:68" ht="20.100000000000001" customHeight="1">
      <c r="A884" s="907" t="s">
        <v>4582</v>
      </c>
      <c r="B884" s="907" t="s">
        <v>4826</v>
      </c>
      <c r="C884" s="907" t="s">
        <v>4855</v>
      </c>
      <c r="D884" s="247"/>
      <c r="E884" s="247"/>
      <c r="F884" s="247"/>
      <c r="G884" s="12"/>
      <c r="H884" s="56"/>
      <c r="I884" s="51"/>
      <c r="J884" s="34"/>
      <c r="K884" s="51"/>
      <c r="L884" s="118"/>
      <c r="M884" s="118"/>
      <c r="N884" s="15"/>
      <c r="O884" s="59"/>
      <c r="P884" s="59"/>
      <c r="Q884" s="59"/>
      <c r="R884" s="21"/>
      <c r="S884" s="328"/>
      <c r="T884" s="722"/>
      <c r="U884" s="42"/>
      <c r="AE884" s="279"/>
      <c r="AF884" s="279"/>
      <c r="AG884" s="279"/>
      <c r="AH884" s="279"/>
      <c r="AI884" s="279"/>
      <c r="AJ884" s="279"/>
      <c r="AK884" s="279"/>
      <c r="AL884" s="279"/>
      <c r="AM884" s="279"/>
      <c r="AN884" s="279"/>
      <c r="AO884" s="279"/>
      <c r="AP884" s="279"/>
      <c r="AQ884" s="279"/>
      <c r="AR884" s="279"/>
      <c r="AS884" s="279"/>
      <c r="AT884" s="279"/>
      <c r="AU884" s="279"/>
      <c r="AV884" s="279"/>
      <c r="AW884" s="279"/>
      <c r="AX884" s="279"/>
      <c r="AY884" s="279"/>
      <c r="AZ884" s="279"/>
      <c r="BA884" s="279"/>
      <c r="BB884" s="279"/>
      <c r="BC884" s="279"/>
      <c r="BD884" s="279"/>
      <c r="BE884" s="279"/>
      <c r="BF884" s="279"/>
      <c r="BG884" s="279"/>
      <c r="BH884" s="279"/>
      <c r="BI884" s="279"/>
      <c r="BJ884" s="279"/>
      <c r="BK884" s="279"/>
      <c r="BL884" s="279"/>
      <c r="BM884" s="279"/>
      <c r="BN884" s="279"/>
      <c r="BO884" s="279"/>
      <c r="BP884" s="279"/>
    </row>
    <row r="885" spans="1:68" ht="20.100000000000001" customHeight="1">
      <c r="A885" s="1228" t="s">
        <v>4582</v>
      </c>
      <c r="B885" s="1228" t="s">
        <v>4826</v>
      </c>
      <c r="C885" s="1228" t="s">
        <v>4854</v>
      </c>
      <c r="D885" s="195">
        <f>D97+850</f>
        <v>1725</v>
      </c>
      <c r="E885" s="195">
        <f>E97+1225</f>
        <v>2775</v>
      </c>
      <c r="F885" s="195">
        <f>F97+1175</f>
        <v>2775</v>
      </c>
      <c r="G885" s="217" t="s">
        <v>4575</v>
      </c>
      <c r="H885" s="48" t="s">
        <v>4541</v>
      </c>
      <c r="I885" s="38" t="s">
        <v>4540</v>
      </c>
      <c r="J885" s="30"/>
      <c r="K885" s="38">
        <v>38</v>
      </c>
      <c r="L885" s="116" t="s">
        <v>4539</v>
      </c>
      <c r="M885" s="15">
        <v>43084</v>
      </c>
      <c r="N885" s="15">
        <v>43100</v>
      </c>
      <c r="O885" s="61" t="s">
        <v>4573</v>
      </c>
      <c r="P885" s="61"/>
      <c r="Q885" s="61"/>
      <c r="R885" s="239"/>
      <c r="S885" s="328" t="s">
        <v>4543</v>
      </c>
      <c r="T885" s="722"/>
      <c r="U885" s="42"/>
      <c r="AE885" s="115"/>
      <c r="AF885" s="115"/>
      <c r="AG885" s="115"/>
      <c r="AH885" s="115"/>
      <c r="AI885" s="115"/>
      <c r="AJ885" s="115"/>
      <c r="AK885" s="115"/>
      <c r="AL885" s="115"/>
      <c r="AM885" s="115"/>
      <c r="AN885" s="115"/>
      <c r="AO885" s="115"/>
      <c r="AP885" s="115"/>
      <c r="AQ885" s="115"/>
      <c r="AR885" s="115"/>
      <c r="AS885" s="115"/>
      <c r="AT885" s="115"/>
      <c r="AU885" s="115"/>
      <c r="AV885" s="115"/>
      <c r="AW885" s="115"/>
      <c r="AX885" s="115"/>
      <c r="AY885" s="115"/>
      <c r="AZ885" s="115"/>
      <c r="BA885" s="115"/>
      <c r="BB885" s="115"/>
      <c r="BC885" s="115"/>
      <c r="BD885" s="115"/>
      <c r="BE885" s="115"/>
      <c r="BF885" s="115"/>
      <c r="BG885" s="115"/>
      <c r="BH885" s="115"/>
      <c r="BI885" s="115"/>
      <c r="BJ885" s="115"/>
      <c r="BK885" s="115"/>
      <c r="BL885" s="115"/>
      <c r="BM885" s="115"/>
      <c r="BN885" s="115"/>
      <c r="BO885" s="115"/>
      <c r="BP885" s="115"/>
    </row>
    <row r="886" spans="1:68" ht="20.100000000000001" customHeight="1">
      <c r="A886" s="1228" t="s">
        <v>4582</v>
      </c>
      <c r="B886" s="1228" t="s">
        <v>4826</v>
      </c>
      <c r="C886" s="1228" t="s">
        <v>4854</v>
      </c>
      <c r="D886" s="273">
        <f>D211+300+25</f>
        <v>1050</v>
      </c>
      <c r="E886" s="273">
        <f>E211+600+50</f>
        <v>2000</v>
      </c>
      <c r="F886" s="273">
        <f>F211+600+50</f>
        <v>2050</v>
      </c>
      <c r="G886" s="110" t="s">
        <v>4566</v>
      </c>
      <c r="H886" s="69" t="s">
        <v>4556</v>
      </c>
      <c r="I886" s="38" t="s">
        <v>4595</v>
      </c>
      <c r="J886" s="30"/>
      <c r="K886" s="38"/>
      <c r="L886" s="116" t="s">
        <v>4539</v>
      </c>
      <c r="M886" s="15">
        <v>43084</v>
      </c>
      <c r="N886" s="15">
        <v>43100</v>
      </c>
      <c r="O886" s="59" t="s">
        <v>4674</v>
      </c>
      <c r="P886" s="61"/>
      <c r="Q886" s="61"/>
      <c r="R886" s="239"/>
      <c r="S886" s="327" t="s">
        <v>4561</v>
      </c>
      <c r="T886" s="722"/>
      <c r="U886" s="42"/>
      <c r="AE886" s="115"/>
      <c r="AF886" s="115"/>
      <c r="AG886" s="115"/>
      <c r="AH886" s="115"/>
      <c r="AI886" s="115"/>
      <c r="AJ886" s="115"/>
      <c r="AK886" s="115"/>
      <c r="AL886" s="115"/>
      <c r="AM886" s="115"/>
      <c r="AN886" s="115"/>
      <c r="AO886" s="115"/>
      <c r="AP886" s="115"/>
      <c r="AQ886" s="115"/>
      <c r="AR886" s="115"/>
      <c r="AS886" s="115"/>
      <c r="AT886" s="115"/>
      <c r="AU886" s="115"/>
      <c r="AV886" s="115"/>
      <c r="AW886" s="115"/>
      <c r="AX886" s="115"/>
      <c r="AY886" s="115"/>
      <c r="AZ886" s="115"/>
      <c r="BA886" s="115"/>
      <c r="BB886" s="115"/>
      <c r="BC886" s="115"/>
      <c r="BD886" s="115"/>
      <c r="BE886" s="115"/>
      <c r="BF886" s="115"/>
      <c r="BG886" s="115"/>
      <c r="BH886" s="115"/>
      <c r="BI886" s="115"/>
      <c r="BJ886" s="115"/>
      <c r="BK886" s="115"/>
      <c r="BL886" s="115"/>
      <c r="BM886" s="115"/>
      <c r="BN886" s="115"/>
      <c r="BO886" s="115"/>
      <c r="BP886" s="115"/>
    </row>
    <row r="887" spans="1:68" ht="20.100000000000001" customHeight="1">
      <c r="A887" s="1229" t="s">
        <v>4536</v>
      </c>
      <c r="B887" s="1229" t="s">
        <v>4826</v>
      </c>
      <c r="C887" s="1229" t="s">
        <v>4851</v>
      </c>
      <c r="D887" s="196">
        <f>D97+250</f>
        <v>1125</v>
      </c>
      <c r="E887" s="196">
        <f>E97+300</f>
        <v>1850</v>
      </c>
      <c r="F887" s="196">
        <f>F97+300</f>
        <v>1900</v>
      </c>
      <c r="G887" s="217" t="s">
        <v>4575</v>
      </c>
      <c r="H887" s="48" t="s">
        <v>4675</v>
      </c>
      <c r="I887" s="38" t="s">
        <v>4540</v>
      </c>
      <c r="J887" s="30"/>
      <c r="K887" s="38" t="s">
        <v>4845</v>
      </c>
      <c r="L887" s="116" t="s">
        <v>4539</v>
      </c>
      <c r="M887" s="15">
        <v>43084</v>
      </c>
      <c r="N887" s="15">
        <v>43100</v>
      </c>
      <c r="O887" s="61" t="s">
        <v>4573</v>
      </c>
      <c r="P887" s="61"/>
      <c r="Q887" s="61"/>
      <c r="R887" s="239"/>
      <c r="S887" s="328" t="s">
        <v>4543</v>
      </c>
      <c r="T887" s="722"/>
      <c r="U887" s="42"/>
      <c r="AE887" s="115"/>
      <c r="AF887" s="115"/>
      <c r="AG887" s="115"/>
      <c r="AH887" s="115"/>
      <c r="AI887" s="115"/>
      <c r="AJ887" s="115"/>
      <c r="AK887" s="115"/>
      <c r="AL887" s="115"/>
      <c r="AM887" s="115"/>
      <c r="AN887" s="115"/>
      <c r="AO887" s="115"/>
      <c r="AP887" s="115"/>
      <c r="AQ887" s="115"/>
      <c r="AR887" s="115"/>
      <c r="AS887" s="115"/>
      <c r="AT887" s="115"/>
      <c r="AU887" s="115"/>
      <c r="AV887" s="115"/>
      <c r="AW887" s="115"/>
      <c r="AX887" s="115"/>
      <c r="AY887" s="115"/>
      <c r="AZ887" s="115"/>
      <c r="BA887" s="115"/>
      <c r="BB887" s="115"/>
      <c r="BC887" s="115"/>
      <c r="BD887" s="115"/>
      <c r="BE887" s="115"/>
      <c r="BF887" s="115"/>
      <c r="BG887" s="115"/>
      <c r="BH887" s="115"/>
      <c r="BI887" s="115"/>
      <c r="BJ887" s="115"/>
      <c r="BK887" s="115"/>
      <c r="BL887" s="115"/>
      <c r="BM887" s="115"/>
      <c r="BN887" s="115"/>
      <c r="BO887" s="115"/>
      <c r="BP887" s="115"/>
    </row>
    <row r="888" spans="1:68" ht="20.100000000000001" customHeight="1">
      <c r="A888" s="1229" t="s">
        <v>4536</v>
      </c>
      <c r="B888" s="1229" t="s">
        <v>4826</v>
      </c>
      <c r="C888" s="1229" t="s">
        <v>4851</v>
      </c>
      <c r="D888" s="347">
        <f>D878+250+25</f>
        <v>1250</v>
      </c>
      <c r="E888" s="347">
        <f>E878+400+50</f>
        <v>2300</v>
      </c>
      <c r="F888" s="347">
        <f>F878+400+50</f>
        <v>2350</v>
      </c>
      <c r="G888" s="217" t="s">
        <v>4572</v>
      </c>
      <c r="H888" s="56" t="s">
        <v>4541</v>
      </c>
      <c r="I888" s="20" t="s">
        <v>4540</v>
      </c>
      <c r="J888" s="30"/>
      <c r="K888" s="38"/>
      <c r="L888" s="116" t="s">
        <v>4539</v>
      </c>
      <c r="M888" s="15">
        <v>43070</v>
      </c>
      <c r="N888" s="15">
        <v>43100</v>
      </c>
      <c r="O888" s="61" t="s">
        <v>4824</v>
      </c>
      <c r="P888" s="61"/>
      <c r="Q888" s="14"/>
      <c r="R888" s="239"/>
      <c r="S888" s="327" t="s">
        <v>4570</v>
      </c>
      <c r="T888" s="722"/>
      <c r="U888" s="42"/>
      <c r="AE888" s="115"/>
      <c r="AF888" s="115"/>
      <c r="AG888" s="115"/>
      <c r="AH888" s="115"/>
      <c r="AI888" s="115"/>
      <c r="AJ888" s="115"/>
      <c r="AK888" s="115"/>
      <c r="AL888" s="115"/>
      <c r="AM888" s="115"/>
      <c r="AN888" s="115"/>
      <c r="AO888" s="115"/>
      <c r="AP888" s="115"/>
      <c r="AQ888" s="115"/>
      <c r="AR888" s="115"/>
      <c r="AS888" s="115"/>
      <c r="AT888" s="115"/>
      <c r="AU888" s="115"/>
      <c r="AV888" s="115"/>
      <c r="AW888" s="115"/>
      <c r="AX888" s="115"/>
      <c r="AY888" s="115"/>
      <c r="AZ888" s="115"/>
      <c r="BA888" s="115"/>
      <c r="BB888" s="115"/>
      <c r="BC888" s="115"/>
      <c r="BD888" s="115"/>
      <c r="BE888" s="115"/>
      <c r="BF888" s="115"/>
      <c r="BG888" s="115"/>
      <c r="BH888" s="115"/>
      <c r="BI888" s="115"/>
      <c r="BJ888" s="115"/>
      <c r="BK888" s="115"/>
      <c r="BL888" s="115"/>
      <c r="BM888" s="115"/>
      <c r="BN888" s="115"/>
      <c r="BO888" s="115"/>
      <c r="BP888" s="115"/>
    </row>
    <row r="889" spans="1:68" ht="20.100000000000001" customHeight="1">
      <c r="A889" s="1229" t="s">
        <v>4536</v>
      </c>
      <c r="B889" s="1229" t="s">
        <v>4826</v>
      </c>
      <c r="C889" s="1229" t="s">
        <v>4851</v>
      </c>
      <c r="D889" s="273">
        <f>D211+100+25</f>
        <v>850</v>
      </c>
      <c r="E889" s="273">
        <f>E211+175+50</f>
        <v>1575</v>
      </c>
      <c r="F889" s="273">
        <f>F211+175+50</f>
        <v>1625</v>
      </c>
      <c r="G889" s="110" t="s">
        <v>4566</v>
      </c>
      <c r="H889" s="69" t="s">
        <v>4556</v>
      </c>
      <c r="I889" s="38" t="s">
        <v>4595</v>
      </c>
      <c r="J889" s="30"/>
      <c r="K889" s="38"/>
      <c r="L889" s="116" t="s">
        <v>4539</v>
      </c>
      <c r="M889" s="15">
        <v>43084</v>
      </c>
      <c r="N889" s="15">
        <v>43100</v>
      </c>
      <c r="O889" s="59" t="s">
        <v>4674</v>
      </c>
      <c r="P889" s="61"/>
      <c r="Q889" s="61"/>
      <c r="R889" s="239"/>
      <c r="S889" s="327" t="s">
        <v>4561</v>
      </c>
      <c r="T889" s="722"/>
      <c r="U889" s="42"/>
      <c r="AE889" s="115"/>
      <c r="AF889" s="115"/>
      <c r="AG889" s="115"/>
      <c r="AH889" s="115"/>
      <c r="AI889" s="115"/>
      <c r="AJ889" s="115"/>
      <c r="AK889" s="115"/>
      <c r="AL889" s="115"/>
      <c r="AM889" s="115"/>
      <c r="AN889" s="115"/>
      <c r="AO889" s="115"/>
      <c r="AP889" s="115"/>
      <c r="AQ889" s="115"/>
      <c r="AR889" s="115"/>
      <c r="AS889" s="115"/>
      <c r="AT889" s="115"/>
      <c r="AU889" s="115"/>
      <c r="AV889" s="115"/>
      <c r="AW889" s="115"/>
      <c r="AX889" s="115"/>
      <c r="AY889" s="115"/>
      <c r="AZ889" s="115"/>
      <c r="BA889" s="115"/>
      <c r="BB889" s="115"/>
      <c r="BC889" s="115"/>
      <c r="BD889" s="115"/>
      <c r="BE889" s="115"/>
      <c r="BF889" s="115"/>
      <c r="BG889" s="115"/>
      <c r="BH889" s="115"/>
      <c r="BI889" s="115"/>
      <c r="BJ889" s="115"/>
      <c r="BK889" s="115"/>
      <c r="BL889" s="115"/>
      <c r="BM889" s="115"/>
      <c r="BN889" s="115"/>
      <c r="BO889" s="115"/>
      <c r="BP889" s="115"/>
    </row>
    <row r="890" spans="1:68" ht="20.100000000000001" customHeight="1">
      <c r="A890" s="1229" t="s">
        <v>4536</v>
      </c>
      <c r="B890" s="1229" t="s">
        <v>4826</v>
      </c>
      <c r="C890" s="1229" t="s">
        <v>4851</v>
      </c>
      <c r="D890" s="247">
        <f>D13+500+25</f>
        <v>1275</v>
      </c>
      <c r="E890" s="247">
        <f>E13+700+50</f>
        <v>2150</v>
      </c>
      <c r="F890" s="247">
        <f>F13+700+50</f>
        <v>2200</v>
      </c>
      <c r="G890" s="110" t="s">
        <v>4636</v>
      </c>
      <c r="H890" s="36" t="s">
        <v>4635</v>
      </c>
      <c r="I890" s="38" t="s">
        <v>4595</v>
      </c>
      <c r="J890" s="30"/>
      <c r="K890" s="38" t="s">
        <v>4853</v>
      </c>
      <c r="L890" s="116" t="s">
        <v>4539</v>
      </c>
      <c r="M890" s="6">
        <v>43084</v>
      </c>
      <c r="N890" s="6">
        <v>43100</v>
      </c>
      <c r="O890" s="61" t="s">
        <v>4633</v>
      </c>
      <c r="P890" s="61"/>
      <c r="Q890" s="61"/>
      <c r="R890" s="239"/>
      <c r="S890" s="327" t="s">
        <v>4632</v>
      </c>
      <c r="T890" s="722"/>
      <c r="U890" s="42"/>
      <c r="AE890" s="115"/>
      <c r="AF890" s="115"/>
      <c r="AG890" s="115"/>
      <c r="AH890" s="115"/>
      <c r="AI890" s="115"/>
      <c r="AJ890" s="115"/>
      <c r="AK890" s="115"/>
      <c r="AL890" s="115"/>
      <c r="AM890" s="115"/>
      <c r="AN890" s="115"/>
      <c r="AO890" s="115"/>
      <c r="AP890" s="115"/>
      <c r="AQ890" s="115"/>
      <c r="AR890" s="115"/>
      <c r="AS890" s="115"/>
      <c r="AT890" s="115"/>
      <c r="AU890" s="115"/>
      <c r="AV890" s="115"/>
      <c r="AW890" s="115"/>
      <c r="AX890" s="115"/>
      <c r="AY890" s="115"/>
      <c r="AZ890" s="115"/>
      <c r="BA890" s="115"/>
      <c r="BB890" s="115"/>
      <c r="BC890" s="115"/>
      <c r="BD890" s="115"/>
      <c r="BE890" s="115"/>
      <c r="BF890" s="115"/>
      <c r="BG890" s="115"/>
      <c r="BH890" s="115"/>
      <c r="BI890" s="115"/>
      <c r="BJ890" s="115"/>
      <c r="BK890" s="115"/>
      <c r="BL890" s="115"/>
      <c r="BM890" s="115"/>
      <c r="BN890" s="115"/>
      <c r="BO890" s="115"/>
      <c r="BP890" s="115"/>
    </row>
    <row r="891" spans="1:68" ht="20.100000000000001" customHeight="1">
      <c r="A891" s="1229" t="s">
        <v>4536</v>
      </c>
      <c r="B891" s="1229" t="s">
        <v>4826</v>
      </c>
      <c r="C891" s="1229" t="s">
        <v>4851</v>
      </c>
      <c r="D891" s="273">
        <f>D14+300</f>
        <v>1080</v>
      </c>
      <c r="E891" s="273">
        <f>E14+500</f>
        <v>1957</v>
      </c>
      <c r="F891" s="273">
        <f>F14+500</f>
        <v>1957</v>
      </c>
      <c r="G891" s="225" t="s">
        <v>4569</v>
      </c>
      <c r="H891" s="69" t="s">
        <v>4602</v>
      </c>
      <c r="I891" s="38" t="s">
        <v>4595</v>
      </c>
      <c r="J891" s="30"/>
      <c r="K891" s="38" t="s">
        <v>4546</v>
      </c>
      <c r="L891" s="116" t="s">
        <v>4539</v>
      </c>
      <c r="M891" s="6">
        <v>43074</v>
      </c>
      <c r="N891" s="6">
        <v>43084</v>
      </c>
      <c r="O891" s="61" t="s">
        <v>4664</v>
      </c>
      <c r="P891" s="61"/>
      <c r="Q891" s="61"/>
      <c r="R891" s="239"/>
      <c r="S891" s="328" t="s">
        <v>4543</v>
      </c>
      <c r="T891" s="722"/>
      <c r="U891" s="42"/>
      <c r="AE891" s="115"/>
      <c r="AF891" s="115"/>
      <c r="AG891" s="115"/>
      <c r="AH891" s="115"/>
      <c r="AI891" s="115"/>
      <c r="AJ891" s="115"/>
      <c r="AK891" s="115"/>
      <c r="AL891" s="115"/>
      <c r="AM891" s="115"/>
      <c r="AN891" s="115"/>
      <c r="AO891" s="115"/>
      <c r="AP891" s="115"/>
      <c r="AQ891" s="115"/>
      <c r="AR891" s="115"/>
      <c r="AS891" s="115"/>
      <c r="AT891" s="115"/>
      <c r="AU891" s="115"/>
      <c r="AV891" s="115"/>
      <c r="AW891" s="115"/>
      <c r="AX891" s="115"/>
      <c r="AY891" s="115"/>
      <c r="AZ891" s="115"/>
      <c r="BA891" s="115"/>
      <c r="BB891" s="115"/>
      <c r="BC891" s="115"/>
      <c r="BD891" s="115"/>
      <c r="BE891" s="115"/>
      <c r="BF891" s="115"/>
      <c r="BG891" s="115"/>
      <c r="BH891" s="115"/>
      <c r="BI891" s="115"/>
      <c r="BJ891" s="115"/>
      <c r="BK891" s="115"/>
      <c r="BL891" s="115"/>
      <c r="BM891" s="115"/>
      <c r="BN891" s="115"/>
      <c r="BO891" s="115"/>
      <c r="BP891" s="115"/>
    </row>
    <row r="892" spans="1:68" ht="20.100000000000001" customHeight="1">
      <c r="A892" s="1229" t="s">
        <v>4536</v>
      </c>
      <c r="B892" s="1229" t="s">
        <v>4826</v>
      </c>
      <c r="C892" s="1229" t="s">
        <v>4851</v>
      </c>
      <c r="D892" s="195">
        <f>D15+450</f>
        <v>1350</v>
      </c>
      <c r="E892" s="195">
        <f>D15+750</f>
        <v>1650</v>
      </c>
      <c r="F892" s="195">
        <f>E15+750</f>
        <v>2350</v>
      </c>
      <c r="G892" s="110" t="s">
        <v>4553</v>
      </c>
      <c r="H892" s="36" t="s">
        <v>4852</v>
      </c>
      <c r="I892" s="38" t="s">
        <v>4595</v>
      </c>
      <c r="J892" s="140"/>
      <c r="K892" s="38">
        <v>31</v>
      </c>
      <c r="L892" s="116" t="s">
        <v>4539</v>
      </c>
      <c r="M892" s="6">
        <v>43085</v>
      </c>
      <c r="N892" s="6">
        <v>43100</v>
      </c>
      <c r="O892" s="61" t="s">
        <v>4827</v>
      </c>
      <c r="P892" s="61"/>
      <c r="Q892" s="61"/>
      <c r="R892" s="239"/>
      <c r="S892" s="328" t="s">
        <v>4543</v>
      </c>
      <c r="T892" s="722"/>
      <c r="U892" s="42"/>
      <c r="AE892" s="115"/>
      <c r="AF892" s="115"/>
      <c r="AG892" s="115"/>
      <c r="AH892" s="115"/>
      <c r="AI892" s="115"/>
      <c r="AJ892" s="115"/>
      <c r="AK892" s="115"/>
      <c r="AL892" s="115"/>
      <c r="AM892" s="115"/>
      <c r="AN892" s="115"/>
      <c r="AO892" s="115"/>
      <c r="AP892" s="115"/>
      <c r="AQ892" s="115"/>
      <c r="AR892" s="115"/>
      <c r="AS892" s="115"/>
      <c r="AT892" s="115"/>
      <c r="AU892" s="115"/>
      <c r="AV892" s="115"/>
      <c r="AW892" s="115"/>
      <c r="AX892" s="115"/>
      <c r="AY892" s="115"/>
      <c r="AZ892" s="115"/>
      <c r="BA892" s="115"/>
      <c r="BB892" s="115"/>
      <c r="BC892" s="115"/>
      <c r="BD892" s="115"/>
      <c r="BE892" s="115"/>
      <c r="BF892" s="115"/>
      <c r="BG892" s="115"/>
      <c r="BH892" s="115"/>
      <c r="BI892" s="115"/>
      <c r="BJ892" s="115"/>
      <c r="BK892" s="115"/>
      <c r="BL892" s="115"/>
      <c r="BM892" s="115"/>
      <c r="BN892" s="115"/>
      <c r="BO892" s="115"/>
      <c r="BP892" s="115"/>
    </row>
    <row r="893" spans="1:68" ht="20.100000000000001" customHeight="1">
      <c r="A893" s="1229" t="s">
        <v>4536</v>
      </c>
      <c r="B893" s="1229" t="s">
        <v>4826</v>
      </c>
      <c r="C893" s="1229" t="s">
        <v>4851</v>
      </c>
      <c r="D893" s="195">
        <f>D19+600+25</f>
        <v>1400</v>
      </c>
      <c r="E893" s="195">
        <f>E19+940+50</f>
        <v>2440</v>
      </c>
      <c r="F893" s="195">
        <f>F19+940+50</f>
        <v>2490</v>
      </c>
      <c r="G893" s="12" t="s">
        <v>4542</v>
      </c>
      <c r="H893" s="69" t="s">
        <v>4541</v>
      </c>
      <c r="I893" s="38" t="s">
        <v>4595</v>
      </c>
      <c r="J893" s="140"/>
      <c r="K893" s="38"/>
      <c r="L893" s="116" t="s">
        <v>4539</v>
      </c>
      <c r="M893" s="15">
        <v>43084</v>
      </c>
      <c r="N893" s="15">
        <v>43100</v>
      </c>
      <c r="O893" s="61" t="s">
        <v>4538</v>
      </c>
      <c r="P893" s="61"/>
      <c r="Q893" s="61"/>
      <c r="R893" s="239"/>
      <c r="S893" s="326" t="s">
        <v>4537</v>
      </c>
      <c r="T893" s="722"/>
      <c r="U893" s="42"/>
      <c r="AE893" s="115"/>
      <c r="AF893" s="115"/>
      <c r="AG893" s="115"/>
      <c r="AH893" s="115"/>
      <c r="AI893" s="115"/>
      <c r="AJ893" s="115"/>
      <c r="AK893" s="115"/>
      <c r="AL893" s="115"/>
      <c r="AM893" s="115"/>
      <c r="AN893" s="115"/>
      <c r="AO893" s="115"/>
      <c r="AP893" s="115"/>
      <c r="AQ893" s="115"/>
      <c r="AR893" s="115"/>
      <c r="AS893" s="115"/>
      <c r="AT893" s="115"/>
      <c r="AU893" s="115"/>
      <c r="AV893" s="115"/>
      <c r="AW893" s="115"/>
      <c r="AX893" s="115"/>
      <c r="AY893" s="115"/>
      <c r="AZ893" s="115"/>
      <c r="BA893" s="115"/>
      <c r="BB893" s="115"/>
      <c r="BC893" s="115"/>
      <c r="BD893" s="115"/>
      <c r="BE893" s="115"/>
      <c r="BF893" s="115"/>
      <c r="BG893" s="115"/>
      <c r="BH893" s="115"/>
      <c r="BI893" s="115"/>
      <c r="BJ893" s="115"/>
      <c r="BK893" s="115"/>
      <c r="BL893" s="115"/>
      <c r="BM893" s="115"/>
      <c r="BN893" s="115"/>
      <c r="BO893" s="115"/>
      <c r="BP893" s="115"/>
    </row>
    <row r="894" spans="1:68" ht="20.100000000000001" customHeight="1">
      <c r="A894" s="1229" t="s">
        <v>4536</v>
      </c>
      <c r="B894" s="1229" t="s">
        <v>4826</v>
      </c>
      <c r="C894" s="1229" t="s">
        <v>4851</v>
      </c>
      <c r="D894" s="195">
        <f>D65+200</f>
        <v>1000</v>
      </c>
      <c r="E894" s="195">
        <f>E65+400</f>
        <v>1900</v>
      </c>
      <c r="F894" s="195">
        <f>F65+400</f>
        <v>1950</v>
      </c>
      <c r="G894" s="12" t="s">
        <v>4645</v>
      </c>
      <c r="H894" s="48" t="s">
        <v>4556</v>
      </c>
      <c r="I894" s="38" t="s">
        <v>4540</v>
      </c>
      <c r="J894" s="30"/>
      <c r="K894" s="38" t="s">
        <v>4850</v>
      </c>
      <c r="L894" s="116" t="s">
        <v>4539</v>
      </c>
      <c r="M894" s="6">
        <v>43084</v>
      </c>
      <c r="N894" s="6">
        <v>43100</v>
      </c>
      <c r="O894" s="61" t="s">
        <v>4643</v>
      </c>
      <c r="P894" s="61"/>
      <c r="Q894" s="61"/>
      <c r="R894" s="239"/>
      <c r="S894" s="326" t="s">
        <v>4641</v>
      </c>
      <c r="T894" s="722"/>
      <c r="U894" s="42"/>
      <c r="AE894" s="115"/>
      <c r="AF894" s="115"/>
      <c r="AG894" s="115"/>
      <c r="AH894" s="115"/>
      <c r="AI894" s="115"/>
      <c r="AJ894" s="115"/>
      <c r="AK894" s="115"/>
      <c r="AL894" s="115"/>
      <c r="AM894" s="115"/>
      <c r="AN894" s="115"/>
      <c r="AO894" s="115"/>
      <c r="AP894" s="115"/>
      <c r="AQ894" s="115"/>
      <c r="AR894" s="115"/>
      <c r="AS894" s="115"/>
      <c r="AT894" s="115"/>
      <c r="AU894" s="115"/>
      <c r="AV894" s="115"/>
      <c r="AW894" s="115"/>
      <c r="AX894" s="115"/>
      <c r="AY894" s="115"/>
      <c r="AZ894" s="115"/>
      <c r="BA894" s="115"/>
      <c r="BB894" s="115"/>
      <c r="BC894" s="115"/>
      <c r="BD894" s="115"/>
      <c r="BE894" s="115"/>
      <c r="BF894" s="115"/>
      <c r="BG894" s="115"/>
      <c r="BH894" s="115"/>
      <c r="BI894" s="115"/>
      <c r="BJ894" s="115"/>
      <c r="BK894" s="115"/>
      <c r="BL894" s="115"/>
      <c r="BM894" s="115"/>
      <c r="BN894" s="115"/>
      <c r="BO894" s="115"/>
      <c r="BP894" s="115"/>
    </row>
    <row r="895" spans="1:68" ht="20.100000000000001" customHeight="1">
      <c r="A895" s="1228" t="s">
        <v>4582</v>
      </c>
      <c r="B895" s="1228" t="s">
        <v>4826</v>
      </c>
      <c r="C895" s="1228" t="s">
        <v>4849</v>
      </c>
      <c r="D895" s="345">
        <f>D77+950+25</f>
        <v>1825</v>
      </c>
      <c r="E895" s="345">
        <f>E77+1400+50</f>
        <v>3050</v>
      </c>
      <c r="F895" s="345">
        <f>F77+1400+50</f>
        <v>3100</v>
      </c>
      <c r="G895" s="217" t="s">
        <v>4572</v>
      </c>
      <c r="H895" s="56" t="s">
        <v>4541</v>
      </c>
      <c r="I895" s="10" t="s">
        <v>4540</v>
      </c>
      <c r="J895" s="30"/>
      <c r="K895" s="38"/>
      <c r="L895" s="116" t="s">
        <v>4539</v>
      </c>
      <c r="M895" s="15">
        <v>43070</v>
      </c>
      <c r="N895" s="15">
        <v>43100</v>
      </c>
      <c r="O895" s="61" t="s">
        <v>4824</v>
      </c>
      <c r="P895" s="61"/>
      <c r="Q895" s="7"/>
      <c r="R895" s="239"/>
      <c r="S895" s="327" t="s">
        <v>4570</v>
      </c>
      <c r="T895" s="722"/>
      <c r="U895" s="42"/>
      <c r="AE895" s="115"/>
      <c r="AF895" s="115"/>
      <c r="AG895" s="115"/>
      <c r="AH895" s="115"/>
      <c r="AI895" s="115"/>
      <c r="AJ895" s="115"/>
      <c r="AK895" s="115"/>
      <c r="AL895" s="115"/>
      <c r="AM895" s="115"/>
      <c r="AN895" s="115"/>
      <c r="AO895" s="115"/>
      <c r="AP895" s="115"/>
      <c r="AQ895" s="115"/>
      <c r="AR895" s="115"/>
      <c r="AS895" s="115"/>
      <c r="AT895" s="115"/>
      <c r="AU895" s="115"/>
      <c r="AV895" s="115"/>
      <c r="AW895" s="115"/>
      <c r="AX895" s="115"/>
      <c r="AY895" s="115"/>
      <c r="AZ895" s="115"/>
      <c r="BA895" s="115"/>
      <c r="BB895" s="115"/>
      <c r="BC895" s="115"/>
      <c r="BD895" s="115"/>
      <c r="BE895" s="115"/>
      <c r="BF895" s="115"/>
      <c r="BG895" s="115"/>
      <c r="BH895" s="115"/>
      <c r="BI895" s="115"/>
      <c r="BJ895" s="115"/>
      <c r="BK895" s="115"/>
      <c r="BL895" s="115"/>
      <c r="BM895" s="115"/>
      <c r="BN895" s="115"/>
      <c r="BO895" s="115"/>
      <c r="BP895" s="115"/>
    </row>
    <row r="896" spans="1:68" ht="20.100000000000001" customHeight="1">
      <c r="A896" s="1228" t="s">
        <v>4582</v>
      </c>
      <c r="B896" s="1228" t="s">
        <v>4826</v>
      </c>
      <c r="C896" s="1228" t="s">
        <v>4849</v>
      </c>
      <c r="D896" s="195">
        <f>D97+1275</f>
        <v>2150</v>
      </c>
      <c r="E896" s="195">
        <f>E97+1800</f>
        <v>3350</v>
      </c>
      <c r="F896" s="195">
        <f>F97+1800</f>
        <v>3400</v>
      </c>
      <c r="G896" s="217" t="s">
        <v>4575</v>
      </c>
      <c r="H896" s="56" t="s">
        <v>4541</v>
      </c>
      <c r="I896" s="38" t="s">
        <v>4540</v>
      </c>
      <c r="J896" s="30"/>
      <c r="K896" s="38" t="s">
        <v>4845</v>
      </c>
      <c r="L896" s="116" t="s">
        <v>4539</v>
      </c>
      <c r="M896" s="15">
        <v>43084</v>
      </c>
      <c r="N896" s="15">
        <v>43100</v>
      </c>
      <c r="O896" s="61" t="s">
        <v>4573</v>
      </c>
      <c r="P896" s="61"/>
      <c r="Q896" s="7"/>
      <c r="R896" s="239"/>
      <c r="S896" s="328" t="s">
        <v>4543</v>
      </c>
      <c r="T896" s="722"/>
      <c r="U896" s="42"/>
      <c r="AE896" s="115"/>
      <c r="AF896" s="115"/>
      <c r="AG896" s="115"/>
      <c r="AH896" s="115"/>
      <c r="AI896" s="115"/>
      <c r="AJ896" s="115"/>
      <c r="AK896" s="115"/>
      <c r="AL896" s="115"/>
      <c r="AM896" s="115"/>
      <c r="AN896" s="115"/>
      <c r="AO896" s="115"/>
      <c r="AP896" s="115"/>
      <c r="AQ896" s="115"/>
      <c r="AR896" s="115"/>
      <c r="AS896" s="115"/>
      <c r="AT896" s="115"/>
      <c r="AU896" s="115"/>
      <c r="AV896" s="115"/>
      <c r="AW896" s="115"/>
      <c r="AX896" s="115"/>
      <c r="AY896" s="115"/>
      <c r="AZ896" s="115"/>
      <c r="BA896" s="115"/>
      <c r="BB896" s="115"/>
      <c r="BC896" s="115"/>
      <c r="BD896" s="115"/>
      <c r="BE896" s="115"/>
      <c r="BF896" s="115"/>
      <c r="BG896" s="115"/>
      <c r="BH896" s="115"/>
      <c r="BI896" s="115"/>
      <c r="BJ896" s="115"/>
      <c r="BK896" s="115"/>
      <c r="BL896" s="115"/>
      <c r="BM896" s="115"/>
      <c r="BN896" s="115"/>
      <c r="BO896" s="115"/>
      <c r="BP896" s="115"/>
    </row>
    <row r="897" spans="1:68" ht="20.100000000000001" customHeight="1">
      <c r="A897" s="1228" t="s">
        <v>4614</v>
      </c>
      <c r="B897" s="1228" t="s">
        <v>4826</v>
      </c>
      <c r="C897" s="1228" t="s">
        <v>4847</v>
      </c>
      <c r="D897" s="196">
        <f>D97+650</f>
        <v>1525</v>
      </c>
      <c r="E897" s="196">
        <f>E97+900</f>
        <v>2450</v>
      </c>
      <c r="F897" s="196">
        <f>F97+900</f>
        <v>2500</v>
      </c>
      <c r="G897" s="217" t="s">
        <v>4575</v>
      </c>
      <c r="H897" s="56" t="s">
        <v>4541</v>
      </c>
      <c r="I897" s="38" t="s">
        <v>4540</v>
      </c>
      <c r="J897" s="30"/>
      <c r="K897" s="38" t="s">
        <v>4848</v>
      </c>
      <c r="L897" s="116" t="s">
        <v>4539</v>
      </c>
      <c r="M897" s="15">
        <v>43084</v>
      </c>
      <c r="N897" s="15">
        <v>43100</v>
      </c>
      <c r="O897" s="61" t="s">
        <v>4573</v>
      </c>
      <c r="P897" s="61"/>
      <c r="Q897" s="61"/>
      <c r="R897" s="239"/>
      <c r="S897" s="328" t="s">
        <v>4543</v>
      </c>
      <c r="T897" s="722"/>
      <c r="U897" s="42"/>
      <c r="AE897" s="115"/>
      <c r="AF897" s="115"/>
      <c r="AG897" s="115"/>
      <c r="AH897" s="115"/>
      <c r="AI897" s="115"/>
      <c r="AJ897" s="115"/>
      <c r="AK897" s="115"/>
      <c r="AL897" s="115"/>
      <c r="AM897" s="115"/>
      <c r="AN897" s="115"/>
      <c r="AO897" s="115"/>
      <c r="AP897" s="115"/>
      <c r="AQ897" s="115"/>
      <c r="AR897" s="115"/>
      <c r="AS897" s="115"/>
      <c r="AT897" s="115"/>
      <c r="AU897" s="115"/>
      <c r="AV897" s="115"/>
      <c r="AW897" s="115"/>
      <c r="AX897" s="115"/>
      <c r="AY897" s="115"/>
      <c r="AZ897" s="115"/>
      <c r="BA897" s="115"/>
      <c r="BB897" s="115"/>
      <c r="BC897" s="115"/>
      <c r="BD897" s="115"/>
      <c r="BE897" s="115"/>
      <c r="BF897" s="115"/>
      <c r="BG897" s="115"/>
      <c r="BH897" s="115"/>
      <c r="BI897" s="115"/>
      <c r="BJ897" s="115"/>
      <c r="BK897" s="115"/>
      <c r="BL897" s="115"/>
      <c r="BM897" s="115"/>
      <c r="BN897" s="115"/>
      <c r="BO897" s="115"/>
      <c r="BP897" s="115"/>
    </row>
    <row r="898" spans="1:68" ht="20.100000000000001" customHeight="1">
      <c r="A898" s="1228" t="s">
        <v>4582</v>
      </c>
      <c r="B898" s="1228" t="s">
        <v>4826</v>
      </c>
      <c r="C898" s="1228" t="s">
        <v>4847</v>
      </c>
      <c r="D898" s="273">
        <f>D211+300+25</f>
        <v>1050</v>
      </c>
      <c r="E898" s="273">
        <f>E211+600+50</f>
        <v>2000</v>
      </c>
      <c r="F898" s="273">
        <f>F211+600+50</f>
        <v>2050</v>
      </c>
      <c r="G898" s="110" t="s">
        <v>4566</v>
      </c>
      <c r="H898" s="36" t="s">
        <v>4556</v>
      </c>
      <c r="I898" s="38" t="s">
        <v>4595</v>
      </c>
      <c r="J898" s="30"/>
      <c r="K898" s="38"/>
      <c r="L898" s="116" t="s">
        <v>4539</v>
      </c>
      <c r="M898" s="15">
        <v>43084</v>
      </c>
      <c r="N898" s="15">
        <v>43100</v>
      </c>
      <c r="O898" s="59" t="s">
        <v>4674</v>
      </c>
      <c r="P898" s="61"/>
      <c r="Q898" s="61"/>
      <c r="R898" s="239"/>
      <c r="S898" s="327" t="s">
        <v>4561</v>
      </c>
      <c r="T898" s="722"/>
      <c r="U898" s="42"/>
      <c r="AE898" s="115"/>
      <c r="AF898" s="115"/>
      <c r="AG898" s="115"/>
      <c r="AH898" s="115"/>
      <c r="AI898" s="115"/>
      <c r="AJ898" s="115"/>
      <c r="AK898" s="115"/>
      <c r="AL898" s="115"/>
      <c r="AM898" s="115"/>
      <c r="AN898" s="115"/>
      <c r="AO898" s="115"/>
      <c r="AP898" s="115"/>
      <c r="AQ898" s="115"/>
      <c r="AR898" s="115"/>
      <c r="AS898" s="115"/>
      <c r="AT898" s="115"/>
      <c r="AU898" s="115"/>
      <c r="AV898" s="115"/>
      <c r="AW898" s="115"/>
      <c r="AX898" s="115"/>
      <c r="AY898" s="115"/>
      <c r="AZ898" s="115"/>
      <c r="BA898" s="115"/>
      <c r="BB898" s="115"/>
      <c r="BC898" s="115"/>
      <c r="BD898" s="115"/>
      <c r="BE898" s="115"/>
      <c r="BF898" s="115"/>
      <c r="BG898" s="115"/>
      <c r="BH898" s="115"/>
      <c r="BI898" s="115"/>
      <c r="BJ898" s="115"/>
      <c r="BK898" s="115"/>
      <c r="BL898" s="115"/>
      <c r="BM898" s="115"/>
      <c r="BN898" s="115"/>
      <c r="BO898" s="115"/>
      <c r="BP898" s="115"/>
    </row>
    <row r="899" spans="1:68" ht="20.100000000000001" customHeight="1">
      <c r="A899" s="1228" t="s">
        <v>4582</v>
      </c>
      <c r="B899" s="1228" t="s">
        <v>4826</v>
      </c>
      <c r="C899" s="1228" t="s">
        <v>4847</v>
      </c>
      <c r="D899" s="195">
        <f>D39+555</f>
        <v>1455</v>
      </c>
      <c r="E899" s="195">
        <f>E39+985</f>
        <v>2585</v>
      </c>
      <c r="F899" s="195">
        <f>F39+985</f>
        <v>2635</v>
      </c>
      <c r="G899" s="12" t="s">
        <v>4553</v>
      </c>
      <c r="H899" s="36" t="s">
        <v>4667</v>
      </c>
      <c r="I899" s="38" t="s">
        <v>4666</v>
      </c>
      <c r="J899" s="30"/>
      <c r="K899" s="38">
        <v>33</v>
      </c>
      <c r="L899" s="116" t="s">
        <v>4539</v>
      </c>
      <c r="M899" s="6">
        <v>43085</v>
      </c>
      <c r="N899" s="6">
        <v>43100</v>
      </c>
      <c r="O899" s="61" t="s">
        <v>4827</v>
      </c>
      <c r="P899" s="61"/>
      <c r="Q899" s="61"/>
      <c r="R899" s="239"/>
      <c r="S899" s="328" t="s">
        <v>4543</v>
      </c>
      <c r="T899" s="722"/>
      <c r="U899" s="42"/>
      <c r="AE899" s="115"/>
      <c r="AF899" s="115"/>
      <c r="AG899" s="115"/>
      <c r="AH899" s="115"/>
      <c r="AI899" s="115"/>
      <c r="AJ899" s="115"/>
      <c r="AK899" s="115"/>
      <c r="AL899" s="115"/>
      <c r="AM899" s="115"/>
      <c r="AN899" s="115"/>
      <c r="AO899" s="115"/>
      <c r="AP899" s="115"/>
      <c r="AQ899" s="115"/>
      <c r="AR899" s="115"/>
      <c r="AS899" s="115"/>
      <c r="AT899" s="115"/>
      <c r="AU899" s="115"/>
      <c r="AV899" s="115"/>
      <c r="AW899" s="115"/>
      <c r="AX899" s="115"/>
      <c r="AY899" s="115"/>
      <c r="AZ899" s="115"/>
      <c r="BA899" s="115"/>
      <c r="BB899" s="115"/>
      <c r="BC899" s="115"/>
      <c r="BD899" s="115"/>
      <c r="BE899" s="115"/>
      <c r="BF899" s="115"/>
      <c r="BG899" s="115"/>
      <c r="BH899" s="115"/>
      <c r="BI899" s="115"/>
      <c r="BJ899" s="115"/>
      <c r="BK899" s="115"/>
      <c r="BL899" s="115"/>
      <c r="BM899" s="115"/>
      <c r="BN899" s="115"/>
      <c r="BO899" s="115"/>
      <c r="BP899" s="115"/>
    </row>
    <row r="900" spans="1:68" ht="20.100000000000001" customHeight="1">
      <c r="A900" s="907" t="s">
        <v>4614</v>
      </c>
      <c r="B900" s="907" t="s">
        <v>4826</v>
      </c>
      <c r="C900" s="907" t="s">
        <v>4846</v>
      </c>
      <c r="D900" s="195">
        <f>D97+1275</f>
        <v>2150</v>
      </c>
      <c r="E900" s="195">
        <f>E97+1800</f>
        <v>3350</v>
      </c>
      <c r="F900" s="195">
        <f>F97+1800</f>
        <v>3400</v>
      </c>
      <c r="G900" s="217" t="s">
        <v>4575</v>
      </c>
      <c r="H900" s="56" t="s">
        <v>4541</v>
      </c>
      <c r="I900" s="38" t="s">
        <v>4540</v>
      </c>
      <c r="J900" s="30"/>
      <c r="K900" s="38" t="s">
        <v>4845</v>
      </c>
      <c r="L900" s="116" t="s">
        <v>4539</v>
      </c>
      <c r="M900" s="15">
        <v>43084</v>
      </c>
      <c r="N900" s="15">
        <v>43100</v>
      </c>
      <c r="O900" s="61" t="s">
        <v>4573</v>
      </c>
      <c r="P900" s="61"/>
      <c r="Q900" s="61"/>
      <c r="R900" s="239"/>
      <c r="S900" s="328" t="s">
        <v>4543</v>
      </c>
      <c r="T900" s="722"/>
      <c r="U900" s="42"/>
      <c r="AE900" s="115"/>
      <c r="AF900" s="115"/>
      <c r="AG900" s="115"/>
      <c r="AH900" s="115"/>
      <c r="AI900" s="115"/>
      <c r="AJ900" s="115"/>
      <c r="AK900" s="115"/>
      <c r="AL900" s="115"/>
      <c r="AM900" s="115"/>
      <c r="AN900" s="115"/>
      <c r="AO900" s="115"/>
      <c r="AP900" s="115"/>
      <c r="AQ900" s="115"/>
      <c r="AR900" s="115"/>
      <c r="AS900" s="115"/>
      <c r="AT900" s="115"/>
      <c r="AU900" s="115"/>
      <c r="AV900" s="115"/>
      <c r="AW900" s="115"/>
      <c r="AX900" s="115"/>
      <c r="AY900" s="115"/>
      <c r="AZ900" s="115"/>
      <c r="BA900" s="115"/>
      <c r="BB900" s="115"/>
      <c r="BC900" s="115"/>
      <c r="BD900" s="115"/>
      <c r="BE900" s="115"/>
      <c r="BF900" s="115"/>
      <c r="BG900" s="115"/>
      <c r="BH900" s="115"/>
      <c r="BI900" s="115"/>
      <c r="BJ900" s="115"/>
      <c r="BK900" s="115"/>
      <c r="BL900" s="115"/>
      <c r="BM900" s="115"/>
      <c r="BN900" s="115"/>
      <c r="BO900" s="115"/>
      <c r="BP900" s="115"/>
    </row>
    <row r="901" spans="1:68" ht="20.100000000000001" customHeight="1">
      <c r="A901" s="907" t="s">
        <v>4614</v>
      </c>
      <c r="B901" s="907" t="s">
        <v>4826</v>
      </c>
      <c r="C901" s="907" t="s">
        <v>4844</v>
      </c>
      <c r="D901" s="273">
        <f>D211+500+25</f>
        <v>1250</v>
      </c>
      <c r="E901" s="273">
        <f>E211+700+50</f>
        <v>2100</v>
      </c>
      <c r="F901" s="273">
        <f>F211+700+50</f>
        <v>2150</v>
      </c>
      <c r="G901" s="110" t="s">
        <v>4566</v>
      </c>
      <c r="H901" s="36" t="s">
        <v>4556</v>
      </c>
      <c r="I901" s="38" t="s">
        <v>4595</v>
      </c>
      <c r="J901" s="30"/>
      <c r="K901" s="38"/>
      <c r="L901" s="116" t="s">
        <v>4539</v>
      </c>
      <c r="M901" s="15">
        <v>43084</v>
      </c>
      <c r="N901" s="15">
        <v>43100</v>
      </c>
      <c r="O901" s="59" t="s">
        <v>4674</v>
      </c>
      <c r="P901" s="61"/>
      <c r="Q901" s="61"/>
      <c r="R901" s="239"/>
      <c r="S901" s="327" t="s">
        <v>4561</v>
      </c>
      <c r="T901" s="722"/>
      <c r="U901" s="42"/>
      <c r="AE901" s="233"/>
      <c r="AF901" s="233"/>
      <c r="AG901" s="233"/>
      <c r="AH901" s="233"/>
      <c r="AI901" s="233"/>
      <c r="AJ901" s="233"/>
      <c r="AK901" s="233"/>
      <c r="AL901" s="233"/>
      <c r="AM901" s="233"/>
      <c r="AN901" s="233"/>
      <c r="AO901" s="233"/>
      <c r="AP901" s="233"/>
      <c r="AQ901" s="233"/>
      <c r="AR901" s="233"/>
      <c r="AS901" s="233"/>
      <c r="AT901" s="233"/>
      <c r="AU901" s="233"/>
      <c r="AV901" s="233"/>
      <c r="AW901" s="233"/>
      <c r="AX901" s="233"/>
      <c r="AY901" s="233"/>
      <c r="AZ901" s="233"/>
      <c r="BA901" s="233"/>
      <c r="BB901" s="233"/>
      <c r="BC901" s="233"/>
      <c r="BD901" s="233"/>
      <c r="BE901" s="233"/>
      <c r="BF901" s="233"/>
      <c r="BG901" s="233"/>
      <c r="BH901" s="233"/>
      <c r="BI901" s="233"/>
      <c r="BJ901" s="233"/>
      <c r="BK901" s="233"/>
      <c r="BL901" s="233"/>
      <c r="BM901" s="233"/>
      <c r="BN901" s="233"/>
      <c r="BO901" s="233"/>
      <c r="BP901" s="233"/>
    </row>
    <row r="902" spans="1:68" ht="20.100000000000001" customHeight="1">
      <c r="A902" s="1228" t="s">
        <v>4582</v>
      </c>
      <c r="B902" s="1228" t="s">
        <v>4826</v>
      </c>
      <c r="C902" s="1228" t="s">
        <v>4841</v>
      </c>
      <c r="D902" s="345">
        <f>D77+250+25</f>
        <v>1125</v>
      </c>
      <c r="E902" s="345">
        <f>E77+400+50</f>
        <v>2050</v>
      </c>
      <c r="F902" s="345">
        <f>F77+400+50</f>
        <v>2100</v>
      </c>
      <c r="G902" s="217" t="s">
        <v>4572</v>
      </c>
      <c r="H902" s="56" t="s">
        <v>4541</v>
      </c>
      <c r="I902" s="10" t="s">
        <v>4540</v>
      </c>
      <c r="J902" s="30"/>
      <c r="K902" s="38"/>
      <c r="L902" s="116" t="s">
        <v>4539</v>
      </c>
      <c r="M902" s="15">
        <v>43070</v>
      </c>
      <c r="N902" s="15">
        <v>43100</v>
      </c>
      <c r="O902" s="61" t="s">
        <v>4824</v>
      </c>
      <c r="P902" s="61"/>
      <c r="Q902" s="7"/>
      <c r="R902" s="239"/>
      <c r="S902" s="327" t="s">
        <v>4570</v>
      </c>
      <c r="T902" s="722"/>
      <c r="U902" s="42"/>
      <c r="AE902" s="115"/>
      <c r="AF902" s="115"/>
      <c r="AG902" s="115"/>
      <c r="AH902" s="115"/>
      <c r="AI902" s="115"/>
      <c r="AJ902" s="115"/>
      <c r="AK902" s="115"/>
      <c r="AL902" s="115"/>
      <c r="AM902" s="115"/>
      <c r="AN902" s="115"/>
      <c r="AO902" s="115"/>
      <c r="AP902" s="115"/>
      <c r="AQ902" s="115"/>
      <c r="AR902" s="115"/>
      <c r="AS902" s="115"/>
      <c r="AT902" s="115"/>
      <c r="AU902" s="115"/>
      <c r="AV902" s="115"/>
      <c r="AW902" s="115"/>
      <c r="AX902" s="115"/>
      <c r="AY902" s="115"/>
      <c r="AZ902" s="115"/>
      <c r="BA902" s="115"/>
      <c r="BB902" s="115"/>
      <c r="BC902" s="115"/>
      <c r="BD902" s="115"/>
      <c r="BE902" s="115"/>
      <c r="BF902" s="115"/>
      <c r="BG902" s="115"/>
      <c r="BH902" s="115"/>
      <c r="BI902" s="115"/>
      <c r="BJ902" s="115"/>
      <c r="BK902" s="115"/>
      <c r="BL902" s="115"/>
      <c r="BM902" s="115"/>
      <c r="BN902" s="115"/>
      <c r="BO902" s="115"/>
      <c r="BP902" s="115"/>
    </row>
    <row r="903" spans="1:68" ht="20.100000000000001" customHeight="1">
      <c r="A903" s="1228" t="s">
        <v>4582</v>
      </c>
      <c r="B903" s="1228" t="s">
        <v>4826</v>
      </c>
      <c r="C903" s="1228" t="s">
        <v>4841</v>
      </c>
      <c r="D903" s="196">
        <f>D97+200</f>
        <v>1075</v>
      </c>
      <c r="E903" s="196">
        <f>E97+300</f>
        <v>1850</v>
      </c>
      <c r="F903" s="196">
        <f>F97+300</f>
        <v>1900</v>
      </c>
      <c r="G903" s="217" t="s">
        <v>4575</v>
      </c>
      <c r="H903" s="48" t="s">
        <v>4675</v>
      </c>
      <c r="I903" s="38" t="s">
        <v>4540</v>
      </c>
      <c r="J903" s="30"/>
      <c r="K903" s="38"/>
      <c r="L903" s="116" t="s">
        <v>4539</v>
      </c>
      <c r="M903" s="15">
        <v>43084</v>
      </c>
      <c r="N903" s="15">
        <v>43100</v>
      </c>
      <c r="O903" s="61" t="s">
        <v>4573</v>
      </c>
      <c r="P903" s="61"/>
      <c r="Q903" s="61"/>
      <c r="R903" s="239"/>
      <c r="S903" s="328" t="s">
        <v>4543</v>
      </c>
      <c r="T903" s="722"/>
      <c r="U903" s="42"/>
      <c r="AE903" s="115"/>
      <c r="AF903" s="115"/>
      <c r="AG903" s="115"/>
      <c r="AH903" s="115"/>
      <c r="AI903" s="115"/>
      <c r="AJ903" s="115"/>
      <c r="AK903" s="115"/>
      <c r="AL903" s="115"/>
      <c r="AM903" s="115"/>
      <c r="AN903" s="115"/>
      <c r="AO903" s="115"/>
      <c r="AP903" s="115"/>
      <c r="AQ903" s="115"/>
      <c r="AR903" s="115"/>
      <c r="AS903" s="115"/>
      <c r="AT903" s="115"/>
      <c r="AU903" s="115"/>
      <c r="AV903" s="115"/>
      <c r="AW903" s="115"/>
      <c r="AX903" s="115"/>
      <c r="AY903" s="115"/>
      <c r="AZ903" s="115"/>
      <c r="BA903" s="115"/>
      <c r="BB903" s="115"/>
      <c r="BC903" s="115"/>
      <c r="BD903" s="115"/>
      <c r="BE903" s="115"/>
      <c r="BF903" s="115"/>
      <c r="BG903" s="115"/>
      <c r="BH903" s="115"/>
      <c r="BI903" s="115"/>
      <c r="BJ903" s="115"/>
      <c r="BK903" s="115"/>
      <c r="BL903" s="115"/>
      <c r="BM903" s="115"/>
      <c r="BN903" s="115"/>
      <c r="BO903" s="115"/>
      <c r="BP903" s="115"/>
    </row>
    <row r="904" spans="1:68" ht="20.100000000000001" customHeight="1">
      <c r="A904" s="1228" t="s">
        <v>4582</v>
      </c>
      <c r="B904" s="1228" t="s">
        <v>4826</v>
      </c>
      <c r="C904" s="1228" t="s">
        <v>4841</v>
      </c>
      <c r="D904" s="273">
        <f>D211+100+25</f>
        <v>850</v>
      </c>
      <c r="E904" s="273">
        <f>E211+175+50</f>
        <v>1575</v>
      </c>
      <c r="F904" s="273">
        <f>F211+175+50</f>
        <v>1625</v>
      </c>
      <c r="G904" s="110" t="s">
        <v>4566</v>
      </c>
      <c r="H904" s="69" t="s">
        <v>4556</v>
      </c>
      <c r="I904" s="38" t="s">
        <v>4595</v>
      </c>
      <c r="J904" s="30"/>
      <c r="K904" s="38"/>
      <c r="L904" s="116" t="s">
        <v>4539</v>
      </c>
      <c r="M904" s="15">
        <v>43084</v>
      </c>
      <c r="N904" s="15">
        <v>43100</v>
      </c>
      <c r="O904" s="59" t="s">
        <v>4674</v>
      </c>
      <c r="P904" s="61"/>
      <c r="Q904" s="61"/>
      <c r="R904" s="239"/>
      <c r="S904" s="327" t="s">
        <v>4561</v>
      </c>
      <c r="T904" s="722"/>
      <c r="U904" s="42"/>
      <c r="AE904" s="115"/>
      <c r="AF904" s="115"/>
      <c r="AG904" s="115"/>
      <c r="AH904" s="115"/>
      <c r="AI904" s="115"/>
      <c r="AJ904" s="115"/>
      <c r="AK904" s="115"/>
      <c r="AL904" s="115"/>
      <c r="AM904" s="115"/>
      <c r="AN904" s="115"/>
      <c r="AO904" s="115"/>
      <c r="AP904" s="115"/>
      <c r="AQ904" s="115"/>
      <c r="AR904" s="115"/>
      <c r="AS904" s="115"/>
      <c r="AT904" s="115"/>
      <c r="AU904" s="115"/>
      <c r="AV904" s="115"/>
      <c r="AW904" s="115"/>
      <c r="AX904" s="115"/>
      <c r="AY904" s="115"/>
      <c r="AZ904" s="115"/>
      <c r="BA904" s="115"/>
      <c r="BB904" s="115"/>
      <c r="BC904" s="115"/>
      <c r="BD904" s="115"/>
      <c r="BE904" s="115"/>
      <c r="BF904" s="115"/>
      <c r="BG904" s="115"/>
      <c r="BH904" s="115"/>
      <c r="BI904" s="115"/>
      <c r="BJ904" s="115"/>
      <c r="BK904" s="115"/>
      <c r="BL904" s="115"/>
      <c r="BM904" s="115"/>
      <c r="BN904" s="115"/>
      <c r="BO904" s="115"/>
      <c r="BP904" s="115"/>
    </row>
    <row r="905" spans="1:68" ht="20.100000000000001" customHeight="1">
      <c r="A905" s="1228" t="s">
        <v>4582</v>
      </c>
      <c r="B905" s="1228" t="s">
        <v>4826</v>
      </c>
      <c r="C905" s="1228" t="s">
        <v>4841</v>
      </c>
      <c r="D905" s="247">
        <f>D13+310+25</f>
        <v>1085</v>
      </c>
      <c r="E905" s="247">
        <f>E13+540+50</f>
        <v>1990</v>
      </c>
      <c r="F905" s="247">
        <f>F13+540+50</f>
        <v>2040</v>
      </c>
      <c r="G905" s="110" t="s">
        <v>4636</v>
      </c>
      <c r="H905" s="36" t="s">
        <v>4635</v>
      </c>
      <c r="I905" s="38" t="s">
        <v>4595</v>
      </c>
      <c r="J905" s="30"/>
      <c r="K905" s="38" t="s">
        <v>4843</v>
      </c>
      <c r="L905" s="116" t="s">
        <v>4539</v>
      </c>
      <c r="M905" s="6">
        <v>43084</v>
      </c>
      <c r="N905" s="6">
        <v>43100</v>
      </c>
      <c r="O905" s="61" t="s">
        <v>4633</v>
      </c>
      <c r="P905" s="61"/>
      <c r="Q905" s="61"/>
      <c r="R905" s="239"/>
      <c r="S905" s="327" t="s">
        <v>4632</v>
      </c>
      <c r="T905" s="722"/>
      <c r="U905" s="42"/>
      <c r="AE905" s="115"/>
      <c r="AF905" s="115"/>
      <c r="AG905" s="115"/>
      <c r="AH905" s="115"/>
      <c r="AI905" s="115"/>
      <c r="AJ905" s="115"/>
      <c r="AK905" s="115"/>
      <c r="AL905" s="115"/>
      <c r="AM905" s="115"/>
      <c r="AN905" s="115"/>
      <c r="AO905" s="115"/>
      <c r="AP905" s="115"/>
      <c r="AQ905" s="115"/>
      <c r="AR905" s="115"/>
      <c r="AS905" s="115"/>
      <c r="AT905" s="115"/>
      <c r="AU905" s="115"/>
      <c r="AV905" s="115"/>
      <c r="AW905" s="115"/>
      <c r="AX905" s="115"/>
      <c r="AY905" s="115"/>
      <c r="AZ905" s="115"/>
      <c r="BA905" s="115"/>
      <c r="BB905" s="115"/>
      <c r="BC905" s="115"/>
      <c r="BD905" s="115"/>
      <c r="BE905" s="115"/>
      <c r="BF905" s="115"/>
      <c r="BG905" s="115"/>
      <c r="BH905" s="115"/>
      <c r="BI905" s="115"/>
      <c r="BJ905" s="115"/>
      <c r="BK905" s="115"/>
      <c r="BL905" s="115"/>
      <c r="BM905" s="115"/>
      <c r="BN905" s="115"/>
      <c r="BO905" s="115"/>
      <c r="BP905" s="115"/>
    </row>
    <row r="906" spans="1:68" ht="20.100000000000001" customHeight="1">
      <c r="A906" s="1228" t="s">
        <v>4582</v>
      </c>
      <c r="B906" s="1228" t="s">
        <v>4826</v>
      </c>
      <c r="C906" s="1228" t="s">
        <v>4841</v>
      </c>
      <c r="D906" s="273">
        <f>D14+400</f>
        <v>1180</v>
      </c>
      <c r="E906" s="273">
        <f>E14+600</f>
        <v>2057</v>
      </c>
      <c r="F906" s="273">
        <f>F14+600</f>
        <v>2057</v>
      </c>
      <c r="G906" s="225" t="s">
        <v>4569</v>
      </c>
      <c r="H906" s="69" t="s">
        <v>4602</v>
      </c>
      <c r="I906" s="38" t="s">
        <v>4595</v>
      </c>
      <c r="J906" s="30"/>
      <c r="K906" s="38" t="s">
        <v>4546</v>
      </c>
      <c r="L906" s="116" t="s">
        <v>4539</v>
      </c>
      <c r="M906" s="6">
        <v>43074</v>
      </c>
      <c r="N906" s="6">
        <v>43084</v>
      </c>
      <c r="O906" s="61" t="s">
        <v>4664</v>
      </c>
      <c r="P906" s="61"/>
      <c r="Q906" s="61"/>
      <c r="R906" s="239"/>
      <c r="S906" s="328" t="s">
        <v>4543</v>
      </c>
      <c r="T906" s="722"/>
      <c r="U906" s="42"/>
      <c r="AE906" s="115"/>
      <c r="AF906" s="115"/>
      <c r="AG906" s="115"/>
      <c r="AH906" s="115"/>
      <c r="AI906" s="115"/>
      <c r="AJ906" s="115"/>
      <c r="AK906" s="115"/>
      <c r="AL906" s="115"/>
      <c r="AM906" s="115"/>
      <c r="AN906" s="115"/>
      <c r="AO906" s="115"/>
      <c r="AP906" s="115"/>
      <c r="AQ906" s="115"/>
      <c r="AR906" s="115"/>
      <c r="AS906" s="115"/>
      <c r="AT906" s="115"/>
      <c r="AU906" s="115"/>
      <c r="AV906" s="115"/>
      <c r="AW906" s="115"/>
      <c r="AX906" s="115"/>
      <c r="AY906" s="115"/>
      <c r="AZ906" s="115"/>
      <c r="BA906" s="115"/>
      <c r="BB906" s="115"/>
      <c r="BC906" s="115"/>
      <c r="BD906" s="115"/>
      <c r="BE906" s="115"/>
      <c r="BF906" s="115"/>
      <c r="BG906" s="115"/>
      <c r="BH906" s="115"/>
      <c r="BI906" s="115"/>
      <c r="BJ906" s="115"/>
      <c r="BK906" s="115"/>
      <c r="BL906" s="115"/>
      <c r="BM906" s="115"/>
      <c r="BN906" s="115"/>
      <c r="BO906" s="115"/>
      <c r="BP906" s="115"/>
    </row>
    <row r="907" spans="1:68" ht="20.100000000000001" customHeight="1">
      <c r="A907" s="1228" t="s">
        <v>4582</v>
      </c>
      <c r="B907" s="1228" t="s">
        <v>4826</v>
      </c>
      <c r="C907" s="1228" t="s">
        <v>4841</v>
      </c>
      <c r="D907" s="195">
        <f>D10+900</f>
        <v>1665</v>
      </c>
      <c r="E907" s="195">
        <f>E10+1400</f>
        <v>2830</v>
      </c>
      <c r="F907" s="195">
        <f>F10+1400</f>
        <v>2880</v>
      </c>
      <c r="G907" s="110" t="s">
        <v>4560</v>
      </c>
      <c r="H907" s="48" t="s">
        <v>4556</v>
      </c>
      <c r="I907" s="38" t="s">
        <v>4595</v>
      </c>
      <c r="J907" s="30"/>
      <c r="K907" s="38"/>
      <c r="L907" s="116" t="s">
        <v>4539</v>
      </c>
      <c r="M907" s="15">
        <v>43084</v>
      </c>
      <c r="N907" s="15">
        <v>43100</v>
      </c>
      <c r="O907" s="59" t="s">
        <v>4559</v>
      </c>
      <c r="P907" s="61"/>
      <c r="Q907" s="61"/>
      <c r="R907" s="239"/>
      <c r="S907" s="336" t="s">
        <v>4558</v>
      </c>
      <c r="T907" s="722"/>
      <c r="U907" s="42"/>
      <c r="AE907" s="115"/>
      <c r="AF907" s="115"/>
      <c r="AG907" s="115"/>
      <c r="AH907" s="115"/>
      <c r="AI907" s="115"/>
      <c r="AJ907" s="115"/>
      <c r="AK907" s="115"/>
      <c r="AL907" s="115"/>
      <c r="AM907" s="115"/>
      <c r="AN907" s="115"/>
      <c r="AO907" s="115"/>
      <c r="AP907" s="115"/>
      <c r="AQ907" s="115"/>
      <c r="AR907" s="115"/>
      <c r="AS907" s="115"/>
      <c r="AT907" s="115"/>
      <c r="AU907" s="115"/>
      <c r="AV907" s="115"/>
      <c r="AW907" s="115"/>
      <c r="AX907" s="115"/>
      <c r="AY907" s="115"/>
      <c r="AZ907" s="115"/>
      <c r="BA907" s="115"/>
      <c r="BB907" s="115"/>
      <c r="BC907" s="115"/>
      <c r="BD907" s="115"/>
      <c r="BE907" s="115"/>
      <c r="BF907" s="115"/>
      <c r="BG907" s="115"/>
      <c r="BH907" s="115"/>
      <c r="BI907" s="115"/>
      <c r="BJ907" s="115"/>
      <c r="BK907" s="115"/>
      <c r="BL907" s="115"/>
      <c r="BM907" s="115"/>
      <c r="BN907" s="115"/>
      <c r="BO907" s="115"/>
      <c r="BP907" s="115"/>
    </row>
    <row r="908" spans="1:68" ht="20.100000000000001" customHeight="1">
      <c r="A908" s="1228" t="s">
        <v>4582</v>
      </c>
      <c r="B908" s="1228" t="s">
        <v>4826</v>
      </c>
      <c r="C908" s="1228" t="s">
        <v>4841</v>
      </c>
      <c r="D908" s="195">
        <f>D11+700</f>
        <v>1450</v>
      </c>
      <c r="E908" s="195">
        <f>E11+700</f>
        <v>2100</v>
      </c>
      <c r="F908" s="195">
        <f>F11+700</f>
        <v>2100</v>
      </c>
      <c r="G908" s="217" t="s">
        <v>4557</v>
      </c>
      <c r="H908" s="69" t="s">
        <v>4556</v>
      </c>
      <c r="I908" s="38" t="s">
        <v>4842</v>
      </c>
      <c r="J908" s="30"/>
      <c r="K908" s="38"/>
      <c r="L908" s="116" t="s">
        <v>4539</v>
      </c>
      <c r="M908" s="6">
        <v>43084</v>
      </c>
      <c r="N908" s="6">
        <v>43100</v>
      </c>
      <c r="O908" s="61" t="s">
        <v>4555</v>
      </c>
      <c r="P908" s="61"/>
      <c r="Q908" s="7"/>
      <c r="R908" s="239" t="s">
        <v>4554</v>
      </c>
      <c r="S908" s="326" t="s">
        <v>4543</v>
      </c>
      <c r="T908" s="722"/>
      <c r="U908" s="42"/>
      <c r="AE908" s="115"/>
      <c r="AF908" s="115"/>
      <c r="AG908" s="115"/>
      <c r="AH908" s="115"/>
      <c r="AI908" s="115"/>
      <c r="AJ908" s="115"/>
      <c r="AK908" s="115"/>
      <c r="AL908" s="115"/>
      <c r="AM908" s="115"/>
      <c r="AN908" s="115"/>
      <c r="AO908" s="115"/>
      <c r="AP908" s="115"/>
      <c r="AQ908" s="115"/>
      <c r="AR908" s="115"/>
      <c r="AS908" s="115"/>
      <c r="AT908" s="115"/>
      <c r="AU908" s="115"/>
      <c r="AV908" s="115"/>
      <c r="AW908" s="115"/>
      <c r="AX908" s="115"/>
      <c r="AY908" s="115"/>
      <c r="AZ908" s="115"/>
      <c r="BA908" s="115"/>
      <c r="BB908" s="115"/>
      <c r="BC908" s="115"/>
      <c r="BD908" s="115"/>
      <c r="BE908" s="115"/>
      <c r="BF908" s="115"/>
      <c r="BG908" s="115"/>
      <c r="BH908" s="115"/>
      <c r="BI908" s="115"/>
      <c r="BJ908" s="115"/>
      <c r="BK908" s="115"/>
      <c r="BL908" s="115"/>
      <c r="BM908" s="115"/>
      <c r="BN908" s="115"/>
      <c r="BO908" s="115"/>
      <c r="BP908" s="115"/>
    </row>
    <row r="909" spans="1:68" ht="20.100000000000001" customHeight="1">
      <c r="A909" s="1228" t="s">
        <v>4582</v>
      </c>
      <c r="B909" s="1228" t="s">
        <v>4826</v>
      </c>
      <c r="C909" s="1228" t="s">
        <v>4841</v>
      </c>
      <c r="D909" s="195">
        <f>D120+100</f>
        <v>1000</v>
      </c>
      <c r="E909" s="195">
        <f>E120+175</f>
        <v>1775</v>
      </c>
      <c r="F909" s="195">
        <f>F120+175</f>
        <v>1825</v>
      </c>
      <c r="G909" s="110" t="s">
        <v>4553</v>
      </c>
      <c r="H909" s="56" t="s">
        <v>4552</v>
      </c>
      <c r="I909" s="38" t="s">
        <v>4639</v>
      </c>
      <c r="J909" s="30"/>
      <c r="K909" s="38">
        <v>37</v>
      </c>
      <c r="L909" s="116" t="s">
        <v>4539</v>
      </c>
      <c r="M909" s="6">
        <v>43085</v>
      </c>
      <c r="N909" s="6">
        <v>43100</v>
      </c>
      <c r="O909" s="61" t="s">
        <v>4827</v>
      </c>
      <c r="P909" s="61"/>
      <c r="Q909" s="61"/>
      <c r="R909" s="239"/>
      <c r="S909" s="328" t="s">
        <v>4543</v>
      </c>
      <c r="T909" s="722"/>
      <c r="U909" s="42"/>
      <c r="AE909" s="115"/>
      <c r="AF909" s="115"/>
      <c r="AG909" s="115"/>
      <c r="AH909" s="115"/>
      <c r="AI909" s="115"/>
      <c r="AJ909" s="115"/>
      <c r="AK909" s="115"/>
      <c r="AL909" s="115"/>
      <c r="AM909" s="115"/>
      <c r="AN909" s="115"/>
      <c r="AO909" s="115"/>
      <c r="AP909" s="115"/>
      <c r="AQ909" s="115"/>
      <c r="AR909" s="115"/>
      <c r="AS909" s="115"/>
      <c r="AT909" s="115"/>
      <c r="AU909" s="115"/>
      <c r="AV909" s="115"/>
      <c r="AW909" s="115"/>
      <c r="AX909" s="115"/>
      <c r="AY909" s="115"/>
      <c r="AZ909" s="115"/>
      <c r="BA909" s="115"/>
      <c r="BB909" s="115"/>
      <c r="BC909" s="115"/>
      <c r="BD909" s="115"/>
      <c r="BE909" s="115"/>
      <c r="BF909" s="115"/>
      <c r="BG909" s="115"/>
      <c r="BH909" s="115"/>
      <c r="BI909" s="115"/>
      <c r="BJ909" s="115"/>
      <c r="BK909" s="115"/>
      <c r="BL909" s="115"/>
      <c r="BM909" s="115"/>
      <c r="BN909" s="115"/>
      <c r="BO909" s="115"/>
      <c r="BP909" s="115"/>
    </row>
    <row r="910" spans="1:68" ht="20.100000000000001" customHeight="1">
      <c r="A910" s="1228" t="s">
        <v>4582</v>
      </c>
      <c r="B910" s="1228" t="s">
        <v>4826</v>
      </c>
      <c r="C910" s="1228" t="s">
        <v>4841</v>
      </c>
      <c r="D910" s="195">
        <f>D19+565+25</f>
        <v>1365</v>
      </c>
      <c r="E910" s="195">
        <f>E19+805+50</f>
        <v>2305</v>
      </c>
      <c r="F910" s="195">
        <f>F19+805+50</f>
        <v>2355</v>
      </c>
      <c r="G910" s="12" t="s">
        <v>4542</v>
      </c>
      <c r="H910" s="69" t="s">
        <v>4541</v>
      </c>
      <c r="I910" s="38" t="s">
        <v>4595</v>
      </c>
      <c r="J910" s="140"/>
      <c r="K910" s="33"/>
      <c r="L910" s="116" t="s">
        <v>4539</v>
      </c>
      <c r="M910" s="15">
        <v>43084</v>
      </c>
      <c r="N910" s="15">
        <v>43100</v>
      </c>
      <c r="O910" s="61" t="s">
        <v>4538</v>
      </c>
      <c r="P910" s="61"/>
      <c r="Q910" s="61"/>
      <c r="R910" s="239"/>
      <c r="S910" s="326" t="s">
        <v>4537</v>
      </c>
      <c r="T910" s="722"/>
      <c r="U910" s="42"/>
      <c r="AE910" s="115"/>
      <c r="AF910" s="115"/>
      <c r="AG910" s="115"/>
      <c r="AH910" s="115"/>
      <c r="AI910" s="115"/>
      <c r="AJ910" s="115"/>
      <c r="AK910" s="115"/>
      <c r="AL910" s="115"/>
      <c r="AM910" s="115"/>
      <c r="AN910" s="115"/>
      <c r="AO910" s="115"/>
      <c r="AP910" s="115"/>
      <c r="AQ910" s="115"/>
      <c r="AR910" s="115"/>
      <c r="AS910" s="115"/>
      <c r="AT910" s="115"/>
      <c r="AU910" s="115"/>
      <c r="AV910" s="115"/>
      <c r="AW910" s="115"/>
      <c r="AX910" s="115"/>
      <c r="AY910" s="115"/>
      <c r="AZ910" s="115"/>
      <c r="BA910" s="115"/>
      <c r="BB910" s="115"/>
      <c r="BC910" s="115"/>
      <c r="BD910" s="115"/>
      <c r="BE910" s="115"/>
      <c r="BF910" s="115"/>
      <c r="BG910" s="115"/>
      <c r="BH910" s="115"/>
      <c r="BI910" s="115"/>
      <c r="BJ910" s="115"/>
      <c r="BK910" s="115"/>
      <c r="BL910" s="115"/>
      <c r="BM910" s="115"/>
      <c r="BN910" s="115"/>
      <c r="BO910" s="115"/>
      <c r="BP910" s="115"/>
    </row>
    <row r="911" spans="1:68" ht="20.100000000000001" customHeight="1">
      <c r="A911" s="1228" t="s">
        <v>4582</v>
      </c>
      <c r="B911" s="1228" t="s">
        <v>4826</v>
      </c>
      <c r="C911" s="1228" t="s">
        <v>4841</v>
      </c>
      <c r="D911" s="195">
        <f>D65+200</f>
        <v>1000</v>
      </c>
      <c r="E911" s="195">
        <f>E65+400</f>
        <v>1900</v>
      </c>
      <c r="F911" s="195">
        <f>F65+400</f>
        <v>1950</v>
      </c>
      <c r="G911" s="12" t="s">
        <v>4645</v>
      </c>
      <c r="H911" s="48" t="s">
        <v>4556</v>
      </c>
      <c r="I911" s="38" t="s">
        <v>4540</v>
      </c>
      <c r="J911" s="30"/>
      <c r="K911" s="38" t="s">
        <v>4840</v>
      </c>
      <c r="L911" s="116" t="s">
        <v>4539</v>
      </c>
      <c r="M911" s="6">
        <v>43084</v>
      </c>
      <c r="N911" s="6">
        <v>43100</v>
      </c>
      <c r="O911" s="61" t="s">
        <v>4643</v>
      </c>
      <c r="P911" s="61"/>
      <c r="Q911" s="61"/>
      <c r="R911" s="239"/>
      <c r="S911" s="326" t="s">
        <v>4641</v>
      </c>
      <c r="T911" s="722"/>
      <c r="U911" s="42"/>
      <c r="AE911" s="115"/>
      <c r="AF911" s="115"/>
      <c r="AG911" s="115"/>
      <c r="AH911" s="115"/>
      <c r="AI911" s="115"/>
      <c r="AJ911" s="115"/>
      <c r="AK911" s="115"/>
      <c r="AL911" s="115"/>
      <c r="AM911" s="115"/>
      <c r="AN911" s="115"/>
      <c r="AO911" s="115"/>
      <c r="AP911" s="115"/>
      <c r="AQ911" s="115"/>
      <c r="AR911" s="115"/>
      <c r="AS911" s="115"/>
      <c r="AT911" s="115"/>
      <c r="AU911" s="115"/>
      <c r="AV911" s="115"/>
      <c r="AW911" s="115"/>
      <c r="AX911" s="115"/>
      <c r="AY911" s="115"/>
      <c r="AZ911" s="115"/>
      <c r="BA911" s="115"/>
      <c r="BB911" s="115"/>
      <c r="BC911" s="115"/>
      <c r="BD911" s="115"/>
      <c r="BE911" s="115"/>
      <c r="BF911" s="115"/>
      <c r="BG911" s="115"/>
      <c r="BH911" s="115"/>
      <c r="BI911" s="115"/>
      <c r="BJ911" s="115"/>
      <c r="BK911" s="115"/>
      <c r="BL911" s="115"/>
      <c r="BM911" s="115"/>
      <c r="BN911" s="115"/>
      <c r="BO911" s="115"/>
      <c r="BP911" s="115"/>
    </row>
    <row r="912" spans="1:68" ht="20.100000000000001" customHeight="1">
      <c r="A912" s="1228" t="s">
        <v>4582</v>
      </c>
      <c r="B912" s="1228" t="s">
        <v>4826</v>
      </c>
      <c r="C912" s="1228" t="s">
        <v>4839</v>
      </c>
      <c r="D912" s="345">
        <f>D878+100+25</f>
        <v>1100</v>
      </c>
      <c r="E912" s="345">
        <f>E878+200+50</f>
        <v>2100</v>
      </c>
      <c r="F912" s="345">
        <f>F878+200+50</f>
        <v>2150</v>
      </c>
      <c r="G912" s="217" t="s">
        <v>4572</v>
      </c>
      <c r="H912" s="56" t="s">
        <v>4541</v>
      </c>
      <c r="I912" s="20" t="s">
        <v>4540</v>
      </c>
      <c r="J912" s="30"/>
      <c r="K912" s="38"/>
      <c r="L912" s="116" t="s">
        <v>4539</v>
      </c>
      <c r="M912" s="15">
        <v>43070</v>
      </c>
      <c r="N912" s="15">
        <v>43100</v>
      </c>
      <c r="O912" s="61" t="s">
        <v>4824</v>
      </c>
      <c r="P912" s="61"/>
      <c r="Q912" s="14"/>
      <c r="R912" s="239"/>
      <c r="S912" s="327" t="s">
        <v>4570</v>
      </c>
      <c r="T912" s="722"/>
      <c r="U912" s="42"/>
      <c r="AE912" s="115"/>
      <c r="AF912" s="115"/>
      <c r="AG912" s="115"/>
      <c r="AH912" s="115"/>
      <c r="AI912" s="115"/>
      <c r="AJ912" s="115"/>
      <c r="AK912" s="115"/>
      <c r="AL912" s="115"/>
      <c r="AM912" s="115"/>
      <c r="AN912" s="115"/>
      <c r="AO912" s="115"/>
      <c r="AP912" s="115"/>
      <c r="AQ912" s="115"/>
      <c r="AR912" s="115"/>
      <c r="AS912" s="115"/>
      <c r="AT912" s="115"/>
      <c r="AU912" s="115"/>
      <c r="AV912" s="115"/>
      <c r="AW912" s="115"/>
      <c r="AX912" s="115"/>
      <c r="AY912" s="115"/>
      <c r="AZ912" s="115"/>
      <c r="BA912" s="115"/>
      <c r="BB912" s="115"/>
      <c r="BC912" s="115"/>
      <c r="BD912" s="115"/>
      <c r="BE912" s="115"/>
      <c r="BF912" s="115"/>
      <c r="BG912" s="115"/>
      <c r="BH912" s="115"/>
      <c r="BI912" s="115"/>
      <c r="BJ912" s="115"/>
      <c r="BK912" s="115"/>
      <c r="BL912" s="115"/>
      <c r="BM912" s="115"/>
      <c r="BN912" s="115"/>
      <c r="BO912" s="115"/>
      <c r="BP912" s="115"/>
    </row>
    <row r="913" spans="1:68" ht="20.100000000000001" customHeight="1">
      <c r="A913" s="1228" t="s">
        <v>4582</v>
      </c>
      <c r="B913" s="1228" t="s">
        <v>4826</v>
      </c>
      <c r="C913" s="1228" t="s">
        <v>4839</v>
      </c>
      <c r="D913" s="196">
        <f>D97+150</f>
        <v>1025</v>
      </c>
      <c r="E913" s="196">
        <f>E97+300</f>
        <v>1850</v>
      </c>
      <c r="F913" s="196">
        <f>F97+300</f>
        <v>1900</v>
      </c>
      <c r="G913" s="217" t="s">
        <v>4575</v>
      </c>
      <c r="H913" s="56" t="s">
        <v>4675</v>
      </c>
      <c r="I913" s="38" t="s">
        <v>4540</v>
      </c>
      <c r="J913" s="30"/>
      <c r="K913" s="38"/>
      <c r="L913" s="116" t="s">
        <v>4539</v>
      </c>
      <c r="M913" s="15">
        <v>43084</v>
      </c>
      <c r="N913" s="15">
        <v>43100</v>
      </c>
      <c r="O913" s="61" t="s">
        <v>4573</v>
      </c>
      <c r="P913" s="61"/>
      <c r="Q913" s="61"/>
      <c r="R913" s="239"/>
      <c r="S913" s="328" t="s">
        <v>4543</v>
      </c>
      <c r="T913" s="722"/>
      <c r="U913" s="42"/>
      <c r="AE913" s="115"/>
      <c r="AF913" s="115"/>
      <c r="AG913" s="115"/>
      <c r="AH913" s="115"/>
      <c r="AI913" s="115"/>
      <c r="AJ913" s="115"/>
      <c r="AK913" s="115"/>
      <c r="AL913" s="115"/>
      <c r="AM913" s="115"/>
      <c r="AN913" s="115"/>
      <c r="AO913" s="115"/>
      <c r="AP913" s="115"/>
      <c r="AQ913" s="115"/>
      <c r="AR913" s="115"/>
      <c r="AS913" s="115"/>
      <c r="AT913" s="115"/>
      <c r="AU913" s="115"/>
      <c r="AV913" s="115"/>
      <c r="AW913" s="115"/>
      <c r="AX913" s="115"/>
      <c r="AY913" s="115"/>
      <c r="AZ913" s="115"/>
      <c r="BA913" s="115"/>
      <c r="BB913" s="115"/>
      <c r="BC913" s="115"/>
      <c r="BD913" s="115"/>
      <c r="BE913" s="115"/>
      <c r="BF913" s="115"/>
      <c r="BG913" s="115"/>
      <c r="BH913" s="115"/>
      <c r="BI913" s="115"/>
      <c r="BJ913" s="115"/>
      <c r="BK913" s="115"/>
      <c r="BL913" s="115"/>
      <c r="BM913" s="115"/>
      <c r="BN913" s="115"/>
      <c r="BO913" s="115"/>
      <c r="BP913" s="115"/>
    </row>
    <row r="914" spans="1:68" ht="20.100000000000001" customHeight="1">
      <c r="A914" s="1228" t="s">
        <v>4582</v>
      </c>
      <c r="B914" s="1228" t="s">
        <v>4826</v>
      </c>
      <c r="C914" s="1228" t="s">
        <v>4839</v>
      </c>
      <c r="D914" s="273">
        <f>D211+100+25</f>
        <v>850</v>
      </c>
      <c r="E914" s="273">
        <f>E211+175+50</f>
        <v>1575</v>
      </c>
      <c r="F914" s="273">
        <f>F211+175+50</f>
        <v>1625</v>
      </c>
      <c r="G914" s="110" t="s">
        <v>4566</v>
      </c>
      <c r="H914" s="36" t="s">
        <v>4556</v>
      </c>
      <c r="I914" s="38" t="s">
        <v>4595</v>
      </c>
      <c r="J914" s="30"/>
      <c r="K914" s="38"/>
      <c r="L914" s="116" t="s">
        <v>4539</v>
      </c>
      <c r="M914" s="15">
        <v>43084</v>
      </c>
      <c r="N914" s="15">
        <v>43100</v>
      </c>
      <c r="O914" s="59" t="s">
        <v>4674</v>
      </c>
      <c r="P914" s="61"/>
      <c r="Q914" s="61"/>
      <c r="R914" s="239"/>
      <c r="S914" s="327" t="s">
        <v>4561</v>
      </c>
      <c r="T914" s="722"/>
      <c r="U914" s="42"/>
      <c r="AE914" s="115"/>
      <c r="AF914" s="115"/>
      <c r="AG914" s="115"/>
      <c r="AH914" s="115"/>
      <c r="AI914" s="115"/>
      <c r="AJ914" s="115"/>
      <c r="AK914" s="115"/>
      <c r="AL914" s="115"/>
      <c r="AM914" s="115"/>
      <c r="AN914" s="115"/>
      <c r="AO914" s="115"/>
      <c r="AP914" s="115"/>
      <c r="AQ914" s="115"/>
      <c r="AR914" s="115"/>
      <c r="AS914" s="115"/>
      <c r="AT914" s="115"/>
      <c r="AU914" s="115"/>
      <c r="AV914" s="115"/>
      <c r="AW914" s="115"/>
      <c r="AX914" s="115"/>
      <c r="AY914" s="115"/>
      <c r="AZ914" s="115"/>
      <c r="BA914" s="115"/>
      <c r="BB914" s="115"/>
      <c r="BC914" s="115"/>
      <c r="BD914" s="115"/>
      <c r="BE914" s="115"/>
      <c r="BF914" s="115"/>
      <c r="BG914" s="115"/>
      <c r="BH914" s="115"/>
      <c r="BI914" s="115"/>
      <c r="BJ914" s="115"/>
      <c r="BK914" s="115"/>
      <c r="BL914" s="115"/>
      <c r="BM914" s="115"/>
      <c r="BN914" s="115"/>
      <c r="BO914" s="115"/>
      <c r="BP914" s="115"/>
    </row>
    <row r="915" spans="1:68" ht="20.100000000000001" customHeight="1">
      <c r="A915" s="1228" t="s">
        <v>4582</v>
      </c>
      <c r="B915" s="1228" t="s">
        <v>4826</v>
      </c>
      <c r="C915" s="1228" t="s">
        <v>4839</v>
      </c>
      <c r="D915" s="273">
        <f>D14+250</f>
        <v>1030</v>
      </c>
      <c r="E915" s="273">
        <f>E14+600</f>
        <v>2057</v>
      </c>
      <c r="F915" s="273">
        <f>F14+600</f>
        <v>2057</v>
      </c>
      <c r="G915" s="225" t="s">
        <v>4569</v>
      </c>
      <c r="H915" s="69" t="s">
        <v>4602</v>
      </c>
      <c r="I915" s="38" t="s">
        <v>4595</v>
      </c>
      <c r="J915" s="30"/>
      <c r="K915" s="38" t="s">
        <v>4546</v>
      </c>
      <c r="L915" s="116" t="s">
        <v>4539</v>
      </c>
      <c r="M915" s="6">
        <v>43074</v>
      </c>
      <c r="N915" s="6">
        <v>43084</v>
      </c>
      <c r="O915" s="61" t="s">
        <v>4664</v>
      </c>
      <c r="P915" s="61"/>
      <c r="Q915" s="61"/>
      <c r="R915" s="239"/>
      <c r="S915" s="328" t="s">
        <v>4543</v>
      </c>
      <c r="T915" s="722"/>
      <c r="U915" s="42"/>
      <c r="AE915" s="115"/>
      <c r="AF915" s="115"/>
      <c r="AG915" s="115"/>
      <c r="AH915" s="115"/>
      <c r="AI915" s="115"/>
      <c r="AJ915" s="115"/>
      <c r="AK915" s="115"/>
      <c r="AL915" s="115"/>
      <c r="AM915" s="115"/>
      <c r="AN915" s="115"/>
      <c r="AO915" s="115"/>
      <c r="AP915" s="115"/>
      <c r="AQ915" s="115"/>
      <c r="AR915" s="115"/>
      <c r="AS915" s="115"/>
      <c r="AT915" s="115"/>
      <c r="AU915" s="115"/>
      <c r="AV915" s="115"/>
      <c r="AW915" s="115"/>
      <c r="AX915" s="115"/>
      <c r="AY915" s="115"/>
      <c r="AZ915" s="115"/>
      <c r="BA915" s="115"/>
      <c r="BB915" s="115"/>
      <c r="BC915" s="115"/>
      <c r="BD915" s="115"/>
      <c r="BE915" s="115"/>
      <c r="BF915" s="115"/>
      <c r="BG915" s="115"/>
      <c r="BH915" s="115"/>
      <c r="BI915" s="115"/>
      <c r="BJ915" s="115"/>
      <c r="BK915" s="115"/>
      <c r="BL915" s="115"/>
      <c r="BM915" s="115"/>
      <c r="BN915" s="115"/>
      <c r="BO915" s="115"/>
      <c r="BP915" s="115"/>
    </row>
    <row r="916" spans="1:68" ht="20.100000000000001" customHeight="1">
      <c r="A916" s="1228" t="s">
        <v>4582</v>
      </c>
      <c r="B916" s="1228" t="s">
        <v>4826</v>
      </c>
      <c r="C916" s="1228" t="s">
        <v>4839</v>
      </c>
      <c r="D916" s="195">
        <f>D10+900</f>
        <v>1665</v>
      </c>
      <c r="E916" s="195">
        <f>E10+700</f>
        <v>2130</v>
      </c>
      <c r="F916" s="195">
        <f>F10+700</f>
        <v>2180</v>
      </c>
      <c r="G916" s="110" t="s">
        <v>4560</v>
      </c>
      <c r="H916" s="56" t="s">
        <v>4556</v>
      </c>
      <c r="I916" s="38" t="s">
        <v>4595</v>
      </c>
      <c r="J916" s="30"/>
      <c r="K916" s="38">
        <v>41</v>
      </c>
      <c r="L916" s="116" t="s">
        <v>4539</v>
      </c>
      <c r="M916" s="15">
        <v>43084</v>
      </c>
      <c r="N916" s="15">
        <v>43100</v>
      </c>
      <c r="O916" s="59" t="s">
        <v>4559</v>
      </c>
      <c r="P916" s="61"/>
      <c r="Q916" s="61"/>
      <c r="R916" s="239"/>
      <c r="S916" s="336" t="s">
        <v>4558</v>
      </c>
      <c r="T916" s="722"/>
      <c r="U916" s="42"/>
      <c r="AE916" s="115"/>
      <c r="AF916" s="115"/>
      <c r="AG916" s="115"/>
      <c r="AH916" s="115"/>
      <c r="AI916" s="115"/>
      <c r="AJ916" s="115"/>
      <c r="AK916" s="115"/>
      <c r="AL916" s="115"/>
      <c r="AM916" s="115"/>
      <c r="AN916" s="115"/>
      <c r="AO916" s="115"/>
      <c r="AP916" s="115"/>
      <c r="AQ916" s="115"/>
      <c r="AR916" s="115"/>
      <c r="AS916" s="115"/>
      <c r="AT916" s="115"/>
      <c r="AU916" s="115"/>
      <c r="AV916" s="115"/>
      <c r="AW916" s="115"/>
      <c r="AX916" s="115"/>
      <c r="AY916" s="115"/>
      <c r="AZ916" s="115"/>
      <c r="BA916" s="115"/>
      <c r="BB916" s="115"/>
      <c r="BC916" s="115"/>
      <c r="BD916" s="115"/>
      <c r="BE916" s="115"/>
      <c r="BF916" s="115"/>
      <c r="BG916" s="115"/>
      <c r="BH916" s="115"/>
      <c r="BI916" s="115"/>
      <c r="BJ916" s="115"/>
      <c r="BK916" s="115"/>
      <c r="BL916" s="115"/>
      <c r="BM916" s="115"/>
      <c r="BN916" s="115"/>
      <c r="BO916" s="115"/>
      <c r="BP916" s="115"/>
    </row>
    <row r="917" spans="1:68" ht="20.100000000000001" customHeight="1">
      <c r="A917" s="1228" t="s">
        <v>4582</v>
      </c>
      <c r="B917" s="1228" t="s">
        <v>4826</v>
      </c>
      <c r="C917" s="1228" t="s">
        <v>4839</v>
      </c>
      <c r="D917" s="195">
        <f>D120+100</f>
        <v>1000</v>
      </c>
      <c r="E917" s="195">
        <f>E120+175</f>
        <v>1775</v>
      </c>
      <c r="F917" s="195">
        <f>F120+175</f>
        <v>1825</v>
      </c>
      <c r="G917" s="110" t="s">
        <v>4553</v>
      </c>
      <c r="H917" s="56" t="s">
        <v>4552</v>
      </c>
      <c r="I917" s="38" t="s">
        <v>4639</v>
      </c>
      <c r="J917" s="30"/>
      <c r="K917" s="38">
        <v>36</v>
      </c>
      <c r="L917" s="116" t="s">
        <v>4539</v>
      </c>
      <c r="M917" s="6">
        <v>43085</v>
      </c>
      <c r="N917" s="6">
        <v>43100</v>
      </c>
      <c r="O917" s="61" t="s">
        <v>4827</v>
      </c>
      <c r="P917" s="61"/>
      <c r="Q917" s="61"/>
      <c r="R917" s="239"/>
      <c r="S917" s="328" t="s">
        <v>4543</v>
      </c>
      <c r="T917" s="722"/>
      <c r="U917" s="42"/>
      <c r="AE917" s="115"/>
      <c r="AF917" s="115"/>
      <c r="AG917" s="115"/>
      <c r="AH917" s="115"/>
      <c r="AI917" s="115"/>
      <c r="AJ917" s="115"/>
      <c r="AK917" s="115"/>
      <c r="AL917" s="115"/>
      <c r="AM917" s="115"/>
      <c r="AN917" s="115"/>
      <c r="AO917" s="115"/>
      <c r="AP917" s="115"/>
      <c r="AQ917" s="115"/>
      <c r="AR917" s="115"/>
      <c r="AS917" s="115"/>
      <c r="AT917" s="115"/>
      <c r="AU917" s="115"/>
      <c r="AV917" s="115"/>
      <c r="AW917" s="115"/>
      <c r="AX917" s="115"/>
      <c r="AY917" s="115"/>
      <c r="AZ917" s="115"/>
      <c r="BA917" s="115"/>
      <c r="BB917" s="115"/>
      <c r="BC917" s="115"/>
      <c r="BD917" s="115"/>
      <c r="BE917" s="115"/>
      <c r="BF917" s="115"/>
      <c r="BG917" s="115"/>
      <c r="BH917" s="115"/>
      <c r="BI917" s="115"/>
      <c r="BJ917" s="115"/>
      <c r="BK917" s="115"/>
      <c r="BL917" s="115"/>
      <c r="BM917" s="115"/>
      <c r="BN917" s="115"/>
      <c r="BO917" s="115"/>
      <c r="BP917" s="115"/>
    </row>
    <row r="918" spans="1:68" ht="20.100000000000001" customHeight="1">
      <c r="A918" s="1228" t="s">
        <v>4582</v>
      </c>
      <c r="B918" s="1228" t="s">
        <v>4826</v>
      </c>
      <c r="C918" s="1228" t="s">
        <v>4839</v>
      </c>
      <c r="D918" s="195">
        <f>D19+600+25</f>
        <v>1400</v>
      </c>
      <c r="E918" s="195">
        <f>E19+940+50</f>
        <v>2440</v>
      </c>
      <c r="F918" s="195">
        <f>F19+940+50</f>
        <v>2490</v>
      </c>
      <c r="G918" s="12" t="s">
        <v>4542</v>
      </c>
      <c r="H918" s="36" t="s">
        <v>4541</v>
      </c>
      <c r="I918" s="38" t="s">
        <v>4595</v>
      </c>
      <c r="J918" s="140"/>
      <c r="K918" s="38"/>
      <c r="L918" s="116" t="s">
        <v>4539</v>
      </c>
      <c r="M918" s="15">
        <v>43084</v>
      </c>
      <c r="N918" s="15">
        <v>43100</v>
      </c>
      <c r="O918" s="61" t="s">
        <v>4538</v>
      </c>
      <c r="P918" s="61"/>
      <c r="Q918" s="61"/>
      <c r="R918" s="239"/>
      <c r="S918" s="326" t="s">
        <v>4537</v>
      </c>
      <c r="T918" s="722"/>
      <c r="U918" s="42"/>
      <c r="AE918" s="115"/>
      <c r="AF918" s="115"/>
      <c r="AG918" s="115"/>
      <c r="AH918" s="115"/>
      <c r="AI918" s="115"/>
      <c r="AJ918" s="115"/>
      <c r="AK918" s="115"/>
      <c r="AL918" s="115"/>
      <c r="AM918" s="115"/>
      <c r="AN918" s="115"/>
      <c r="AO918" s="115"/>
      <c r="AP918" s="115"/>
      <c r="AQ918" s="115"/>
      <c r="AR918" s="115"/>
      <c r="AS918" s="115"/>
      <c r="AT918" s="115"/>
      <c r="AU918" s="115"/>
      <c r="AV918" s="115"/>
      <c r="AW918" s="115"/>
      <c r="AX918" s="115"/>
      <c r="AY918" s="115"/>
      <c r="AZ918" s="115"/>
      <c r="BA918" s="115"/>
      <c r="BB918" s="115"/>
      <c r="BC918" s="115"/>
      <c r="BD918" s="115"/>
      <c r="BE918" s="115"/>
      <c r="BF918" s="115"/>
      <c r="BG918" s="115"/>
      <c r="BH918" s="115"/>
      <c r="BI918" s="115"/>
      <c r="BJ918" s="115"/>
      <c r="BK918" s="115"/>
      <c r="BL918" s="115"/>
      <c r="BM918" s="115"/>
      <c r="BN918" s="115"/>
      <c r="BO918" s="115"/>
      <c r="BP918" s="115"/>
    </row>
    <row r="919" spans="1:68" ht="20.100000000000001" customHeight="1">
      <c r="A919" s="1228" t="s">
        <v>4582</v>
      </c>
      <c r="B919" s="1228" t="s">
        <v>4826</v>
      </c>
      <c r="C919" s="1228" t="s">
        <v>4839</v>
      </c>
      <c r="D919" s="195">
        <f>D65+200</f>
        <v>1000</v>
      </c>
      <c r="E919" s="195">
        <f>E65+400</f>
        <v>1900</v>
      </c>
      <c r="F919" s="195">
        <f>F65+400</f>
        <v>1950</v>
      </c>
      <c r="G919" s="12" t="s">
        <v>4645</v>
      </c>
      <c r="H919" s="56" t="s">
        <v>4556</v>
      </c>
      <c r="I919" s="38" t="s">
        <v>4540</v>
      </c>
      <c r="J919" s="30"/>
      <c r="K919" s="38" t="s">
        <v>4838</v>
      </c>
      <c r="L919" s="116" t="s">
        <v>4539</v>
      </c>
      <c r="M919" s="6">
        <v>43084</v>
      </c>
      <c r="N919" s="6">
        <v>43100</v>
      </c>
      <c r="O919" s="61" t="s">
        <v>4643</v>
      </c>
      <c r="P919" s="61"/>
      <c r="Q919" s="61"/>
      <c r="R919" s="239"/>
      <c r="S919" s="326" t="s">
        <v>4641</v>
      </c>
      <c r="T919" s="722"/>
      <c r="U919" s="42"/>
      <c r="AE919" s="233"/>
      <c r="AF919" s="233"/>
      <c r="AG919" s="233"/>
      <c r="AH919" s="233"/>
      <c r="AI919" s="233"/>
      <c r="AJ919" s="233"/>
      <c r="AK919" s="233"/>
      <c r="AL919" s="233"/>
      <c r="AM919" s="233"/>
      <c r="AN919" s="233"/>
      <c r="AO919" s="233"/>
      <c r="AP919" s="233"/>
      <c r="AQ919" s="233"/>
      <c r="AR919" s="233"/>
      <c r="AS919" s="233"/>
      <c r="AT919" s="233"/>
      <c r="AU919" s="233"/>
      <c r="AV919" s="233"/>
      <c r="AW919" s="233"/>
      <c r="AX919" s="233"/>
      <c r="AY919" s="233"/>
      <c r="AZ919" s="233"/>
      <c r="BA919" s="233"/>
      <c r="BB919" s="233"/>
      <c r="BC919" s="233"/>
      <c r="BD919" s="233"/>
      <c r="BE919" s="233"/>
      <c r="BF919" s="233"/>
      <c r="BG919" s="233"/>
      <c r="BH919" s="233"/>
      <c r="BI919" s="233"/>
      <c r="BJ919" s="233"/>
      <c r="BK919" s="233"/>
      <c r="BL919" s="233"/>
      <c r="BM919" s="233"/>
      <c r="BN919" s="233"/>
      <c r="BO919" s="233"/>
      <c r="BP919" s="233"/>
    </row>
    <row r="920" spans="1:68" ht="20.100000000000001" customHeight="1">
      <c r="A920" s="1228" t="s">
        <v>4582</v>
      </c>
      <c r="B920" s="1228" t="s">
        <v>4826</v>
      </c>
      <c r="C920" s="1228" t="s">
        <v>4837</v>
      </c>
      <c r="D920" s="195">
        <f>D97+850</f>
        <v>1725</v>
      </c>
      <c r="E920" s="195">
        <f>E97+1225</f>
        <v>2775</v>
      </c>
      <c r="F920" s="195">
        <f>F97+1225</f>
        <v>2825</v>
      </c>
      <c r="G920" s="217" t="s">
        <v>4575</v>
      </c>
      <c r="H920" s="56" t="s">
        <v>4541</v>
      </c>
      <c r="I920" s="38" t="s">
        <v>4540</v>
      </c>
      <c r="J920" s="30"/>
      <c r="K920" s="38"/>
      <c r="L920" s="116" t="s">
        <v>4539</v>
      </c>
      <c r="M920" s="15">
        <v>43084</v>
      </c>
      <c r="N920" s="15">
        <v>43100</v>
      </c>
      <c r="O920" s="61" t="s">
        <v>4573</v>
      </c>
      <c r="P920" s="61"/>
      <c r="Q920" s="61"/>
      <c r="R920" s="239"/>
      <c r="S920" s="328" t="s">
        <v>4543</v>
      </c>
      <c r="T920" s="722"/>
      <c r="U920" s="42"/>
      <c r="AE920" s="115"/>
      <c r="AF920" s="115"/>
      <c r="AG920" s="115"/>
      <c r="AH920" s="115"/>
      <c r="AI920" s="115"/>
      <c r="AJ920" s="115"/>
      <c r="AK920" s="115"/>
      <c r="AL920" s="115"/>
      <c r="AM920" s="115"/>
      <c r="AN920" s="115"/>
      <c r="AO920" s="115"/>
      <c r="AP920" s="115"/>
      <c r="AQ920" s="115"/>
      <c r="AR920" s="115"/>
      <c r="AS920" s="115"/>
      <c r="AT920" s="115"/>
      <c r="AU920" s="115"/>
      <c r="AV920" s="115"/>
      <c r="AW920" s="115"/>
      <c r="AX920" s="115"/>
      <c r="AY920" s="115"/>
      <c r="AZ920" s="115"/>
      <c r="BA920" s="115"/>
      <c r="BB920" s="115"/>
      <c r="BC920" s="115"/>
      <c r="BD920" s="115"/>
      <c r="BE920" s="115"/>
      <c r="BF920" s="115"/>
      <c r="BG920" s="115"/>
      <c r="BH920" s="115"/>
      <c r="BI920" s="115"/>
      <c r="BJ920" s="115"/>
      <c r="BK920" s="115"/>
      <c r="BL920" s="115"/>
      <c r="BM920" s="115"/>
      <c r="BN920" s="115"/>
      <c r="BO920" s="115"/>
      <c r="BP920" s="115"/>
    </row>
    <row r="921" spans="1:68" ht="20.100000000000001" customHeight="1">
      <c r="A921" s="1228" t="s">
        <v>4582</v>
      </c>
      <c r="B921" s="1228" t="s">
        <v>4826</v>
      </c>
      <c r="C921" s="1228" t="s">
        <v>4837</v>
      </c>
      <c r="D921" s="273">
        <f>D211+300+25</f>
        <v>1050</v>
      </c>
      <c r="E921" s="273">
        <f>E211+600+50</f>
        <v>2000</v>
      </c>
      <c r="F921" s="273">
        <f>F211+600+50</f>
        <v>2050</v>
      </c>
      <c r="G921" s="110" t="s">
        <v>4566</v>
      </c>
      <c r="H921" s="36" t="s">
        <v>4556</v>
      </c>
      <c r="I921" s="38" t="s">
        <v>4595</v>
      </c>
      <c r="J921" s="30"/>
      <c r="K921" s="38"/>
      <c r="L921" s="116" t="s">
        <v>4539</v>
      </c>
      <c r="M921" s="15">
        <v>43084</v>
      </c>
      <c r="N921" s="15">
        <v>43100</v>
      </c>
      <c r="O921" s="59" t="s">
        <v>4674</v>
      </c>
      <c r="P921" s="61"/>
      <c r="Q921" s="61"/>
      <c r="R921" s="239"/>
      <c r="S921" s="327" t="s">
        <v>4561</v>
      </c>
      <c r="T921" s="722"/>
      <c r="U921" s="42"/>
      <c r="AE921" s="115"/>
      <c r="AF921" s="115"/>
      <c r="AG921" s="115"/>
      <c r="AH921" s="115"/>
      <c r="AI921" s="115"/>
      <c r="AJ921" s="115"/>
      <c r="AK921" s="115"/>
      <c r="AL921" s="115"/>
      <c r="AM921" s="115"/>
      <c r="AN921" s="115"/>
      <c r="AO921" s="115"/>
      <c r="AP921" s="115"/>
      <c r="AQ921" s="115"/>
      <c r="AR921" s="115"/>
      <c r="AS921" s="115"/>
      <c r="AT921" s="115"/>
      <c r="AU921" s="115"/>
      <c r="AV921" s="115"/>
      <c r="AW921" s="115"/>
      <c r="AX921" s="115"/>
      <c r="AY921" s="115"/>
      <c r="AZ921" s="115"/>
      <c r="BA921" s="115"/>
      <c r="BB921" s="115"/>
      <c r="BC921" s="115"/>
      <c r="BD921" s="115"/>
      <c r="BE921" s="115"/>
      <c r="BF921" s="115"/>
      <c r="BG921" s="115"/>
      <c r="BH921" s="115"/>
      <c r="BI921" s="115"/>
      <c r="BJ921" s="115"/>
      <c r="BK921" s="115"/>
      <c r="BL921" s="115"/>
      <c r="BM921" s="115"/>
      <c r="BN921" s="115"/>
      <c r="BO921" s="115"/>
      <c r="BP921" s="115"/>
    </row>
    <row r="922" spans="1:68" ht="20.100000000000001" customHeight="1">
      <c r="A922" s="1228" t="s">
        <v>4582</v>
      </c>
      <c r="B922" s="1228" t="s">
        <v>4826</v>
      </c>
      <c r="C922" s="1228" t="s">
        <v>4836</v>
      </c>
      <c r="D922" s="345">
        <f>D77+100+25</f>
        <v>975</v>
      </c>
      <c r="E922" s="345">
        <f>E77+200+50</f>
        <v>1850</v>
      </c>
      <c r="F922" s="345">
        <f>F77+200+50</f>
        <v>1900</v>
      </c>
      <c r="G922" s="217" t="s">
        <v>4572</v>
      </c>
      <c r="H922" s="56" t="s">
        <v>4541</v>
      </c>
      <c r="I922" s="20" t="s">
        <v>4540</v>
      </c>
      <c r="J922" s="30"/>
      <c r="K922" s="38"/>
      <c r="L922" s="116" t="s">
        <v>4539</v>
      </c>
      <c r="M922" s="15">
        <v>43070</v>
      </c>
      <c r="N922" s="15">
        <v>43100</v>
      </c>
      <c r="O922" s="61" t="s">
        <v>4824</v>
      </c>
      <c r="P922" s="61"/>
      <c r="Q922" s="14"/>
      <c r="R922" s="239"/>
      <c r="S922" s="327" t="s">
        <v>4570</v>
      </c>
      <c r="T922" s="722"/>
      <c r="U922" s="42"/>
      <c r="AE922" s="115"/>
      <c r="AF922" s="115"/>
      <c r="AG922" s="115"/>
      <c r="AH922" s="115"/>
      <c r="AI922" s="115"/>
      <c r="AJ922" s="115"/>
      <c r="AK922" s="115"/>
      <c r="AL922" s="115"/>
      <c r="AM922" s="115"/>
      <c r="AN922" s="115"/>
      <c r="AO922" s="115"/>
      <c r="AP922" s="115"/>
      <c r="AQ922" s="115"/>
      <c r="AR922" s="115"/>
      <c r="AS922" s="115"/>
      <c r="AT922" s="115"/>
      <c r="AU922" s="115"/>
      <c r="AV922" s="115"/>
      <c r="AW922" s="115"/>
      <c r="AX922" s="115"/>
      <c r="AY922" s="115"/>
      <c r="AZ922" s="115"/>
      <c r="BA922" s="115"/>
      <c r="BB922" s="115"/>
      <c r="BC922" s="115"/>
      <c r="BD922" s="115"/>
      <c r="BE922" s="115"/>
      <c r="BF922" s="115"/>
      <c r="BG922" s="115"/>
      <c r="BH922" s="115"/>
      <c r="BI922" s="115"/>
      <c r="BJ922" s="115"/>
      <c r="BK922" s="115"/>
      <c r="BL922" s="115"/>
      <c r="BM922" s="115"/>
      <c r="BN922" s="115"/>
      <c r="BO922" s="115"/>
      <c r="BP922" s="115"/>
    </row>
    <row r="923" spans="1:68" ht="20.100000000000001" customHeight="1">
      <c r="A923" s="1228" t="s">
        <v>4582</v>
      </c>
      <c r="B923" s="1228" t="s">
        <v>4826</v>
      </c>
      <c r="C923" s="1228" t="s">
        <v>4836</v>
      </c>
      <c r="D923" s="196">
        <f>D97+250</f>
        <v>1125</v>
      </c>
      <c r="E923" s="196">
        <f>E97+350</f>
        <v>1900</v>
      </c>
      <c r="F923" s="196">
        <f>F97+350</f>
        <v>1950</v>
      </c>
      <c r="G923" s="217" t="s">
        <v>4575</v>
      </c>
      <c r="H923" s="48" t="s">
        <v>4574</v>
      </c>
      <c r="I923" s="38" t="s">
        <v>4540</v>
      </c>
      <c r="J923" s="30"/>
      <c r="K923" s="38"/>
      <c r="L923" s="116" t="s">
        <v>4539</v>
      </c>
      <c r="M923" s="15">
        <v>43084</v>
      </c>
      <c r="N923" s="15">
        <v>43100</v>
      </c>
      <c r="O923" s="61" t="s">
        <v>4573</v>
      </c>
      <c r="P923" s="61"/>
      <c r="Q923" s="61"/>
      <c r="R923" s="239"/>
      <c r="S923" s="328" t="s">
        <v>4543</v>
      </c>
      <c r="T923" s="722"/>
      <c r="U923" s="42"/>
      <c r="AE923" s="115"/>
      <c r="AF923" s="115"/>
      <c r="AG923" s="115"/>
      <c r="AH923" s="115"/>
      <c r="AI923" s="115"/>
      <c r="AJ923" s="115"/>
      <c r="AK923" s="115"/>
      <c r="AL923" s="115"/>
      <c r="AM923" s="115"/>
      <c r="AN923" s="115"/>
      <c r="AO923" s="115"/>
      <c r="AP923" s="115"/>
      <c r="AQ923" s="115"/>
      <c r="AR923" s="115"/>
      <c r="AS923" s="115"/>
      <c r="AT923" s="115"/>
      <c r="AU923" s="115"/>
      <c r="AV923" s="115"/>
      <c r="AW923" s="115"/>
      <c r="AX923" s="115"/>
      <c r="AY923" s="115"/>
      <c r="AZ923" s="115"/>
      <c r="BA923" s="115"/>
      <c r="BB923" s="115"/>
      <c r="BC923" s="115"/>
      <c r="BD923" s="115"/>
      <c r="BE923" s="115"/>
      <c r="BF923" s="115"/>
      <c r="BG923" s="115"/>
      <c r="BH923" s="115"/>
      <c r="BI923" s="115"/>
      <c r="BJ923" s="115"/>
      <c r="BK923" s="115"/>
      <c r="BL923" s="115"/>
      <c r="BM923" s="115"/>
      <c r="BN923" s="115"/>
      <c r="BO923" s="115"/>
      <c r="BP923" s="115"/>
    </row>
    <row r="924" spans="1:68" ht="20.100000000000001" customHeight="1">
      <c r="A924" s="1228" t="s">
        <v>4582</v>
      </c>
      <c r="B924" s="1228" t="s">
        <v>4826</v>
      </c>
      <c r="C924" s="1228" t="s">
        <v>4836</v>
      </c>
      <c r="D924" s="196">
        <f>D43+325+25</f>
        <v>1100</v>
      </c>
      <c r="E924" s="196">
        <f>E43+450+50</f>
        <v>1900</v>
      </c>
      <c r="F924" s="196">
        <f>F43+450+50</f>
        <v>1950</v>
      </c>
      <c r="G924" s="110" t="s">
        <v>4636</v>
      </c>
      <c r="H924" s="36" t="s">
        <v>4667</v>
      </c>
      <c r="I924" s="38" t="s">
        <v>4666</v>
      </c>
      <c r="J924" s="30"/>
      <c r="K924" s="38"/>
      <c r="L924" s="116" t="s">
        <v>4539</v>
      </c>
      <c r="M924" s="6">
        <v>43084</v>
      </c>
      <c r="N924" s="6">
        <v>43100</v>
      </c>
      <c r="O924" s="61" t="s">
        <v>4633</v>
      </c>
      <c r="P924" s="61"/>
      <c r="Q924" s="61"/>
      <c r="R924" s="239"/>
      <c r="S924" s="327" t="s">
        <v>4632</v>
      </c>
      <c r="T924" s="722"/>
      <c r="U924" s="42"/>
      <c r="AE924" s="115"/>
      <c r="AF924" s="115"/>
      <c r="AG924" s="115"/>
      <c r="AH924" s="115"/>
      <c r="AI924" s="115"/>
      <c r="AJ924" s="115"/>
      <c r="AK924" s="115"/>
      <c r="AL924" s="115"/>
      <c r="AM924" s="115"/>
      <c r="AN924" s="115"/>
      <c r="AO924" s="115"/>
      <c r="AP924" s="115"/>
      <c r="AQ924" s="115"/>
      <c r="AR924" s="115"/>
      <c r="AS924" s="115"/>
      <c r="AT924" s="115"/>
      <c r="AU924" s="115"/>
      <c r="AV924" s="115"/>
      <c r="AW924" s="115"/>
      <c r="AX924" s="115"/>
      <c r="AY924" s="115"/>
      <c r="AZ924" s="115"/>
      <c r="BA924" s="115"/>
      <c r="BB924" s="115"/>
      <c r="BC924" s="115"/>
      <c r="BD924" s="115"/>
      <c r="BE924" s="115"/>
      <c r="BF924" s="115"/>
      <c r="BG924" s="115"/>
      <c r="BH924" s="115"/>
      <c r="BI924" s="115"/>
      <c r="BJ924" s="115"/>
      <c r="BK924" s="115"/>
      <c r="BL924" s="115"/>
      <c r="BM924" s="115"/>
      <c r="BN924" s="115"/>
      <c r="BO924" s="115"/>
      <c r="BP924" s="115"/>
    </row>
    <row r="925" spans="1:68" ht="20.100000000000001" customHeight="1">
      <c r="A925" s="1228" t="s">
        <v>4582</v>
      </c>
      <c r="B925" s="1228" t="s">
        <v>4826</v>
      </c>
      <c r="C925" s="1228" t="s">
        <v>4836</v>
      </c>
      <c r="D925" s="273">
        <f>D211+100+25</f>
        <v>850</v>
      </c>
      <c r="E925" s="273">
        <f>E211+175+50</f>
        <v>1575</v>
      </c>
      <c r="F925" s="273">
        <f>F211+175+50</f>
        <v>1625</v>
      </c>
      <c r="G925" s="110" t="s">
        <v>4566</v>
      </c>
      <c r="H925" s="69" t="s">
        <v>4556</v>
      </c>
      <c r="I925" s="38" t="s">
        <v>4595</v>
      </c>
      <c r="J925" s="30"/>
      <c r="K925" s="38"/>
      <c r="L925" s="116" t="s">
        <v>4539</v>
      </c>
      <c r="M925" s="15">
        <v>43084</v>
      </c>
      <c r="N925" s="15">
        <v>43100</v>
      </c>
      <c r="O925" s="59" t="s">
        <v>4674</v>
      </c>
      <c r="P925" s="61"/>
      <c r="Q925" s="61"/>
      <c r="R925" s="239"/>
      <c r="S925" s="327" t="s">
        <v>4561</v>
      </c>
      <c r="T925" s="722"/>
      <c r="U925" s="42"/>
      <c r="AE925" s="115"/>
      <c r="AF925" s="115"/>
      <c r="AG925" s="115"/>
      <c r="AH925" s="115"/>
      <c r="AI925" s="115"/>
      <c r="AJ925" s="115"/>
      <c r="AK925" s="115"/>
      <c r="AL925" s="115"/>
      <c r="AM925" s="115"/>
      <c r="AN925" s="115"/>
      <c r="AO925" s="115"/>
      <c r="AP925" s="115"/>
      <c r="AQ925" s="115"/>
      <c r="AR925" s="115"/>
      <c r="AS925" s="115"/>
      <c r="AT925" s="115"/>
      <c r="AU925" s="115"/>
      <c r="AV925" s="115"/>
      <c r="AW925" s="115"/>
      <c r="AX925" s="115"/>
      <c r="AY925" s="115"/>
      <c r="AZ925" s="115"/>
      <c r="BA925" s="115"/>
      <c r="BB925" s="115"/>
      <c r="BC925" s="115"/>
      <c r="BD925" s="115"/>
      <c r="BE925" s="115"/>
      <c r="BF925" s="115"/>
      <c r="BG925" s="115"/>
      <c r="BH925" s="115"/>
      <c r="BI925" s="115"/>
      <c r="BJ925" s="115"/>
      <c r="BK925" s="115"/>
      <c r="BL925" s="115"/>
      <c r="BM925" s="115"/>
      <c r="BN925" s="115"/>
      <c r="BO925" s="115"/>
      <c r="BP925" s="115"/>
    </row>
    <row r="926" spans="1:68" ht="20.100000000000001" customHeight="1">
      <c r="A926" s="1228" t="s">
        <v>4582</v>
      </c>
      <c r="B926" s="1228" t="s">
        <v>4826</v>
      </c>
      <c r="C926" s="1228" t="s">
        <v>4836</v>
      </c>
      <c r="D926" s="195">
        <f>D10+900</f>
        <v>1665</v>
      </c>
      <c r="E926" s="195">
        <f>E10+700</f>
        <v>2130</v>
      </c>
      <c r="F926" s="195">
        <f>F10+700</f>
        <v>2180</v>
      </c>
      <c r="G926" s="110" t="s">
        <v>4560</v>
      </c>
      <c r="H926" s="48" t="s">
        <v>4556</v>
      </c>
      <c r="I926" s="38" t="s">
        <v>4595</v>
      </c>
      <c r="J926" s="30"/>
      <c r="K926" s="38">
        <v>35</v>
      </c>
      <c r="L926" s="116" t="s">
        <v>4539</v>
      </c>
      <c r="M926" s="15">
        <v>43084</v>
      </c>
      <c r="N926" s="15">
        <v>43100</v>
      </c>
      <c r="O926" s="59" t="s">
        <v>4559</v>
      </c>
      <c r="P926" s="61"/>
      <c r="Q926" s="61"/>
      <c r="R926" s="239"/>
      <c r="S926" s="336" t="s">
        <v>4558</v>
      </c>
      <c r="T926" s="722"/>
      <c r="U926" s="42"/>
      <c r="AE926" s="115"/>
      <c r="AF926" s="115"/>
      <c r="AG926" s="115"/>
      <c r="AH926" s="115"/>
      <c r="AI926" s="115"/>
      <c r="AJ926" s="115"/>
      <c r="AK926" s="115"/>
      <c r="AL926" s="115"/>
      <c r="AM926" s="115"/>
      <c r="AN926" s="115"/>
      <c r="AO926" s="115"/>
      <c r="AP926" s="115"/>
      <c r="AQ926" s="115"/>
      <c r="AR926" s="115"/>
      <c r="AS926" s="115"/>
      <c r="AT926" s="115"/>
      <c r="AU926" s="115"/>
      <c r="AV926" s="115"/>
      <c r="AW926" s="115"/>
      <c r="AX926" s="115"/>
      <c r="AY926" s="115"/>
      <c r="AZ926" s="115"/>
      <c r="BA926" s="115"/>
      <c r="BB926" s="115"/>
      <c r="BC926" s="115"/>
      <c r="BD926" s="115"/>
      <c r="BE926" s="115"/>
      <c r="BF926" s="115"/>
      <c r="BG926" s="115"/>
      <c r="BH926" s="115"/>
      <c r="BI926" s="115"/>
      <c r="BJ926" s="115"/>
      <c r="BK926" s="115"/>
      <c r="BL926" s="115"/>
      <c r="BM926" s="115"/>
      <c r="BN926" s="115"/>
      <c r="BO926" s="115"/>
      <c r="BP926" s="115"/>
    </row>
    <row r="927" spans="1:68" ht="20.100000000000001" customHeight="1">
      <c r="A927" s="1228" t="s">
        <v>4582</v>
      </c>
      <c r="B927" s="1228" t="s">
        <v>4826</v>
      </c>
      <c r="C927" s="1228" t="s">
        <v>4836</v>
      </c>
      <c r="D927" s="195">
        <f>D120+225</f>
        <v>1125</v>
      </c>
      <c r="E927" s="195">
        <f>E120+375</f>
        <v>1975</v>
      </c>
      <c r="F927" s="195">
        <f>F120+375</f>
        <v>2025</v>
      </c>
      <c r="G927" s="110" t="s">
        <v>4553</v>
      </c>
      <c r="H927" s="56" t="s">
        <v>4552</v>
      </c>
      <c r="I927" s="38" t="s">
        <v>4639</v>
      </c>
      <c r="J927" s="140"/>
      <c r="K927" s="38">
        <v>34</v>
      </c>
      <c r="L927" s="116" t="s">
        <v>4539</v>
      </c>
      <c r="M927" s="6">
        <v>43085</v>
      </c>
      <c r="N927" s="6">
        <v>43100</v>
      </c>
      <c r="O927" s="61" t="s">
        <v>4827</v>
      </c>
      <c r="P927" s="61"/>
      <c r="Q927" s="61"/>
      <c r="R927" s="239"/>
      <c r="S927" s="328" t="s">
        <v>4543</v>
      </c>
      <c r="T927" s="722"/>
      <c r="U927" s="42"/>
      <c r="AE927" s="115"/>
      <c r="AF927" s="115"/>
      <c r="AG927" s="115"/>
      <c r="AH927" s="115"/>
      <c r="AI927" s="115"/>
      <c r="AJ927" s="115"/>
      <c r="AK927" s="115"/>
      <c r="AL927" s="115"/>
      <c r="AM927" s="115"/>
      <c r="AN927" s="115"/>
      <c r="AO927" s="115"/>
      <c r="AP927" s="115"/>
      <c r="AQ927" s="115"/>
      <c r="AR927" s="115"/>
      <c r="AS927" s="115"/>
      <c r="AT927" s="115"/>
      <c r="AU927" s="115"/>
      <c r="AV927" s="115"/>
      <c r="AW927" s="115"/>
      <c r="AX927" s="115"/>
      <c r="AY927" s="115"/>
      <c r="AZ927" s="115"/>
      <c r="BA927" s="115"/>
      <c r="BB927" s="115"/>
      <c r="BC927" s="115"/>
      <c r="BD927" s="115"/>
      <c r="BE927" s="115"/>
      <c r="BF927" s="115"/>
      <c r="BG927" s="115"/>
      <c r="BH927" s="115"/>
      <c r="BI927" s="115"/>
      <c r="BJ927" s="115"/>
      <c r="BK927" s="115"/>
      <c r="BL927" s="115"/>
      <c r="BM927" s="115"/>
      <c r="BN927" s="115"/>
      <c r="BO927" s="115"/>
      <c r="BP927" s="115"/>
    </row>
    <row r="928" spans="1:68" ht="20.100000000000001" customHeight="1">
      <c r="A928" s="1228" t="s">
        <v>4582</v>
      </c>
      <c r="B928" s="1228" t="s">
        <v>4826</v>
      </c>
      <c r="C928" s="1228" t="s">
        <v>4836</v>
      </c>
      <c r="D928" s="195">
        <f>D19+1025+25</f>
        <v>1825</v>
      </c>
      <c r="E928" s="195">
        <f>E19+1600+50</f>
        <v>3100</v>
      </c>
      <c r="F928" s="195">
        <f>F19+1600+50</f>
        <v>3150</v>
      </c>
      <c r="G928" s="12" t="s">
        <v>4542</v>
      </c>
      <c r="H928" s="69" t="s">
        <v>4541</v>
      </c>
      <c r="I928" s="38" t="s">
        <v>4595</v>
      </c>
      <c r="J928" s="140"/>
      <c r="K928" s="38"/>
      <c r="L928" s="116" t="s">
        <v>4539</v>
      </c>
      <c r="M928" s="15">
        <v>43084</v>
      </c>
      <c r="N928" s="15">
        <v>43100</v>
      </c>
      <c r="O928" s="61" t="s">
        <v>4538</v>
      </c>
      <c r="P928" s="61"/>
      <c r="Q928" s="61"/>
      <c r="R928" s="239"/>
      <c r="S928" s="326" t="s">
        <v>4537</v>
      </c>
      <c r="T928" s="722"/>
      <c r="U928" s="42"/>
      <c r="AE928" s="115"/>
      <c r="AF928" s="115"/>
      <c r="AG928" s="115"/>
      <c r="AH928" s="115"/>
      <c r="AI928" s="115"/>
      <c r="AJ928" s="115"/>
      <c r="AK928" s="115"/>
      <c r="AL928" s="115"/>
      <c r="AM928" s="115"/>
      <c r="AN928" s="115"/>
      <c r="AO928" s="115"/>
      <c r="AP928" s="115"/>
      <c r="AQ928" s="115"/>
      <c r="AR928" s="115"/>
      <c r="AS928" s="115"/>
      <c r="AT928" s="115"/>
      <c r="AU928" s="115"/>
      <c r="AV928" s="115"/>
      <c r="AW928" s="115"/>
      <c r="AX928" s="115"/>
      <c r="AY928" s="115"/>
      <c r="AZ928" s="115"/>
      <c r="BA928" s="115"/>
      <c r="BB928" s="115"/>
      <c r="BC928" s="115"/>
      <c r="BD928" s="115"/>
      <c r="BE928" s="115"/>
      <c r="BF928" s="115"/>
      <c r="BG928" s="115"/>
      <c r="BH928" s="115"/>
      <c r="BI928" s="115"/>
      <c r="BJ928" s="115"/>
      <c r="BK928" s="115"/>
      <c r="BL928" s="115"/>
      <c r="BM928" s="115"/>
      <c r="BN928" s="115"/>
      <c r="BO928" s="115"/>
      <c r="BP928" s="115"/>
    </row>
    <row r="929" spans="1:68" ht="20.100000000000001" customHeight="1">
      <c r="A929" s="1228" t="s">
        <v>4582</v>
      </c>
      <c r="B929" s="1228" t="s">
        <v>4826</v>
      </c>
      <c r="C929" s="1228" t="s">
        <v>4836</v>
      </c>
      <c r="D929" s="195">
        <f>D65+200</f>
        <v>1000</v>
      </c>
      <c r="E929" s="195">
        <f>E65+400</f>
        <v>1900</v>
      </c>
      <c r="F929" s="195">
        <f>F65+400</f>
        <v>1950</v>
      </c>
      <c r="G929" s="12" t="s">
        <v>4645</v>
      </c>
      <c r="H929" s="48" t="s">
        <v>4556</v>
      </c>
      <c r="I929" s="38" t="s">
        <v>4540</v>
      </c>
      <c r="J929" s="30"/>
      <c r="K929" s="38" t="s">
        <v>4835</v>
      </c>
      <c r="L929" s="116" t="s">
        <v>4539</v>
      </c>
      <c r="M929" s="6">
        <v>43084</v>
      </c>
      <c r="N929" s="6">
        <v>43100</v>
      </c>
      <c r="O929" s="61" t="s">
        <v>4643</v>
      </c>
      <c r="P929" s="61"/>
      <c r="Q929" s="61"/>
      <c r="R929" s="239"/>
      <c r="S929" s="326" t="s">
        <v>4641</v>
      </c>
      <c r="T929" s="722"/>
      <c r="U929" s="42"/>
      <c r="AE929" s="115"/>
      <c r="AF929" s="115"/>
      <c r="AG929" s="115"/>
      <c r="AH929" s="115"/>
      <c r="AI929" s="115"/>
      <c r="AJ929" s="115"/>
      <c r="AK929" s="115"/>
      <c r="AL929" s="115"/>
      <c r="AM929" s="115"/>
      <c r="AN929" s="115"/>
      <c r="AO929" s="115"/>
      <c r="AP929" s="115"/>
      <c r="AQ929" s="115"/>
      <c r="AR929" s="115"/>
      <c r="AS929" s="115"/>
      <c r="AT929" s="115"/>
      <c r="AU929" s="115"/>
      <c r="AV929" s="115"/>
      <c r="AW929" s="115"/>
      <c r="AX929" s="115"/>
      <c r="AY929" s="115"/>
      <c r="AZ929" s="115"/>
      <c r="BA929" s="115"/>
      <c r="BB929" s="115"/>
      <c r="BC929" s="115"/>
      <c r="BD929" s="115"/>
      <c r="BE929" s="115"/>
      <c r="BF929" s="115"/>
      <c r="BG929" s="115"/>
      <c r="BH929" s="115"/>
      <c r="BI929" s="115"/>
      <c r="BJ929" s="115"/>
      <c r="BK929" s="115"/>
      <c r="BL929" s="115"/>
      <c r="BM929" s="115"/>
      <c r="BN929" s="115"/>
      <c r="BO929" s="115"/>
      <c r="BP929" s="115"/>
    </row>
    <row r="930" spans="1:68" ht="20.100000000000001" customHeight="1">
      <c r="A930" s="909" t="s">
        <v>4614</v>
      </c>
      <c r="B930" s="907" t="s">
        <v>4826</v>
      </c>
      <c r="C930" s="907" t="s">
        <v>4834</v>
      </c>
      <c r="D930" s="247"/>
      <c r="E930" s="247"/>
      <c r="F930" s="247"/>
      <c r="G930" s="12"/>
      <c r="H930" s="56"/>
      <c r="I930" s="51"/>
      <c r="J930" s="34"/>
      <c r="K930" s="51"/>
      <c r="L930" s="118"/>
      <c r="M930" s="118"/>
      <c r="N930" s="15"/>
      <c r="O930" s="59"/>
      <c r="P930" s="59"/>
      <c r="Q930" s="59"/>
      <c r="R930" s="21"/>
      <c r="S930" s="328"/>
      <c r="T930" s="722"/>
      <c r="U930" s="42"/>
      <c r="AE930" s="115"/>
      <c r="AF930" s="115"/>
      <c r="AG930" s="115"/>
      <c r="AH930" s="115"/>
      <c r="AI930" s="115"/>
      <c r="AJ930" s="115"/>
      <c r="AK930" s="115"/>
      <c r="AL930" s="115"/>
      <c r="AM930" s="115"/>
      <c r="AN930" s="115"/>
      <c r="AO930" s="115"/>
      <c r="AP930" s="115"/>
      <c r="AQ930" s="115"/>
      <c r="AR930" s="115"/>
      <c r="AS930" s="115"/>
      <c r="AT930" s="115"/>
      <c r="AU930" s="115"/>
      <c r="AV930" s="115"/>
      <c r="AW930" s="115"/>
      <c r="AX930" s="115"/>
      <c r="AY930" s="115"/>
      <c r="AZ930" s="115"/>
      <c r="BA930" s="115"/>
      <c r="BB930" s="115"/>
      <c r="BC930" s="115"/>
      <c r="BD930" s="115"/>
      <c r="BE930" s="115"/>
      <c r="BF930" s="115"/>
      <c r="BG930" s="115"/>
      <c r="BH930" s="115"/>
      <c r="BI930" s="115"/>
      <c r="BJ930" s="115"/>
      <c r="BK930" s="115"/>
      <c r="BL930" s="115"/>
      <c r="BM930" s="115"/>
      <c r="BN930" s="115"/>
      <c r="BO930" s="115"/>
      <c r="BP930" s="115"/>
    </row>
    <row r="931" spans="1:68" ht="20.100000000000001" customHeight="1">
      <c r="A931" s="1228" t="s">
        <v>4582</v>
      </c>
      <c r="B931" s="1228" t="s">
        <v>4826</v>
      </c>
      <c r="C931" s="1228" t="s">
        <v>4833</v>
      </c>
      <c r="D931" s="345">
        <f>D77+900+25</f>
        <v>1775</v>
      </c>
      <c r="E931" s="345">
        <f>E77+1400+50</f>
        <v>3050</v>
      </c>
      <c r="F931" s="345">
        <f>F77+1400+50</f>
        <v>3100</v>
      </c>
      <c r="G931" s="217" t="s">
        <v>4572</v>
      </c>
      <c r="H931" s="56" t="s">
        <v>4541</v>
      </c>
      <c r="I931" s="10" t="s">
        <v>4540</v>
      </c>
      <c r="J931" s="30"/>
      <c r="K931" s="38"/>
      <c r="L931" s="116" t="s">
        <v>4539</v>
      </c>
      <c r="M931" s="15">
        <v>43070</v>
      </c>
      <c r="N931" s="15">
        <v>43100</v>
      </c>
      <c r="O931" s="61" t="s">
        <v>4824</v>
      </c>
      <c r="P931" s="61"/>
      <c r="Q931" s="14"/>
      <c r="R931" s="239"/>
      <c r="S931" s="327" t="s">
        <v>4570</v>
      </c>
      <c r="T931" s="722"/>
      <c r="U931" s="42"/>
      <c r="AE931" s="115"/>
      <c r="AF931" s="115"/>
      <c r="AG931" s="115"/>
      <c r="AH931" s="115"/>
      <c r="AI931" s="115"/>
      <c r="AJ931" s="115"/>
      <c r="AK931" s="115"/>
      <c r="AL931" s="115"/>
      <c r="AM931" s="115"/>
      <c r="AN931" s="115"/>
      <c r="AO931" s="115"/>
      <c r="AP931" s="115"/>
      <c r="AQ931" s="115"/>
      <c r="AR931" s="115"/>
      <c r="AS931" s="115"/>
      <c r="AT931" s="115"/>
      <c r="AU931" s="115"/>
      <c r="AV931" s="115"/>
      <c r="AW931" s="115"/>
      <c r="AX931" s="115"/>
      <c r="AY931" s="115"/>
      <c r="AZ931" s="115"/>
      <c r="BA931" s="115"/>
      <c r="BB931" s="115"/>
      <c r="BC931" s="115"/>
      <c r="BD931" s="115"/>
      <c r="BE931" s="115"/>
      <c r="BF931" s="115"/>
      <c r="BG931" s="115"/>
      <c r="BH931" s="115"/>
      <c r="BI931" s="115"/>
      <c r="BJ931" s="115"/>
      <c r="BK931" s="115"/>
      <c r="BL931" s="115"/>
      <c r="BM931" s="115"/>
      <c r="BN931" s="115"/>
      <c r="BO931" s="115"/>
      <c r="BP931" s="115"/>
    </row>
    <row r="932" spans="1:68" ht="20.100000000000001" customHeight="1">
      <c r="A932" s="1228" t="s">
        <v>4582</v>
      </c>
      <c r="B932" s="1228" t="s">
        <v>4826</v>
      </c>
      <c r="C932" s="1228" t="s">
        <v>4833</v>
      </c>
      <c r="D932" s="196">
        <f>D97+800</f>
        <v>1675</v>
      </c>
      <c r="E932" s="196">
        <f>E97+1100</f>
        <v>2650</v>
      </c>
      <c r="F932" s="196">
        <f>F97+1100</f>
        <v>2700</v>
      </c>
      <c r="G932" s="217" t="s">
        <v>4575</v>
      </c>
      <c r="H932" s="56" t="s">
        <v>4675</v>
      </c>
      <c r="I932" s="38" t="s">
        <v>4540</v>
      </c>
      <c r="J932" s="30"/>
      <c r="K932" s="38"/>
      <c r="L932" s="116" t="s">
        <v>4539</v>
      </c>
      <c r="M932" s="15">
        <v>43084</v>
      </c>
      <c r="N932" s="15">
        <v>43100</v>
      </c>
      <c r="O932" s="61" t="s">
        <v>4573</v>
      </c>
      <c r="P932" s="61"/>
      <c r="Q932" s="61"/>
      <c r="R932" s="239"/>
      <c r="S932" s="328" t="s">
        <v>4543</v>
      </c>
      <c r="T932" s="722"/>
      <c r="U932" s="42"/>
      <c r="AE932" s="115"/>
      <c r="AF932" s="115"/>
      <c r="AG932" s="115"/>
      <c r="AH932" s="115"/>
      <c r="AI932" s="115"/>
      <c r="AJ932" s="115"/>
      <c r="AK932" s="115"/>
      <c r="AL932" s="115"/>
      <c r="AM932" s="115"/>
      <c r="AN932" s="115"/>
      <c r="AO932" s="115"/>
      <c r="AP932" s="115"/>
      <c r="AQ932" s="115"/>
      <c r="AR932" s="115"/>
      <c r="AS932" s="115"/>
      <c r="AT932" s="115"/>
      <c r="AU932" s="115"/>
      <c r="AV932" s="115"/>
      <c r="AW932" s="115"/>
      <c r="AX932" s="115"/>
      <c r="AY932" s="115"/>
      <c r="AZ932" s="115"/>
      <c r="BA932" s="115"/>
      <c r="BB932" s="115"/>
      <c r="BC932" s="115"/>
      <c r="BD932" s="115"/>
      <c r="BE932" s="115"/>
      <c r="BF932" s="115"/>
      <c r="BG932" s="115"/>
      <c r="BH932" s="115"/>
      <c r="BI932" s="115"/>
      <c r="BJ932" s="115"/>
      <c r="BK932" s="115"/>
      <c r="BL932" s="115"/>
      <c r="BM932" s="115"/>
      <c r="BN932" s="115"/>
      <c r="BO932" s="115"/>
      <c r="BP932" s="115"/>
    </row>
    <row r="933" spans="1:68" ht="20.100000000000001" customHeight="1">
      <c r="A933" s="1228" t="s">
        <v>4582</v>
      </c>
      <c r="B933" s="1228" t="s">
        <v>4826</v>
      </c>
      <c r="C933" s="1228" t="s">
        <v>4833</v>
      </c>
      <c r="D933" s="273">
        <f>D211+700+25</f>
        <v>1450</v>
      </c>
      <c r="E933" s="273">
        <f>E211+900+50</f>
        <v>2300</v>
      </c>
      <c r="F933" s="273">
        <f>F211+900+50</f>
        <v>2350</v>
      </c>
      <c r="G933" s="110" t="s">
        <v>4566</v>
      </c>
      <c r="H933" s="36" t="s">
        <v>4556</v>
      </c>
      <c r="I933" s="38" t="s">
        <v>4595</v>
      </c>
      <c r="J933" s="30"/>
      <c r="K933" s="38"/>
      <c r="L933" s="116" t="s">
        <v>4539</v>
      </c>
      <c r="M933" s="15">
        <v>43084</v>
      </c>
      <c r="N933" s="15">
        <v>43100</v>
      </c>
      <c r="O933" s="59" t="s">
        <v>4674</v>
      </c>
      <c r="P933" s="61"/>
      <c r="Q933" s="61"/>
      <c r="R933" s="239"/>
      <c r="S933" s="327" t="s">
        <v>4561</v>
      </c>
      <c r="T933" s="722"/>
      <c r="U933" s="42"/>
      <c r="AE933" s="115"/>
      <c r="AF933" s="115"/>
      <c r="AG933" s="115"/>
      <c r="AH933" s="115"/>
      <c r="AI933" s="115"/>
      <c r="AJ933" s="115"/>
      <c r="AK933" s="115"/>
      <c r="AL933" s="115"/>
      <c r="AM933" s="115"/>
      <c r="AN933" s="115"/>
      <c r="AO933" s="115"/>
      <c r="AP933" s="115"/>
      <c r="AQ933" s="115"/>
      <c r="AR933" s="115"/>
      <c r="AS933" s="115"/>
      <c r="AT933" s="115"/>
      <c r="AU933" s="115"/>
      <c r="AV933" s="115"/>
      <c r="AW933" s="115"/>
      <c r="AX933" s="115"/>
      <c r="AY933" s="115"/>
      <c r="AZ933" s="115"/>
      <c r="BA933" s="115"/>
      <c r="BB933" s="115"/>
      <c r="BC933" s="115"/>
      <c r="BD933" s="115"/>
      <c r="BE933" s="115"/>
      <c r="BF933" s="115"/>
      <c r="BG933" s="115"/>
      <c r="BH933" s="115"/>
      <c r="BI933" s="115"/>
      <c r="BJ933" s="115"/>
      <c r="BK933" s="115"/>
      <c r="BL933" s="115"/>
      <c r="BM933" s="115"/>
      <c r="BN933" s="115"/>
      <c r="BO933" s="115"/>
      <c r="BP933" s="115"/>
    </row>
    <row r="934" spans="1:68" ht="20.100000000000001" customHeight="1">
      <c r="A934" s="1228" t="s">
        <v>4582</v>
      </c>
      <c r="B934" s="1228" t="s">
        <v>4826</v>
      </c>
      <c r="C934" s="1228" t="s">
        <v>4833</v>
      </c>
      <c r="D934" s="195">
        <f>D39+877</f>
        <v>1777</v>
      </c>
      <c r="E934" s="195">
        <f>E39+1305</f>
        <v>2905</v>
      </c>
      <c r="F934" s="195">
        <f>F39+1305</f>
        <v>2955</v>
      </c>
      <c r="G934" s="110" t="s">
        <v>4553</v>
      </c>
      <c r="H934" s="36" t="s">
        <v>4667</v>
      </c>
      <c r="I934" s="38" t="s">
        <v>4666</v>
      </c>
      <c r="J934" s="30"/>
      <c r="K934" s="38">
        <v>33</v>
      </c>
      <c r="L934" s="116" t="s">
        <v>4539</v>
      </c>
      <c r="M934" s="6">
        <v>43085</v>
      </c>
      <c r="N934" s="6">
        <v>43100</v>
      </c>
      <c r="O934" s="61" t="s">
        <v>4827</v>
      </c>
      <c r="P934" s="61"/>
      <c r="Q934" s="61"/>
      <c r="R934" s="239"/>
      <c r="S934" s="328" t="s">
        <v>4543</v>
      </c>
      <c r="T934" s="722"/>
      <c r="U934" s="42"/>
      <c r="AE934" s="115"/>
      <c r="AF934" s="115"/>
      <c r="AG934" s="115"/>
      <c r="AH934" s="115"/>
      <c r="AI934" s="115"/>
      <c r="AJ934" s="115"/>
      <c r="AK934" s="115"/>
      <c r="AL934" s="115"/>
      <c r="AM934" s="115"/>
      <c r="AN934" s="115"/>
      <c r="AO934" s="115"/>
      <c r="AP934" s="115"/>
      <c r="AQ934" s="115"/>
      <c r="AR934" s="115"/>
      <c r="AS934" s="115"/>
      <c r="AT934" s="115"/>
      <c r="AU934" s="115"/>
      <c r="AV934" s="115"/>
      <c r="AW934" s="115"/>
      <c r="AX934" s="115"/>
      <c r="AY934" s="115"/>
      <c r="AZ934" s="115"/>
      <c r="BA934" s="115"/>
      <c r="BB934" s="115"/>
      <c r="BC934" s="115"/>
      <c r="BD934" s="115"/>
      <c r="BE934" s="115"/>
      <c r="BF934" s="115"/>
      <c r="BG934" s="115"/>
      <c r="BH934" s="115"/>
      <c r="BI934" s="115"/>
      <c r="BJ934" s="115"/>
      <c r="BK934" s="115"/>
      <c r="BL934" s="115"/>
      <c r="BM934" s="115"/>
      <c r="BN934" s="115"/>
      <c r="BO934" s="115"/>
      <c r="BP934" s="115"/>
    </row>
    <row r="935" spans="1:68" ht="20.100000000000001" customHeight="1">
      <c r="A935" s="1228" t="s">
        <v>4582</v>
      </c>
      <c r="B935" s="1228" t="s">
        <v>4826</v>
      </c>
      <c r="C935" s="1228" t="s">
        <v>4832</v>
      </c>
      <c r="D935" s="345">
        <f>D77+100+25</f>
        <v>975</v>
      </c>
      <c r="E935" s="345">
        <f>E77+200+50</f>
        <v>1850</v>
      </c>
      <c r="F935" s="345">
        <f>F77+200+50</f>
        <v>1900</v>
      </c>
      <c r="G935" s="217" t="s">
        <v>4572</v>
      </c>
      <c r="H935" s="56" t="s">
        <v>4541</v>
      </c>
      <c r="I935" s="20" t="s">
        <v>4540</v>
      </c>
      <c r="J935" s="30"/>
      <c r="K935" s="38"/>
      <c r="L935" s="116" t="s">
        <v>4539</v>
      </c>
      <c r="M935" s="15">
        <v>43070</v>
      </c>
      <c r="N935" s="15">
        <v>43100</v>
      </c>
      <c r="O935" s="61" t="s">
        <v>4824</v>
      </c>
      <c r="P935" s="61"/>
      <c r="Q935" s="14"/>
      <c r="R935" s="239"/>
      <c r="S935" s="327" t="s">
        <v>4570</v>
      </c>
      <c r="T935" s="722"/>
      <c r="U935" s="42"/>
      <c r="AE935" s="115"/>
      <c r="AF935" s="115"/>
      <c r="AG935" s="115"/>
      <c r="AH935" s="115"/>
      <c r="AI935" s="115"/>
      <c r="AJ935" s="115"/>
      <c r="AK935" s="115"/>
      <c r="AL935" s="115"/>
      <c r="AM935" s="115"/>
      <c r="AN935" s="115"/>
      <c r="AO935" s="115"/>
      <c r="AP935" s="115"/>
      <c r="AQ935" s="115"/>
      <c r="AR935" s="115"/>
      <c r="AS935" s="115"/>
      <c r="AT935" s="115"/>
      <c r="AU935" s="115"/>
      <c r="AV935" s="115"/>
      <c r="AW935" s="115"/>
      <c r="AX935" s="115"/>
      <c r="AY935" s="115"/>
      <c r="AZ935" s="115"/>
      <c r="BA935" s="115"/>
      <c r="BB935" s="115"/>
      <c r="BC935" s="115"/>
      <c r="BD935" s="115"/>
      <c r="BE935" s="115"/>
      <c r="BF935" s="115"/>
      <c r="BG935" s="115"/>
      <c r="BH935" s="115"/>
      <c r="BI935" s="115"/>
      <c r="BJ935" s="115"/>
      <c r="BK935" s="115"/>
      <c r="BL935" s="115"/>
      <c r="BM935" s="115"/>
      <c r="BN935" s="115"/>
      <c r="BO935" s="115"/>
      <c r="BP935" s="115"/>
    </row>
    <row r="936" spans="1:68" ht="20.100000000000001" customHeight="1">
      <c r="A936" s="1228" t="s">
        <v>4582</v>
      </c>
      <c r="B936" s="1228" t="s">
        <v>4826</v>
      </c>
      <c r="C936" s="1228" t="s">
        <v>4832</v>
      </c>
      <c r="D936" s="344">
        <f>D97+150+0</f>
        <v>1025</v>
      </c>
      <c r="E936" s="344">
        <f>E97+200+0</f>
        <v>1750</v>
      </c>
      <c r="F936" s="344">
        <f>F97+200+0</f>
        <v>1800</v>
      </c>
      <c r="G936" s="217" t="s">
        <v>4575</v>
      </c>
      <c r="H936" s="48" t="s">
        <v>4574</v>
      </c>
      <c r="I936" s="38" t="s">
        <v>4540</v>
      </c>
      <c r="J936" s="30"/>
      <c r="K936" s="38"/>
      <c r="L936" s="116" t="s">
        <v>4539</v>
      </c>
      <c r="M936" s="15">
        <v>43084</v>
      </c>
      <c r="N936" s="15">
        <v>43100</v>
      </c>
      <c r="O936" s="61" t="s">
        <v>4573</v>
      </c>
      <c r="P936" s="61"/>
      <c r="Q936" s="61"/>
      <c r="R936" s="239"/>
      <c r="S936" s="328" t="s">
        <v>4543</v>
      </c>
      <c r="T936" s="722"/>
      <c r="U936" s="42"/>
      <c r="AE936" s="115"/>
      <c r="AF936" s="115"/>
      <c r="AG936" s="115"/>
      <c r="AH936" s="115"/>
      <c r="AI936" s="115"/>
      <c r="AJ936" s="115"/>
      <c r="AK936" s="115"/>
      <c r="AL936" s="115"/>
      <c r="AM936" s="115"/>
      <c r="AN936" s="115"/>
      <c r="AO936" s="115"/>
      <c r="AP936" s="115"/>
      <c r="AQ936" s="115"/>
      <c r="AR936" s="115"/>
      <c r="AS936" s="115"/>
      <c r="AT936" s="115"/>
      <c r="AU936" s="115"/>
      <c r="AV936" s="115"/>
      <c r="AW936" s="115"/>
      <c r="AX936" s="115"/>
      <c r="AY936" s="115"/>
      <c r="AZ936" s="115"/>
      <c r="BA936" s="115"/>
      <c r="BB936" s="115"/>
      <c r="BC936" s="115"/>
      <c r="BD936" s="115"/>
      <c r="BE936" s="115"/>
      <c r="BF936" s="115"/>
      <c r="BG936" s="115"/>
      <c r="BH936" s="115"/>
      <c r="BI936" s="115"/>
      <c r="BJ936" s="115"/>
      <c r="BK936" s="115"/>
      <c r="BL936" s="115"/>
      <c r="BM936" s="115"/>
      <c r="BN936" s="115"/>
      <c r="BO936" s="115"/>
      <c r="BP936" s="115"/>
    </row>
    <row r="937" spans="1:68" ht="20.100000000000001" customHeight="1">
      <c r="A937" s="1228" t="s">
        <v>4582</v>
      </c>
      <c r="B937" s="1228" t="s">
        <v>4826</v>
      </c>
      <c r="C937" s="1228" t="s">
        <v>4832</v>
      </c>
      <c r="D937" s="273">
        <f>D211+100+25</f>
        <v>850</v>
      </c>
      <c r="E937" s="273">
        <f>E211+175+50</f>
        <v>1575</v>
      </c>
      <c r="F937" s="273">
        <f>F211+175+50</f>
        <v>1625</v>
      </c>
      <c r="G937" s="110" t="s">
        <v>4566</v>
      </c>
      <c r="H937" s="69" t="s">
        <v>4556</v>
      </c>
      <c r="I937" s="38" t="s">
        <v>4595</v>
      </c>
      <c r="J937" s="30"/>
      <c r="K937" s="38"/>
      <c r="L937" s="116" t="s">
        <v>4539</v>
      </c>
      <c r="M937" s="15">
        <v>43084</v>
      </c>
      <c r="N937" s="15">
        <v>43100</v>
      </c>
      <c r="O937" s="59" t="s">
        <v>4674</v>
      </c>
      <c r="P937" s="61"/>
      <c r="Q937" s="61"/>
      <c r="R937" s="239"/>
      <c r="S937" s="327" t="s">
        <v>4561</v>
      </c>
      <c r="T937" s="722"/>
      <c r="U937" s="42"/>
      <c r="AE937" s="115"/>
      <c r="AF937" s="115"/>
      <c r="AG937" s="115"/>
      <c r="AH937" s="115"/>
      <c r="AI937" s="115"/>
      <c r="AJ937" s="115"/>
      <c r="AK937" s="115"/>
      <c r="AL937" s="115"/>
      <c r="AM937" s="115"/>
      <c r="AN937" s="115"/>
      <c r="AO937" s="115"/>
      <c r="AP937" s="115"/>
      <c r="AQ937" s="115"/>
      <c r="AR937" s="115"/>
      <c r="AS937" s="115"/>
      <c r="AT937" s="115"/>
      <c r="AU937" s="115"/>
      <c r="AV937" s="115"/>
      <c r="AW937" s="115"/>
      <c r="AX937" s="115"/>
      <c r="AY937" s="115"/>
      <c r="AZ937" s="115"/>
      <c r="BA937" s="115"/>
      <c r="BB937" s="115"/>
      <c r="BC937" s="115"/>
      <c r="BD937" s="115"/>
      <c r="BE937" s="115"/>
      <c r="BF937" s="115"/>
      <c r="BG937" s="115"/>
      <c r="BH937" s="115"/>
      <c r="BI937" s="115"/>
      <c r="BJ937" s="115"/>
      <c r="BK937" s="115"/>
      <c r="BL937" s="115"/>
      <c r="BM937" s="115"/>
      <c r="BN937" s="115"/>
      <c r="BO937" s="115"/>
      <c r="BP937" s="115"/>
    </row>
    <row r="938" spans="1:68" ht="20.100000000000001" customHeight="1">
      <c r="A938" s="1228" t="s">
        <v>4582</v>
      </c>
      <c r="B938" s="1228" t="s">
        <v>4826</v>
      </c>
      <c r="C938" s="1228" t="s">
        <v>4832</v>
      </c>
      <c r="D938" s="195">
        <f>D43+300+25</f>
        <v>1075</v>
      </c>
      <c r="E938" s="195">
        <f>E43+350+50</f>
        <v>1800</v>
      </c>
      <c r="F938" s="195">
        <f>F43+350+50</f>
        <v>1850</v>
      </c>
      <c r="G938" s="110" t="s">
        <v>4636</v>
      </c>
      <c r="H938" s="36" t="s">
        <v>4667</v>
      </c>
      <c r="I938" s="38" t="s">
        <v>4666</v>
      </c>
      <c r="J938" s="30"/>
      <c r="K938" s="38"/>
      <c r="L938" s="116" t="s">
        <v>4539</v>
      </c>
      <c r="M938" s="6">
        <v>43084</v>
      </c>
      <c r="N938" s="6">
        <v>43100</v>
      </c>
      <c r="O938" s="61" t="s">
        <v>4633</v>
      </c>
      <c r="P938" s="61"/>
      <c r="Q938" s="61"/>
      <c r="R938" s="239"/>
      <c r="S938" s="327" t="s">
        <v>4632</v>
      </c>
      <c r="T938" s="722"/>
      <c r="U938" s="42"/>
      <c r="AE938" s="115"/>
      <c r="AF938" s="115"/>
      <c r="AG938" s="115"/>
      <c r="AH938" s="115"/>
      <c r="AI938" s="115"/>
      <c r="AJ938" s="115"/>
      <c r="AK938" s="115"/>
      <c r="AL938" s="115"/>
      <c r="AM938" s="115"/>
      <c r="AN938" s="115"/>
      <c r="AO938" s="115"/>
      <c r="AP938" s="115"/>
      <c r="AQ938" s="115"/>
      <c r="AR938" s="115"/>
      <c r="AS938" s="115"/>
      <c r="AT938" s="115"/>
      <c r="AU938" s="115"/>
      <c r="AV938" s="115"/>
      <c r="AW938" s="115"/>
      <c r="AX938" s="115"/>
      <c r="AY938" s="115"/>
      <c r="AZ938" s="115"/>
      <c r="BA938" s="115"/>
      <c r="BB938" s="115"/>
      <c r="BC938" s="115"/>
      <c r="BD938" s="115"/>
      <c r="BE938" s="115"/>
      <c r="BF938" s="115"/>
      <c r="BG938" s="115"/>
      <c r="BH938" s="115"/>
      <c r="BI938" s="115"/>
      <c r="BJ938" s="115"/>
      <c r="BK938" s="115"/>
      <c r="BL938" s="115"/>
      <c r="BM938" s="115"/>
      <c r="BN938" s="115"/>
      <c r="BO938" s="115"/>
      <c r="BP938" s="115"/>
    </row>
    <row r="939" spans="1:68" ht="20.100000000000001" customHeight="1">
      <c r="A939" s="1228" t="s">
        <v>4582</v>
      </c>
      <c r="B939" s="1228" t="s">
        <v>4826</v>
      </c>
      <c r="C939" s="1228" t="s">
        <v>4832</v>
      </c>
      <c r="D939" s="273">
        <f>D14+350</f>
        <v>1130</v>
      </c>
      <c r="E939" s="273">
        <f>E14+800</f>
        <v>2257</v>
      </c>
      <c r="F939" s="273">
        <f>F14+800</f>
        <v>2257</v>
      </c>
      <c r="G939" s="225" t="s">
        <v>4569</v>
      </c>
      <c r="H939" s="69" t="s">
        <v>4602</v>
      </c>
      <c r="I939" s="38" t="s">
        <v>4595</v>
      </c>
      <c r="J939" s="30"/>
      <c r="K939" s="38" t="s">
        <v>4546</v>
      </c>
      <c r="L939" s="116" t="s">
        <v>4539</v>
      </c>
      <c r="M939" s="6">
        <v>43074</v>
      </c>
      <c r="N939" s="6">
        <v>43084</v>
      </c>
      <c r="O939" s="61" t="s">
        <v>4664</v>
      </c>
      <c r="P939" s="61"/>
      <c r="Q939" s="61"/>
      <c r="R939" s="239"/>
      <c r="S939" s="328" t="s">
        <v>4543</v>
      </c>
      <c r="T939" s="722"/>
      <c r="U939" s="42"/>
      <c r="AE939" s="115"/>
      <c r="AF939" s="115"/>
      <c r="AG939" s="115"/>
      <c r="AH939" s="115"/>
      <c r="AI939" s="115"/>
      <c r="AJ939" s="115"/>
      <c r="AK939" s="115"/>
      <c r="AL939" s="115"/>
      <c r="AM939" s="115"/>
      <c r="AN939" s="115"/>
      <c r="AO939" s="115"/>
      <c r="AP939" s="115"/>
      <c r="AQ939" s="115"/>
      <c r="AR939" s="115"/>
      <c r="AS939" s="115"/>
      <c r="AT939" s="115"/>
      <c r="AU939" s="115"/>
      <c r="AV939" s="115"/>
      <c r="AW939" s="115"/>
      <c r="AX939" s="115"/>
      <c r="AY939" s="115"/>
      <c r="AZ939" s="115"/>
      <c r="BA939" s="115"/>
      <c r="BB939" s="115"/>
      <c r="BC939" s="115"/>
      <c r="BD939" s="115"/>
      <c r="BE939" s="115"/>
      <c r="BF939" s="115"/>
      <c r="BG939" s="115"/>
      <c r="BH939" s="115"/>
      <c r="BI939" s="115"/>
      <c r="BJ939" s="115"/>
      <c r="BK939" s="115"/>
      <c r="BL939" s="115"/>
      <c r="BM939" s="115"/>
      <c r="BN939" s="115"/>
      <c r="BO939" s="115"/>
      <c r="BP939" s="115"/>
    </row>
    <row r="940" spans="1:68" ht="20.100000000000001" customHeight="1">
      <c r="A940" s="1228" t="s">
        <v>4582</v>
      </c>
      <c r="B940" s="1228" t="s">
        <v>4826</v>
      </c>
      <c r="C940" s="1228" t="s">
        <v>4832</v>
      </c>
      <c r="D940" s="195">
        <f>D90+900</f>
        <v>1665</v>
      </c>
      <c r="E940" s="195">
        <f>E90+700</f>
        <v>2130</v>
      </c>
      <c r="F940" s="195">
        <f>F90+700</f>
        <v>2180</v>
      </c>
      <c r="G940" s="110" t="s">
        <v>4560</v>
      </c>
      <c r="H940" s="48" t="s">
        <v>4556</v>
      </c>
      <c r="I940" s="38" t="s">
        <v>4540</v>
      </c>
      <c r="J940" s="30"/>
      <c r="K940" s="38">
        <v>33</v>
      </c>
      <c r="L940" s="116" t="s">
        <v>4539</v>
      </c>
      <c r="M940" s="15">
        <v>43084</v>
      </c>
      <c r="N940" s="15">
        <v>43100</v>
      </c>
      <c r="O940" s="59" t="s">
        <v>4559</v>
      </c>
      <c r="P940" s="61"/>
      <c r="Q940" s="61"/>
      <c r="R940" s="239"/>
      <c r="S940" s="336" t="s">
        <v>4558</v>
      </c>
      <c r="T940" s="722"/>
      <c r="U940" s="42"/>
      <c r="AE940" s="115"/>
      <c r="AF940" s="115"/>
      <c r="AG940" s="115"/>
      <c r="AH940" s="115"/>
      <c r="AI940" s="115"/>
      <c r="AJ940" s="115"/>
      <c r="AK940" s="115"/>
      <c r="AL940" s="115"/>
      <c r="AM940" s="115"/>
      <c r="AN940" s="115"/>
      <c r="AO940" s="115"/>
      <c r="AP940" s="115"/>
      <c r="AQ940" s="115"/>
      <c r="AR940" s="115"/>
      <c r="AS940" s="115"/>
      <c r="AT940" s="115"/>
      <c r="AU940" s="115"/>
      <c r="AV940" s="115"/>
      <c r="AW940" s="115"/>
      <c r="AX940" s="115"/>
      <c r="AY940" s="115"/>
      <c r="AZ940" s="115"/>
      <c r="BA940" s="115"/>
      <c r="BB940" s="115"/>
      <c r="BC940" s="115"/>
      <c r="BD940" s="115"/>
      <c r="BE940" s="115"/>
      <c r="BF940" s="115"/>
      <c r="BG940" s="115"/>
      <c r="BH940" s="115"/>
      <c r="BI940" s="115"/>
      <c r="BJ940" s="115"/>
      <c r="BK940" s="115"/>
      <c r="BL940" s="115"/>
      <c r="BM940" s="115"/>
      <c r="BN940" s="115"/>
      <c r="BO940" s="115"/>
      <c r="BP940" s="115"/>
    </row>
    <row r="941" spans="1:68" ht="20.100000000000001" customHeight="1">
      <c r="A941" s="1228" t="s">
        <v>4582</v>
      </c>
      <c r="B941" s="1228" t="s">
        <v>4826</v>
      </c>
      <c r="C941" s="1228" t="s">
        <v>4832</v>
      </c>
      <c r="D941" s="195">
        <f>D11+550</f>
        <v>1300</v>
      </c>
      <c r="E941" s="195">
        <f>E11+850</f>
        <v>2250</v>
      </c>
      <c r="F941" s="195">
        <f>F11+850</f>
        <v>2250</v>
      </c>
      <c r="G941" s="217" t="s">
        <v>4557</v>
      </c>
      <c r="H941" s="69" t="s">
        <v>4556</v>
      </c>
      <c r="I941" s="38" t="s">
        <v>4595</v>
      </c>
      <c r="J941" s="30"/>
      <c r="K941" s="38"/>
      <c r="L941" s="116" t="s">
        <v>4539</v>
      </c>
      <c r="M941" s="6">
        <v>43084</v>
      </c>
      <c r="N941" s="6">
        <v>43100</v>
      </c>
      <c r="O941" s="61" t="s">
        <v>4555</v>
      </c>
      <c r="P941" s="61"/>
      <c r="Q941" s="7"/>
      <c r="R941" s="239" t="s">
        <v>4554</v>
      </c>
      <c r="S941" s="326" t="s">
        <v>4543</v>
      </c>
      <c r="T941" s="722"/>
      <c r="U941" s="42"/>
      <c r="AE941" s="115"/>
      <c r="AF941" s="115"/>
      <c r="AG941" s="115"/>
      <c r="AH941" s="115"/>
      <c r="AI941" s="115"/>
      <c r="AJ941" s="115"/>
      <c r="AK941" s="115"/>
      <c r="AL941" s="115"/>
      <c r="AM941" s="115"/>
      <c r="AN941" s="115"/>
      <c r="AO941" s="115"/>
      <c r="AP941" s="115"/>
      <c r="AQ941" s="115"/>
      <c r="AR941" s="115"/>
      <c r="AS941" s="115"/>
      <c r="AT941" s="115"/>
      <c r="AU941" s="115"/>
      <c r="AV941" s="115"/>
      <c r="AW941" s="115"/>
      <c r="AX941" s="115"/>
      <c r="AY941" s="115"/>
      <c r="AZ941" s="115"/>
      <c r="BA941" s="115"/>
      <c r="BB941" s="115"/>
      <c r="BC941" s="115"/>
      <c r="BD941" s="115"/>
      <c r="BE941" s="115"/>
      <c r="BF941" s="115"/>
      <c r="BG941" s="115"/>
      <c r="BH941" s="115"/>
      <c r="BI941" s="115"/>
      <c r="BJ941" s="115"/>
      <c r="BK941" s="115"/>
      <c r="BL941" s="115"/>
      <c r="BM941" s="115"/>
      <c r="BN941" s="115"/>
      <c r="BO941" s="115"/>
      <c r="BP941" s="115"/>
    </row>
    <row r="942" spans="1:68" ht="20.100000000000001" customHeight="1">
      <c r="A942" s="1228" t="s">
        <v>4582</v>
      </c>
      <c r="B942" s="1228" t="s">
        <v>4826</v>
      </c>
      <c r="C942" s="1228" t="s">
        <v>4832</v>
      </c>
      <c r="D942" s="195">
        <f>D120+100</f>
        <v>1000</v>
      </c>
      <c r="E942" s="195">
        <f>E120+175</f>
        <v>1775</v>
      </c>
      <c r="F942" s="195">
        <f>F120+175</f>
        <v>1825</v>
      </c>
      <c r="G942" s="110" t="s">
        <v>4553</v>
      </c>
      <c r="H942" s="56" t="s">
        <v>4552</v>
      </c>
      <c r="I942" s="38" t="s">
        <v>4639</v>
      </c>
      <c r="J942" s="30"/>
      <c r="K942" s="38">
        <v>35</v>
      </c>
      <c r="L942" s="116" t="s">
        <v>4539</v>
      </c>
      <c r="M942" s="6">
        <v>43085</v>
      </c>
      <c r="N942" s="6">
        <v>43100</v>
      </c>
      <c r="O942" s="61" t="s">
        <v>4827</v>
      </c>
      <c r="P942" s="61"/>
      <c r="Q942" s="61"/>
      <c r="R942" s="239"/>
      <c r="S942" s="328" t="s">
        <v>4543</v>
      </c>
      <c r="T942" s="722"/>
      <c r="U942" s="42"/>
      <c r="AE942" s="115"/>
      <c r="AF942" s="115"/>
      <c r="AG942" s="115"/>
      <c r="AH942" s="115"/>
      <c r="AI942" s="115"/>
      <c r="AJ942" s="115"/>
      <c r="AK942" s="115"/>
      <c r="AL942" s="115"/>
      <c r="AM942" s="115"/>
      <c r="AN942" s="115"/>
      <c r="AO942" s="115"/>
      <c r="AP942" s="115"/>
      <c r="AQ942" s="115"/>
      <c r="AR942" s="115"/>
      <c r="AS942" s="115"/>
      <c r="AT942" s="115"/>
      <c r="AU942" s="115"/>
      <c r="AV942" s="115"/>
      <c r="AW942" s="115"/>
      <c r="AX942" s="115"/>
      <c r="AY942" s="115"/>
      <c r="AZ942" s="115"/>
      <c r="BA942" s="115"/>
      <c r="BB942" s="115"/>
      <c r="BC942" s="115"/>
      <c r="BD942" s="115"/>
      <c r="BE942" s="115"/>
      <c r="BF942" s="115"/>
      <c r="BG942" s="115"/>
      <c r="BH942" s="115"/>
      <c r="BI942" s="115"/>
      <c r="BJ942" s="115"/>
      <c r="BK942" s="115"/>
      <c r="BL942" s="115"/>
      <c r="BM942" s="115"/>
      <c r="BN942" s="115"/>
      <c r="BO942" s="115"/>
      <c r="BP942" s="115"/>
    </row>
    <row r="943" spans="1:68" ht="20.100000000000001" customHeight="1">
      <c r="A943" s="1228" t="s">
        <v>4582</v>
      </c>
      <c r="B943" s="1228" t="s">
        <v>4826</v>
      </c>
      <c r="C943" s="1228" t="s">
        <v>4832</v>
      </c>
      <c r="D943" s="195">
        <f>D19+425+25</f>
        <v>1225</v>
      </c>
      <c r="E943" s="195">
        <f>E19+600+50</f>
        <v>2100</v>
      </c>
      <c r="F943" s="195">
        <f>F19+600+50</f>
        <v>2150</v>
      </c>
      <c r="G943" s="12" t="s">
        <v>4542</v>
      </c>
      <c r="H943" s="69" t="s">
        <v>4541</v>
      </c>
      <c r="I943" s="38" t="s">
        <v>4595</v>
      </c>
      <c r="J943" s="140"/>
      <c r="K943" s="38"/>
      <c r="L943" s="116" t="s">
        <v>4539</v>
      </c>
      <c r="M943" s="15">
        <v>43084</v>
      </c>
      <c r="N943" s="15">
        <v>43100</v>
      </c>
      <c r="O943" s="61" t="s">
        <v>4538</v>
      </c>
      <c r="P943" s="61"/>
      <c r="Q943" s="61"/>
      <c r="R943" s="239"/>
      <c r="S943" s="326" t="s">
        <v>4537</v>
      </c>
      <c r="T943" s="722"/>
      <c r="U943" s="42"/>
      <c r="AE943" s="115"/>
      <c r="AF943" s="115"/>
      <c r="AG943" s="115"/>
      <c r="AH943" s="115"/>
      <c r="AI943" s="115"/>
      <c r="AJ943" s="115"/>
      <c r="AK943" s="115"/>
      <c r="AL943" s="115"/>
      <c r="AM943" s="115"/>
      <c r="AN943" s="115"/>
      <c r="AO943" s="115"/>
      <c r="AP943" s="115"/>
      <c r="AQ943" s="115"/>
      <c r="AR943" s="115"/>
      <c r="AS943" s="115"/>
      <c r="AT943" s="115"/>
      <c r="AU943" s="115"/>
      <c r="AV943" s="115"/>
      <c r="AW943" s="115"/>
      <c r="AX943" s="115"/>
      <c r="AY943" s="115"/>
      <c r="AZ943" s="115"/>
      <c r="BA943" s="115"/>
      <c r="BB943" s="115"/>
      <c r="BC943" s="115"/>
      <c r="BD943" s="115"/>
      <c r="BE943" s="115"/>
      <c r="BF943" s="115"/>
      <c r="BG943" s="115"/>
      <c r="BH943" s="115"/>
      <c r="BI943" s="115"/>
      <c r="BJ943" s="115"/>
      <c r="BK943" s="115"/>
      <c r="BL943" s="115"/>
      <c r="BM943" s="115"/>
      <c r="BN943" s="115"/>
      <c r="BO943" s="115"/>
      <c r="BP943" s="115"/>
    </row>
    <row r="944" spans="1:68" ht="20.100000000000001" customHeight="1">
      <c r="A944" s="1228" t="s">
        <v>4582</v>
      </c>
      <c r="B944" s="1228" t="s">
        <v>4826</v>
      </c>
      <c r="C944" s="1228" t="s">
        <v>4832</v>
      </c>
      <c r="D944" s="195">
        <f>D65+200</f>
        <v>1000</v>
      </c>
      <c r="E944" s="195">
        <f>E65+400</f>
        <v>1900</v>
      </c>
      <c r="F944" s="195">
        <f>F65+400</f>
        <v>1950</v>
      </c>
      <c r="G944" s="12" t="s">
        <v>4645</v>
      </c>
      <c r="H944" s="48" t="s">
        <v>4556</v>
      </c>
      <c r="I944" s="38" t="s">
        <v>4540</v>
      </c>
      <c r="J944" s="30"/>
      <c r="K944" s="38" t="s">
        <v>4831</v>
      </c>
      <c r="L944" s="116" t="s">
        <v>4539</v>
      </c>
      <c r="M944" s="6">
        <v>43084</v>
      </c>
      <c r="N944" s="6">
        <v>43100</v>
      </c>
      <c r="O944" s="61" t="s">
        <v>4643</v>
      </c>
      <c r="P944" s="61"/>
      <c r="Q944" s="61"/>
      <c r="R944" s="239"/>
      <c r="S944" s="326" t="s">
        <v>4641</v>
      </c>
      <c r="T944" s="722"/>
      <c r="U944" s="42"/>
      <c r="AE944" s="115"/>
      <c r="AF944" s="115"/>
      <c r="AG944" s="115"/>
      <c r="AH944" s="115"/>
      <c r="AI944" s="115"/>
      <c r="AJ944" s="115"/>
      <c r="AK944" s="115"/>
      <c r="AL944" s="115"/>
      <c r="AM944" s="115"/>
      <c r="AN944" s="115"/>
      <c r="AO944" s="115"/>
      <c r="AP944" s="115"/>
      <c r="AQ944" s="115"/>
      <c r="AR944" s="115"/>
      <c r="AS944" s="115"/>
      <c r="AT944" s="115"/>
      <c r="AU944" s="115"/>
      <c r="AV944" s="115"/>
      <c r="AW944" s="115"/>
      <c r="AX944" s="115"/>
      <c r="AY944" s="115"/>
      <c r="AZ944" s="115"/>
      <c r="BA944" s="115"/>
      <c r="BB944" s="115"/>
      <c r="BC944" s="115"/>
      <c r="BD944" s="115"/>
      <c r="BE944" s="115"/>
      <c r="BF944" s="115"/>
      <c r="BG944" s="115"/>
      <c r="BH944" s="115"/>
      <c r="BI944" s="115"/>
      <c r="BJ944" s="115"/>
      <c r="BK944" s="115"/>
      <c r="BL944" s="115"/>
      <c r="BM944" s="115"/>
      <c r="BN944" s="115"/>
      <c r="BO944" s="115"/>
      <c r="BP944" s="115"/>
    </row>
    <row r="945" spans="1:68" ht="20.100000000000001" customHeight="1">
      <c r="A945" s="908" t="s">
        <v>4536</v>
      </c>
      <c r="B945" s="908" t="s">
        <v>4826</v>
      </c>
      <c r="C945" s="907" t="s">
        <v>4830</v>
      </c>
      <c r="D945" s="273">
        <f>D211+1000+25</f>
        <v>1750</v>
      </c>
      <c r="E945" s="273">
        <f>E211+1200+50</f>
        <v>2600</v>
      </c>
      <c r="F945" s="273">
        <f>F211+1200+50</f>
        <v>2650</v>
      </c>
      <c r="G945" s="110" t="s">
        <v>4566</v>
      </c>
      <c r="H945" s="69" t="s">
        <v>4556</v>
      </c>
      <c r="I945" s="38" t="s">
        <v>4595</v>
      </c>
      <c r="J945" s="30"/>
      <c r="K945" s="38"/>
      <c r="L945" s="116" t="s">
        <v>4539</v>
      </c>
      <c r="M945" s="15">
        <v>43084</v>
      </c>
      <c r="N945" s="15">
        <v>43100</v>
      </c>
      <c r="O945" s="59" t="s">
        <v>4674</v>
      </c>
      <c r="P945" s="61"/>
      <c r="Q945" s="61"/>
      <c r="R945" s="239"/>
      <c r="S945" s="327" t="s">
        <v>4561</v>
      </c>
      <c r="T945" s="722"/>
      <c r="U945" s="42"/>
      <c r="AE945" s="115"/>
      <c r="AF945" s="115"/>
      <c r="AG945" s="115"/>
      <c r="AH945" s="115"/>
      <c r="AI945" s="115"/>
      <c r="AJ945" s="115"/>
      <c r="AK945" s="115"/>
      <c r="AL945" s="115"/>
      <c r="AM945" s="115"/>
      <c r="AN945" s="115"/>
      <c r="AO945" s="115"/>
      <c r="AP945" s="115"/>
      <c r="AQ945" s="115"/>
      <c r="AR945" s="115"/>
      <c r="AS945" s="115"/>
      <c r="AT945" s="115"/>
      <c r="AU945" s="115"/>
      <c r="AV945" s="115"/>
      <c r="AW945" s="115"/>
      <c r="AX945" s="115"/>
      <c r="AY945" s="115"/>
      <c r="AZ945" s="115"/>
      <c r="BA945" s="115"/>
      <c r="BB945" s="115"/>
      <c r="BC945" s="115"/>
      <c r="BD945" s="115"/>
      <c r="BE945" s="115"/>
      <c r="BF945" s="115"/>
      <c r="BG945" s="115"/>
      <c r="BH945" s="115"/>
      <c r="BI945" s="115"/>
      <c r="BJ945" s="115"/>
      <c r="BK945" s="115"/>
      <c r="BL945" s="115"/>
      <c r="BM945" s="115"/>
      <c r="BN945" s="115"/>
      <c r="BO945" s="115"/>
      <c r="BP945" s="115"/>
    </row>
    <row r="946" spans="1:68" ht="20.100000000000001" customHeight="1">
      <c r="A946" s="1229" t="s">
        <v>4536</v>
      </c>
      <c r="B946" s="1229" t="s">
        <v>4826</v>
      </c>
      <c r="C946" s="1229" t="s">
        <v>4828</v>
      </c>
      <c r="D946" s="345">
        <f>D77+750+25</f>
        <v>1625</v>
      </c>
      <c r="E946" s="345">
        <f>E77+1000+50</f>
        <v>2650</v>
      </c>
      <c r="F946" s="345">
        <f>F77+1000+50</f>
        <v>2700</v>
      </c>
      <c r="G946" s="217" t="s">
        <v>4572</v>
      </c>
      <c r="H946" s="56" t="s">
        <v>4541</v>
      </c>
      <c r="I946" s="20" t="s">
        <v>4540</v>
      </c>
      <c r="J946" s="30"/>
      <c r="K946" s="38"/>
      <c r="L946" s="116" t="s">
        <v>4539</v>
      </c>
      <c r="M946" s="15">
        <v>43070</v>
      </c>
      <c r="N946" s="15">
        <v>43100</v>
      </c>
      <c r="O946" s="61" t="s">
        <v>4824</v>
      </c>
      <c r="P946" s="61"/>
      <c r="Q946" s="14"/>
      <c r="R946" s="239"/>
      <c r="S946" s="327" t="s">
        <v>4570</v>
      </c>
      <c r="T946" s="722"/>
      <c r="U946" s="42"/>
      <c r="AE946" s="115"/>
      <c r="AF946" s="115"/>
      <c r="AG946" s="115"/>
      <c r="AH946" s="115"/>
      <c r="AI946" s="115"/>
      <c r="AJ946" s="115"/>
      <c r="AK946" s="115"/>
      <c r="AL946" s="115"/>
      <c r="AM946" s="115"/>
      <c r="AN946" s="115"/>
      <c r="AO946" s="115"/>
      <c r="AP946" s="115"/>
      <c r="AQ946" s="115"/>
      <c r="AR946" s="115"/>
      <c r="AS946" s="115"/>
      <c r="AT946" s="115"/>
      <c r="AU946" s="115"/>
      <c r="AV946" s="115"/>
      <c r="AW946" s="115"/>
      <c r="AX946" s="115"/>
      <c r="AY946" s="115"/>
      <c r="AZ946" s="115"/>
      <c r="BA946" s="115"/>
      <c r="BB946" s="115"/>
      <c r="BC946" s="115"/>
      <c r="BD946" s="115"/>
      <c r="BE946" s="115"/>
      <c r="BF946" s="115"/>
      <c r="BG946" s="115"/>
      <c r="BH946" s="115"/>
      <c r="BI946" s="115"/>
      <c r="BJ946" s="115"/>
      <c r="BK946" s="115"/>
      <c r="BL946" s="115"/>
      <c r="BM946" s="115"/>
      <c r="BN946" s="115"/>
      <c r="BO946" s="115"/>
      <c r="BP946" s="115"/>
    </row>
    <row r="947" spans="1:68" ht="20.100000000000001" customHeight="1">
      <c r="A947" s="1229" t="s">
        <v>4536</v>
      </c>
      <c r="B947" s="1229" t="s">
        <v>4826</v>
      </c>
      <c r="C947" s="1229" t="s">
        <v>4828</v>
      </c>
      <c r="D947" s="196">
        <f>D97+750</f>
        <v>1625</v>
      </c>
      <c r="E947" s="196">
        <f>E97+1200</f>
        <v>2750</v>
      </c>
      <c r="F947" s="196">
        <f>F97+1200</f>
        <v>2800</v>
      </c>
      <c r="G947" s="217" t="s">
        <v>4575</v>
      </c>
      <c r="H947" s="56" t="s">
        <v>4675</v>
      </c>
      <c r="I947" s="38" t="s">
        <v>4540</v>
      </c>
      <c r="J947" s="30"/>
      <c r="K947" s="38"/>
      <c r="L947" s="116" t="s">
        <v>4539</v>
      </c>
      <c r="M947" s="15">
        <v>43084</v>
      </c>
      <c r="N947" s="15">
        <v>43100</v>
      </c>
      <c r="O947" s="61" t="s">
        <v>4573</v>
      </c>
      <c r="P947" s="61"/>
      <c r="Q947" s="61"/>
      <c r="R947" s="239"/>
      <c r="S947" s="328" t="s">
        <v>4543</v>
      </c>
      <c r="T947" s="722"/>
      <c r="U947" s="42"/>
      <c r="AE947" s="115"/>
      <c r="AF947" s="115"/>
      <c r="AG947" s="115"/>
      <c r="AH947" s="115"/>
      <c r="AI947" s="115"/>
      <c r="AJ947" s="115"/>
      <c r="AK947" s="115"/>
      <c r="AL947" s="115"/>
      <c r="AM947" s="115"/>
      <c r="AN947" s="115"/>
      <c r="AO947" s="115"/>
      <c r="AP947" s="115"/>
      <c r="AQ947" s="115"/>
      <c r="AR947" s="115"/>
      <c r="AS947" s="115"/>
      <c r="AT947" s="115"/>
      <c r="AU947" s="115"/>
      <c r="AV947" s="115"/>
      <c r="AW947" s="115"/>
      <c r="AX947" s="115"/>
      <c r="AY947" s="115"/>
      <c r="AZ947" s="115"/>
      <c r="BA947" s="115"/>
      <c r="BB947" s="115"/>
      <c r="BC947" s="115"/>
      <c r="BD947" s="115"/>
      <c r="BE947" s="115"/>
      <c r="BF947" s="115"/>
      <c r="BG947" s="115"/>
      <c r="BH947" s="115"/>
      <c r="BI947" s="115"/>
      <c r="BJ947" s="115"/>
      <c r="BK947" s="115"/>
      <c r="BL947" s="115"/>
      <c r="BM947" s="115"/>
      <c r="BN947" s="115"/>
      <c r="BO947" s="115"/>
      <c r="BP947" s="115"/>
    </row>
    <row r="948" spans="1:68" ht="20.100000000000001" customHeight="1">
      <c r="A948" s="1229" t="s">
        <v>4536</v>
      </c>
      <c r="B948" s="1229" t="s">
        <v>4826</v>
      </c>
      <c r="C948" s="1229" t="s">
        <v>4828</v>
      </c>
      <c r="D948" s="201">
        <f>D13+725+25</f>
        <v>1500</v>
      </c>
      <c r="E948" s="201">
        <f>E13+1100+50</f>
        <v>2550</v>
      </c>
      <c r="F948" s="201">
        <f>F13+1100+50</f>
        <v>2600</v>
      </c>
      <c r="G948" s="110" t="s">
        <v>4636</v>
      </c>
      <c r="H948" s="36" t="s">
        <v>4635</v>
      </c>
      <c r="I948" s="38" t="s">
        <v>4595</v>
      </c>
      <c r="J948" s="30"/>
      <c r="K948" s="38" t="s">
        <v>4829</v>
      </c>
      <c r="L948" s="116" t="s">
        <v>4539</v>
      </c>
      <c r="M948" s="6">
        <v>43084</v>
      </c>
      <c r="N948" s="6">
        <v>43100</v>
      </c>
      <c r="O948" s="61" t="s">
        <v>4633</v>
      </c>
      <c r="P948" s="61"/>
      <c r="Q948" s="61"/>
      <c r="R948" s="239"/>
      <c r="S948" s="327" t="s">
        <v>4632</v>
      </c>
      <c r="T948" s="722"/>
      <c r="U948" s="42"/>
      <c r="AE948" s="115"/>
      <c r="AF948" s="115"/>
      <c r="AG948" s="115"/>
      <c r="AH948" s="115"/>
      <c r="AI948" s="115"/>
      <c r="AJ948" s="115"/>
      <c r="AK948" s="115"/>
      <c r="AL948" s="115"/>
      <c r="AM948" s="115"/>
      <c r="AN948" s="115"/>
      <c r="AO948" s="115"/>
      <c r="AP948" s="115"/>
      <c r="AQ948" s="115"/>
      <c r="AR948" s="115"/>
      <c r="AS948" s="115"/>
      <c r="AT948" s="115"/>
      <c r="AU948" s="115"/>
      <c r="AV948" s="115"/>
      <c r="AW948" s="115"/>
      <c r="AX948" s="115"/>
      <c r="AY948" s="115"/>
      <c r="AZ948" s="115"/>
      <c r="BA948" s="115"/>
      <c r="BB948" s="115"/>
      <c r="BC948" s="115"/>
      <c r="BD948" s="115"/>
      <c r="BE948" s="115"/>
      <c r="BF948" s="115"/>
      <c r="BG948" s="115"/>
      <c r="BH948" s="115"/>
      <c r="BI948" s="115"/>
      <c r="BJ948" s="115"/>
      <c r="BK948" s="115"/>
      <c r="BL948" s="115"/>
      <c r="BM948" s="115"/>
      <c r="BN948" s="115"/>
      <c r="BO948" s="115"/>
      <c r="BP948" s="115"/>
    </row>
    <row r="949" spans="1:68" ht="20.100000000000001" customHeight="1">
      <c r="A949" s="1229" t="s">
        <v>4536</v>
      </c>
      <c r="B949" s="1229" t="s">
        <v>4826</v>
      </c>
      <c r="C949" s="1229" t="s">
        <v>4828</v>
      </c>
      <c r="D949" s="273">
        <f>D211+300+25</f>
        <v>1050</v>
      </c>
      <c r="E949" s="273">
        <f>E211+600+50</f>
        <v>2000</v>
      </c>
      <c r="F949" s="273">
        <f>F211+600+50</f>
        <v>2050</v>
      </c>
      <c r="G949" s="110" t="s">
        <v>4566</v>
      </c>
      <c r="H949" s="36" t="s">
        <v>4556</v>
      </c>
      <c r="I949" s="38" t="s">
        <v>4595</v>
      </c>
      <c r="J949" s="30"/>
      <c r="K949" s="38"/>
      <c r="L949" s="116" t="s">
        <v>4539</v>
      </c>
      <c r="M949" s="15">
        <v>43084</v>
      </c>
      <c r="N949" s="15">
        <v>43100</v>
      </c>
      <c r="O949" s="59" t="s">
        <v>4674</v>
      </c>
      <c r="P949" s="61"/>
      <c r="Q949" s="61"/>
      <c r="R949" s="239"/>
      <c r="S949" s="327" t="s">
        <v>4561</v>
      </c>
      <c r="T949" s="722"/>
      <c r="U949" s="42"/>
      <c r="AE949" s="115"/>
      <c r="AF949" s="115"/>
      <c r="AG949" s="115"/>
      <c r="AH949" s="115"/>
      <c r="AI949" s="115"/>
      <c r="AJ949" s="115"/>
      <c r="AK949" s="115"/>
      <c r="AL949" s="115"/>
      <c r="AM949" s="115"/>
      <c r="AN949" s="115"/>
      <c r="AO949" s="115"/>
      <c r="AP949" s="115"/>
      <c r="AQ949" s="115"/>
      <c r="AR949" s="115"/>
      <c r="AS949" s="115"/>
      <c r="AT949" s="115"/>
      <c r="AU949" s="115"/>
      <c r="AV949" s="115"/>
      <c r="AW949" s="115"/>
      <c r="AX949" s="115"/>
      <c r="AY949" s="115"/>
      <c r="AZ949" s="115"/>
      <c r="BA949" s="115"/>
      <c r="BB949" s="115"/>
      <c r="BC949" s="115"/>
      <c r="BD949" s="115"/>
      <c r="BE949" s="115"/>
      <c r="BF949" s="115"/>
      <c r="BG949" s="115"/>
      <c r="BH949" s="115"/>
      <c r="BI949" s="115"/>
      <c r="BJ949" s="115"/>
      <c r="BK949" s="115"/>
      <c r="BL949" s="115"/>
      <c r="BM949" s="115"/>
      <c r="BN949" s="115"/>
      <c r="BO949" s="115"/>
      <c r="BP949" s="115"/>
    </row>
    <row r="950" spans="1:68" ht="20.100000000000001" customHeight="1">
      <c r="A950" s="1229" t="s">
        <v>4536</v>
      </c>
      <c r="B950" s="1229" t="s">
        <v>4826</v>
      </c>
      <c r="C950" s="1229" t="s">
        <v>4828</v>
      </c>
      <c r="D950" s="195">
        <f>D10+1600</f>
        <v>2365</v>
      </c>
      <c r="E950" s="195">
        <f>E10+1500</f>
        <v>2930</v>
      </c>
      <c r="F950" s="195">
        <f>F10+1500</f>
        <v>2980</v>
      </c>
      <c r="G950" s="110" t="s">
        <v>4560</v>
      </c>
      <c r="H950" s="56" t="s">
        <v>4556</v>
      </c>
      <c r="I950" s="38" t="s">
        <v>4595</v>
      </c>
      <c r="J950" s="30"/>
      <c r="K950" s="38"/>
      <c r="L950" s="116" t="s">
        <v>4539</v>
      </c>
      <c r="M950" s="15">
        <v>43084</v>
      </c>
      <c r="N950" s="15">
        <v>43100</v>
      </c>
      <c r="O950" s="59" t="s">
        <v>4559</v>
      </c>
      <c r="P950" s="61"/>
      <c r="Q950" s="61"/>
      <c r="R950" s="239"/>
      <c r="S950" s="336" t="s">
        <v>4558</v>
      </c>
      <c r="T950" s="722"/>
      <c r="U950" s="42"/>
      <c r="AE950" s="233"/>
      <c r="AF950" s="233"/>
      <c r="AG950" s="233"/>
      <c r="AH950" s="233"/>
      <c r="AI950" s="233"/>
      <c r="AJ950" s="233"/>
      <c r="AK950" s="233"/>
      <c r="AL950" s="233"/>
      <c r="AM950" s="233"/>
      <c r="AN950" s="233"/>
      <c r="AO950" s="233"/>
      <c r="AP950" s="233"/>
      <c r="AQ950" s="233"/>
      <c r="AR950" s="233"/>
      <c r="AS950" s="233"/>
      <c r="AT950" s="233"/>
      <c r="AU950" s="233"/>
      <c r="AV950" s="233"/>
      <c r="AW950" s="233"/>
      <c r="AX950" s="233"/>
      <c r="AY950" s="233"/>
      <c r="AZ950" s="233"/>
      <c r="BA950" s="233"/>
      <c r="BB950" s="233"/>
      <c r="BC950" s="233"/>
      <c r="BD950" s="233"/>
      <c r="BE950" s="233"/>
      <c r="BF950" s="233"/>
      <c r="BG950" s="233"/>
      <c r="BH950" s="233"/>
      <c r="BI950" s="233"/>
      <c r="BJ950" s="233"/>
      <c r="BK950" s="233"/>
      <c r="BL950" s="233"/>
      <c r="BM950" s="233"/>
      <c r="BN950" s="233"/>
      <c r="BO950" s="233"/>
      <c r="BP950" s="233"/>
    </row>
    <row r="951" spans="1:68" ht="20.100000000000001" customHeight="1">
      <c r="A951" s="1229" t="s">
        <v>4536</v>
      </c>
      <c r="B951" s="1229" t="s">
        <v>4826</v>
      </c>
      <c r="C951" s="1229" t="s">
        <v>4828</v>
      </c>
      <c r="D951" s="195">
        <f>D19+1675+25</f>
        <v>2475</v>
      </c>
      <c r="E951" s="195">
        <f>E19+2550+50</f>
        <v>4050</v>
      </c>
      <c r="F951" s="195">
        <f>F19+2550+50</f>
        <v>4100</v>
      </c>
      <c r="G951" s="12" t="s">
        <v>4542</v>
      </c>
      <c r="H951" s="36" t="s">
        <v>4541</v>
      </c>
      <c r="I951" s="38" t="s">
        <v>4595</v>
      </c>
      <c r="J951" s="140"/>
      <c r="K951" s="38"/>
      <c r="L951" s="116" t="s">
        <v>4539</v>
      </c>
      <c r="M951" s="15">
        <v>43084</v>
      </c>
      <c r="N951" s="15">
        <v>43100</v>
      </c>
      <c r="O951" s="61" t="s">
        <v>4538</v>
      </c>
      <c r="P951" s="61"/>
      <c r="Q951" s="61"/>
      <c r="R951" s="239"/>
      <c r="S951" s="326" t="s">
        <v>4537</v>
      </c>
      <c r="T951" s="722"/>
      <c r="U951" s="42"/>
      <c r="AE951" s="115"/>
      <c r="AF951" s="115"/>
      <c r="AG951" s="115"/>
      <c r="AH951" s="115"/>
      <c r="AI951" s="115"/>
      <c r="AJ951" s="115"/>
      <c r="AK951" s="115"/>
      <c r="AL951" s="115"/>
      <c r="AM951" s="115"/>
      <c r="AN951" s="115"/>
      <c r="AO951" s="115"/>
      <c r="AP951" s="115"/>
      <c r="AQ951" s="115"/>
      <c r="AR951" s="115"/>
      <c r="AS951" s="115"/>
      <c r="AT951" s="115"/>
      <c r="AU951" s="115"/>
      <c r="AV951" s="115"/>
      <c r="AW951" s="115"/>
      <c r="AX951" s="115"/>
      <c r="AY951" s="115"/>
      <c r="AZ951" s="115"/>
      <c r="BA951" s="115"/>
      <c r="BB951" s="115"/>
      <c r="BC951" s="115"/>
      <c r="BD951" s="115"/>
      <c r="BE951" s="115"/>
      <c r="BF951" s="115"/>
      <c r="BG951" s="115"/>
      <c r="BH951" s="115"/>
      <c r="BI951" s="115"/>
      <c r="BJ951" s="115"/>
      <c r="BK951" s="115"/>
      <c r="BL951" s="115"/>
      <c r="BM951" s="115"/>
      <c r="BN951" s="115"/>
      <c r="BO951" s="115"/>
      <c r="BP951" s="115"/>
    </row>
    <row r="952" spans="1:68" ht="20.100000000000001" customHeight="1">
      <c r="A952" s="1229" t="s">
        <v>4536</v>
      </c>
      <c r="B952" s="1229" t="s">
        <v>4826</v>
      </c>
      <c r="C952" s="1229" t="s">
        <v>4828</v>
      </c>
      <c r="D952" s="195">
        <f>D39+700</f>
        <v>1600</v>
      </c>
      <c r="E952" s="195">
        <f>E39+1085</f>
        <v>2685</v>
      </c>
      <c r="F952" s="195">
        <f>F39+1085</f>
        <v>2735</v>
      </c>
      <c r="G952" s="110" t="s">
        <v>4553</v>
      </c>
      <c r="H952" s="36" t="s">
        <v>4667</v>
      </c>
      <c r="I952" s="38" t="s">
        <v>4666</v>
      </c>
      <c r="J952" s="30"/>
      <c r="K952" s="38">
        <v>33</v>
      </c>
      <c r="L952" s="116" t="s">
        <v>4539</v>
      </c>
      <c r="M952" s="6">
        <v>43085</v>
      </c>
      <c r="N952" s="6">
        <v>43100</v>
      </c>
      <c r="O952" s="61" t="s">
        <v>4827</v>
      </c>
      <c r="P952" s="61"/>
      <c r="Q952" s="61"/>
      <c r="R952" s="239"/>
      <c r="S952" s="328" t="s">
        <v>4543</v>
      </c>
      <c r="T952" s="722"/>
      <c r="U952" s="42"/>
      <c r="AE952" s="115"/>
      <c r="AF952" s="115"/>
      <c r="AG952" s="115"/>
      <c r="AH952" s="115"/>
      <c r="AI952" s="115"/>
      <c r="AJ952" s="115"/>
      <c r="AK952" s="115"/>
      <c r="AL952" s="115"/>
      <c r="AM952" s="115"/>
      <c r="AN952" s="115"/>
      <c r="AO952" s="115"/>
      <c r="AP952" s="115"/>
      <c r="AQ952" s="115"/>
      <c r="AR952" s="115"/>
      <c r="AS952" s="115"/>
      <c r="AT952" s="115"/>
      <c r="AU952" s="115"/>
      <c r="AV952" s="115"/>
      <c r="AW952" s="115"/>
      <c r="AX952" s="115"/>
      <c r="AY952" s="115"/>
      <c r="AZ952" s="115"/>
      <c r="BA952" s="115"/>
      <c r="BB952" s="115"/>
      <c r="BC952" s="115"/>
      <c r="BD952" s="115"/>
      <c r="BE952" s="115"/>
      <c r="BF952" s="115"/>
      <c r="BG952" s="115"/>
      <c r="BH952" s="115"/>
      <c r="BI952" s="115"/>
      <c r="BJ952" s="115"/>
      <c r="BK952" s="115"/>
      <c r="BL952" s="115"/>
      <c r="BM952" s="115"/>
      <c r="BN952" s="115"/>
      <c r="BO952" s="115"/>
      <c r="BP952" s="115"/>
    </row>
    <row r="953" spans="1:68" ht="20.100000000000001" customHeight="1">
      <c r="A953" s="908" t="s">
        <v>4536</v>
      </c>
      <c r="B953" s="908" t="s">
        <v>4826</v>
      </c>
      <c r="C953" s="908" t="s">
        <v>4825</v>
      </c>
      <c r="D953" s="247">
        <f>D77+450+25</f>
        <v>1325</v>
      </c>
      <c r="E953" s="247">
        <f>E77+650+50</f>
        <v>2300</v>
      </c>
      <c r="F953" s="247">
        <f>F77+650+50</f>
        <v>2350</v>
      </c>
      <c r="G953" s="217" t="s">
        <v>4572</v>
      </c>
      <c r="H953" s="56" t="s">
        <v>4541</v>
      </c>
      <c r="I953" s="20" t="s">
        <v>4540</v>
      </c>
      <c r="J953" s="30"/>
      <c r="K953" s="38"/>
      <c r="L953" s="116" t="s">
        <v>4539</v>
      </c>
      <c r="M953" s="15">
        <v>43070</v>
      </c>
      <c r="N953" s="15">
        <v>43100</v>
      </c>
      <c r="O953" s="61" t="s">
        <v>4824</v>
      </c>
      <c r="P953" s="61"/>
      <c r="Q953" s="14" t="s">
        <v>4642</v>
      </c>
      <c r="R953" s="239"/>
      <c r="S953" s="327" t="s">
        <v>4570</v>
      </c>
      <c r="T953" s="722"/>
      <c r="U953" s="42"/>
      <c r="AE953" s="115"/>
      <c r="AF953" s="115"/>
      <c r="AG953" s="115"/>
      <c r="AH953" s="115"/>
      <c r="AI953" s="115"/>
      <c r="AJ953" s="115"/>
      <c r="AK953" s="115"/>
      <c r="AL953" s="115"/>
      <c r="AM953" s="115"/>
      <c r="AN953" s="115"/>
      <c r="AO953" s="115"/>
      <c r="AP953" s="115"/>
      <c r="AQ953" s="115"/>
      <c r="AR953" s="115"/>
      <c r="AS953" s="115"/>
      <c r="AT953" s="115"/>
      <c r="AU953" s="115"/>
      <c r="AV953" s="115"/>
      <c r="AW953" s="115"/>
      <c r="AX953" s="115"/>
      <c r="AY953" s="115"/>
      <c r="AZ953" s="115"/>
      <c r="BA953" s="115"/>
      <c r="BB953" s="115"/>
      <c r="BC953" s="115"/>
      <c r="BD953" s="115"/>
      <c r="BE953" s="115"/>
      <c r="BF953" s="115"/>
      <c r="BG953" s="115"/>
      <c r="BH953" s="115"/>
      <c r="BI953" s="115"/>
      <c r="BJ953" s="115"/>
      <c r="BK953" s="115"/>
      <c r="BL953" s="115"/>
      <c r="BM953" s="115"/>
      <c r="BN953" s="115"/>
      <c r="BO953" s="115"/>
      <c r="BP953" s="115"/>
    </row>
    <row r="954" spans="1:68" ht="20.100000000000001" customHeight="1">
      <c r="A954" s="1229" t="s">
        <v>4536</v>
      </c>
      <c r="B954" s="1229" t="s">
        <v>4799</v>
      </c>
      <c r="C954" s="1229" t="s">
        <v>4823</v>
      </c>
      <c r="D954" s="345">
        <f>D20+350+25</f>
        <v>1225</v>
      </c>
      <c r="E954" s="345">
        <f>E20+650+50</f>
        <v>2300</v>
      </c>
      <c r="F954" s="345">
        <f>F20+650+50</f>
        <v>2350</v>
      </c>
      <c r="G954" s="217" t="s">
        <v>4572</v>
      </c>
      <c r="H954" s="56" t="s">
        <v>4541</v>
      </c>
      <c r="I954" s="10" t="s">
        <v>4595</v>
      </c>
      <c r="J954" s="30"/>
      <c r="K954" s="38"/>
      <c r="L954" s="116" t="s">
        <v>4539</v>
      </c>
      <c r="M954" s="15">
        <v>43070</v>
      </c>
      <c r="N954" s="15">
        <v>43100</v>
      </c>
      <c r="O954" s="61" t="s">
        <v>4655</v>
      </c>
      <c r="P954" s="61"/>
      <c r="Q954" s="14" t="s">
        <v>4642</v>
      </c>
      <c r="R954" s="239"/>
      <c r="S954" s="327" t="s">
        <v>4570</v>
      </c>
      <c r="T954" s="722"/>
      <c r="U954" s="42"/>
      <c r="AE954" s="115"/>
      <c r="AF954" s="115"/>
      <c r="AG954" s="115"/>
      <c r="AH954" s="115"/>
      <c r="AI954" s="115"/>
      <c r="AJ954" s="115"/>
      <c r="AK954" s="115"/>
      <c r="AL954" s="115"/>
      <c r="AM954" s="115"/>
      <c r="AN954" s="115"/>
      <c r="AO954" s="115"/>
      <c r="AP954" s="115"/>
      <c r="AQ954" s="115"/>
      <c r="AR954" s="115"/>
      <c r="AS954" s="115"/>
      <c r="AT954" s="115"/>
      <c r="AU954" s="115"/>
      <c r="AV954" s="115"/>
      <c r="AW954" s="115"/>
      <c r="AX954" s="115"/>
      <c r="AY954" s="115"/>
      <c r="AZ954" s="115"/>
      <c r="BA954" s="115"/>
      <c r="BB954" s="115"/>
      <c r="BC954" s="115"/>
      <c r="BD954" s="115"/>
      <c r="BE954" s="115"/>
      <c r="BF954" s="115"/>
      <c r="BG954" s="115"/>
      <c r="BH954" s="115"/>
      <c r="BI954" s="115"/>
      <c r="BJ954" s="115"/>
      <c r="BK954" s="115"/>
      <c r="BL954" s="115"/>
      <c r="BM954" s="115"/>
      <c r="BN954" s="115"/>
      <c r="BO954" s="115"/>
      <c r="BP954" s="115"/>
    </row>
    <row r="955" spans="1:68" ht="20.100000000000001" customHeight="1">
      <c r="A955" s="1229" t="s">
        <v>4536</v>
      </c>
      <c r="B955" s="1229" t="s">
        <v>4799</v>
      </c>
      <c r="C955" s="1229" t="s">
        <v>4823</v>
      </c>
      <c r="D955" s="196">
        <f>D36+975</f>
        <v>1850</v>
      </c>
      <c r="E955" s="196">
        <f>E36+1470</f>
        <v>3020</v>
      </c>
      <c r="F955" s="196">
        <f>F36+1470</f>
        <v>3070</v>
      </c>
      <c r="G955" s="217" t="s">
        <v>4575</v>
      </c>
      <c r="H955" s="48" t="s">
        <v>4541</v>
      </c>
      <c r="I955" s="38" t="s">
        <v>4595</v>
      </c>
      <c r="J955" s="30"/>
      <c r="K955" s="38"/>
      <c r="L955" s="116" t="s">
        <v>4539</v>
      </c>
      <c r="M955" s="15">
        <v>43084</v>
      </c>
      <c r="N955" s="15">
        <v>43100</v>
      </c>
      <c r="O955" s="61" t="s">
        <v>4573</v>
      </c>
      <c r="P955" s="61"/>
      <c r="Q955" s="61"/>
      <c r="R955" s="239"/>
      <c r="S955" s="328" t="s">
        <v>4543</v>
      </c>
      <c r="T955" s="722"/>
      <c r="U955" s="42"/>
      <c r="AE955" s="115"/>
      <c r="AF955" s="115"/>
      <c r="AG955" s="115"/>
      <c r="AH955" s="115"/>
      <c r="AI955" s="115"/>
      <c r="AJ955" s="115"/>
      <c r="AK955" s="115"/>
      <c r="AL955" s="115"/>
      <c r="AM955" s="115"/>
      <c r="AN955" s="115"/>
      <c r="AO955" s="115"/>
      <c r="AP955" s="115"/>
      <c r="AQ955" s="115"/>
      <c r="AR955" s="115"/>
      <c r="AS955" s="115"/>
      <c r="AT955" s="115"/>
      <c r="AU955" s="115"/>
      <c r="AV955" s="115"/>
      <c r="AW955" s="115"/>
      <c r="AX955" s="115"/>
      <c r="AY955" s="115"/>
      <c r="AZ955" s="115"/>
      <c r="BA955" s="115"/>
      <c r="BB955" s="115"/>
      <c r="BC955" s="115"/>
      <c r="BD955" s="115"/>
      <c r="BE955" s="115"/>
      <c r="BF955" s="115"/>
      <c r="BG955" s="115"/>
      <c r="BH955" s="115"/>
      <c r="BI955" s="115"/>
      <c r="BJ955" s="115"/>
      <c r="BK955" s="115"/>
      <c r="BL955" s="115"/>
      <c r="BM955" s="115"/>
      <c r="BN955" s="115"/>
      <c r="BO955" s="115"/>
      <c r="BP955" s="115"/>
    </row>
    <row r="956" spans="1:68" ht="20.100000000000001" customHeight="1">
      <c r="A956" s="1229" t="s">
        <v>4536</v>
      </c>
      <c r="B956" s="1229" t="s">
        <v>4799</v>
      </c>
      <c r="C956" s="1229" t="s">
        <v>4823</v>
      </c>
      <c r="D956" s="196">
        <f>D19+715+25</f>
        <v>1515</v>
      </c>
      <c r="E956" s="196">
        <f>E19+1045+50</f>
        <v>2545</v>
      </c>
      <c r="F956" s="196">
        <f>F19+1045+50</f>
        <v>2595</v>
      </c>
      <c r="G956" s="12" t="s">
        <v>4542</v>
      </c>
      <c r="H956" s="69" t="s">
        <v>4541</v>
      </c>
      <c r="I956" s="38" t="s">
        <v>4595</v>
      </c>
      <c r="J956" s="140"/>
      <c r="K956" s="38"/>
      <c r="L956" s="116" t="s">
        <v>4539</v>
      </c>
      <c r="M956" s="15">
        <v>43084</v>
      </c>
      <c r="N956" s="15">
        <v>43100</v>
      </c>
      <c r="O956" s="61" t="s">
        <v>4538</v>
      </c>
      <c r="P956" s="61"/>
      <c r="Q956" s="61"/>
      <c r="R956" s="239"/>
      <c r="S956" s="326" t="s">
        <v>4537</v>
      </c>
      <c r="T956" s="722"/>
      <c r="U956" s="42"/>
      <c r="AE956" s="115"/>
      <c r="AF956" s="115"/>
      <c r="AG956" s="115"/>
      <c r="AH956" s="115"/>
      <c r="AI956" s="115"/>
      <c r="AJ956" s="115"/>
      <c r="AK956" s="115"/>
      <c r="AL956" s="115"/>
      <c r="AM956" s="115"/>
      <c r="AN956" s="115"/>
      <c r="AO956" s="115"/>
      <c r="AP956" s="115"/>
      <c r="AQ956" s="115"/>
      <c r="AR956" s="115"/>
      <c r="AS956" s="115"/>
      <c r="AT956" s="115"/>
      <c r="AU956" s="115"/>
      <c r="AV956" s="115"/>
      <c r="AW956" s="115"/>
      <c r="AX956" s="115"/>
      <c r="AY956" s="115"/>
      <c r="AZ956" s="115"/>
      <c r="BA956" s="115"/>
      <c r="BB956" s="115"/>
      <c r="BC956" s="115"/>
      <c r="BD956" s="115"/>
      <c r="BE956" s="115"/>
      <c r="BF956" s="115"/>
      <c r="BG956" s="115"/>
      <c r="BH956" s="115"/>
      <c r="BI956" s="115"/>
      <c r="BJ956" s="115"/>
      <c r="BK956" s="115"/>
      <c r="BL956" s="115"/>
      <c r="BM956" s="115"/>
      <c r="BN956" s="115"/>
      <c r="BO956" s="115"/>
      <c r="BP956" s="115"/>
    </row>
    <row r="957" spans="1:68" ht="20.100000000000001" customHeight="1">
      <c r="A957" s="1229" t="s">
        <v>4536</v>
      </c>
      <c r="B957" s="1229" t="s">
        <v>4799</v>
      </c>
      <c r="C957" s="1229" t="s">
        <v>4823</v>
      </c>
      <c r="D957" s="273">
        <f>D211+275+25</f>
        <v>1025</v>
      </c>
      <c r="E957" s="273">
        <f>E211+550+50</f>
        <v>1950</v>
      </c>
      <c r="F957" s="273">
        <f>F211+550+50</f>
        <v>2000</v>
      </c>
      <c r="G957" s="110" t="s">
        <v>4566</v>
      </c>
      <c r="H957" s="69" t="s">
        <v>4556</v>
      </c>
      <c r="I957" s="38" t="s">
        <v>4595</v>
      </c>
      <c r="J957" s="30"/>
      <c r="K957" s="38"/>
      <c r="L957" s="116" t="s">
        <v>4539</v>
      </c>
      <c r="M957" s="15">
        <v>43084</v>
      </c>
      <c r="N957" s="15">
        <v>43100</v>
      </c>
      <c r="O957" s="59" t="s">
        <v>4674</v>
      </c>
      <c r="P957" s="61"/>
      <c r="Q957" s="61"/>
      <c r="R957" s="239"/>
      <c r="S957" s="327" t="s">
        <v>4561</v>
      </c>
      <c r="T957" s="722"/>
      <c r="U957" s="42"/>
      <c r="AE957" s="115"/>
      <c r="AF957" s="115"/>
      <c r="AG957" s="115"/>
      <c r="AH957" s="115"/>
      <c r="AI957" s="115"/>
      <c r="AJ957" s="115"/>
      <c r="AK957" s="115"/>
      <c r="AL957" s="115"/>
      <c r="AM957" s="115"/>
      <c r="AN957" s="115"/>
      <c r="AO957" s="115"/>
      <c r="AP957" s="115"/>
      <c r="AQ957" s="115"/>
      <c r="AR957" s="115"/>
      <c r="AS957" s="115"/>
      <c r="AT957" s="115"/>
      <c r="AU957" s="115"/>
      <c r="AV957" s="115"/>
      <c r="AW957" s="115"/>
      <c r="AX957" s="115"/>
      <c r="AY957" s="115"/>
      <c r="AZ957" s="115"/>
      <c r="BA957" s="115"/>
      <c r="BB957" s="115"/>
      <c r="BC957" s="115"/>
      <c r="BD957" s="115"/>
      <c r="BE957" s="115"/>
      <c r="BF957" s="115"/>
      <c r="BG957" s="115"/>
      <c r="BH957" s="115"/>
      <c r="BI957" s="115"/>
      <c r="BJ957" s="115"/>
      <c r="BK957" s="115"/>
      <c r="BL957" s="115"/>
      <c r="BM957" s="115"/>
      <c r="BN957" s="115"/>
      <c r="BO957" s="115"/>
      <c r="BP957" s="115"/>
    </row>
    <row r="958" spans="1:68" ht="20.100000000000001" customHeight="1">
      <c r="A958" s="1229" t="s">
        <v>4536</v>
      </c>
      <c r="B958" s="1229" t="s">
        <v>4799</v>
      </c>
      <c r="C958" s="1229" t="s">
        <v>4822</v>
      </c>
      <c r="D958" s="345">
        <f>D20+100+25</f>
        <v>975</v>
      </c>
      <c r="E958" s="345">
        <f>E20+200+50</f>
        <v>1850</v>
      </c>
      <c r="F958" s="345">
        <f>F20+200+50</f>
        <v>1900</v>
      </c>
      <c r="G958" s="217" t="s">
        <v>4572</v>
      </c>
      <c r="H958" s="56" t="s">
        <v>4541</v>
      </c>
      <c r="I958" s="10" t="s">
        <v>4595</v>
      </c>
      <c r="J958" s="30"/>
      <c r="K958" s="38"/>
      <c r="L958" s="116" t="s">
        <v>4539</v>
      </c>
      <c r="M958" s="15">
        <v>43070</v>
      </c>
      <c r="N958" s="15">
        <v>43100</v>
      </c>
      <c r="O958" s="61" t="s">
        <v>4655</v>
      </c>
      <c r="P958" s="904"/>
      <c r="Q958" s="7"/>
      <c r="R958" s="239"/>
      <c r="S958" s="327" t="s">
        <v>4570</v>
      </c>
      <c r="T958" s="722"/>
      <c r="U958" s="42"/>
      <c r="AE958" s="115"/>
      <c r="AF958" s="115"/>
      <c r="AG958" s="115"/>
      <c r="AH958" s="115"/>
      <c r="AI958" s="115"/>
      <c r="AJ958" s="115"/>
      <c r="AK958" s="115"/>
      <c r="AL958" s="115"/>
      <c r="AM958" s="115"/>
      <c r="AN958" s="115"/>
      <c r="AO958" s="115"/>
      <c r="AP958" s="115"/>
      <c r="AQ958" s="115"/>
      <c r="AR958" s="115"/>
      <c r="AS958" s="115"/>
      <c r="AT958" s="115"/>
      <c r="AU958" s="115"/>
      <c r="AV958" s="115"/>
      <c r="AW958" s="115"/>
      <c r="AX958" s="115"/>
      <c r="AY958" s="115"/>
      <c r="AZ958" s="115"/>
      <c r="BA958" s="115"/>
      <c r="BB958" s="115"/>
      <c r="BC958" s="115"/>
      <c r="BD958" s="115"/>
      <c r="BE958" s="115"/>
      <c r="BF958" s="115"/>
      <c r="BG958" s="115"/>
      <c r="BH958" s="115"/>
      <c r="BI958" s="115"/>
      <c r="BJ958" s="115"/>
      <c r="BK958" s="115"/>
      <c r="BL958" s="115"/>
      <c r="BM958" s="115"/>
      <c r="BN958" s="115"/>
      <c r="BO958" s="115"/>
      <c r="BP958" s="115"/>
    </row>
    <row r="959" spans="1:68" ht="20.100000000000001" customHeight="1">
      <c r="A959" s="1229" t="s">
        <v>4536</v>
      </c>
      <c r="B959" s="1229" t="s">
        <v>4799</v>
      </c>
      <c r="C959" s="1229" t="s">
        <v>4822</v>
      </c>
      <c r="D959" s="273">
        <f>D36+450</f>
        <v>1325</v>
      </c>
      <c r="E959" s="273">
        <f>E36+150</f>
        <v>1700</v>
      </c>
      <c r="F959" s="273">
        <f>F36+150</f>
        <v>1750</v>
      </c>
      <c r="G959" s="217" t="s">
        <v>4575</v>
      </c>
      <c r="H959" s="48" t="s">
        <v>4541</v>
      </c>
      <c r="I959" s="38" t="s">
        <v>4595</v>
      </c>
      <c r="J959" s="30"/>
      <c r="K959" s="38"/>
      <c r="L959" s="116" t="s">
        <v>4539</v>
      </c>
      <c r="M959" s="15">
        <v>43084</v>
      </c>
      <c r="N959" s="15">
        <v>43100</v>
      </c>
      <c r="O959" s="61" t="s">
        <v>4573</v>
      </c>
      <c r="P959" s="904"/>
      <c r="Q959" s="904"/>
      <c r="R959" s="239"/>
      <c r="S959" s="328" t="s">
        <v>4543</v>
      </c>
      <c r="T959" s="722"/>
      <c r="U959" s="42"/>
      <c r="AE959" s="115"/>
      <c r="AF959" s="115"/>
      <c r="AG959" s="115"/>
      <c r="AH959" s="115"/>
      <c r="AI959" s="115"/>
      <c r="AJ959" s="115"/>
      <c r="AK959" s="115"/>
      <c r="AL959" s="115"/>
      <c r="AM959" s="115"/>
      <c r="AN959" s="115"/>
      <c r="AO959" s="115"/>
      <c r="AP959" s="115"/>
      <c r="AQ959" s="115"/>
      <c r="AR959" s="115"/>
      <c r="AS959" s="115"/>
      <c r="AT959" s="115"/>
      <c r="AU959" s="115"/>
      <c r="AV959" s="115"/>
      <c r="AW959" s="115"/>
      <c r="AX959" s="115"/>
      <c r="AY959" s="115"/>
      <c r="AZ959" s="115"/>
      <c r="BA959" s="115"/>
      <c r="BB959" s="115"/>
      <c r="BC959" s="115"/>
      <c r="BD959" s="115"/>
      <c r="BE959" s="115"/>
      <c r="BF959" s="115"/>
      <c r="BG959" s="115"/>
      <c r="BH959" s="115"/>
      <c r="BI959" s="115"/>
      <c r="BJ959" s="115"/>
      <c r="BK959" s="115"/>
      <c r="BL959" s="115"/>
      <c r="BM959" s="115"/>
      <c r="BN959" s="115"/>
      <c r="BO959" s="115"/>
      <c r="BP959" s="115"/>
    </row>
    <row r="960" spans="1:68" ht="20.100000000000001" customHeight="1">
      <c r="A960" s="1229" t="s">
        <v>4536</v>
      </c>
      <c r="B960" s="1229" t="s">
        <v>4799</v>
      </c>
      <c r="C960" s="1229" t="s">
        <v>4822</v>
      </c>
      <c r="D960" s="196">
        <f>D14+375</f>
        <v>1155</v>
      </c>
      <c r="E960" s="196">
        <f>E14+250</f>
        <v>1707</v>
      </c>
      <c r="F960" s="196">
        <f>F14+250</f>
        <v>1707</v>
      </c>
      <c r="G960" s="225" t="s">
        <v>4569</v>
      </c>
      <c r="H960" s="69" t="s">
        <v>4602</v>
      </c>
      <c r="I960" s="38" t="s">
        <v>4595</v>
      </c>
      <c r="J960" s="30"/>
      <c r="K960" s="38" t="s">
        <v>4735</v>
      </c>
      <c r="L960" s="116" t="s">
        <v>4539</v>
      </c>
      <c r="M960" s="6">
        <v>43074</v>
      </c>
      <c r="N960" s="6">
        <v>43084</v>
      </c>
      <c r="O960" s="61" t="s">
        <v>4664</v>
      </c>
      <c r="P960" s="904"/>
      <c r="Q960" s="904"/>
      <c r="R960" s="239"/>
      <c r="S960" s="328" t="s">
        <v>4543</v>
      </c>
      <c r="T960" s="722"/>
      <c r="U960" s="42"/>
      <c r="AE960" s="115"/>
      <c r="AF960" s="115"/>
      <c r="AG960" s="115"/>
      <c r="AH960" s="115"/>
      <c r="AI960" s="115"/>
      <c r="AJ960" s="115"/>
      <c r="AK960" s="115"/>
      <c r="AL960" s="115"/>
      <c r="AM960" s="115"/>
      <c r="AN960" s="115"/>
      <c r="AO960" s="115"/>
      <c r="AP960" s="115"/>
      <c r="AQ960" s="115"/>
      <c r="AR960" s="115"/>
      <c r="AS960" s="115"/>
      <c r="AT960" s="115"/>
      <c r="AU960" s="115"/>
      <c r="AV960" s="115"/>
      <c r="AW960" s="115"/>
      <c r="AX960" s="115"/>
      <c r="AY960" s="115"/>
      <c r="AZ960" s="115"/>
      <c r="BA960" s="115"/>
      <c r="BB960" s="115"/>
      <c r="BC960" s="115"/>
      <c r="BD960" s="115"/>
      <c r="BE960" s="115"/>
      <c r="BF960" s="115"/>
      <c r="BG960" s="115"/>
      <c r="BH960" s="115"/>
      <c r="BI960" s="115"/>
      <c r="BJ960" s="115"/>
      <c r="BK960" s="115"/>
      <c r="BL960" s="115"/>
      <c r="BM960" s="115"/>
      <c r="BN960" s="115"/>
      <c r="BO960" s="115"/>
      <c r="BP960" s="115"/>
    </row>
    <row r="961" spans="1:68" ht="20.100000000000001" customHeight="1">
      <c r="A961" s="1229" t="s">
        <v>4536</v>
      </c>
      <c r="B961" s="1229" t="s">
        <v>4799</v>
      </c>
      <c r="C961" s="1229" t="s">
        <v>4822</v>
      </c>
      <c r="D961" s="201">
        <f>D13+650+25</f>
        <v>1425</v>
      </c>
      <c r="E961" s="201">
        <f>E13+950+50</f>
        <v>2400</v>
      </c>
      <c r="F961" s="201">
        <f>F13+950+50</f>
        <v>2450</v>
      </c>
      <c r="G961" s="110" t="s">
        <v>4636</v>
      </c>
      <c r="H961" s="36" t="s">
        <v>4635</v>
      </c>
      <c r="I961" s="38" t="s">
        <v>4595</v>
      </c>
      <c r="J961" s="30"/>
      <c r="K961" s="38"/>
      <c r="L961" s="116" t="s">
        <v>4539</v>
      </c>
      <c r="M961" s="6">
        <v>43084</v>
      </c>
      <c r="N961" s="6">
        <v>43100</v>
      </c>
      <c r="O961" s="61" t="s">
        <v>4633</v>
      </c>
      <c r="P961" s="904"/>
      <c r="Q961" s="904"/>
      <c r="R961" s="239"/>
      <c r="S961" s="327" t="s">
        <v>4632</v>
      </c>
      <c r="T961" s="722"/>
      <c r="U961" s="42"/>
      <c r="AE961" s="115"/>
      <c r="AF961" s="115"/>
      <c r="AG961" s="115"/>
      <c r="AH961" s="115"/>
      <c r="AI961" s="115"/>
      <c r="AJ961" s="115"/>
      <c r="AK961" s="115"/>
      <c r="AL961" s="115"/>
      <c r="AM961" s="115"/>
      <c r="AN961" s="115"/>
      <c r="AO961" s="115"/>
      <c r="AP961" s="115"/>
      <c r="AQ961" s="115"/>
      <c r="AR961" s="115"/>
      <c r="AS961" s="115"/>
      <c r="AT961" s="115"/>
      <c r="AU961" s="115"/>
      <c r="AV961" s="115"/>
      <c r="AW961" s="115"/>
      <c r="AX961" s="115"/>
      <c r="AY961" s="115"/>
      <c r="AZ961" s="115"/>
      <c r="BA961" s="115"/>
      <c r="BB961" s="115"/>
      <c r="BC961" s="115"/>
      <c r="BD961" s="115"/>
      <c r="BE961" s="115"/>
      <c r="BF961" s="115"/>
      <c r="BG961" s="115"/>
      <c r="BH961" s="115"/>
      <c r="BI961" s="115"/>
      <c r="BJ961" s="115"/>
      <c r="BK961" s="115"/>
      <c r="BL961" s="115"/>
      <c r="BM961" s="115"/>
      <c r="BN961" s="115"/>
      <c r="BO961" s="115"/>
      <c r="BP961" s="115"/>
    </row>
    <row r="962" spans="1:68" ht="20.100000000000001" customHeight="1">
      <c r="A962" s="1229" t="s">
        <v>4536</v>
      </c>
      <c r="B962" s="1229" t="s">
        <v>4799</v>
      </c>
      <c r="C962" s="1229" t="s">
        <v>4822</v>
      </c>
      <c r="D962" s="273">
        <f>D211+125+25</f>
        <v>875</v>
      </c>
      <c r="E962" s="273">
        <f>E211+250+50</f>
        <v>1650</v>
      </c>
      <c r="F962" s="273">
        <f>F211+250+50</f>
        <v>1700</v>
      </c>
      <c r="G962" s="110" t="s">
        <v>4566</v>
      </c>
      <c r="H962" s="69" t="s">
        <v>4556</v>
      </c>
      <c r="I962" s="38" t="s">
        <v>4595</v>
      </c>
      <c r="J962" s="30"/>
      <c r="K962" s="38"/>
      <c r="L962" s="116" t="s">
        <v>4539</v>
      </c>
      <c r="M962" s="15">
        <v>43084</v>
      </c>
      <c r="N962" s="15">
        <v>43100</v>
      </c>
      <c r="O962" s="59" t="s">
        <v>4674</v>
      </c>
      <c r="P962" s="61"/>
      <c r="Q962" s="61"/>
      <c r="R962" s="239"/>
      <c r="S962" s="327" t="s">
        <v>4561</v>
      </c>
      <c r="T962" s="722"/>
      <c r="U962" s="42"/>
      <c r="AE962" s="115"/>
      <c r="AF962" s="115"/>
      <c r="AG962" s="115"/>
      <c r="AH962" s="115"/>
      <c r="AI962" s="115"/>
      <c r="AJ962" s="115"/>
      <c r="AK962" s="115"/>
      <c r="AL962" s="115"/>
      <c r="AM962" s="115"/>
      <c r="AN962" s="115"/>
      <c r="AO962" s="115"/>
      <c r="AP962" s="115"/>
      <c r="AQ962" s="115"/>
      <c r="AR962" s="115"/>
      <c r="AS962" s="115"/>
      <c r="AT962" s="115"/>
      <c r="AU962" s="115"/>
      <c r="AV962" s="115"/>
      <c r="AW962" s="115"/>
      <c r="AX962" s="115"/>
      <c r="AY962" s="115"/>
      <c r="AZ962" s="115"/>
      <c r="BA962" s="115"/>
      <c r="BB962" s="115"/>
      <c r="BC962" s="115"/>
      <c r="BD962" s="115"/>
      <c r="BE962" s="115"/>
      <c r="BF962" s="115"/>
      <c r="BG962" s="115"/>
      <c r="BH962" s="115"/>
      <c r="BI962" s="115"/>
      <c r="BJ962" s="115"/>
      <c r="BK962" s="115"/>
      <c r="BL962" s="115"/>
      <c r="BM962" s="115"/>
      <c r="BN962" s="115"/>
      <c r="BO962" s="115"/>
      <c r="BP962" s="115"/>
    </row>
    <row r="963" spans="1:68" ht="20.100000000000001" customHeight="1">
      <c r="A963" s="1229" t="s">
        <v>4536</v>
      </c>
      <c r="B963" s="1229" t="s">
        <v>4799</v>
      </c>
      <c r="C963" s="1229" t="s">
        <v>4822</v>
      </c>
      <c r="D963" s="195">
        <f>D90+600</f>
        <v>1365</v>
      </c>
      <c r="E963" s="195">
        <f>E90+500</f>
        <v>1930</v>
      </c>
      <c r="F963" s="195">
        <f>F90+500</f>
        <v>1980</v>
      </c>
      <c r="G963" s="110" t="s">
        <v>4560</v>
      </c>
      <c r="H963" s="48" t="s">
        <v>4556</v>
      </c>
      <c r="I963" s="38" t="s">
        <v>4540</v>
      </c>
      <c r="J963" s="30"/>
      <c r="K963" s="38"/>
      <c r="L963" s="116" t="s">
        <v>4539</v>
      </c>
      <c r="M963" s="15">
        <v>43084</v>
      </c>
      <c r="N963" s="15">
        <v>43100</v>
      </c>
      <c r="O963" s="59" t="s">
        <v>4559</v>
      </c>
      <c r="P963" s="61"/>
      <c r="Q963" s="61"/>
      <c r="R963" s="239"/>
      <c r="S963" s="336" t="s">
        <v>4558</v>
      </c>
      <c r="T963" s="722"/>
      <c r="U963" s="42"/>
      <c r="AE963" s="283"/>
      <c r="AF963" s="283"/>
      <c r="AG963" s="283"/>
      <c r="AH963" s="283"/>
      <c r="AI963" s="283"/>
      <c r="AJ963" s="283"/>
      <c r="AK963" s="283"/>
      <c r="AL963" s="283"/>
      <c r="AM963" s="283"/>
      <c r="AN963" s="283"/>
      <c r="AO963" s="283"/>
      <c r="AP963" s="283"/>
      <c r="AQ963" s="283"/>
      <c r="AR963" s="283"/>
      <c r="AS963" s="283"/>
      <c r="AT963" s="283"/>
      <c r="AU963" s="283"/>
      <c r="AV963" s="283"/>
      <c r="AW963" s="283"/>
      <c r="AX963" s="283"/>
      <c r="AY963" s="283"/>
      <c r="AZ963" s="283"/>
      <c r="BA963" s="283"/>
      <c r="BB963" s="283"/>
      <c r="BC963" s="283"/>
      <c r="BD963" s="283"/>
      <c r="BE963" s="283"/>
      <c r="BF963" s="283"/>
      <c r="BG963" s="283"/>
      <c r="BH963" s="283"/>
      <c r="BI963" s="283"/>
      <c r="BJ963" s="283"/>
      <c r="BK963" s="283"/>
      <c r="BL963" s="283"/>
      <c r="BM963" s="283"/>
      <c r="BN963" s="283"/>
      <c r="BO963" s="283"/>
      <c r="BP963" s="283"/>
    </row>
    <row r="964" spans="1:68" ht="20.100000000000001" customHeight="1">
      <c r="A964" s="1229" t="s">
        <v>4536</v>
      </c>
      <c r="B964" s="1229" t="s">
        <v>4799</v>
      </c>
      <c r="C964" s="1229" t="s">
        <v>4822</v>
      </c>
      <c r="D964" s="195">
        <f>D11+650</f>
        <v>1400</v>
      </c>
      <c r="E964" s="195">
        <f>E11+650</f>
        <v>2050</v>
      </c>
      <c r="F964" s="195">
        <f>F11+650</f>
        <v>2050</v>
      </c>
      <c r="G964" s="217" t="s">
        <v>4557</v>
      </c>
      <c r="H964" s="69" t="s">
        <v>4556</v>
      </c>
      <c r="I964" s="38" t="s">
        <v>4595</v>
      </c>
      <c r="J964" s="30"/>
      <c r="K964" s="38"/>
      <c r="L964" s="116" t="s">
        <v>4539</v>
      </c>
      <c r="M964" s="6">
        <v>43084</v>
      </c>
      <c r="N964" s="6">
        <v>43100</v>
      </c>
      <c r="O964" s="61" t="s">
        <v>4555</v>
      </c>
      <c r="P964" s="61"/>
      <c r="Q964" s="7"/>
      <c r="R964" s="239" t="s">
        <v>4554</v>
      </c>
      <c r="S964" s="326" t="s">
        <v>4543</v>
      </c>
      <c r="T964" s="722"/>
      <c r="U964" s="42"/>
      <c r="AE964" s="233"/>
      <c r="AF964" s="233"/>
      <c r="AG964" s="233"/>
      <c r="AH964" s="233"/>
      <c r="AI964" s="233"/>
      <c r="AJ964" s="233"/>
      <c r="AK964" s="233"/>
      <c r="AL964" s="233"/>
      <c r="AM964" s="233"/>
      <c r="AN964" s="233"/>
      <c r="AO964" s="233"/>
      <c r="AP964" s="233"/>
      <c r="AQ964" s="233"/>
      <c r="AR964" s="233"/>
      <c r="AS964" s="233"/>
      <c r="AT964" s="233"/>
      <c r="AU964" s="233"/>
      <c r="AV964" s="233"/>
      <c r="AW964" s="233"/>
      <c r="AX964" s="233"/>
      <c r="AY964" s="233"/>
      <c r="AZ964" s="233"/>
      <c r="BA964" s="233"/>
      <c r="BB964" s="233"/>
      <c r="BC964" s="233"/>
      <c r="BD964" s="233"/>
      <c r="BE964" s="233"/>
      <c r="BF964" s="233"/>
      <c r="BG964" s="233"/>
      <c r="BH964" s="233"/>
      <c r="BI964" s="233"/>
      <c r="BJ964" s="233"/>
      <c r="BK964" s="233"/>
      <c r="BL964" s="233"/>
      <c r="BM964" s="233"/>
      <c r="BN964" s="233"/>
      <c r="BO964" s="233"/>
      <c r="BP964" s="233"/>
    </row>
    <row r="965" spans="1:68" ht="20.100000000000001" customHeight="1">
      <c r="A965" s="1229" t="s">
        <v>4536</v>
      </c>
      <c r="B965" s="1229" t="s">
        <v>4799</v>
      </c>
      <c r="C965" s="1229" t="s">
        <v>4822</v>
      </c>
      <c r="D965" s="195">
        <f>D120+75</f>
        <v>975</v>
      </c>
      <c r="E965" s="195">
        <f>E120+150</f>
        <v>1750</v>
      </c>
      <c r="F965" s="195">
        <f>F120+150</f>
        <v>1800</v>
      </c>
      <c r="G965" s="110" t="s">
        <v>4553</v>
      </c>
      <c r="H965" s="56" t="s">
        <v>4552</v>
      </c>
      <c r="I965" s="38" t="s">
        <v>4639</v>
      </c>
      <c r="J965" s="30"/>
      <c r="K965" s="38">
        <v>40</v>
      </c>
      <c r="L965" s="116" t="s">
        <v>4539</v>
      </c>
      <c r="M965" s="6">
        <v>43085</v>
      </c>
      <c r="N965" s="6">
        <v>43100</v>
      </c>
      <c r="O965" s="61" t="s">
        <v>4673</v>
      </c>
      <c r="P965" s="61"/>
      <c r="Q965" s="167"/>
      <c r="R965" s="239"/>
      <c r="S965" s="328" t="s">
        <v>4543</v>
      </c>
      <c r="T965" s="722"/>
      <c r="U965" s="42"/>
      <c r="AE965" s="115"/>
      <c r="AF965" s="115"/>
      <c r="AG965" s="115"/>
      <c r="AH965" s="115"/>
      <c r="AI965" s="115"/>
      <c r="AJ965" s="115"/>
      <c r="AK965" s="115"/>
      <c r="AL965" s="115"/>
      <c r="AM965" s="115"/>
      <c r="AN965" s="115"/>
      <c r="AO965" s="115"/>
      <c r="AP965" s="115"/>
      <c r="AQ965" s="115"/>
      <c r="AR965" s="115"/>
      <c r="AS965" s="115"/>
      <c r="AT965" s="115"/>
      <c r="AU965" s="115"/>
      <c r="AV965" s="115"/>
      <c r="AW965" s="115"/>
      <c r="AX965" s="115"/>
      <c r="AY965" s="115"/>
      <c r="AZ965" s="115"/>
      <c r="BA965" s="115"/>
      <c r="BB965" s="115"/>
      <c r="BC965" s="115"/>
      <c r="BD965" s="115"/>
      <c r="BE965" s="115"/>
      <c r="BF965" s="115"/>
      <c r="BG965" s="115"/>
      <c r="BH965" s="115"/>
      <c r="BI965" s="115"/>
      <c r="BJ965" s="115"/>
      <c r="BK965" s="115"/>
      <c r="BL965" s="115"/>
      <c r="BM965" s="115"/>
      <c r="BN965" s="115"/>
      <c r="BO965" s="115"/>
      <c r="BP965" s="115"/>
    </row>
    <row r="966" spans="1:68" ht="20.100000000000001" customHeight="1">
      <c r="A966" s="1229" t="s">
        <v>4536</v>
      </c>
      <c r="B966" s="1229" t="s">
        <v>4799</v>
      </c>
      <c r="C966" s="1229" t="s">
        <v>4822</v>
      </c>
      <c r="D966" s="195">
        <f>D19+325+25</f>
        <v>1125</v>
      </c>
      <c r="E966" s="195">
        <f>E19+550+50</f>
        <v>2050</v>
      </c>
      <c r="F966" s="195">
        <f>F19+550+50</f>
        <v>2100</v>
      </c>
      <c r="G966" s="12" t="s">
        <v>4542</v>
      </c>
      <c r="H966" s="69" t="s">
        <v>4541</v>
      </c>
      <c r="I966" s="38" t="s">
        <v>4595</v>
      </c>
      <c r="J966" s="140"/>
      <c r="K966" s="38"/>
      <c r="L966" s="116" t="s">
        <v>4539</v>
      </c>
      <c r="M966" s="15">
        <v>43084</v>
      </c>
      <c r="N966" s="15">
        <v>43100</v>
      </c>
      <c r="O966" s="61" t="s">
        <v>4538</v>
      </c>
      <c r="P966" s="61"/>
      <c r="Q966" s="61"/>
      <c r="R966" s="239"/>
      <c r="S966" s="326" t="s">
        <v>4537</v>
      </c>
      <c r="T966" s="722"/>
      <c r="U966" s="42"/>
      <c r="AE966" s="115"/>
      <c r="AF966" s="115"/>
      <c r="AG966" s="115"/>
      <c r="AH966" s="115"/>
      <c r="AI966" s="115"/>
      <c r="AJ966" s="115"/>
      <c r="AK966" s="115"/>
      <c r="AL966" s="115"/>
      <c r="AM966" s="115"/>
      <c r="AN966" s="115"/>
      <c r="AO966" s="115"/>
      <c r="AP966" s="115"/>
      <c r="AQ966" s="115"/>
      <c r="AR966" s="115"/>
      <c r="AS966" s="115"/>
      <c r="AT966" s="115"/>
      <c r="AU966" s="115"/>
      <c r="AV966" s="115"/>
      <c r="AW966" s="115"/>
      <c r="AX966" s="115"/>
      <c r="AY966" s="115"/>
      <c r="AZ966" s="115"/>
      <c r="BA966" s="115"/>
      <c r="BB966" s="115"/>
      <c r="BC966" s="115"/>
      <c r="BD966" s="115"/>
      <c r="BE966" s="115"/>
      <c r="BF966" s="115"/>
      <c r="BG966" s="115"/>
      <c r="BH966" s="115"/>
      <c r="BI966" s="115"/>
      <c r="BJ966" s="115"/>
      <c r="BK966" s="115"/>
      <c r="BL966" s="115"/>
      <c r="BM966" s="115"/>
      <c r="BN966" s="115"/>
      <c r="BO966" s="115"/>
      <c r="BP966" s="115"/>
    </row>
    <row r="967" spans="1:68" ht="20.100000000000001" customHeight="1">
      <c r="A967" s="1229" t="s">
        <v>4536</v>
      </c>
      <c r="B967" s="1229" t="s">
        <v>4799</v>
      </c>
      <c r="C967" s="1229" t="s">
        <v>4822</v>
      </c>
      <c r="D967" s="195">
        <f>D65+300</f>
        <v>1100</v>
      </c>
      <c r="E967" s="195">
        <f>E65+350</f>
        <v>1850</v>
      </c>
      <c r="F967" s="195">
        <f>F65+350</f>
        <v>1900</v>
      </c>
      <c r="G967" s="12" t="s">
        <v>4645</v>
      </c>
      <c r="H967" s="48" t="s">
        <v>4556</v>
      </c>
      <c r="I967" s="38" t="s">
        <v>4540</v>
      </c>
      <c r="J967" s="30"/>
      <c r="K967" s="38"/>
      <c r="L967" s="116" t="s">
        <v>4539</v>
      </c>
      <c r="M967" s="6">
        <v>43084</v>
      </c>
      <c r="N967" s="6">
        <v>43100</v>
      </c>
      <c r="O967" s="61" t="s">
        <v>4643</v>
      </c>
      <c r="P967" s="61"/>
      <c r="Q967" s="61"/>
      <c r="R967" s="239"/>
      <c r="S967" s="326" t="s">
        <v>4641</v>
      </c>
      <c r="T967" s="722"/>
      <c r="U967" s="42"/>
      <c r="AE967" s="115"/>
      <c r="AF967" s="115"/>
      <c r="AG967" s="115"/>
      <c r="AH967" s="115"/>
      <c r="AI967" s="115"/>
      <c r="AJ967" s="115"/>
      <c r="AK967" s="115"/>
      <c r="AL967" s="115"/>
      <c r="AM967" s="115"/>
      <c r="AN967" s="115"/>
      <c r="AO967" s="115"/>
      <c r="AP967" s="115"/>
      <c r="AQ967" s="115"/>
      <c r="AR967" s="115"/>
      <c r="AS967" s="115"/>
      <c r="AT967" s="115"/>
      <c r="AU967" s="115"/>
      <c r="AV967" s="115"/>
      <c r="AW967" s="115"/>
      <c r="AX967" s="115"/>
      <c r="AY967" s="115"/>
      <c r="AZ967" s="115"/>
      <c r="BA967" s="115"/>
      <c r="BB967" s="115"/>
      <c r="BC967" s="115"/>
      <c r="BD967" s="115"/>
      <c r="BE967" s="115"/>
      <c r="BF967" s="115"/>
      <c r="BG967" s="115"/>
      <c r="BH967" s="115"/>
      <c r="BI967" s="115"/>
      <c r="BJ967" s="115"/>
      <c r="BK967" s="115"/>
      <c r="BL967" s="115"/>
      <c r="BM967" s="115"/>
      <c r="BN967" s="115"/>
      <c r="BO967" s="115"/>
      <c r="BP967" s="115"/>
    </row>
    <row r="968" spans="1:68" ht="20.100000000000001" customHeight="1">
      <c r="A968" s="1229" t="s">
        <v>4536</v>
      </c>
      <c r="B968" s="1229" t="s">
        <v>4799</v>
      </c>
      <c r="C968" s="1229" t="s">
        <v>4820</v>
      </c>
      <c r="D968" s="345">
        <f>D20+125+25</f>
        <v>1000</v>
      </c>
      <c r="E968" s="345">
        <f>E20+250+50</f>
        <v>1900</v>
      </c>
      <c r="F968" s="345">
        <f>F20+250+50</f>
        <v>1950</v>
      </c>
      <c r="G968" s="217" t="s">
        <v>4572</v>
      </c>
      <c r="H968" s="56" t="s">
        <v>4541</v>
      </c>
      <c r="I968" s="20" t="s">
        <v>4595</v>
      </c>
      <c r="J968" s="30"/>
      <c r="K968" s="38"/>
      <c r="L968" s="116" t="s">
        <v>4539</v>
      </c>
      <c r="M968" s="15">
        <v>43070</v>
      </c>
      <c r="N968" s="15">
        <v>43100</v>
      </c>
      <c r="O968" s="61" t="s">
        <v>4655</v>
      </c>
      <c r="P968" s="61"/>
      <c r="Q968" s="7"/>
      <c r="R968" s="239"/>
      <c r="S968" s="327" t="s">
        <v>4570</v>
      </c>
      <c r="T968" s="722"/>
      <c r="U968" s="42"/>
      <c r="AE968" s="115"/>
      <c r="AF968" s="115"/>
      <c r="AG968" s="115"/>
      <c r="AH968" s="115"/>
      <c r="AI968" s="115"/>
      <c r="AJ968" s="115"/>
      <c r="AK968" s="115"/>
      <c r="AL968" s="115"/>
      <c r="AM968" s="115"/>
      <c r="AN968" s="115"/>
      <c r="AO968" s="115"/>
      <c r="AP968" s="115"/>
      <c r="AQ968" s="115"/>
      <c r="AR968" s="115"/>
      <c r="AS968" s="115"/>
      <c r="AT968" s="115"/>
      <c r="AU968" s="115"/>
      <c r="AV968" s="115"/>
      <c r="AW968" s="115"/>
      <c r="AX968" s="115"/>
      <c r="AY968" s="115"/>
      <c r="AZ968" s="115"/>
      <c r="BA968" s="115"/>
      <c r="BB968" s="115"/>
      <c r="BC968" s="115"/>
      <c r="BD968" s="115"/>
      <c r="BE968" s="115"/>
      <c r="BF968" s="115"/>
      <c r="BG968" s="115"/>
      <c r="BH968" s="115"/>
      <c r="BI968" s="115"/>
      <c r="BJ968" s="115"/>
      <c r="BK968" s="115"/>
      <c r="BL968" s="115"/>
      <c r="BM968" s="115"/>
      <c r="BN968" s="115"/>
      <c r="BO968" s="115"/>
      <c r="BP968" s="115"/>
    </row>
    <row r="969" spans="1:68" ht="20.100000000000001" customHeight="1">
      <c r="A969" s="1229" t="s">
        <v>4536</v>
      </c>
      <c r="B969" s="1229" t="s">
        <v>4799</v>
      </c>
      <c r="C969" s="1229" t="s">
        <v>4820</v>
      </c>
      <c r="D969" s="344">
        <f>D97+75+0</f>
        <v>950</v>
      </c>
      <c r="E969" s="344">
        <f>E97+125+0</f>
        <v>1675</v>
      </c>
      <c r="F969" s="344">
        <f>F97+125+0</f>
        <v>1725</v>
      </c>
      <c r="G969" s="217" t="s">
        <v>4575</v>
      </c>
      <c r="H969" s="48" t="s">
        <v>4574</v>
      </c>
      <c r="I969" s="38" t="s">
        <v>4540</v>
      </c>
      <c r="J969" s="30"/>
      <c r="K969" s="38"/>
      <c r="L969" s="116" t="s">
        <v>4539</v>
      </c>
      <c r="M969" s="15">
        <v>43084</v>
      </c>
      <c r="N969" s="15">
        <v>43100</v>
      </c>
      <c r="O969" s="61" t="s">
        <v>4573</v>
      </c>
      <c r="P969" s="61"/>
      <c r="Q969" s="61"/>
      <c r="R969" s="239"/>
      <c r="S969" s="328" t="s">
        <v>4543</v>
      </c>
      <c r="T969" s="722"/>
      <c r="U969" s="42"/>
      <c r="AE969" s="115"/>
      <c r="AF969" s="115"/>
      <c r="AG969" s="115"/>
      <c r="AH969" s="115"/>
      <c r="AI969" s="115"/>
      <c r="AJ969" s="115"/>
      <c r="AK969" s="115"/>
      <c r="AL969" s="115"/>
      <c r="AM969" s="115"/>
      <c r="AN969" s="115"/>
      <c r="AO969" s="115"/>
      <c r="AP969" s="115"/>
      <c r="AQ969" s="115"/>
      <c r="AR969" s="115"/>
      <c r="AS969" s="115"/>
      <c r="AT969" s="115"/>
      <c r="AU969" s="115"/>
      <c r="AV969" s="115"/>
      <c r="AW969" s="115"/>
      <c r="AX969" s="115"/>
      <c r="AY969" s="115"/>
      <c r="AZ969" s="115"/>
      <c r="BA969" s="115"/>
      <c r="BB969" s="115"/>
      <c r="BC969" s="115"/>
      <c r="BD969" s="115"/>
      <c r="BE969" s="115"/>
      <c r="BF969" s="115"/>
      <c r="BG969" s="115"/>
      <c r="BH969" s="115"/>
      <c r="BI969" s="115"/>
      <c r="BJ969" s="115"/>
      <c r="BK969" s="115"/>
      <c r="BL969" s="115"/>
      <c r="BM969" s="115"/>
      <c r="BN969" s="115"/>
      <c r="BO969" s="115"/>
      <c r="BP969" s="115"/>
    </row>
    <row r="970" spans="1:68" ht="20.100000000000001" customHeight="1">
      <c r="A970" s="1229" t="s">
        <v>4536</v>
      </c>
      <c r="B970" s="1229" t="s">
        <v>4799</v>
      </c>
      <c r="C970" s="1229" t="s">
        <v>4820</v>
      </c>
      <c r="D970" s="274">
        <f>D211+75+25</f>
        <v>825</v>
      </c>
      <c r="E970" s="274">
        <f>E211+150+50</f>
        <v>1550</v>
      </c>
      <c r="F970" s="274">
        <f>F211+150+50</f>
        <v>1600</v>
      </c>
      <c r="G970" s="110" t="s">
        <v>4566</v>
      </c>
      <c r="H970" s="69" t="s">
        <v>4556</v>
      </c>
      <c r="I970" s="38" t="s">
        <v>4595</v>
      </c>
      <c r="J970" s="30"/>
      <c r="K970" s="38"/>
      <c r="L970" s="116" t="s">
        <v>4539</v>
      </c>
      <c r="M970" s="15">
        <v>43084</v>
      </c>
      <c r="N970" s="15">
        <v>43100</v>
      </c>
      <c r="O970" s="59" t="s">
        <v>4674</v>
      </c>
      <c r="P970" s="61"/>
      <c r="Q970" s="61"/>
      <c r="R970" s="239"/>
      <c r="S970" s="327" t="s">
        <v>4561</v>
      </c>
      <c r="T970" s="722"/>
      <c r="U970" s="42"/>
      <c r="AE970" s="115"/>
      <c r="AF970" s="115"/>
      <c r="AG970" s="115"/>
      <c r="AH970" s="115"/>
      <c r="AI970" s="115"/>
      <c r="AJ970" s="115"/>
      <c r="AK970" s="115"/>
      <c r="AL970" s="115"/>
      <c r="AM970" s="115"/>
      <c r="AN970" s="115"/>
      <c r="AO970" s="115"/>
      <c r="AP970" s="115"/>
      <c r="AQ970" s="115"/>
      <c r="AR970" s="115"/>
      <c r="AS970" s="115"/>
      <c r="AT970" s="115"/>
      <c r="AU970" s="115"/>
      <c r="AV970" s="115"/>
      <c r="AW970" s="115"/>
      <c r="AX970" s="115"/>
      <c r="AY970" s="115"/>
      <c r="AZ970" s="115"/>
      <c r="BA970" s="115"/>
      <c r="BB970" s="115"/>
      <c r="BC970" s="115"/>
      <c r="BD970" s="115"/>
      <c r="BE970" s="115"/>
      <c r="BF970" s="115"/>
      <c r="BG970" s="115"/>
      <c r="BH970" s="115"/>
      <c r="BI970" s="115"/>
      <c r="BJ970" s="115"/>
      <c r="BK970" s="115"/>
      <c r="BL970" s="115"/>
      <c r="BM970" s="115"/>
      <c r="BN970" s="115"/>
      <c r="BO970" s="115"/>
      <c r="BP970" s="115"/>
    </row>
    <row r="971" spans="1:68" ht="20.100000000000001" customHeight="1">
      <c r="A971" s="1229" t="s">
        <v>4536</v>
      </c>
      <c r="B971" s="1229" t="s">
        <v>4799</v>
      </c>
      <c r="C971" s="1229" t="s">
        <v>4820</v>
      </c>
      <c r="D971" s="195">
        <f>D14+150</f>
        <v>930</v>
      </c>
      <c r="E971" s="195">
        <f>E14+150</f>
        <v>1607</v>
      </c>
      <c r="F971" s="195">
        <f>F14+150</f>
        <v>1607</v>
      </c>
      <c r="G971" s="225" t="s">
        <v>4569</v>
      </c>
      <c r="H971" s="69" t="s">
        <v>4602</v>
      </c>
      <c r="I971" s="38" t="s">
        <v>4595</v>
      </c>
      <c r="J971" s="30"/>
      <c r="K971" s="38" t="s">
        <v>4735</v>
      </c>
      <c r="L971" s="116" t="s">
        <v>4539</v>
      </c>
      <c r="M971" s="6">
        <v>43074</v>
      </c>
      <c r="N971" s="6">
        <v>43084</v>
      </c>
      <c r="O971" s="61" t="s">
        <v>4664</v>
      </c>
      <c r="P971" s="61"/>
      <c r="Q971" s="61"/>
      <c r="R971" s="239"/>
      <c r="S971" s="328" t="s">
        <v>4543</v>
      </c>
      <c r="T971" s="722"/>
      <c r="U971" s="42"/>
      <c r="AE971" s="115"/>
      <c r="AF971" s="115"/>
      <c r="AG971" s="115"/>
      <c r="AH971" s="115"/>
      <c r="AI971" s="115"/>
      <c r="AJ971" s="115"/>
      <c r="AK971" s="115"/>
      <c r="AL971" s="115"/>
      <c r="AM971" s="115"/>
      <c r="AN971" s="115"/>
      <c r="AO971" s="115"/>
      <c r="AP971" s="115"/>
      <c r="AQ971" s="115"/>
      <c r="AR971" s="115"/>
      <c r="AS971" s="115"/>
      <c r="AT971" s="115"/>
      <c r="AU971" s="115"/>
      <c r="AV971" s="115"/>
      <c r="AW971" s="115"/>
      <c r="AX971" s="115"/>
      <c r="AY971" s="115"/>
      <c r="AZ971" s="115"/>
      <c r="BA971" s="115"/>
      <c r="BB971" s="115"/>
      <c r="BC971" s="115"/>
      <c r="BD971" s="115"/>
      <c r="BE971" s="115"/>
      <c r="BF971" s="115"/>
      <c r="BG971" s="115"/>
      <c r="BH971" s="115"/>
      <c r="BI971" s="115"/>
      <c r="BJ971" s="115"/>
      <c r="BK971" s="115"/>
      <c r="BL971" s="115"/>
      <c r="BM971" s="115"/>
      <c r="BN971" s="115"/>
      <c r="BO971" s="115"/>
      <c r="BP971" s="115"/>
    </row>
    <row r="972" spans="1:68" ht="20.100000000000001" customHeight="1">
      <c r="A972" s="1229" t="s">
        <v>4536</v>
      </c>
      <c r="B972" s="1229" t="s">
        <v>4799</v>
      </c>
      <c r="C972" s="1229" t="s">
        <v>4820</v>
      </c>
      <c r="D972" s="195">
        <f>D90+125</f>
        <v>890</v>
      </c>
      <c r="E972" s="195">
        <f>E90+150</f>
        <v>1580</v>
      </c>
      <c r="F972" s="195">
        <f>F90+150</f>
        <v>1630</v>
      </c>
      <c r="G972" s="110" t="s">
        <v>4560</v>
      </c>
      <c r="H972" s="48" t="s">
        <v>4556</v>
      </c>
      <c r="I972" s="38" t="s">
        <v>4540</v>
      </c>
      <c r="J972" s="30"/>
      <c r="K972" s="38">
        <v>31</v>
      </c>
      <c r="L972" s="116" t="s">
        <v>4539</v>
      </c>
      <c r="M972" s="15">
        <v>43084</v>
      </c>
      <c r="N972" s="15">
        <v>43100</v>
      </c>
      <c r="O972" s="59" t="s">
        <v>4559</v>
      </c>
      <c r="P972" s="61"/>
      <c r="Q972" s="61"/>
      <c r="R972" s="239"/>
      <c r="S972" s="336" t="s">
        <v>4558</v>
      </c>
      <c r="T972" s="722"/>
      <c r="U972" s="42"/>
      <c r="AE972" s="115"/>
      <c r="AF972" s="115"/>
      <c r="AG972" s="115"/>
      <c r="AH972" s="115"/>
      <c r="AI972" s="115"/>
      <c r="AJ972" s="115"/>
      <c r="AK972" s="115"/>
      <c r="AL972" s="115"/>
      <c r="AM972" s="115"/>
      <c r="AN972" s="115"/>
      <c r="AO972" s="115"/>
      <c r="AP972" s="115"/>
      <c r="AQ972" s="115"/>
      <c r="AR972" s="115"/>
      <c r="AS972" s="115"/>
      <c r="AT972" s="115"/>
      <c r="AU972" s="115"/>
      <c r="AV972" s="115"/>
      <c r="AW972" s="115"/>
      <c r="AX972" s="115"/>
      <c r="AY972" s="115"/>
      <c r="AZ972" s="115"/>
      <c r="BA972" s="115"/>
      <c r="BB972" s="115"/>
      <c r="BC972" s="115"/>
      <c r="BD972" s="115"/>
      <c r="BE972" s="115"/>
      <c r="BF972" s="115"/>
      <c r="BG972" s="115"/>
      <c r="BH972" s="115"/>
      <c r="BI972" s="115"/>
      <c r="BJ972" s="115"/>
      <c r="BK972" s="115"/>
      <c r="BL972" s="115"/>
      <c r="BM972" s="115"/>
      <c r="BN972" s="115"/>
      <c r="BO972" s="115"/>
      <c r="BP972" s="115"/>
    </row>
    <row r="973" spans="1:68" ht="20.100000000000001" customHeight="1">
      <c r="A973" s="1229" t="s">
        <v>4536</v>
      </c>
      <c r="B973" s="1229" t="s">
        <v>4799</v>
      </c>
      <c r="C973" s="1229" t="s">
        <v>4820</v>
      </c>
      <c r="D973" s="195">
        <f>D64+475</f>
        <v>1225</v>
      </c>
      <c r="E973" s="195">
        <f>E64+475</f>
        <v>1875</v>
      </c>
      <c r="F973" s="195">
        <f>F64+300</f>
        <v>1700</v>
      </c>
      <c r="G973" s="217" t="s">
        <v>4557</v>
      </c>
      <c r="H973" s="69" t="s">
        <v>4556</v>
      </c>
      <c r="I973" s="38" t="s">
        <v>4540</v>
      </c>
      <c r="J973" s="30"/>
      <c r="K973" s="38"/>
      <c r="L973" s="116" t="s">
        <v>4539</v>
      </c>
      <c r="M973" s="6">
        <v>43084</v>
      </c>
      <c r="N973" s="6">
        <v>43100</v>
      </c>
      <c r="O973" s="61" t="s">
        <v>4821</v>
      </c>
      <c r="P973" s="61"/>
      <c r="Q973" s="7"/>
      <c r="R973" s="239" t="s">
        <v>4554</v>
      </c>
      <c r="S973" s="326" t="s">
        <v>4543</v>
      </c>
      <c r="T973" s="722"/>
      <c r="U973" s="42"/>
      <c r="AE973" s="115"/>
      <c r="AF973" s="115"/>
      <c r="AG973" s="115"/>
      <c r="AH973" s="115"/>
      <c r="AI973" s="115"/>
      <c r="AJ973" s="115"/>
      <c r="AK973" s="115"/>
      <c r="AL973" s="115"/>
      <c r="AM973" s="115"/>
      <c r="AN973" s="115"/>
      <c r="AO973" s="115"/>
      <c r="AP973" s="115"/>
      <c r="AQ973" s="115"/>
      <c r="AR973" s="115"/>
      <c r="AS973" s="115"/>
      <c r="AT973" s="115"/>
      <c r="AU973" s="115"/>
      <c r="AV973" s="115"/>
      <c r="AW973" s="115"/>
      <c r="AX973" s="115"/>
      <c r="AY973" s="115"/>
      <c r="AZ973" s="115"/>
      <c r="BA973" s="115"/>
      <c r="BB973" s="115"/>
      <c r="BC973" s="115"/>
      <c r="BD973" s="115"/>
      <c r="BE973" s="115"/>
      <c r="BF973" s="115"/>
      <c r="BG973" s="115"/>
      <c r="BH973" s="115"/>
      <c r="BI973" s="115"/>
      <c r="BJ973" s="115"/>
      <c r="BK973" s="115"/>
      <c r="BL973" s="115"/>
      <c r="BM973" s="115"/>
      <c r="BN973" s="115"/>
      <c r="BO973" s="115"/>
      <c r="BP973" s="115"/>
    </row>
    <row r="974" spans="1:68" ht="20.100000000000001" customHeight="1">
      <c r="A974" s="1229" t="s">
        <v>4536</v>
      </c>
      <c r="B974" s="1229" t="s">
        <v>4799</v>
      </c>
      <c r="C974" s="1229" t="s">
        <v>4820</v>
      </c>
      <c r="D974" s="195">
        <f>D65+380</f>
        <v>1180</v>
      </c>
      <c r="E974" s="195">
        <f>E65+310</f>
        <v>1810</v>
      </c>
      <c r="F974" s="195">
        <f>F65+350</f>
        <v>1900</v>
      </c>
      <c r="G974" s="12" t="s">
        <v>4645</v>
      </c>
      <c r="H974" s="48" t="s">
        <v>4556</v>
      </c>
      <c r="I974" s="38" t="s">
        <v>4540</v>
      </c>
      <c r="J974" s="30"/>
      <c r="K974" s="38" t="s">
        <v>4819</v>
      </c>
      <c r="L974" s="116" t="s">
        <v>4539</v>
      </c>
      <c r="M974" s="6">
        <v>43084</v>
      </c>
      <c r="N974" s="6">
        <v>43100</v>
      </c>
      <c r="O974" s="61" t="s">
        <v>4643</v>
      </c>
      <c r="P974" s="61"/>
      <c r="Q974" s="61"/>
      <c r="R974" s="239"/>
      <c r="S974" s="326" t="s">
        <v>4641</v>
      </c>
      <c r="T974" s="722"/>
      <c r="U974" s="42"/>
      <c r="AE974" s="115"/>
      <c r="AF974" s="115"/>
      <c r="AG974" s="115"/>
      <c r="AH974" s="115"/>
      <c r="AI974" s="115"/>
      <c r="AJ974" s="115"/>
      <c r="AK974" s="115"/>
      <c r="AL974" s="115"/>
      <c r="AM974" s="115"/>
      <c r="AN974" s="115"/>
      <c r="AO974" s="115"/>
      <c r="AP974" s="115"/>
      <c r="AQ974" s="115"/>
      <c r="AR974" s="115"/>
      <c r="AS974" s="115"/>
      <c r="AT974" s="115"/>
      <c r="AU974" s="115"/>
      <c r="AV974" s="115"/>
      <c r="AW974" s="115"/>
      <c r="AX974" s="115"/>
      <c r="AY974" s="115"/>
      <c r="AZ974" s="115"/>
      <c r="BA974" s="115"/>
      <c r="BB974" s="115"/>
      <c r="BC974" s="115"/>
      <c r="BD974" s="115"/>
      <c r="BE974" s="115"/>
      <c r="BF974" s="115"/>
      <c r="BG974" s="115"/>
      <c r="BH974" s="115"/>
      <c r="BI974" s="115"/>
      <c r="BJ974" s="115"/>
      <c r="BK974" s="115"/>
      <c r="BL974" s="115"/>
      <c r="BM974" s="115"/>
      <c r="BN974" s="115"/>
      <c r="BO974" s="115"/>
      <c r="BP974" s="115"/>
    </row>
    <row r="975" spans="1:68" ht="20.100000000000001" customHeight="1">
      <c r="A975" s="1228" t="s">
        <v>4582</v>
      </c>
      <c r="B975" s="1228" t="s">
        <v>4799</v>
      </c>
      <c r="C975" s="1228" t="s">
        <v>4818</v>
      </c>
      <c r="D975" s="345">
        <f>D20+150+25</f>
        <v>1025</v>
      </c>
      <c r="E975" s="345">
        <f>E20+300+50</f>
        <v>1950</v>
      </c>
      <c r="F975" s="345">
        <f>F20+300+50</f>
        <v>2000</v>
      </c>
      <c r="G975" s="217" t="s">
        <v>4572</v>
      </c>
      <c r="H975" s="56" t="s">
        <v>4541</v>
      </c>
      <c r="I975" s="20" t="s">
        <v>4595</v>
      </c>
      <c r="J975" s="30"/>
      <c r="K975" s="38"/>
      <c r="L975" s="116" t="s">
        <v>4539</v>
      </c>
      <c r="M975" s="15">
        <v>43070</v>
      </c>
      <c r="N975" s="15">
        <v>43100</v>
      </c>
      <c r="O975" s="61" t="s">
        <v>4655</v>
      </c>
      <c r="P975" s="61"/>
      <c r="Q975" s="7"/>
      <c r="R975" s="239"/>
      <c r="S975" s="327" t="s">
        <v>4570</v>
      </c>
      <c r="T975" s="722"/>
      <c r="U975" s="42"/>
      <c r="AE975" s="115"/>
      <c r="AF975" s="115"/>
      <c r="AG975" s="115"/>
      <c r="AH975" s="115"/>
      <c r="AI975" s="115"/>
      <c r="AJ975" s="115"/>
      <c r="AK975" s="115"/>
      <c r="AL975" s="115"/>
      <c r="AM975" s="115"/>
      <c r="AN975" s="115"/>
      <c r="AO975" s="115"/>
      <c r="AP975" s="115"/>
      <c r="AQ975" s="115"/>
      <c r="AR975" s="115"/>
      <c r="AS975" s="115"/>
      <c r="AT975" s="115"/>
      <c r="AU975" s="115"/>
      <c r="AV975" s="115"/>
      <c r="AW975" s="115"/>
      <c r="AX975" s="115"/>
      <c r="AY975" s="115"/>
      <c r="AZ975" s="115"/>
      <c r="BA975" s="115"/>
      <c r="BB975" s="115"/>
      <c r="BC975" s="115"/>
      <c r="BD975" s="115"/>
      <c r="BE975" s="115"/>
      <c r="BF975" s="115"/>
      <c r="BG975" s="115"/>
      <c r="BH975" s="115"/>
      <c r="BI975" s="115"/>
      <c r="BJ975" s="115"/>
      <c r="BK975" s="115"/>
      <c r="BL975" s="115"/>
      <c r="BM975" s="115"/>
      <c r="BN975" s="115"/>
      <c r="BO975" s="115"/>
      <c r="BP975" s="115"/>
    </row>
    <row r="976" spans="1:68" ht="20.100000000000001" customHeight="1">
      <c r="A976" s="1228" t="s">
        <v>4582</v>
      </c>
      <c r="B976" s="1228" t="s">
        <v>4799</v>
      </c>
      <c r="C976" s="1228" t="s">
        <v>4818</v>
      </c>
      <c r="D976" s="273">
        <f>D211+75+25</f>
        <v>825</v>
      </c>
      <c r="E976" s="273">
        <f>E211+150+50</f>
        <v>1550</v>
      </c>
      <c r="F976" s="273">
        <f>F211+150+50</f>
        <v>1600</v>
      </c>
      <c r="G976" s="110" t="s">
        <v>4566</v>
      </c>
      <c r="H976" s="69" t="s">
        <v>4556</v>
      </c>
      <c r="I976" s="38" t="s">
        <v>4595</v>
      </c>
      <c r="J976" s="30"/>
      <c r="K976" s="38"/>
      <c r="L976" s="116" t="s">
        <v>4539</v>
      </c>
      <c r="M976" s="15">
        <v>43084</v>
      </c>
      <c r="N976" s="15">
        <v>43100</v>
      </c>
      <c r="O976" s="59" t="s">
        <v>4674</v>
      </c>
      <c r="P976" s="61"/>
      <c r="Q976" s="61"/>
      <c r="R976" s="239"/>
      <c r="S976" s="327" t="s">
        <v>4561</v>
      </c>
      <c r="T976" s="722"/>
      <c r="U976" s="42"/>
      <c r="AE976" s="115"/>
      <c r="AF976" s="115"/>
      <c r="AG976" s="115"/>
      <c r="AH976" s="115"/>
      <c r="AI976" s="115"/>
      <c r="AJ976" s="115"/>
      <c r="AK976" s="115"/>
      <c r="AL976" s="115"/>
      <c r="AM976" s="115"/>
      <c r="AN976" s="115"/>
      <c r="AO976" s="115"/>
      <c r="AP976" s="115"/>
      <c r="AQ976" s="115"/>
      <c r="AR976" s="115"/>
      <c r="AS976" s="115"/>
      <c r="AT976" s="115"/>
      <c r="AU976" s="115"/>
      <c r="AV976" s="115"/>
      <c r="AW976" s="115"/>
      <c r="AX976" s="115"/>
      <c r="AY976" s="115"/>
      <c r="AZ976" s="115"/>
      <c r="BA976" s="115"/>
      <c r="BB976" s="115"/>
      <c r="BC976" s="115"/>
      <c r="BD976" s="115"/>
      <c r="BE976" s="115"/>
      <c r="BF976" s="115"/>
      <c r="BG976" s="115"/>
      <c r="BH976" s="115"/>
      <c r="BI976" s="115"/>
      <c r="BJ976" s="115"/>
      <c r="BK976" s="115"/>
      <c r="BL976" s="115"/>
      <c r="BM976" s="115"/>
      <c r="BN976" s="115"/>
      <c r="BO976" s="115"/>
      <c r="BP976" s="115"/>
    </row>
    <row r="977" spans="1:68" ht="20.100000000000001" customHeight="1">
      <c r="A977" s="1229" t="s">
        <v>4536</v>
      </c>
      <c r="B977" s="1229" t="s">
        <v>4799</v>
      </c>
      <c r="C977" s="1229" t="s">
        <v>4817</v>
      </c>
      <c r="D977" s="345">
        <f>D20+150+25</f>
        <v>1025</v>
      </c>
      <c r="E977" s="345">
        <f>E20+300+50</f>
        <v>1950</v>
      </c>
      <c r="F977" s="345">
        <f>F20+300+50</f>
        <v>2000</v>
      </c>
      <c r="G977" s="217" t="s">
        <v>4572</v>
      </c>
      <c r="H977" s="56" t="s">
        <v>4541</v>
      </c>
      <c r="I977" s="20" t="s">
        <v>4595</v>
      </c>
      <c r="J977" s="30"/>
      <c r="K977" s="38"/>
      <c r="L977" s="116" t="s">
        <v>4539</v>
      </c>
      <c r="M977" s="15">
        <v>43070</v>
      </c>
      <c r="N977" s="15">
        <v>43100</v>
      </c>
      <c r="O977" s="61" t="s">
        <v>4655</v>
      </c>
      <c r="P977" s="61"/>
      <c r="Q977" s="7"/>
      <c r="R977" s="239"/>
      <c r="S977" s="327" t="s">
        <v>4570</v>
      </c>
      <c r="T977" s="722"/>
      <c r="U977" s="42"/>
      <c r="AE977" s="115"/>
      <c r="AF977" s="115"/>
      <c r="AG977" s="115"/>
      <c r="AH977" s="115"/>
      <c r="AI977" s="115"/>
      <c r="AJ977" s="115"/>
      <c r="AK977" s="115"/>
      <c r="AL977" s="115"/>
      <c r="AM977" s="115"/>
      <c r="AN977" s="115"/>
      <c r="AO977" s="115"/>
      <c r="AP977" s="115"/>
      <c r="AQ977" s="115"/>
      <c r="AR977" s="115"/>
      <c r="AS977" s="115"/>
      <c r="AT977" s="115"/>
      <c r="AU977" s="115"/>
      <c r="AV977" s="115"/>
      <c r="AW977" s="115"/>
      <c r="AX977" s="115"/>
      <c r="AY977" s="115"/>
      <c r="AZ977" s="115"/>
      <c r="BA977" s="115"/>
      <c r="BB977" s="115"/>
      <c r="BC977" s="115"/>
      <c r="BD977" s="115"/>
      <c r="BE977" s="115"/>
      <c r="BF977" s="115"/>
      <c r="BG977" s="115"/>
      <c r="BH977" s="115"/>
      <c r="BI977" s="115"/>
      <c r="BJ977" s="115"/>
      <c r="BK977" s="115"/>
      <c r="BL977" s="115"/>
      <c r="BM977" s="115"/>
      <c r="BN977" s="115"/>
      <c r="BO977" s="115"/>
      <c r="BP977" s="115"/>
    </row>
    <row r="978" spans="1:68" ht="20.100000000000001" customHeight="1">
      <c r="A978" s="1229" t="s">
        <v>4536</v>
      </c>
      <c r="B978" s="1229" t="s">
        <v>4799</v>
      </c>
      <c r="C978" s="1229" t="s">
        <v>4817</v>
      </c>
      <c r="D978" s="344">
        <f>D97+75+0</f>
        <v>950</v>
      </c>
      <c r="E978" s="344">
        <f>E97+125+0</f>
        <v>1675</v>
      </c>
      <c r="F978" s="344">
        <f>F97+125+0</f>
        <v>1725</v>
      </c>
      <c r="G978" s="217" t="s">
        <v>4575</v>
      </c>
      <c r="H978" s="48" t="s">
        <v>4574</v>
      </c>
      <c r="I978" s="38" t="s">
        <v>4540</v>
      </c>
      <c r="J978" s="30"/>
      <c r="K978" s="38"/>
      <c r="L978" s="116" t="s">
        <v>4539</v>
      </c>
      <c r="M978" s="15">
        <v>43084</v>
      </c>
      <c r="N978" s="15">
        <v>43100</v>
      </c>
      <c r="O978" s="61" t="s">
        <v>4573</v>
      </c>
      <c r="P978" s="61"/>
      <c r="Q978" s="61"/>
      <c r="R978" s="239"/>
      <c r="S978" s="328" t="s">
        <v>4543</v>
      </c>
      <c r="T978" s="722"/>
      <c r="U978" s="42"/>
      <c r="AE978" s="115"/>
      <c r="AF978" s="115"/>
      <c r="AG978" s="115"/>
      <c r="AH978" s="115"/>
      <c r="AI978" s="115"/>
      <c r="AJ978" s="115"/>
      <c r="AK978" s="115"/>
      <c r="AL978" s="115"/>
      <c r="AM978" s="115"/>
      <c r="AN978" s="115"/>
      <c r="AO978" s="115"/>
      <c r="AP978" s="115"/>
      <c r="AQ978" s="115"/>
      <c r="AR978" s="115"/>
      <c r="AS978" s="115"/>
      <c r="AT978" s="115"/>
      <c r="AU978" s="115"/>
      <c r="AV978" s="115"/>
      <c r="AW978" s="115"/>
      <c r="AX978" s="115"/>
      <c r="AY978" s="115"/>
      <c r="AZ978" s="115"/>
      <c r="BA978" s="115"/>
      <c r="BB978" s="115"/>
      <c r="BC978" s="115"/>
      <c r="BD978" s="115"/>
      <c r="BE978" s="115"/>
      <c r="BF978" s="115"/>
      <c r="BG978" s="115"/>
      <c r="BH978" s="115"/>
      <c r="BI978" s="115"/>
      <c r="BJ978" s="115"/>
      <c r="BK978" s="115"/>
      <c r="BL978" s="115"/>
      <c r="BM978" s="115"/>
      <c r="BN978" s="115"/>
      <c r="BO978" s="115"/>
      <c r="BP978" s="115"/>
    </row>
    <row r="979" spans="1:68" ht="20.100000000000001" customHeight="1">
      <c r="A979" s="1229" t="s">
        <v>4536</v>
      </c>
      <c r="B979" s="1229" t="s">
        <v>4799</v>
      </c>
      <c r="C979" s="1229" t="s">
        <v>4817</v>
      </c>
      <c r="D979" s="273">
        <f>D211+75+25</f>
        <v>825</v>
      </c>
      <c r="E979" s="273">
        <f>E211+150+50</f>
        <v>1550</v>
      </c>
      <c r="F979" s="273">
        <f>F211+150+50</f>
        <v>1600</v>
      </c>
      <c r="G979" s="110" t="s">
        <v>4566</v>
      </c>
      <c r="H979" s="69" t="s">
        <v>4556</v>
      </c>
      <c r="I979" s="38" t="s">
        <v>4595</v>
      </c>
      <c r="J979" s="30"/>
      <c r="K979" s="38"/>
      <c r="L979" s="116" t="s">
        <v>4539</v>
      </c>
      <c r="M979" s="15">
        <v>43084</v>
      </c>
      <c r="N979" s="15">
        <v>43100</v>
      </c>
      <c r="O979" s="59" t="s">
        <v>4674</v>
      </c>
      <c r="P979" s="61"/>
      <c r="Q979" s="61"/>
      <c r="R979" s="239"/>
      <c r="S979" s="327" t="s">
        <v>4561</v>
      </c>
      <c r="T979" s="722"/>
      <c r="U979" s="42"/>
      <c r="AE979" s="233"/>
      <c r="AF979" s="233"/>
      <c r="AG979" s="233"/>
      <c r="AH979" s="233"/>
      <c r="AI979" s="233"/>
      <c r="AJ979" s="233"/>
      <c r="AK979" s="233"/>
      <c r="AL979" s="233"/>
      <c r="AM979" s="233"/>
      <c r="AN979" s="233"/>
      <c r="AO979" s="233"/>
      <c r="AP979" s="233"/>
      <c r="AQ979" s="233"/>
      <c r="AR979" s="233"/>
      <c r="AS979" s="233"/>
      <c r="AT979" s="233"/>
      <c r="AU979" s="233"/>
      <c r="AV979" s="233"/>
      <c r="AW979" s="233"/>
      <c r="AX979" s="233"/>
      <c r="AY979" s="233"/>
      <c r="AZ979" s="233"/>
      <c r="BA979" s="233"/>
      <c r="BB979" s="233"/>
      <c r="BC979" s="233"/>
      <c r="BD979" s="233"/>
      <c r="BE979" s="233"/>
      <c r="BF979" s="233"/>
      <c r="BG979" s="233"/>
      <c r="BH979" s="233"/>
      <c r="BI979" s="233"/>
      <c r="BJ979" s="233"/>
      <c r="BK979" s="233"/>
      <c r="BL979" s="233"/>
      <c r="BM979" s="233"/>
      <c r="BN979" s="233"/>
      <c r="BO979" s="233"/>
      <c r="BP979" s="233"/>
    </row>
    <row r="980" spans="1:68" ht="20.100000000000001" customHeight="1">
      <c r="A980" s="1229" t="s">
        <v>4536</v>
      </c>
      <c r="B980" s="1229" t="s">
        <v>4799</v>
      </c>
      <c r="C980" s="1229" t="s">
        <v>4817</v>
      </c>
      <c r="D980" s="195">
        <f>D43+250+25</f>
        <v>1025</v>
      </c>
      <c r="E980" s="195">
        <f>E43+500+50</f>
        <v>1950</v>
      </c>
      <c r="F980" s="195">
        <f>F43+500+50</f>
        <v>2000</v>
      </c>
      <c r="G980" s="110" t="s">
        <v>4636</v>
      </c>
      <c r="H980" s="36" t="s">
        <v>4667</v>
      </c>
      <c r="I980" s="38" t="s">
        <v>4666</v>
      </c>
      <c r="J980" s="30"/>
      <c r="K980" s="38"/>
      <c r="L980" s="116" t="s">
        <v>4539</v>
      </c>
      <c r="M980" s="6">
        <v>43084</v>
      </c>
      <c r="N980" s="6">
        <v>43100</v>
      </c>
      <c r="O980" s="61" t="s">
        <v>4633</v>
      </c>
      <c r="P980" s="61"/>
      <c r="Q980" s="61"/>
      <c r="R980" s="239"/>
      <c r="S980" s="327" t="s">
        <v>4632</v>
      </c>
      <c r="T980" s="722"/>
      <c r="U980" s="42"/>
      <c r="AE980" s="115"/>
      <c r="AF980" s="115"/>
      <c r="AG980" s="115"/>
      <c r="AH980" s="115"/>
      <c r="AI980" s="115"/>
      <c r="AJ980" s="115"/>
      <c r="AK980" s="115"/>
      <c r="AL980" s="115"/>
      <c r="AM980" s="115"/>
      <c r="AN980" s="115"/>
      <c r="AO980" s="115"/>
      <c r="AP980" s="115"/>
      <c r="AQ980" s="115"/>
      <c r="AR980" s="115"/>
      <c r="AS980" s="115"/>
      <c r="AT980" s="115"/>
      <c r="AU980" s="115"/>
      <c r="AV980" s="115"/>
      <c r="AW980" s="115"/>
      <c r="AX980" s="115"/>
      <c r="AY980" s="115"/>
      <c r="AZ980" s="115"/>
      <c r="BA980" s="115"/>
      <c r="BB980" s="115"/>
      <c r="BC980" s="115"/>
      <c r="BD980" s="115"/>
      <c r="BE980" s="115"/>
      <c r="BF980" s="115"/>
      <c r="BG980" s="115"/>
      <c r="BH980" s="115"/>
      <c r="BI980" s="115"/>
      <c r="BJ980" s="115"/>
      <c r="BK980" s="115"/>
      <c r="BL980" s="115"/>
      <c r="BM980" s="115"/>
      <c r="BN980" s="115"/>
      <c r="BO980" s="115"/>
      <c r="BP980" s="115"/>
    </row>
    <row r="981" spans="1:68" ht="20.100000000000001" customHeight="1">
      <c r="A981" s="1229" t="s">
        <v>4536</v>
      </c>
      <c r="B981" s="1229" t="s">
        <v>4799</v>
      </c>
      <c r="C981" s="1229" t="s">
        <v>4817</v>
      </c>
      <c r="D981" s="195">
        <f>D14+75</f>
        <v>855</v>
      </c>
      <c r="E981" s="195">
        <f>E14+150</f>
        <v>1607</v>
      </c>
      <c r="F981" s="195">
        <f>F14+150</f>
        <v>1607</v>
      </c>
      <c r="G981" s="225" t="s">
        <v>4569</v>
      </c>
      <c r="H981" s="69" t="s">
        <v>4602</v>
      </c>
      <c r="I981" s="38" t="s">
        <v>4595</v>
      </c>
      <c r="J981" s="30"/>
      <c r="K981" s="38" t="s">
        <v>4735</v>
      </c>
      <c r="L981" s="116" t="s">
        <v>4539</v>
      </c>
      <c r="M981" s="6">
        <v>43074</v>
      </c>
      <c r="N981" s="6">
        <v>43084</v>
      </c>
      <c r="O981" s="61" t="s">
        <v>4664</v>
      </c>
      <c r="P981" s="61"/>
      <c r="Q981" s="61"/>
      <c r="R981" s="239"/>
      <c r="S981" s="328" t="s">
        <v>4543</v>
      </c>
      <c r="T981" s="722"/>
      <c r="U981" s="42"/>
      <c r="AE981" s="115"/>
      <c r="AF981" s="115"/>
      <c r="AG981" s="115"/>
      <c r="AH981" s="115"/>
      <c r="AI981" s="115"/>
      <c r="AJ981" s="115"/>
      <c r="AK981" s="115"/>
      <c r="AL981" s="115"/>
      <c r="AM981" s="115"/>
      <c r="AN981" s="115"/>
      <c r="AO981" s="115"/>
      <c r="AP981" s="115"/>
      <c r="AQ981" s="115"/>
      <c r="AR981" s="115"/>
      <c r="AS981" s="115"/>
      <c r="AT981" s="115"/>
      <c r="AU981" s="115"/>
      <c r="AV981" s="115"/>
      <c r="AW981" s="115"/>
      <c r="AX981" s="115"/>
      <c r="AY981" s="115"/>
      <c r="AZ981" s="115"/>
      <c r="BA981" s="115"/>
      <c r="BB981" s="115"/>
      <c r="BC981" s="115"/>
      <c r="BD981" s="115"/>
      <c r="BE981" s="115"/>
      <c r="BF981" s="115"/>
      <c r="BG981" s="115"/>
      <c r="BH981" s="115"/>
      <c r="BI981" s="115"/>
      <c r="BJ981" s="115"/>
      <c r="BK981" s="115"/>
      <c r="BL981" s="115"/>
      <c r="BM981" s="115"/>
      <c r="BN981" s="115"/>
      <c r="BO981" s="115"/>
      <c r="BP981" s="115"/>
    </row>
    <row r="982" spans="1:68" ht="20.100000000000001" customHeight="1">
      <c r="A982" s="1229" t="s">
        <v>4536</v>
      </c>
      <c r="B982" s="1229" t="s">
        <v>4799</v>
      </c>
      <c r="C982" s="1229" t="s">
        <v>4817</v>
      </c>
      <c r="D982" s="195">
        <f>D90+400</f>
        <v>1165</v>
      </c>
      <c r="E982" s="195">
        <f>E90+450</f>
        <v>1880</v>
      </c>
      <c r="F982" s="195">
        <f>F90+450</f>
        <v>1930</v>
      </c>
      <c r="G982" s="110" t="s">
        <v>4560</v>
      </c>
      <c r="H982" s="48" t="s">
        <v>4556</v>
      </c>
      <c r="I982" s="38" t="s">
        <v>4540</v>
      </c>
      <c r="J982" s="30"/>
      <c r="K982" s="38">
        <v>35</v>
      </c>
      <c r="L982" s="116" t="s">
        <v>4539</v>
      </c>
      <c r="M982" s="15">
        <v>43084</v>
      </c>
      <c r="N982" s="15">
        <v>43100</v>
      </c>
      <c r="O982" s="59" t="s">
        <v>4559</v>
      </c>
      <c r="P982" s="61"/>
      <c r="Q982" s="61"/>
      <c r="R982" s="239"/>
      <c r="S982" s="336" t="s">
        <v>4558</v>
      </c>
      <c r="T982" s="722"/>
      <c r="U982" s="42"/>
      <c r="AE982" s="115"/>
      <c r="AF982" s="115"/>
      <c r="AG982" s="115"/>
      <c r="AH982" s="115"/>
      <c r="AI982" s="115"/>
      <c r="AJ982" s="115"/>
      <c r="AK982" s="115"/>
      <c r="AL982" s="115"/>
      <c r="AM982" s="115"/>
      <c r="AN982" s="115"/>
      <c r="AO982" s="115"/>
      <c r="AP982" s="115"/>
      <c r="AQ982" s="115"/>
      <c r="AR982" s="115"/>
      <c r="AS982" s="115"/>
      <c r="AT982" s="115"/>
      <c r="AU982" s="115"/>
      <c r="AV982" s="115"/>
      <c r="AW982" s="115"/>
      <c r="AX982" s="115"/>
      <c r="AY982" s="115"/>
      <c r="AZ982" s="115"/>
      <c r="BA982" s="115"/>
      <c r="BB982" s="115"/>
      <c r="BC982" s="115"/>
      <c r="BD982" s="115"/>
      <c r="BE982" s="115"/>
      <c r="BF982" s="115"/>
      <c r="BG982" s="115"/>
      <c r="BH982" s="115"/>
      <c r="BI982" s="115"/>
      <c r="BJ982" s="115"/>
      <c r="BK982" s="115"/>
      <c r="BL982" s="115"/>
      <c r="BM982" s="115"/>
      <c r="BN982" s="115"/>
      <c r="BO982" s="115"/>
      <c r="BP982" s="115"/>
    </row>
    <row r="983" spans="1:68" ht="20.100000000000001" customHeight="1">
      <c r="A983" s="1229" t="s">
        <v>4536</v>
      </c>
      <c r="B983" s="1229" t="s">
        <v>4799</v>
      </c>
      <c r="C983" s="1229" t="s">
        <v>4817</v>
      </c>
      <c r="D983" s="195">
        <f>D64+600</f>
        <v>1350</v>
      </c>
      <c r="E983" s="195">
        <f>E64+800</f>
        <v>2200</v>
      </c>
      <c r="F983" s="195">
        <f>F64+800</f>
        <v>2200</v>
      </c>
      <c r="G983" s="217" t="s">
        <v>4557</v>
      </c>
      <c r="H983" s="69" t="s">
        <v>4556</v>
      </c>
      <c r="I983" s="38" t="s">
        <v>4540</v>
      </c>
      <c r="J983" s="30"/>
      <c r="K983" s="38"/>
      <c r="L983" s="116" t="s">
        <v>4539</v>
      </c>
      <c r="M983" s="6">
        <v>43084</v>
      </c>
      <c r="N983" s="6">
        <v>43100</v>
      </c>
      <c r="O983" s="61" t="s">
        <v>4555</v>
      </c>
      <c r="P983" s="61"/>
      <c r="Q983" s="7"/>
      <c r="R983" s="239" t="s">
        <v>4554</v>
      </c>
      <c r="S983" s="326" t="s">
        <v>4543</v>
      </c>
      <c r="T983" s="722"/>
      <c r="U983" s="42"/>
      <c r="AE983" s="115"/>
      <c r="AF983" s="115"/>
      <c r="AG983" s="115"/>
      <c r="AH983" s="115"/>
      <c r="AI983" s="115"/>
      <c r="AJ983" s="115"/>
      <c r="AK983" s="115"/>
      <c r="AL983" s="115"/>
      <c r="AM983" s="115"/>
      <c r="AN983" s="115"/>
      <c r="AO983" s="115"/>
      <c r="AP983" s="115"/>
      <c r="AQ983" s="115"/>
      <c r="AR983" s="115"/>
      <c r="AS983" s="115"/>
      <c r="AT983" s="115"/>
      <c r="AU983" s="115"/>
      <c r="AV983" s="115"/>
      <c r="AW983" s="115"/>
      <c r="AX983" s="115"/>
      <c r="AY983" s="115"/>
      <c r="AZ983" s="115"/>
      <c r="BA983" s="115"/>
      <c r="BB983" s="115"/>
      <c r="BC983" s="115"/>
      <c r="BD983" s="115"/>
      <c r="BE983" s="115"/>
      <c r="BF983" s="115"/>
      <c r="BG983" s="115"/>
      <c r="BH983" s="115"/>
      <c r="BI983" s="115"/>
      <c r="BJ983" s="115"/>
      <c r="BK983" s="115"/>
      <c r="BL983" s="115"/>
      <c r="BM983" s="115"/>
      <c r="BN983" s="115"/>
      <c r="BO983" s="115"/>
      <c r="BP983" s="115"/>
    </row>
    <row r="984" spans="1:68" ht="20.100000000000001" customHeight="1">
      <c r="A984" s="1229" t="s">
        <v>4536</v>
      </c>
      <c r="B984" s="1229" t="s">
        <v>4799</v>
      </c>
      <c r="C984" s="1229" t="s">
        <v>4817</v>
      </c>
      <c r="D984" s="195">
        <f>D39+75</f>
        <v>975</v>
      </c>
      <c r="E984" s="195">
        <f>E39+150</f>
        <v>1750</v>
      </c>
      <c r="F984" s="195">
        <f>F39+150</f>
        <v>1800</v>
      </c>
      <c r="G984" s="110" t="s">
        <v>4553</v>
      </c>
      <c r="H984" s="36" t="s">
        <v>4667</v>
      </c>
      <c r="I984" s="38" t="s">
        <v>4666</v>
      </c>
      <c r="J984" s="30"/>
      <c r="K984" s="38">
        <v>42</v>
      </c>
      <c r="L984" s="116" t="s">
        <v>4539</v>
      </c>
      <c r="M984" s="6">
        <v>43085</v>
      </c>
      <c r="N984" s="6">
        <v>43100</v>
      </c>
      <c r="O984" s="61" t="s">
        <v>4673</v>
      </c>
      <c r="P984" s="61"/>
      <c r="Q984" s="167"/>
      <c r="R984" s="239"/>
      <c r="S984" s="328" t="s">
        <v>4543</v>
      </c>
      <c r="T984" s="722"/>
      <c r="U984" s="42"/>
      <c r="AE984" s="115"/>
      <c r="AF984" s="115"/>
      <c r="AG984" s="115"/>
      <c r="AH984" s="115"/>
      <c r="AI984" s="115"/>
      <c r="AJ984" s="115"/>
      <c r="AK984" s="115"/>
      <c r="AL984" s="115"/>
      <c r="AM984" s="115"/>
      <c r="AN984" s="115"/>
      <c r="AO984" s="115"/>
      <c r="AP984" s="115"/>
      <c r="AQ984" s="115"/>
      <c r="AR984" s="115"/>
      <c r="AS984" s="115"/>
      <c r="AT984" s="115"/>
      <c r="AU984" s="115"/>
      <c r="AV984" s="115"/>
      <c r="AW984" s="115"/>
      <c r="AX984" s="115"/>
      <c r="AY984" s="115"/>
      <c r="AZ984" s="115"/>
      <c r="BA984" s="115"/>
      <c r="BB984" s="115"/>
      <c r="BC984" s="115"/>
      <c r="BD984" s="115"/>
      <c r="BE984" s="115"/>
      <c r="BF984" s="115"/>
      <c r="BG984" s="115"/>
      <c r="BH984" s="115"/>
      <c r="BI984" s="115"/>
      <c r="BJ984" s="115"/>
      <c r="BK984" s="115"/>
      <c r="BL984" s="115"/>
      <c r="BM984" s="115"/>
      <c r="BN984" s="115"/>
      <c r="BO984" s="115"/>
      <c r="BP984" s="115"/>
    </row>
    <row r="985" spans="1:68" ht="20.100000000000001" customHeight="1">
      <c r="A985" s="1229" t="s">
        <v>4536</v>
      </c>
      <c r="B985" s="1229" t="s">
        <v>4799</v>
      </c>
      <c r="C985" s="1229" t="s">
        <v>4817</v>
      </c>
      <c r="D985" s="195">
        <f>D19+525+25</f>
        <v>1325</v>
      </c>
      <c r="E985" s="195">
        <f>E19+850+50</f>
        <v>2350</v>
      </c>
      <c r="F985" s="195">
        <f>F19+850+50</f>
        <v>2400</v>
      </c>
      <c r="G985" s="12" t="s">
        <v>4542</v>
      </c>
      <c r="H985" s="69" t="s">
        <v>4541</v>
      </c>
      <c r="I985" s="38" t="s">
        <v>4595</v>
      </c>
      <c r="J985" s="140"/>
      <c r="K985" s="38"/>
      <c r="L985" s="116" t="s">
        <v>4539</v>
      </c>
      <c r="M985" s="15">
        <v>43084</v>
      </c>
      <c r="N985" s="15">
        <v>43100</v>
      </c>
      <c r="O985" s="61" t="s">
        <v>4538</v>
      </c>
      <c r="P985" s="61"/>
      <c r="Q985" s="61"/>
      <c r="R985" s="239"/>
      <c r="S985" s="326" t="s">
        <v>4537</v>
      </c>
      <c r="T985" s="722"/>
      <c r="U985" s="42"/>
      <c r="AE985" s="115"/>
      <c r="AF985" s="115"/>
      <c r="AG985" s="115"/>
      <c r="AH985" s="115"/>
      <c r="AI985" s="115"/>
      <c r="AJ985" s="115"/>
      <c r="AK985" s="115"/>
      <c r="AL985" s="115"/>
      <c r="AM985" s="115"/>
      <c r="AN985" s="115"/>
      <c r="AO985" s="115"/>
      <c r="AP985" s="115"/>
      <c r="AQ985" s="115"/>
      <c r="AR985" s="115"/>
      <c r="AS985" s="115"/>
      <c r="AT985" s="115"/>
      <c r="AU985" s="115"/>
      <c r="AV985" s="115"/>
      <c r="AW985" s="115"/>
      <c r="AX985" s="115"/>
      <c r="AY985" s="115"/>
      <c r="AZ985" s="115"/>
      <c r="BA985" s="115"/>
      <c r="BB985" s="115"/>
      <c r="BC985" s="115"/>
      <c r="BD985" s="115"/>
      <c r="BE985" s="115"/>
      <c r="BF985" s="115"/>
      <c r="BG985" s="115"/>
      <c r="BH985" s="115"/>
      <c r="BI985" s="115"/>
      <c r="BJ985" s="115"/>
      <c r="BK985" s="115"/>
      <c r="BL985" s="115"/>
      <c r="BM985" s="115"/>
      <c r="BN985" s="115"/>
      <c r="BO985" s="115"/>
      <c r="BP985" s="115"/>
    </row>
    <row r="986" spans="1:68" ht="20.100000000000001" customHeight="1">
      <c r="A986" s="1229" t="s">
        <v>4536</v>
      </c>
      <c r="B986" s="1229" t="s">
        <v>4799</v>
      </c>
      <c r="C986" s="1229" t="s">
        <v>4817</v>
      </c>
      <c r="D986" s="195">
        <f>D65+300</f>
        <v>1100</v>
      </c>
      <c r="E986" s="195">
        <f>E65+350</f>
        <v>1850</v>
      </c>
      <c r="F986" s="195">
        <f>F65+350</f>
        <v>1900</v>
      </c>
      <c r="G986" s="12" t="s">
        <v>4645</v>
      </c>
      <c r="H986" s="48" t="s">
        <v>4556</v>
      </c>
      <c r="I986" s="38" t="s">
        <v>4540</v>
      </c>
      <c r="J986" s="30"/>
      <c r="K986" s="38" t="s">
        <v>4816</v>
      </c>
      <c r="L986" s="116" t="s">
        <v>4539</v>
      </c>
      <c r="M986" s="6">
        <v>43084</v>
      </c>
      <c r="N986" s="6">
        <v>43100</v>
      </c>
      <c r="O986" s="61" t="s">
        <v>4643</v>
      </c>
      <c r="P986" s="61"/>
      <c r="Q986" s="61"/>
      <c r="R986" s="239"/>
      <c r="S986" s="326" t="s">
        <v>4641</v>
      </c>
      <c r="T986" s="722"/>
      <c r="U986" s="42"/>
      <c r="AE986" s="115"/>
      <c r="AF986" s="115"/>
      <c r="AG986" s="115"/>
      <c r="AH986" s="115"/>
      <c r="AI986" s="115"/>
      <c r="AJ986" s="115"/>
      <c r="AK986" s="115"/>
      <c r="AL986" s="115"/>
      <c r="AM986" s="115"/>
      <c r="AN986" s="115"/>
      <c r="AO986" s="115"/>
      <c r="AP986" s="115"/>
      <c r="AQ986" s="115"/>
      <c r="AR986" s="115"/>
      <c r="AS986" s="115"/>
      <c r="AT986" s="115"/>
      <c r="AU986" s="115"/>
      <c r="AV986" s="115"/>
      <c r="AW986" s="115"/>
      <c r="AX986" s="115"/>
      <c r="AY986" s="115"/>
      <c r="AZ986" s="115"/>
      <c r="BA986" s="115"/>
      <c r="BB986" s="115"/>
      <c r="BC986" s="115"/>
      <c r="BD986" s="115"/>
      <c r="BE986" s="115"/>
      <c r="BF986" s="115"/>
      <c r="BG986" s="115"/>
      <c r="BH986" s="115"/>
      <c r="BI986" s="115"/>
      <c r="BJ986" s="115"/>
      <c r="BK986" s="115"/>
      <c r="BL986" s="115"/>
      <c r="BM986" s="115"/>
      <c r="BN986" s="115"/>
      <c r="BO986" s="115"/>
      <c r="BP986" s="115"/>
    </row>
    <row r="987" spans="1:68" ht="20.100000000000001" customHeight="1">
      <c r="A987" s="908" t="s">
        <v>4640</v>
      </c>
      <c r="B987" s="908" t="s">
        <v>4799</v>
      </c>
      <c r="C987" s="908" t="s">
        <v>4815</v>
      </c>
      <c r="D987" s="195"/>
      <c r="E987" s="195"/>
      <c r="F987" s="195"/>
      <c r="G987" s="217" t="s">
        <v>4575</v>
      </c>
      <c r="H987" s="48" t="s">
        <v>4541</v>
      </c>
      <c r="I987" s="38" t="s">
        <v>4595</v>
      </c>
      <c r="J987" s="30"/>
      <c r="K987" s="38"/>
      <c r="L987" s="116" t="s">
        <v>4539</v>
      </c>
      <c r="M987" s="15">
        <v>43084</v>
      </c>
      <c r="N987" s="15">
        <v>43100</v>
      </c>
      <c r="O987" s="61" t="s">
        <v>4573</v>
      </c>
      <c r="P987" s="61"/>
      <c r="Q987" s="61"/>
      <c r="R987" s="239"/>
      <c r="S987" s="328" t="s">
        <v>4543</v>
      </c>
      <c r="T987" s="722"/>
      <c r="U987" s="42"/>
      <c r="AE987" s="283"/>
      <c r="AF987" s="283"/>
      <c r="AG987" s="283"/>
      <c r="AH987" s="283"/>
      <c r="AI987" s="283"/>
      <c r="AJ987" s="283"/>
      <c r="AK987" s="283"/>
      <c r="AL987" s="283"/>
      <c r="AM987" s="283"/>
      <c r="AN987" s="283"/>
      <c r="AO987" s="283"/>
      <c r="AP987" s="283"/>
      <c r="AQ987" s="283"/>
      <c r="AR987" s="283"/>
      <c r="AS987" s="283"/>
      <c r="AT987" s="283"/>
      <c r="AU987" s="283"/>
      <c r="AV987" s="283"/>
      <c r="AW987" s="283"/>
      <c r="AX987" s="283"/>
      <c r="AY987" s="283"/>
      <c r="AZ987" s="283"/>
      <c r="BA987" s="283"/>
      <c r="BB987" s="283"/>
      <c r="BC987" s="283"/>
      <c r="BD987" s="283"/>
      <c r="BE987" s="283"/>
      <c r="BF987" s="283"/>
      <c r="BG987" s="283"/>
      <c r="BH987" s="283"/>
      <c r="BI987" s="283"/>
      <c r="BJ987" s="283"/>
      <c r="BK987" s="283"/>
      <c r="BL987" s="283"/>
      <c r="BM987" s="283"/>
      <c r="BN987" s="283"/>
      <c r="BO987" s="283"/>
      <c r="BP987" s="283"/>
    </row>
    <row r="988" spans="1:68" ht="20.100000000000001" customHeight="1">
      <c r="A988" s="1229" t="s">
        <v>4536</v>
      </c>
      <c r="B988" s="1229" t="s">
        <v>4799</v>
      </c>
      <c r="C988" s="1229" t="s">
        <v>4814</v>
      </c>
      <c r="D988" s="196">
        <f>D36+350</f>
        <v>1225</v>
      </c>
      <c r="E988" s="196">
        <f>E36+500</f>
        <v>2050</v>
      </c>
      <c r="F988" s="196">
        <f>F36+500</f>
        <v>2100</v>
      </c>
      <c r="G988" s="217" t="s">
        <v>4575</v>
      </c>
      <c r="H988" s="48" t="s">
        <v>4541</v>
      </c>
      <c r="I988" s="38" t="s">
        <v>4595</v>
      </c>
      <c r="J988" s="30"/>
      <c r="K988" s="38"/>
      <c r="L988" s="116" t="s">
        <v>4539</v>
      </c>
      <c r="M988" s="15">
        <v>43084</v>
      </c>
      <c r="N988" s="15">
        <v>43100</v>
      </c>
      <c r="O988" s="61" t="s">
        <v>4573</v>
      </c>
      <c r="P988" s="61"/>
      <c r="Q988" s="61"/>
      <c r="R988" s="239"/>
      <c r="S988" s="328" t="s">
        <v>4543</v>
      </c>
      <c r="T988" s="722"/>
      <c r="U988" s="42"/>
      <c r="AE988" s="115"/>
      <c r="AF988" s="115"/>
      <c r="AG988" s="115"/>
      <c r="AH988" s="115"/>
      <c r="AI988" s="115"/>
      <c r="AJ988" s="115"/>
      <c r="AK988" s="115"/>
      <c r="AL988" s="115"/>
      <c r="AM988" s="115"/>
      <c r="AN988" s="115"/>
      <c r="AO988" s="115"/>
      <c r="AP988" s="115"/>
      <c r="AQ988" s="115"/>
      <c r="AR988" s="115"/>
      <c r="AS988" s="115"/>
      <c r="AT988" s="115"/>
      <c r="AU988" s="115"/>
      <c r="AV988" s="115"/>
      <c r="AW988" s="115"/>
      <c r="AX988" s="115"/>
      <c r="AY988" s="115"/>
      <c r="AZ988" s="115"/>
      <c r="BA988" s="115"/>
      <c r="BB988" s="115"/>
      <c r="BC988" s="115"/>
      <c r="BD988" s="115"/>
      <c r="BE988" s="115"/>
      <c r="BF988" s="115"/>
      <c r="BG988" s="115"/>
      <c r="BH988" s="115"/>
      <c r="BI988" s="115"/>
      <c r="BJ988" s="115"/>
      <c r="BK988" s="115"/>
      <c r="BL988" s="115"/>
      <c r="BM988" s="115"/>
      <c r="BN988" s="115"/>
      <c r="BO988" s="115"/>
      <c r="BP988" s="115"/>
    </row>
    <row r="989" spans="1:68" ht="20.100000000000001" customHeight="1">
      <c r="A989" s="1229" t="s">
        <v>4536</v>
      </c>
      <c r="B989" s="1229" t="s">
        <v>4799</v>
      </c>
      <c r="C989" s="1229" t="s">
        <v>4814</v>
      </c>
      <c r="D989" s="273">
        <f>D211+175+25</f>
        <v>925</v>
      </c>
      <c r="E989" s="273">
        <f>E211+350+50</f>
        <v>1750</v>
      </c>
      <c r="F989" s="273">
        <f>F211+350+50</f>
        <v>1800</v>
      </c>
      <c r="G989" s="110" t="s">
        <v>4566</v>
      </c>
      <c r="H989" s="69" t="s">
        <v>4556</v>
      </c>
      <c r="I989" s="38" t="s">
        <v>4595</v>
      </c>
      <c r="J989" s="30"/>
      <c r="K989" s="38"/>
      <c r="L989" s="116" t="s">
        <v>4539</v>
      </c>
      <c r="M989" s="15">
        <v>43084</v>
      </c>
      <c r="N989" s="15">
        <v>43100</v>
      </c>
      <c r="O989" s="59" t="s">
        <v>4674</v>
      </c>
      <c r="P989" s="61"/>
      <c r="Q989" s="61"/>
      <c r="R989" s="239"/>
      <c r="S989" s="327" t="s">
        <v>4561</v>
      </c>
      <c r="T989" s="722"/>
      <c r="U989" s="42"/>
      <c r="AE989" s="115"/>
      <c r="AF989" s="115"/>
      <c r="AG989" s="115"/>
      <c r="AH989" s="115"/>
      <c r="AI989" s="115"/>
      <c r="AJ989" s="115"/>
      <c r="AK989" s="115"/>
      <c r="AL989" s="115"/>
      <c r="AM989" s="115"/>
      <c r="AN989" s="115"/>
      <c r="AO989" s="115"/>
      <c r="AP989" s="115"/>
      <c r="AQ989" s="115"/>
      <c r="AR989" s="115"/>
      <c r="AS989" s="115"/>
      <c r="AT989" s="115"/>
      <c r="AU989" s="115"/>
      <c r="AV989" s="115"/>
      <c r="AW989" s="115"/>
      <c r="AX989" s="115"/>
      <c r="AY989" s="115"/>
      <c r="AZ989" s="115"/>
      <c r="BA989" s="115"/>
      <c r="BB989" s="115"/>
      <c r="BC989" s="115"/>
      <c r="BD989" s="115"/>
      <c r="BE989" s="115"/>
      <c r="BF989" s="115"/>
      <c r="BG989" s="115"/>
      <c r="BH989" s="115"/>
      <c r="BI989" s="115"/>
      <c r="BJ989" s="115"/>
      <c r="BK989" s="115"/>
      <c r="BL989" s="115"/>
      <c r="BM989" s="115"/>
      <c r="BN989" s="115"/>
      <c r="BO989" s="115"/>
      <c r="BP989" s="115"/>
    </row>
    <row r="990" spans="1:68" ht="20.100000000000001" customHeight="1">
      <c r="A990" s="1229" t="s">
        <v>4536</v>
      </c>
      <c r="B990" s="1229" t="s">
        <v>4799</v>
      </c>
      <c r="C990" s="1229" t="s">
        <v>4814</v>
      </c>
      <c r="D990" s="195">
        <f>D43+380+25</f>
        <v>1155</v>
      </c>
      <c r="E990" s="195">
        <f>E43+680+50</f>
        <v>2130</v>
      </c>
      <c r="F990" s="195">
        <f>F43+680+50</f>
        <v>2180</v>
      </c>
      <c r="G990" s="110" t="s">
        <v>4636</v>
      </c>
      <c r="H990" s="36" t="s">
        <v>4667</v>
      </c>
      <c r="I990" s="38" t="s">
        <v>4666</v>
      </c>
      <c r="J990" s="30"/>
      <c r="K990" s="38"/>
      <c r="L990" s="116" t="s">
        <v>4539</v>
      </c>
      <c r="M990" s="6">
        <v>43084</v>
      </c>
      <c r="N990" s="6">
        <v>43100</v>
      </c>
      <c r="O990" s="61" t="s">
        <v>4633</v>
      </c>
      <c r="P990" s="61"/>
      <c r="Q990" s="61"/>
      <c r="R990" s="239"/>
      <c r="S990" s="327" t="s">
        <v>4632</v>
      </c>
      <c r="T990" s="722"/>
      <c r="U990" s="42"/>
      <c r="AE990" s="115"/>
      <c r="AF990" s="115"/>
      <c r="AG990" s="115"/>
      <c r="AH990" s="115"/>
      <c r="AI990" s="115"/>
      <c r="AJ990" s="115"/>
      <c r="AK990" s="115"/>
      <c r="AL990" s="115"/>
      <c r="AM990" s="115"/>
      <c r="AN990" s="115"/>
      <c r="AO990" s="115"/>
      <c r="AP990" s="115"/>
      <c r="AQ990" s="115"/>
      <c r="AR990" s="115"/>
      <c r="AS990" s="115"/>
      <c r="AT990" s="115"/>
      <c r="AU990" s="115"/>
      <c r="AV990" s="115"/>
      <c r="AW990" s="115"/>
      <c r="AX990" s="115"/>
      <c r="AY990" s="115"/>
      <c r="AZ990" s="115"/>
      <c r="BA990" s="115"/>
      <c r="BB990" s="115"/>
      <c r="BC990" s="115"/>
      <c r="BD990" s="115"/>
      <c r="BE990" s="115"/>
      <c r="BF990" s="115"/>
      <c r="BG990" s="115"/>
      <c r="BH990" s="115"/>
      <c r="BI990" s="115"/>
      <c r="BJ990" s="115"/>
      <c r="BK990" s="115"/>
      <c r="BL990" s="115"/>
      <c r="BM990" s="115"/>
      <c r="BN990" s="115"/>
      <c r="BO990" s="115"/>
      <c r="BP990" s="115"/>
    </row>
    <row r="991" spans="1:68" ht="20.100000000000001" customHeight="1">
      <c r="A991" s="1229" t="s">
        <v>4536</v>
      </c>
      <c r="B991" s="1229" t="s">
        <v>4799</v>
      </c>
      <c r="C991" s="1229" t="s">
        <v>4814</v>
      </c>
      <c r="D991" s="195">
        <f>D90+550</f>
        <v>1315</v>
      </c>
      <c r="E991" s="195">
        <f>E90+650</f>
        <v>2080</v>
      </c>
      <c r="F991" s="195">
        <f>F90+650</f>
        <v>2130</v>
      </c>
      <c r="G991" s="110" t="s">
        <v>4560</v>
      </c>
      <c r="H991" s="48" t="s">
        <v>4556</v>
      </c>
      <c r="I991" s="38" t="s">
        <v>4540</v>
      </c>
      <c r="J991" s="30"/>
      <c r="K991" s="38">
        <v>37</v>
      </c>
      <c r="L991" s="116" t="s">
        <v>4539</v>
      </c>
      <c r="M991" s="15">
        <v>43084</v>
      </c>
      <c r="N991" s="15">
        <v>43100</v>
      </c>
      <c r="O991" s="59" t="s">
        <v>4559</v>
      </c>
      <c r="P991" s="61"/>
      <c r="Q991" s="61"/>
      <c r="R991" s="239"/>
      <c r="S991" s="336" t="s">
        <v>4558</v>
      </c>
      <c r="T991" s="722"/>
      <c r="U991" s="42"/>
      <c r="AE991" s="115"/>
      <c r="AF991" s="115"/>
      <c r="AG991" s="115"/>
      <c r="AH991" s="115"/>
      <c r="AI991" s="115"/>
      <c r="AJ991" s="115"/>
      <c r="AK991" s="115"/>
      <c r="AL991" s="115"/>
      <c r="AM991" s="115"/>
      <c r="AN991" s="115"/>
      <c r="AO991" s="115"/>
      <c r="AP991" s="115"/>
      <c r="AQ991" s="115"/>
      <c r="AR991" s="115"/>
      <c r="AS991" s="115"/>
      <c r="AT991" s="115"/>
      <c r="AU991" s="115"/>
      <c r="AV991" s="115"/>
      <c r="AW991" s="115"/>
      <c r="AX991" s="115"/>
      <c r="AY991" s="115"/>
      <c r="AZ991" s="115"/>
      <c r="BA991" s="115"/>
      <c r="BB991" s="115"/>
      <c r="BC991" s="115"/>
      <c r="BD991" s="115"/>
      <c r="BE991" s="115"/>
      <c r="BF991" s="115"/>
      <c r="BG991" s="115"/>
      <c r="BH991" s="115"/>
      <c r="BI991" s="115"/>
      <c r="BJ991" s="115"/>
      <c r="BK991" s="115"/>
      <c r="BL991" s="115"/>
      <c r="BM991" s="115"/>
      <c r="BN991" s="115"/>
      <c r="BO991" s="115"/>
      <c r="BP991" s="115"/>
    </row>
    <row r="992" spans="1:68" ht="20.100000000000001" customHeight="1">
      <c r="A992" s="1229" t="s">
        <v>4536</v>
      </c>
      <c r="B992" s="1229" t="s">
        <v>4799</v>
      </c>
      <c r="C992" s="1229" t="s">
        <v>4814</v>
      </c>
      <c r="D992" s="195">
        <f>D19+650+25</f>
        <v>1450</v>
      </c>
      <c r="E992" s="195">
        <f>E19+975+50</f>
        <v>2475</v>
      </c>
      <c r="F992" s="195">
        <f>F19+975+50</f>
        <v>2525</v>
      </c>
      <c r="G992" s="12" t="s">
        <v>4542</v>
      </c>
      <c r="H992" s="69" t="s">
        <v>4541</v>
      </c>
      <c r="I992" s="38" t="s">
        <v>4595</v>
      </c>
      <c r="J992" s="140"/>
      <c r="K992" s="38"/>
      <c r="L992" s="116" t="s">
        <v>4539</v>
      </c>
      <c r="M992" s="15">
        <v>43084</v>
      </c>
      <c r="N992" s="15">
        <v>43100</v>
      </c>
      <c r="O992" s="61" t="s">
        <v>4538</v>
      </c>
      <c r="P992" s="61"/>
      <c r="Q992" s="61"/>
      <c r="R992" s="239"/>
      <c r="S992" s="326" t="s">
        <v>4537</v>
      </c>
      <c r="T992" s="722"/>
      <c r="U992" s="42"/>
      <c r="AE992" s="115"/>
      <c r="AF992" s="115"/>
      <c r="AG992" s="115"/>
      <c r="AH992" s="115"/>
      <c r="AI992" s="115"/>
      <c r="AJ992" s="115"/>
      <c r="AK992" s="115"/>
      <c r="AL992" s="115"/>
      <c r="AM992" s="115"/>
      <c r="AN992" s="115"/>
      <c r="AO992" s="115"/>
      <c r="AP992" s="115"/>
      <c r="AQ992" s="115"/>
      <c r="AR992" s="115"/>
      <c r="AS992" s="115"/>
      <c r="AT992" s="115"/>
      <c r="AU992" s="115"/>
      <c r="AV992" s="115"/>
      <c r="AW992" s="115"/>
      <c r="AX992" s="115"/>
      <c r="AY992" s="115"/>
      <c r="AZ992" s="115"/>
      <c r="BA992" s="115"/>
      <c r="BB992" s="115"/>
      <c r="BC992" s="115"/>
      <c r="BD992" s="115"/>
      <c r="BE992" s="115"/>
      <c r="BF992" s="115"/>
      <c r="BG992" s="115"/>
      <c r="BH992" s="115"/>
      <c r="BI992" s="115"/>
      <c r="BJ992" s="115"/>
      <c r="BK992" s="115"/>
      <c r="BL992" s="115"/>
      <c r="BM992" s="115"/>
      <c r="BN992" s="115"/>
      <c r="BO992" s="115"/>
      <c r="BP992" s="115"/>
    </row>
    <row r="993" spans="1:68" ht="20.100000000000001" customHeight="1">
      <c r="A993" s="1229" t="s">
        <v>4536</v>
      </c>
      <c r="B993" s="1229" t="s">
        <v>4799</v>
      </c>
      <c r="C993" s="1229" t="s">
        <v>4814</v>
      </c>
      <c r="D993" s="195">
        <f>D12+475</f>
        <v>1275</v>
      </c>
      <c r="E993" s="195">
        <f>E12+650</f>
        <v>2150</v>
      </c>
      <c r="F993" s="195">
        <f>F12+650</f>
        <v>2200</v>
      </c>
      <c r="G993" s="12" t="s">
        <v>4645</v>
      </c>
      <c r="H993" s="48" t="s">
        <v>4556</v>
      </c>
      <c r="I993" s="38" t="s">
        <v>4595</v>
      </c>
      <c r="J993" s="30"/>
      <c r="K993" s="38" t="s">
        <v>4813</v>
      </c>
      <c r="L993" s="116" t="s">
        <v>4539</v>
      </c>
      <c r="M993" s="6">
        <v>43084</v>
      </c>
      <c r="N993" s="6">
        <v>43100</v>
      </c>
      <c r="O993" s="61" t="s">
        <v>4643</v>
      </c>
      <c r="P993" s="61"/>
      <c r="Q993" s="61"/>
      <c r="R993" s="239"/>
      <c r="S993" s="326" t="s">
        <v>4641</v>
      </c>
      <c r="T993" s="722"/>
      <c r="U993" s="42"/>
      <c r="AE993" s="115"/>
      <c r="AF993" s="115"/>
      <c r="AG993" s="115"/>
      <c r="AH993" s="115"/>
      <c r="AI993" s="115"/>
      <c r="AJ993" s="115"/>
      <c r="AK993" s="115"/>
      <c r="AL993" s="115"/>
      <c r="AM993" s="115"/>
      <c r="AN993" s="115"/>
      <c r="AO993" s="115"/>
      <c r="AP993" s="115"/>
      <c r="AQ993" s="115"/>
      <c r="AR993" s="115"/>
      <c r="AS993" s="115"/>
      <c r="AT993" s="115"/>
      <c r="AU993" s="115"/>
      <c r="AV993" s="115"/>
      <c r="AW993" s="115"/>
      <c r="AX993" s="115"/>
      <c r="AY993" s="115"/>
      <c r="AZ993" s="115"/>
      <c r="BA993" s="115"/>
      <c r="BB993" s="115"/>
      <c r="BC993" s="115"/>
      <c r="BD993" s="115"/>
      <c r="BE993" s="115"/>
      <c r="BF993" s="115"/>
      <c r="BG993" s="115"/>
      <c r="BH993" s="115"/>
      <c r="BI993" s="115"/>
      <c r="BJ993" s="115"/>
      <c r="BK993" s="115"/>
      <c r="BL993" s="115"/>
      <c r="BM993" s="115"/>
      <c r="BN993" s="115"/>
      <c r="BO993" s="115"/>
      <c r="BP993" s="115"/>
    </row>
    <row r="994" spans="1:68" ht="20.100000000000001" customHeight="1">
      <c r="A994" s="1229" t="s">
        <v>4536</v>
      </c>
      <c r="B994" s="1229" t="s">
        <v>4799</v>
      </c>
      <c r="C994" s="1229" t="s">
        <v>4811</v>
      </c>
      <c r="D994" s="345">
        <f>D20+100+25</f>
        <v>975</v>
      </c>
      <c r="E994" s="345">
        <f>E20+200+50</f>
        <v>1850</v>
      </c>
      <c r="F994" s="345">
        <f>F20+200+50</f>
        <v>1900</v>
      </c>
      <c r="G994" s="217" t="s">
        <v>4572</v>
      </c>
      <c r="H994" s="56" t="s">
        <v>4541</v>
      </c>
      <c r="I994" s="10" t="s">
        <v>4595</v>
      </c>
      <c r="J994" s="30"/>
      <c r="K994" s="38"/>
      <c r="L994" s="116" t="s">
        <v>4539</v>
      </c>
      <c r="M994" s="15">
        <v>43070</v>
      </c>
      <c r="N994" s="15">
        <v>43100</v>
      </c>
      <c r="O994" s="61" t="s">
        <v>4655</v>
      </c>
      <c r="P994" s="61"/>
      <c r="Q994" s="14"/>
      <c r="R994" s="239"/>
      <c r="S994" s="327" t="s">
        <v>4570</v>
      </c>
      <c r="T994" s="722"/>
      <c r="U994" s="42"/>
      <c r="AE994" s="115"/>
      <c r="AF994" s="115"/>
      <c r="AG994" s="115"/>
      <c r="AH994" s="115"/>
      <c r="AI994" s="115"/>
      <c r="AJ994" s="115"/>
      <c r="AK994" s="115"/>
      <c r="AL994" s="115"/>
      <c r="AM994" s="115"/>
      <c r="AN994" s="115"/>
      <c r="AO994" s="115"/>
      <c r="AP994" s="115"/>
      <c r="AQ994" s="115"/>
      <c r="AR994" s="115"/>
      <c r="AS994" s="115"/>
      <c r="AT994" s="115"/>
      <c r="AU994" s="115"/>
      <c r="AV994" s="115"/>
      <c r="AW994" s="115"/>
      <c r="AX994" s="115"/>
      <c r="AY994" s="115"/>
      <c r="AZ994" s="115"/>
      <c r="BA994" s="115"/>
      <c r="BB994" s="115"/>
      <c r="BC994" s="115"/>
      <c r="BD994" s="115"/>
      <c r="BE994" s="115"/>
      <c r="BF994" s="115"/>
      <c r="BG994" s="115"/>
      <c r="BH994" s="115"/>
      <c r="BI994" s="115"/>
      <c r="BJ994" s="115"/>
      <c r="BK994" s="115"/>
      <c r="BL994" s="115"/>
      <c r="BM994" s="115"/>
      <c r="BN994" s="115"/>
      <c r="BO994" s="115"/>
      <c r="BP994" s="115"/>
    </row>
    <row r="995" spans="1:68" ht="20.100000000000001" customHeight="1">
      <c r="A995" s="1229" t="s">
        <v>4536</v>
      </c>
      <c r="B995" s="1229" t="s">
        <v>4799</v>
      </c>
      <c r="C995" s="1229" t="s">
        <v>4811</v>
      </c>
      <c r="D995" s="196">
        <f>D36+550</f>
        <v>1425</v>
      </c>
      <c r="E995" s="196">
        <f>E36+850</f>
        <v>2400</v>
      </c>
      <c r="F995" s="196">
        <f>F36+850</f>
        <v>2450</v>
      </c>
      <c r="G995" s="217" t="s">
        <v>4575</v>
      </c>
      <c r="H995" s="48" t="s">
        <v>4812</v>
      </c>
      <c r="I995" s="38" t="s">
        <v>4595</v>
      </c>
      <c r="J995" s="30"/>
      <c r="K995" s="38"/>
      <c r="L995" s="116" t="s">
        <v>4539</v>
      </c>
      <c r="M995" s="15">
        <v>43084</v>
      </c>
      <c r="N995" s="15">
        <v>43100</v>
      </c>
      <c r="O995" s="61" t="s">
        <v>4573</v>
      </c>
      <c r="P995" s="61"/>
      <c r="Q995" s="61"/>
      <c r="R995" s="239"/>
      <c r="S995" s="328" t="s">
        <v>4543</v>
      </c>
      <c r="T995" s="722"/>
      <c r="U995" s="42"/>
      <c r="AE995" s="115"/>
      <c r="AF995" s="115"/>
      <c r="AG995" s="115"/>
      <c r="AH995" s="115"/>
      <c r="AI995" s="115"/>
      <c r="AJ995" s="115"/>
      <c r="AK995" s="115"/>
      <c r="AL995" s="115"/>
      <c r="AM995" s="115"/>
      <c r="AN995" s="115"/>
      <c r="AO995" s="115"/>
      <c r="AP995" s="115"/>
      <c r="AQ995" s="115"/>
      <c r="AR995" s="115"/>
      <c r="AS995" s="115"/>
      <c r="AT995" s="115"/>
      <c r="AU995" s="115"/>
      <c r="AV995" s="115"/>
      <c r="AW995" s="115"/>
      <c r="AX995" s="115"/>
      <c r="AY995" s="115"/>
      <c r="AZ995" s="115"/>
      <c r="BA995" s="115"/>
      <c r="BB995" s="115"/>
      <c r="BC995" s="115"/>
      <c r="BD995" s="115"/>
      <c r="BE995" s="115"/>
      <c r="BF995" s="115"/>
      <c r="BG995" s="115"/>
      <c r="BH995" s="115"/>
      <c r="BI995" s="115"/>
      <c r="BJ995" s="115"/>
      <c r="BK995" s="115"/>
      <c r="BL995" s="115"/>
      <c r="BM995" s="115"/>
      <c r="BN995" s="115"/>
      <c r="BO995" s="115"/>
      <c r="BP995" s="115"/>
    </row>
    <row r="996" spans="1:68" ht="20.100000000000001" customHeight="1">
      <c r="A996" s="1229" t="s">
        <v>4536</v>
      </c>
      <c r="B996" s="1229" t="s">
        <v>4799</v>
      </c>
      <c r="C996" s="1229" t="s">
        <v>4811</v>
      </c>
      <c r="D996" s="201">
        <f>D13+650+25</f>
        <v>1425</v>
      </c>
      <c r="E996" s="201">
        <f>E13+950+50</f>
        <v>2400</v>
      </c>
      <c r="F996" s="201">
        <f>F13+950+50</f>
        <v>2450</v>
      </c>
      <c r="G996" s="110" t="s">
        <v>4636</v>
      </c>
      <c r="H996" s="36" t="s">
        <v>4635</v>
      </c>
      <c r="I996" s="38" t="s">
        <v>4595</v>
      </c>
      <c r="J996" s="30"/>
      <c r="K996" s="38"/>
      <c r="L996" s="116" t="s">
        <v>4539</v>
      </c>
      <c r="M996" s="6">
        <v>43084</v>
      </c>
      <c r="N996" s="6">
        <v>43100</v>
      </c>
      <c r="O996" s="61" t="s">
        <v>4633</v>
      </c>
      <c r="P996" s="61"/>
      <c r="Q996" s="61"/>
      <c r="R996" s="239"/>
      <c r="S996" s="327" t="s">
        <v>4632</v>
      </c>
      <c r="T996" s="722"/>
      <c r="U996" s="42"/>
      <c r="AE996" s="115"/>
      <c r="AF996" s="115"/>
      <c r="AG996" s="115"/>
      <c r="AH996" s="115"/>
      <c r="AI996" s="115"/>
      <c r="AJ996" s="115"/>
      <c r="AK996" s="115"/>
      <c r="AL996" s="115"/>
      <c r="AM996" s="115"/>
      <c r="AN996" s="115"/>
      <c r="AO996" s="115"/>
      <c r="AP996" s="115"/>
      <c r="AQ996" s="115"/>
      <c r="AR996" s="115"/>
      <c r="AS996" s="115"/>
      <c r="AT996" s="115"/>
      <c r="AU996" s="115"/>
      <c r="AV996" s="115"/>
      <c r="AW996" s="115"/>
      <c r="AX996" s="115"/>
      <c r="AY996" s="115"/>
      <c r="AZ996" s="115"/>
      <c r="BA996" s="115"/>
      <c r="BB996" s="115"/>
      <c r="BC996" s="115"/>
      <c r="BD996" s="115"/>
      <c r="BE996" s="115"/>
      <c r="BF996" s="115"/>
      <c r="BG996" s="115"/>
      <c r="BH996" s="115"/>
      <c r="BI996" s="115"/>
      <c r="BJ996" s="115"/>
      <c r="BK996" s="115"/>
      <c r="BL996" s="115"/>
      <c r="BM996" s="115"/>
      <c r="BN996" s="115"/>
      <c r="BO996" s="115"/>
      <c r="BP996" s="115"/>
    </row>
    <row r="997" spans="1:68" ht="20.100000000000001" customHeight="1">
      <c r="A997" s="1229" t="s">
        <v>4536</v>
      </c>
      <c r="B997" s="1229" t="s">
        <v>4799</v>
      </c>
      <c r="C997" s="1229" t="s">
        <v>4811</v>
      </c>
      <c r="D997" s="273">
        <f>D211+125+25</f>
        <v>875</v>
      </c>
      <c r="E997" s="273">
        <f>E211+250+50</f>
        <v>1650</v>
      </c>
      <c r="F997" s="273">
        <f>F211+250+50</f>
        <v>1700</v>
      </c>
      <c r="G997" s="110" t="s">
        <v>4566</v>
      </c>
      <c r="H997" s="69" t="s">
        <v>4556</v>
      </c>
      <c r="I997" s="38" t="s">
        <v>4595</v>
      </c>
      <c r="J997" s="30"/>
      <c r="K997" s="38"/>
      <c r="L997" s="116" t="s">
        <v>4539</v>
      </c>
      <c r="M997" s="15">
        <v>43084</v>
      </c>
      <c r="N997" s="15">
        <v>43100</v>
      </c>
      <c r="O997" s="59" t="s">
        <v>4674</v>
      </c>
      <c r="P997" s="61"/>
      <c r="Q997" s="61"/>
      <c r="R997" s="239"/>
      <c r="S997" s="327" t="s">
        <v>4561</v>
      </c>
      <c r="T997" s="722"/>
      <c r="U997" s="42"/>
      <c r="AE997" s="283"/>
      <c r="AF997" s="283"/>
      <c r="AG997" s="283"/>
      <c r="AH997" s="283"/>
      <c r="AI997" s="283"/>
      <c r="AJ997" s="283"/>
      <c r="AK997" s="283"/>
      <c r="AL997" s="283"/>
      <c r="AM997" s="283"/>
      <c r="AN997" s="283"/>
      <c r="AO997" s="283"/>
      <c r="AP997" s="283"/>
      <c r="AQ997" s="283"/>
      <c r="AR997" s="283"/>
      <c r="AS997" s="283"/>
      <c r="AT997" s="283"/>
      <c r="AU997" s="283"/>
      <c r="AV997" s="283"/>
      <c r="AW997" s="283"/>
      <c r="AX997" s="283"/>
      <c r="AY997" s="283"/>
      <c r="AZ997" s="283"/>
      <c r="BA997" s="283"/>
      <c r="BB997" s="283"/>
      <c r="BC997" s="283"/>
      <c r="BD997" s="283"/>
      <c r="BE997" s="283"/>
      <c r="BF997" s="283"/>
      <c r="BG997" s="283"/>
      <c r="BH997" s="283"/>
      <c r="BI997" s="283"/>
      <c r="BJ997" s="283"/>
      <c r="BK997" s="283"/>
      <c r="BL997" s="283"/>
      <c r="BM997" s="283"/>
      <c r="BN997" s="283"/>
      <c r="BO997" s="283"/>
      <c r="BP997" s="283"/>
    </row>
    <row r="998" spans="1:68" ht="20.100000000000001" customHeight="1">
      <c r="A998" s="1229" t="s">
        <v>4536</v>
      </c>
      <c r="B998" s="1229" t="s">
        <v>4799</v>
      </c>
      <c r="C998" s="1229" t="s">
        <v>4811</v>
      </c>
      <c r="D998" s="195">
        <f>D120+75</f>
        <v>975</v>
      </c>
      <c r="E998" s="195">
        <f>E120+150</f>
        <v>1750</v>
      </c>
      <c r="F998" s="195">
        <f>F120+150</f>
        <v>1800</v>
      </c>
      <c r="G998" s="110" t="s">
        <v>4553</v>
      </c>
      <c r="H998" s="56" t="s">
        <v>4552</v>
      </c>
      <c r="I998" s="38" t="s">
        <v>4639</v>
      </c>
      <c r="J998" s="140"/>
      <c r="K998" s="38">
        <v>42</v>
      </c>
      <c r="L998" s="116" t="s">
        <v>4539</v>
      </c>
      <c r="M998" s="6">
        <v>43085</v>
      </c>
      <c r="N998" s="6">
        <v>43100</v>
      </c>
      <c r="O998" s="61" t="s">
        <v>4673</v>
      </c>
      <c r="P998" s="61"/>
      <c r="Q998" s="167"/>
      <c r="R998" s="239"/>
      <c r="S998" s="328" t="s">
        <v>4543</v>
      </c>
      <c r="T998" s="722"/>
      <c r="U998" s="42"/>
      <c r="AE998" s="115"/>
      <c r="AF998" s="115"/>
      <c r="AG998" s="115"/>
      <c r="AH998" s="115"/>
      <c r="AI998" s="115"/>
      <c r="AJ998" s="115"/>
      <c r="AK998" s="115"/>
      <c r="AL998" s="115"/>
      <c r="AM998" s="115"/>
      <c r="AN998" s="115"/>
      <c r="AO998" s="115"/>
      <c r="AP998" s="115"/>
      <c r="AQ998" s="115"/>
      <c r="AR998" s="115"/>
      <c r="AS998" s="115"/>
      <c r="AT998" s="115"/>
      <c r="AU998" s="115"/>
      <c r="AV998" s="115"/>
      <c r="AW998" s="115"/>
      <c r="AX998" s="115"/>
      <c r="AY998" s="115"/>
      <c r="AZ998" s="115"/>
      <c r="BA998" s="115"/>
      <c r="BB998" s="115"/>
      <c r="BC998" s="115"/>
      <c r="BD998" s="115"/>
      <c r="BE998" s="115"/>
      <c r="BF998" s="115"/>
      <c r="BG998" s="115"/>
      <c r="BH998" s="115"/>
      <c r="BI998" s="115"/>
      <c r="BJ998" s="115"/>
      <c r="BK998" s="115"/>
      <c r="BL998" s="115"/>
      <c r="BM998" s="115"/>
      <c r="BN998" s="115"/>
      <c r="BO998" s="115"/>
      <c r="BP998" s="115"/>
    </row>
    <row r="999" spans="1:68" ht="20.100000000000001" customHeight="1">
      <c r="A999" s="1229" t="s">
        <v>4536</v>
      </c>
      <c r="B999" s="1229" t="s">
        <v>4799</v>
      </c>
      <c r="C999" s="1229" t="s">
        <v>4811</v>
      </c>
      <c r="D999" s="195">
        <f>D19+690+25</f>
        <v>1490</v>
      </c>
      <c r="E999" s="195">
        <f>E19+1005+50</f>
        <v>2505</v>
      </c>
      <c r="F999" s="195">
        <f>F19+1005+50</f>
        <v>2555</v>
      </c>
      <c r="G999" s="12" t="s">
        <v>4542</v>
      </c>
      <c r="H999" s="69" t="s">
        <v>4541</v>
      </c>
      <c r="I999" s="38" t="s">
        <v>4595</v>
      </c>
      <c r="J999" s="140"/>
      <c r="K999" s="38"/>
      <c r="L999" s="116" t="s">
        <v>4539</v>
      </c>
      <c r="M999" s="15">
        <v>43084</v>
      </c>
      <c r="N999" s="15">
        <v>43100</v>
      </c>
      <c r="O999" s="61" t="s">
        <v>4538</v>
      </c>
      <c r="P999" s="61"/>
      <c r="Q999" s="61"/>
      <c r="R999" s="239"/>
      <c r="S999" s="326" t="s">
        <v>4537</v>
      </c>
      <c r="T999" s="722"/>
      <c r="U999" s="42"/>
      <c r="AE999" s="115"/>
      <c r="AF999" s="115"/>
      <c r="AG999" s="115"/>
      <c r="AH999" s="115"/>
      <c r="AI999" s="115"/>
      <c r="AJ999" s="115"/>
      <c r="AK999" s="115"/>
      <c r="AL999" s="115"/>
      <c r="AM999" s="115"/>
      <c r="AN999" s="115"/>
      <c r="AO999" s="115"/>
      <c r="AP999" s="115"/>
      <c r="AQ999" s="115"/>
      <c r="AR999" s="115"/>
      <c r="AS999" s="115"/>
      <c r="AT999" s="115"/>
      <c r="AU999" s="115"/>
      <c r="AV999" s="115"/>
      <c r="AW999" s="115"/>
      <c r="AX999" s="115"/>
      <c r="AY999" s="115"/>
      <c r="AZ999" s="115"/>
      <c r="BA999" s="115"/>
      <c r="BB999" s="115"/>
      <c r="BC999" s="115"/>
      <c r="BD999" s="115"/>
      <c r="BE999" s="115"/>
      <c r="BF999" s="115"/>
      <c r="BG999" s="115"/>
      <c r="BH999" s="115"/>
      <c r="BI999" s="115"/>
      <c r="BJ999" s="115"/>
      <c r="BK999" s="115"/>
      <c r="BL999" s="115"/>
      <c r="BM999" s="115"/>
      <c r="BN999" s="115"/>
      <c r="BO999" s="115"/>
      <c r="BP999" s="115"/>
    </row>
    <row r="1000" spans="1:68" ht="20.100000000000001" customHeight="1">
      <c r="A1000" s="1229" t="s">
        <v>4536</v>
      </c>
      <c r="B1000" s="1229" t="s">
        <v>4799</v>
      </c>
      <c r="C1000" s="1229" t="s">
        <v>4811</v>
      </c>
      <c r="D1000" s="195">
        <f>D65+800</f>
        <v>1600</v>
      </c>
      <c r="E1000" s="195">
        <f>E65+900</f>
        <v>2400</v>
      </c>
      <c r="F1000" s="195">
        <f>F65+900</f>
        <v>2450</v>
      </c>
      <c r="G1000" s="12" t="s">
        <v>4645</v>
      </c>
      <c r="H1000" s="48" t="s">
        <v>4556</v>
      </c>
      <c r="I1000" s="38" t="s">
        <v>4595</v>
      </c>
      <c r="J1000" s="30"/>
      <c r="K1000" s="38" t="s">
        <v>4810</v>
      </c>
      <c r="L1000" s="116" t="s">
        <v>4539</v>
      </c>
      <c r="M1000" s="6">
        <v>43084</v>
      </c>
      <c r="N1000" s="6">
        <v>43100</v>
      </c>
      <c r="O1000" s="61" t="s">
        <v>4643</v>
      </c>
      <c r="P1000" s="61"/>
      <c r="Q1000" s="61" t="s">
        <v>4642</v>
      </c>
      <c r="R1000" s="239"/>
      <c r="S1000" s="326" t="s">
        <v>4641</v>
      </c>
      <c r="T1000" s="722"/>
      <c r="U1000" s="42"/>
      <c r="AE1000" s="115"/>
      <c r="AF1000" s="115"/>
      <c r="AG1000" s="115"/>
      <c r="AH1000" s="115"/>
      <c r="AI1000" s="115"/>
      <c r="AJ1000" s="115"/>
      <c r="AK1000" s="115"/>
      <c r="AL1000" s="115"/>
      <c r="AM1000" s="115"/>
      <c r="AN1000" s="115"/>
      <c r="AO1000" s="115"/>
      <c r="AP1000" s="115"/>
      <c r="AQ1000" s="115"/>
      <c r="AR1000" s="115"/>
      <c r="AS1000" s="115"/>
      <c r="AT1000" s="115"/>
      <c r="AU1000" s="115"/>
      <c r="AV1000" s="115"/>
      <c r="AW1000" s="115"/>
      <c r="AX1000" s="115"/>
      <c r="AY1000" s="115"/>
      <c r="AZ1000" s="115"/>
      <c r="BA1000" s="115"/>
      <c r="BB1000" s="115"/>
      <c r="BC1000" s="115"/>
      <c r="BD1000" s="115"/>
      <c r="BE1000" s="115"/>
      <c r="BF1000" s="115"/>
      <c r="BG1000" s="115"/>
      <c r="BH1000" s="115"/>
      <c r="BI1000" s="115"/>
      <c r="BJ1000" s="115"/>
      <c r="BK1000" s="115"/>
      <c r="BL1000" s="115"/>
      <c r="BM1000" s="115"/>
      <c r="BN1000" s="115"/>
      <c r="BO1000" s="115"/>
      <c r="BP1000" s="115"/>
    </row>
    <row r="1001" spans="1:68" ht="20.100000000000001" customHeight="1">
      <c r="A1001" s="1234" t="s">
        <v>4614</v>
      </c>
      <c r="B1001" s="1229" t="s">
        <v>4799</v>
      </c>
      <c r="C1001" s="1229" t="s">
        <v>4809</v>
      </c>
      <c r="D1001" s="273">
        <f>D211+275+25</f>
        <v>1025</v>
      </c>
      <c r="E1001" s="273">
        <f>E211+550+50</f>
        <v>1950</v>
      </c>
      <c r="F1001" s="273">
        <f>F211+550+50</f>
        <v>2000</v>
      </c>
      <c r="G1001" s="110" t="s">
        <v>4566</v>
      </c>
      <c r="H1001" s="69" t="s">
        <v>4556</v>
      </c>
      <c r="I1001" s="38" t="s">
        <v>4595</v>
      </c>
      <c r="J1001" s="30"/>
      <c r="K1001" s="38"/>
      <c r="L1001" s="116" t="s">
        <v>4539</v>
      </c>
      <c r="M1001" s="15">
        <v>43084</v>
      </c>
      <c r="N1001" s="15">
        <v>43100</v>
      </c>
      <c r="O1001" s="59" t="s">
        <v>4674</v>
      </c>
      <c r="P1001" s="61"/>
      <c r="Q1001" s="61"/>
      <c r="R1001" s="239"/>
      <c r="S1001" s="327" t="s">
        <v>4561</v>
      </c>
      <c r="T1001" s="722"/>
      <c r="U1001" s="42"/>
      <c r="AE1001" s="115"/>
      <c r="AF1001" s="115"/>
      <c r="AG1001" s="115"/>
      <c r="AH1001" s="115"/>
      <c r="AI1001" s="115"/>
      <c r="AJ1001" s="115"/>
      <c r="AK1001" s="115"/>
      <c r="AL1001" s="115"/>
      <c r="AM1001" s="115"/>
      <c r="AN1001" s="115"/>
      <c r="AO1001" s="115"/>
      <c r="AP1001" s="115"/>
      <c r="AQ1001" s="115"/>
      <c r="AR1001" s="115"/>
      <c r="AS1001" s="115"/>
      <c r="AT1001" s="115"/>
      <c r="AU1001" s="115"/>
      <c r="AV1001" s="115"/>
      <c r="AW1001" s="115"/>
      <c r="AX1001" s="115"/>
      <c r="AY1001" s="115"/>
      <c r="AZ1001" s="115"/>
      <c r="BA1001" s="115"/>
      <c r="BB1001" s="115"/>
      <c r="BC1001" s="115"/>
      <c r="BD1001" s="115"/>
      <c r="BE1001" s="115"/>
      <c r="BF1001" s="115"/>
      <c r="BG1001" s="115"/>
      <c r="BH1001" s="115"/>
      <c r="BI1001" s="115"/>
      <c r="BJ1001" s="115"/>
      <c r="BK1001" s="115"/>
      <c r="BL1001" s="115"/>
      <c r="BM1001" s="115"/>
      <c r="BN1001" s="115"/>
      <c r="BO1001" s="115"/>
      <c r="BP1001" s="115"/>
    </row>
    <row r="1002" spans="1:68" ht="20.100000000000001" customHeight="1">
      <c r="A1002" s="1229" t="s">
        <v>4536</v>
      </c>
      <c r="B1002" s="1229" t="s">
        <v>4799</v>
      </c>
      <c r="C1002" s="1229" t="s">
        <v>4809</v>
      </c>
      <c r="D1002" s="195">
        <f>D65+350</f>
        <v>1150</v>
      </c>
      <c r="E1002" s="195">
        <f>E65+400</f>
        <v>1900</v>
      </c>
      <c r="F1002" s="195">
        <f>F65+400</f>
        <v>1950</v>
      </c>
      <c r="G1002" s="12" t="s">
        <v>4645</v>
      </c>
      <c r="H1002" s="48" t="s">
        <v>4556</v>
      </c>
      <c r="I1002" s="38" t="s">
        <v>4540</v>
      </c>
      <c r="J1002" s="30"/>
      <c r="K1002" s="38" t="s">
        <v>4808</v>
      </c>
      <c r="L1002" s="116" t="s">
        <v>4539</v>
      </c>
      <c r="M1002" s="6">
        <v>43084</v>
      </c>
      <c r="N1002" s="6">
        <v>43100</v>
      </c>
      <c r="O1002" s="61" t="s">
        <v>4643</v>
      </c>
      <c r="P1002" s="61"/>
      <c r="Q1002" s="61"/>
      <c r="R1002" s="239"/>
      <c r="S1002" s="326" t="s">
        <v>4641</v>
      </c>
      <c r="T1002" s="722"/>
      <c r="U1002" s="42"/>
      <c r="AE1002" s="283"/>
      <c r="AF1002" s="283"/>
      <c r="AG1002" s="283"/>
      <c r="AH1002" s="283"/>
      <c r="AI1002" s="283"/>
      <c r="AJ1002" s="283"/>
      <c r="AK1002" s="283"/>
      <c r="AL1002" s="283"/>
      <c r="AM1002" s="283"/>
      <c r="AN1002" s="283"/>
      <c r="AO1002" s="283"/>
      <c r="AP1002" s="283"/>
      <c r="AQ1002" s="283"/>
      <c r="AR1002" s="283"/>
      <c r="AS1002" s="283"/>
      <c r="AT1002" s="283"/>
      <c r="AU1002" s="283"/>
      <c r="AV1002" s="283"/>
      <c r="AW1002" s="283"/>
      <c r="AX1002" s="283"/>
      <c r="AY1002" s="283"/>
      <c r="AZ1002" s="283"/>
      <c r="BA1002" s="283"/>
      <c r="BB1002" s="283"/>
      <c r="BC1002" s="283"/>
      <c r="BD1002" s="283"/>
      <c r="BE1002" s="283"/>
      <c r="BF1002" s="283"/>
      <c r="BG1002" s="283"/>
      <c r="BH1002" s="283"/>
      <c r="BI1002" s="283"/>
      <c r="BJ1002" s="283"/>
      <c r="BK1002" s="283"/>
      <c r="BL1002" s="283"/>
      <c r="BM1002" s="283"/>
      <c r="BN1002" s="283"/>
      <c r="BO1002" s="283"/>
      <c r="BP1002" s="283"/>
    </row>
    <row r="1003" spans="1:68" ht="20.100000000000001" customHeight="1">
      <c r="A1003" s="1229" t="s">
        <v>4614</v>
      </c>
      <c r="B1003" s="1229" t="s">
        <v>4799</v>
      </c>
      <c r="C1003" s="1229" t="s">
        <v>4807</v>
      </c>
      <c r="D1003" s="345">
        <f>D20+550+25</f>
        <v>1425</v>
      </c>
      <c r="E1003" s="345">
        <f>E20+500+50</f>
        <v>2150</v>
      </c>
      <c r="F1003" s="345">
        <f>F20+500+50</f>
        <v>2200</v>
      </c>
      <c r="G1003" s="217" t="s">
        <v>4572</v>
      </c>
      <c r="H1003" s="56" t="s">
        <v>4541</v>
      </c>
      <c r="I1003" s="10" t="s">
        <v>4595</v>
      </c>
      <c r="J1003" s="30"/>
      <c r="K1003" s="38"/>
      <c r="L1003" s="116" t="s">
        <v>4539</v>
      </c>
      <c r="M1003" s="15">
        <v>43070</v>
      </c>
      <c r="N1003" s="15">
        <v>43100</v>
      </c>
      <c r="O1003" s="61" t="s">
        <v>4655</v>
      </c>
      <c r="P1003" s="61"/>
      <c r="Q1003" s="14"/>
      <c r="R1003" s="239"/>
      <c r="S1003" s="327" t="s">
        <v>4570</v>
      </c>
      <c r="T1003" s="722"/>
      <c r="U1003" s="42"/>
      <c r="AE1003" s="283"/>
      <c r="AF1003" s="283"/>
      <c r="AG1003" s="283"/>
      <c r="AH1003" s="283"/>
      <c r="AI1003" s="283"/>
      <c r="AJ1003" s="283"/>
      <c r="AK1003" s="283"/>
      <c r="AL1003" s="283"/>
      <c r="AM1003" s="283"/>
      <c r="AN1003" s="283"/>
      <c r="AO1003" s="283"/>
      <c r="AP1003" s="283"/>
      <c r="AQ1003" s="283"/>
      <c r="AR1003" s="283"/>
      <c r="AS1003" s="283"/>
      <c r="AT1003" s="283"/>
      <c r="AU1003" s="283"/>
      <c r="AV1003" s="283"/>
      <c r="AW1003" s="283"/>
      <c r="AX1003" s="283"/>
      <c r="AY1003" s="283"/>
      <c r="AZ1003" s="283"/>
      <c r="BA1003" s="283"/>
      <c r="BB1003" s="283"/>
      <c r="BC1003" s="283"/>
      <c r="BD1003" s="283"/>
      <c r="BE1003" s="283"/>
      <c r="BF1003" s="283"/>
      <c r="BG1003" s="283"/>
      <c r="BH1003" s="283"/>
      <c r="BI1003" s="283"/>
      <c r="BJ1003" s="283"/>
      <c r="BK1003" s="283"/>
      <c r="BL1003" s="283"/>
      <c r="BM1003" s="283"/>
      <c r="BN1003" s="283"/>
      <c r="BO1003" s="283"/>
      <c r="BP1003" s="283"/>
    </row>
    <row r="1004" spans="1:68" ht="20.100000000000001" customHeight="1">
      <c r="A1004" s="1229" t="s">
        <v>4614</v>
      </c>
      <c r="B1004" s="1229" t="s">
        <v>4799</v>
      </c>
      <c r="C1004" s="1229" t="s">
        <v>4807</v>
      </c>
      <c r="D1004" s="195">
        <f>D211+995+25</f>
        <v>1745</v>
      </c>
      <c r="E1004" s="195">
        <f>E211+1300+50</f>
        <v>2700</v>
      </c>
      <c r="F1004" s="195">
        <f>F211+1300+50</f>
        <v>2750</v>
      </c>
      <c r="G1004" s="110" t="s">
        <v>4566</v>
      </c>
      <c r="H1004" s="69" t="s">
        <v>4556</v>
      </c>
      <c r="I1004" s="38" t="s">
        <v>4595</v>
      </c>
      <c r="J1004" s="30"/>
      <c r="K1004" s="38"/>
      <c r="L1004" s="116" t="s">
        <v>4539</v>
      </c>
      <c r="M1004" s="15">
        <v>43084</v>
      </c>
      <c r="N1004" s="15">
        <v>43100</v>
      </c>
      <c r="O1004" s="59" t="s">
        <v>4674</v>
      </c>
      <c r="P1004" s="61"/>
      <c r="Q1004" s="61"/>
      <c r="R1004" s="239"/>
      <c r="S1004" s="327" t="s">
        <v>4561</v>
      </c>
      <c r="T1004" s="722"/>
      <c r="U1004" s="42"/>
      <c r="AE1004" s="115"/>
      <c r="AF1004" s="115"/>
      <c r="AG1004" s="115"/>
      <c r="AH1004" s="115"/>
      <c r="AI1004" s="115"/>
      <c r="AJ1004" s="115"/>
      <c r="AK1004" s="115"/>
      <c r="AL1004" s="115"/>
      <c r="AM1004" s="115"/>
      <c r="AN1004" s="115"/>
      <c r="AO1004" s="115"/>
      <c r="AP1004" s="115"/>
      <c r="AQ1004" s="115"/>
      <c r="AR1004" s="115"/>
      <c r="AS1004" s="115"/>
      <c r="AT1004" s="115"/>
      <c r="AU1004" s="115"/>
      <c r="AV1004" s="115"/>
      <c r="AW1004" s="115"/>
      <c r="AX1004" s="115"/>
      <c r="AY1004" s="115"/>
      <c r="AZ1004" s="115"/>
      <c r="BA1004" s="115"/>
      <c r="BB1004" s="115"/>
      <c r="BC1004" s="115"/>
      <c r="BD1004" s="115"/>
      <c r="BE1004" s="115"/>
      <c r="BF1004" s="115"/>
      <c r="BG1004" s="115"/>
      <c r="BH1004" s="115"/>
      <c r="BI1004" s="115"/>
      <c r="BJ1004" s="115"/>
      <c r="BK1004" s="115"/>
      <c r="BL1004" s="115"/>
      <c r="BM1004" s="115"/>
      <c r="BN1004" s="115"/>
      <c r="BO1004" s="115"/>
      <c r="BP1004" s="115"/>
    </row>
    <row r="1005" spans="1:68" ht="20.100000000000001" customHeight="1">
      <c r="A1005" s="1229" t="s">
        <v>4536</v>
      </c>
      <c r="B1005" s="1229" t="s">
        <v>4799</v>
      </c>
      <c r="C1005" s="1229" t="s">
        <v>4806</v>
      </c>
      <c r="D1005" s="196">
        <f>D36+600</f>
        <v>1475</v>
      </c>
      <c r="E1005" s="196">
        <f>E36+850</f>
        <v>2400</v>
      </c>
      <c r="F1005" s="196">
        <f>F36+850</f>
        <v>2450</v>
      </c>
      <c r="G1005" s="217" t="s">
        <v>4575</v>
      </c>
      <c r="H1005" s="48" t="s">
        <v>4541</v>
      </c>
      <c r="I1005" s="38" t="s">
        <v>4595</v>
      </c>
      <c r="J1005" s="30"/>
      <c r="K1005" s="38"/>
      <c r="L1005" s="116" t="s">
        <v>4539</v>
      </c>
      <c r="M1005" s="15">
        <v>43084</v>
      </c>
      <c r="N1005" s="15">
        <v>43100</v>
      </c>
      <c r="O1005" s="61" t="s">
        <v>4573</v>
      </c>
      <c r="P1005" s="904"/>
      <c r="Q1005" s="904"/>
      <c r="R1005" s="239"/>
      <c r="S1005" s="328" t="s">
        <v>4543</v>
      </c>
      <c r="T1005" s="722"/>
      <c r="U1005" s="42"/>
      <c r="AE1005" s="115"/>
      <c r="AF1005" s="115"/>
      <c r="AG1005" s="115"/>
      <c r="AH1005" s="115"/>
      <c r="AI1005" s="115"/>
      <c r="AJ1005" s="115"/>
      <c r="AK1005" s="115"/>
      <c r="AL1005" s="115"/>
      <c r="AM1005" s="115"/>
      <c r="AN1005" s="115"/>
      <c r="AO1005" s="115"/>
      <c r="AP1005" s="115"/>
      <c r="AQ1005" s="115"/>
      <c r="AR1005" s="115"/>
      <c r="AS1005" s="115"/>
      <c r="AT1005" s="115"/>
      <c r="AU1005" s="115"/>
      <c r="AV1005" s="115"/>
      <c r="AW1005" s="115"/>
      <c r="AX1005" s="115"/>
      <c r="AY1005" s="115"/>
      <c r="AZ1005" s="115"/>
      <c r="BA1005" s="115"/>
      <c r="BB1005" s="115"/>
      <c r="BC1005" s="115"/>
      <c r="BD1005" s="115"/>
      <c r="BE1005" s="115"/>
      <c r="BF1005" s="115"/>
      <c r="BG1005" s="115"/>
      <c r="BH1005" s="115"/>
      <c r="BI1005" s="115"/>
      <c r="BJ1005" s="115"/>
      <c r="BK1005" s="115"/>
      <c r="BL1005" s="115"/>
      <c r="BM1005" s="115"/>
      <c r="BN1005" s="115"/>
      <c r="BO1005" s="115"/>
      <c r="BP1005" s="115"/>
    </row>
    <row r="1006" spans="1:68" ht="20.100000000000001" customHeight="1">
      <c r="A1006" s="1229" t="s">
        <v>4536</v>
      </c>
      <c r="B1006" s="1229" t="s">
        <v>4799</v>
      </c>
      <c r="C1006" s="1229" t="s">
        <v>4806</v>
      </c>
      <c r="D1006" s="273">
        <f>D211+275+25</f>
        <v>1025</v>
      </c>
      <c r="E1006" s="273">
        <f>E211+550+50</f>
        <v>1950</v>
      </c>
      <c r="F1006" s="273">
        <f>F211+550+50</f>
        <v>2000</v>
      </c>
      <c r="G1006" s="110" t="s">
        <v>4566</v>
      </c>
      <c r="H1006" s="69" t="s">
        <v>4556</v>
      </c>
      <c r="I1006" s="38" t="s">
        <v>4595</v>
      </c>
      <c r="J1006" s="30"/>
      <c r="K1006" s="38"/>
      <c r="L1006" s="116" t="s">
        <v>4539</v>
      </c>
      <c r="M1006" s="15">
        <v>43084</v>
      </c>
      <c r="N1006" s="15">
        <v>43100</v>
      </c>
      <c r="O1006" s="59" t="s">
        <v>4674</v>
      </c>
      <c r="P1006" s="61"/>
      <c r="Q1006" s="61"/>
      <c r="R1006" s="239"/>
      <c r="S1006" s="327" t="s">
        <v>4561</v>
      </c>
      <c r="T1006" s="722"/>
      <c r="U1006" s="42"/>
      <c r="AE1006" s="115"/>
      <c r="AF1006" s="115"/>
      <c r="AG1006" s="115"/>
      <c r="AH1006" s="115"/>
      <c r="AI1006" s="115"/>
      <c r="AJ1006" s="115"/>
      <c r="AK1006" s="115"/>
      <c r="AL1006" s="115"/>
      <c r="AM1006" s="115"/>
      <c r="AN1006" s="115"/>
      <c r="AO1006" s="115"/>
      <c r="AP1006" s="115"/>
      <c r="AQ1006" s="115"/>
      <c r="AR1006" s="115"/>
      <c r="AS1006" s="115"/>
      <c r="AT1006" s="115"/>
      <c r="AU1006" s="115"/>
      <c r="AV1006" s="115"/>
      <c r="AW1006" s="115"/>
      <c r="AX1006" s="115"/>
      <c r="AY1006" s="115"/>
      <c r="AZ1006" s="115"/>
      <c r="BA1006" s="115"/>
      <c r="BB1006" s="115"/>
      <c r="BC1006" s="115"/>
      <c r="BD1006" s="115"/>
      <c r="BE1006" s="115"/>
      <c r="BF1006" s="115"/>
      <c r="BG1006" s="115"/>
      <c r="BH1006" s="115"/>
      <c r="BI1006" s="115"/>
      <c r="BJ1006" s="115"/>
      <c r="BK1006" s="115"/>
      <c r="BL1006" s="115"/>
      <c r="BM1006" s="115"/>
      <c r="BN1006" s="115"/>
      <c r="BO1006" s="115"/>
      <c r="BP1006" s="115"/>
    </row>
    <row r="1007" spans="1:68" ht="20.100000000000001" customHeight="1">
      <c r="A1007" s="1229" t="s">
        <v>4536</v>
      </c>
      <c r="B1007" s="1229" t="s">
        <v>4799</v>
      </c>
      <c r="C1007" s="1229" t="s">
        <v>4806</v>
      </c>
      <c r="D1007" s="195">
        <f>D19+575+25</f>
        <v>1375</v>
      </c>
      <c r="E1007" s="195">
        <f>E19+875+50</f>
        <v>2375</v>
      </c>
      <c r="F1007" s="195">
        <f>F19+875+50</f>
        <v>2425</v>
      </c>
      <c r="G1007" s="12" t="s">
        <v>4542</v>
      </c>
      <c r="H1007" s="69" t="s">
        <v>4541</v>
      </c>
      <c r="I1007" s="38" t="s">
        <v>4595</v>
      </c>
      <c r="J1007" s="30"/>
      <c r="K1007" s="38"/>
      <c r="L1007" s="116" t="s">
        <v>4539</v>
      </c>
      <c r="M1007" s="15">
        <v>43084</v>
      </c>
      <c r="N1007" s="15">
        <v>43100</v>
      </c>
      <c r="O1007" s="61" t="s">
        <v>4538</v>
      </c>
      <c r="P1007" s="61"/>
      <c r="Q1007" s="61"/>
      <c r="R1007" s="239"/>
      <c r="S1007" s="326" t="s">
        <v>4537</v>
      </c>
      <c r="T1007" s="722"/>
      <c r="U1007" s="42"/>
      <c r="AE1007" s="233"/>
      <c r="AF1007" s="233"/>
      <c r="AG1007" s="233"/>
      <c r="AH1007" s="233"/>
      <c r="AI1007" s="233"/>
      <c r="AJ1007" s="233"/>
      <c r="AK1007" s="233"/>
      <c r="AL1007" s="233"/>
      <c r="AM1007" s="233"/>
      <c r="AN1007" s="233"/>
      <c r="AO1007" s="233"/>
      <c r="AP1007" s="233"/>
      <c r="AQ1007" s="233"/>
      <c r="AR1007" s="233"/>
      <c r="AS1007" s="233"/>
      <c r="AT1007" s="233"/>
      <c r="AU1007" s="233"/>
      <c r="AV1007" s="233"/>
      <c r="AW1007" s="233"/>
      <c r="AX1007" s="233"/>
      <c r="AY1007" s="233"/>
      <c r="AZ1007" s="233"/>
      <c r="BA1007" s="233"/>
      <c r="BB1007" s="233"/>
      <c r="BC1007" s="233"/>
      <c r="BD1007" s="233"/>
      <c r="BE1007" s="233"/>
      <c r="BF1007" s="233"/>
      <c r="BG1007" s="233"/>
      <c r="BH1007" s="233"/>
      <c r="BI1007" s="233"/>
      <c r="BJ1007" s="233"/>
      <c r="BK1007" s="233"/>
      <c r="BL1007" s="233"/>
      <c r="BM1007" s="233"/>
      <c r="BN1007" s="233"/>
      <c r="BO1007" s="233"/>
      <c r="BP1007" s="233"/>
    </row>
    <row r="1008" spans="1:68" ht="20.100000000000001" customHeight="1">
      <c r="A1008" s="1229" t="s">
        <v>4536</v>
      </c>
      <c r="B1008" s="1229" t="s">
        <v>4799</v>
      </c>
      <c r="C1008" s="1229" t="s">
        <v>4806</v>
      </c>
      <c r="D1008" s="195">
        <f>D12+600</f>
        <v>1400</v>
      </c>
      <c r="E1008" s="195">
        <f>E12+850</f>
        <v>2350</v>
      </c>
      <c r="F1008" s="195">
        <f>F12+850</f>
        <v>2400</v>
      </c>
      <c r="G1008" s="12" t="s">
        <v>4645</v>
      </c>
      <c r="H1008" s="48" t="s">
        <v>4556</v>
      </c>
      <c r="I1008" s="38" t="s">
        <v>4595</v>
      </c>
      <c r="J1008" s="30"/>
      <c r="K1008" s="38" t="s">
        <v>4805</v>
      </c>
      <c r="L1008" s="116" t="s">
        <v>4539</v>
      </c>
      <c r="M1008" s="6">
        <v>43084</v>
      </c>
      <c r="N1008" s="6">
        <v>43100</v>
      </c>
      <c r="O1008" s="61" t="s">
        <v>4643</v>
      </c>
      <c r="P1008" s="61"/>
      <c r="Q1008" s="61"/>
      <c r="R1008" s="239"/>
      <c r="S1008" s="326" t="s">
        <v>4641</v>
      </c>
      <c r="T1008" s="722"/>
      <c r="U1008" s="42"/>
      <c r="AE1008" s="115"/>
      <c r="AF1008" s="115"/>
      <c r="AG1008" s="115"/>
      <c r="AH1008" s="115"/>
      <c r="AI1008" s="115"/>
      <c r="AJ1008" s="115"/>
      <c r="AK1008" s="115"/>
      <c r="AL1008" s="115"/>
      <c r="AM1008" s="115"/>
      <c r="AN1008" s="115"/>
      <c r="AO1008" s="115"/>
      <c r="AP1008" s="115"/>
      <c r="AQ1008" s="115"/>
      <c r="AR1008" s="115"/>
      <c r="AS1008" s="115"/>
      <c r="AT1008" s="115"/>
      <c r="AU1008" s="115"/>
      <c r="AV1008" s="115"/>
      <c r="AW1008" s="115"/>
      <c r="AX1008" s="115"/>
      <c r="AY1008" s="115"/>
      <c r="AZ1008" s="115"/>
      <c r="BA1008" s="115"/>
      <c r="BB1008" s="115"/>
      <c r="BC1008" s="115"/>
      <c r="BD1008" s="115"/>
      <c r="BE1008" s="115"/>
      <c r="BF1008" s="115"/>
      <c r="BG1008" s="115"/>
      <c r="BH1008" s="115"/>
      <c r="BI1008" s="115"/>
      <c r="BJ1008" s="115"/>
      <c r="BK1008" s="115"/>
      <c r="BL1008" s="115"/>
      <c r="BM1008" s="115"/>
      <c r="BN1008" s="115"/>
      <c r="BO1008" s="115"/>
      <c r="BP1008" s="115"/>
    </row>
    <row r="1009" spans="1:68" ht="20.100000000000001" customHeight="1">
      <c r="A1009" s="1229" t="s">
        <v>4536</v>
      </c>
      <c r="B1009" s="1229" t="s">
        <v>4799</v>
      </c>
      <c r="C1009" s="1229" t="s">
        <v>4804</v>
      </c>
      <c r="D1009" s="345">
        <f>D20+150+50</f>
        <v>1050</v>
      </c>
      <c r="E1009" s="345">
        <f>E20+300+100</f>
        <v>2000</v>
      </c>
      <c r="F1009" s="345">
        <f>F20+300+100</f>
        <v>2050</v>
      </c>
      <c r="G1009" s="217" t="s">
        <v>4572</v>
      </c>
      <c r="H1009" s="56" t="s">
        <v>4541</v>
      </c>
      <c r="I1009" s="10" t="s">
        <v>4595</v>
      </c>
      <c r="J1009" s="30"/>
      <c r="K1009" s="38"/>
      <c r="L1009" s="116" t="s">
        <v>4539</v>
      </c>
      <c r="M1009" s="15">
        <v>43070</v>
      </c>
      <c r="N1009" s="15">
        <v>43100</v>
      </c>
      <c r="O1009" s="61" t="s">
        <v>4655</v>
      </c>
      <c r="P1009" s="61"/>
      <c r="Q1009" s="14"/>
      <c r="R1009" s="239"/>
      <c r="S1009" s="327" t="s">
        <v>4570</v>
      </c>
      <c r="T1009" s="722"/>
      <c r="U1009" s="42"/>
      <c r="AE1009" s="115"/>
      <c r="AF1009" s="115"/>
      <c r="AG1009" s="115"/>
      <c r="AH1009" s="115"/>
      <c r="AI1009" s="115"/>
      <c r="AJ1009" s="115"/>
      <c r="AK1009" s="115"/>
      <c r="AL1009" s="115"/>
      <c r="AM1009" s="115"/>
      <c r="AN1009" s="115"/>
      <c r="AO1009" s="115"/>
      <c r="AP1009" s="115"/>
      <c r="AQ1009" s="115"/>
      <c r="AR1009" s="115"/>
      <c r="AS1009" s="115"/>
      <c r="AT1009" s="115"/>
      <c r="AU1009" s="115"/>
      <c r="AV1009" s="115"/>
      <c r="AW1009" s="115"/>
      <c r="AX1009" s="115"/>
      <c r="AY1009" s="115"/>
      <c r="AZ1009" s="115"/>
      <c r="BA1009" s="115"/>
      <c r="BB1009" s="115"/>
      <c r="BC1009" s="115"/>
      <c r="BD1009" s="115"/>
      <c r="BE1009" s="115"/>
      <c r="BF1009" s="115"/>
      <c r="BG1009" s="115"/>
      <c r="BH1009" s="115"/>
      <c r="BI1009" s="115"/>
      <c r="BJ1009" s="115"/>
      <c r="BK1009" s="115"/>
      <c r="BL1009" s="115"/>
      <c r="BM1009" s="115"/>
      <c r="BN1009" s="115"/>
      <c r="BO1009" s="115"/>
      <c r="BP1009" s="115"/>
    </row>
    <row r="1010" spans="1:68" ht="20.100000000000001" customHeight="1">
      <c r="A1010" s="1229" t="s">
        <v>4536</v>
      </c>
      <c r="B1010" s="1229" t="s">
        <v>4799</v>
      </c>
      <c r="C1010" s="1229" t="s">
        <v>4804</v>
      </c>
      <c r="D1010" s="273">
        <f>D36+400</f>
        <v>1275</v>
      </c>
      <c r="E1010" s="273">
        <f>E36+400</f>
        <v>1950</v>
      </c>
      <c r="F1010" s="273">
        <f>F36+400</f>
        <v>2000</v>
      </c>
      <c r="G1010" s="217" t="s">
        <v>4575</v>
      </c>
      <c r="H1010" s="48" t="s">
        <v>4541</v>
      </c>
      <c r="I1010" s="38" t="s">
        <v>4595</v>
      </c>
      <c r="J1010" s="30"/>
      <c r="K1010" s="38"/>
      <c r="L1010" s="116" t="s">
        <v>4539</v>
      </c>
      <c r="M1010" s="15">
        <v>43084</v>
      </c>
      <c r="N1010" s="15">
        <v>43100</v>
      </c>
      <c r="O1010" s="61" t="s">
        <v>4573</v>
      </c>
      <c r="P1010" s="61"/>
      <c r="Q1010" s="61"/>
      <c r="R1010" s="239"/>
      <c r="S1010" s="328" t="s">
        <v>4543</v>
      </c>
      <c r="T1010" s="722"/>
      <c r="U1010" s="42"/>
      <c r="AE1010" s="115"/>
      <c r="AF1010" s="115"/>
      <c r="AG1010" s="115"/>
      <c r="AH1010" s="115"/>
      <c r="AI1010" s="115"/>
      <c r="AJ1010" s="115"/>
      <c r="AK1010" s="115"/>
      <c r="AL1010" s="115"/>
      <c r="AM1010" s="115"/>
      <c r="AN1010" s="115"/>
      <c r="AO1010" s="115"/>
      <c r="AP1010" s="115"/>
      <c r="AQ1010" s="115"/>
      <c r="AR1010" s="115"/>
      <c r="AS1010" s="115"/>
      <c r="AT1010" s="115"/>
      <c r="AU1010" s="115"/>
      <c r="AV1010" s="115"/>
      <c r="AW1010" s="115"/>
      <c r="AX1010" s="115"/>
      <c r="AY1010" s="115"/>
      <c r="AZ1010" s="115"/>
      <c r="BA1010" s="115"/>
      <c r="BB1010" s="115"/>
      <c r="BC1010" s="115"/>
      <c r="BD1010" s="115"/>
      <c r="BE1010" s="115"/>
      <c r="BF1010" s="115"/>
      <c r="BG1010" s="115"/>
      <c r="BH1010" s="115"/>
      <c r="BI1010" s="115"/>
      <c r="BJ1010" s="115"/>
      <c r="BK1010" s="115"/>
      <c r="BL1010" s="115"/>
      <c r="BM1010" s="115"/>
      <c r="BN1010" s="115"/>
      <c r="BO1010" s="115"/>
      <c r="BP1010" s="115"/>
    </row>
    <row r="1011" spans="1:68" ht="20.100000000000001" customHeight="1">
      <c r="A1011" s="1229" t="s">
        <v>4536</v>
      </c>
      <c r="B1011" s="1229" t="s">
        <v>4799</v>
      </c>
      <c r="C1011" s="1229" t="s">
        <v>4804</v>
      </c>
      <c r="D1011" s="196">
        <f>D43+340+25</f>
        <v>1115</v>
      </c>
      <c r="E1011" s="196">
        <f>E43+620+50</f>
        <v>2070</v>
      </c>
      <c r="F1011" s="196">
        <f>F43+620+50</f>
        <v>2120</v>
      </c>
      <c r="G1011" s="110" t="s">
        <v>4636</v>
      </c>
      <c r="H1011" s="36" t="s">
        <v>4667</v>
      </c>
      <c r="I1011" s="38" t="s">
        <v>4666</v>
      </c>
      <c r="J1011" s="30"/>
      <c r="K1011" s="38"/>
      <c r="L1011" s="116" t="s">
        <v>4539</v>
      </c>
      <c r="M1011" s="6">
        <v>43084</v>
      </c>
      <c r="N1011" s="6">
        <v>43100</v>
      </c>
      <c r="O1011" s="61" t="s">
        <v>4633</v>
      </c>
      <c r="P1011" s="61"/>
      <c r="Q1011" s="61"/>
      <c r="R1011" s="239"/>
      <c r="S1011" s="327" t="s">
        <v>4632</v>
      </c>
      <c r="T1011" s="722"/>
      <c r="U1011" s="42"/>
      <c r="AE1011" s="115"/>
      <c r="AF1011" s="115"/>
      <c r="AG1011" s="115"/>
      <c r="AH1011" s="115"/>
      <c r="AI1011" s="115"/>
      <c r="AJ1011" s="115"/>
      <c r="AK1011" s="115"/>
      <c r="AL1011" s="115"/>
      <c r="AM1011" s="115"/>
      <c r="AN1011" s="115"/>
      <c r="AO1011" s="115"/>
      <c r="AP1011" s="115"/>
      <c r="AQ1011" s="115"/>
      <c r="AR1011" s="115"/>
      <c r="AS1011" s="115"/>
      <c r="AT1011" s="115"/>
      <c r="AU1011" s="115"/>
      <c r="AV1011" s="115"/>
      <c r="AW1011" s="115"/>
      <c r="AX1011" s="115"/>
      <c r="AY1011" s="115"/>
      <c r="AZ1011" s="115"/>
      <c r="BA1011" s="115"/>
      <c r="BB1011" s="115"/>
      <c r="BC1011" s="115"/>
      <c r="BD1011" s="115"/>
      <c r="BE1011" s="115"/>
      <c r="BF1011" s="115"/>
      <c r="BG1011" s="115"/>
      <c r="BH1011" s="115"/>
      <c r="BI1011" s="115"/>
      <c r="BJ1011" s="115"/>
      <c r="BK1011" s="115"/>
      <c r="BL1011" s="115"/>
      <c r="BM1011" s="115"/>
      <c r="BN1011" s="115"/>
      <c r="BO1011" s="115"/>
      <c r="BP1011" s="115"/>
    </row>
    <row r="1012" spans="1:68" ht="20.100000000000001" customHeight="1">
      <c r="A1012" s="1229" t="s">
        <v>4536</v>
      </c>
      <c r="B1012" s="1229" t="s">
        <v>4799</v>
      </c>
      <c r="C1012" s="1229" t="s">
        <v>4804</v>
      </c>
      <c r="D1012" s="274">
        <f>D211+350+25</f>
        <v>1100</v>
      </c>
      <c r="E1012" s="274">
        <f>E211+650+50</f>
        <v>2050</v>
      </c>
      <c r="F1012" s="274">
        <f>F211+650+50</f>
        <v>2100</v>
      </c>
      <c r="G1012" s="110" t="s">
        <v>4566</v>
      </c>
      <c r="H1012" s="69" t="s">
        <v>4556</v>
      </c>
      <c r="I1012" s="38" t="s">
        <v>4595</v>
      </c>
      <c r="J1012" s="30"/>
      <c r="K1012" s="38"/>
      <c r="L1012" s="116" t="s">
        <v>4539</v>
      </c>
      <c r="M1012" s="15">
        <v>43084</v>
      </c>
      <c r="N1012" s="15">
        <v>43100</v>
      </c>
      <c r="O1012" s="59" t="s">
        <v>4674</v>
      </c>
      <c r="P1012" s="61"/>
      <c r="Q1012" s="61"/>
      <c r="R1012" s="239"/>
      <c r="S1012" s="327" t="s">
        <v>4561</v>
      </c>
      <c r="T1012" s="722"/>
      <c r="U1012" s="42"/>
      <c r="AE1012" s="115"/>
      <c r="AF1012" s="115"/>
      <c r="AG1012" s="115"/>
      <c r="AH1012" s="115"/>
      <c r="AI1012" s="115"/>
      <c r="AJ1012" s="115"/>
      <c r="AK1012" s="115"/>
      <c r="AL1012" s="115"/>
      <c r="AM1012" s="115"/>
      <c r="AN1012" s="115"/>
      <c r="AO1012" s="115"/>
      <c r="AP1012" s="115"/>
      <c r="AQ1012" s="115"/>
      <c r="AR1012" s="115"/>
      <c r="AS1012" s="115"/>
      <c r="AT1012" s="115"/>
      <c r="AU1012" s="115"/>
      <c r="AV1012" s="115"/>
      <c r="AW1012" s="115"/>
      <c r="AX1012" s="115"/>
      <c r="AY1012" s="115"/>
      <c r="AZ1012" s="115"/>
      <c r="BA1012" s="115"/>
      <c r="BB1012" s="115"/>
      <c r="BC1012" s="115"/>
      <c r="BD1012" s="115"/>
      <c r="BE1012" s="115"/>
      <c r="BF1012" s="115"/>
      <c r="BG1012" s="115"/>
      <c r="BH1012" s="115"/>
      <c r="BI1012" s="115"/>
      <c r="BJ1012" s="115"/>
      <c r="BK1012" s="115"/>
      <c r="BL1012" s="115"/>
      <c r="BM1012" s="115"/>
      <c r="BN1012" s="115"/>
      <c r="BO1012" s="115"/>
      <c r="BP1012" s="115"/>
    </row>
    <row r="1013" spans="1:68" ht="20.100000000000001" customHeight="1">
      <c r="A1013" s="1229" t="s">
        <v>4536</v>
      </c>
      <c r="B1013" s="1229" t="s">
        <v>4799</v>
      </c>
      <c r="C1013" s="1229" t="s">
        <v>4804</v>
      </c>
      <c r="D1013" s="196">
        <f>D14+400</f>
        <v>1180</v>
      </c>
      <c r="E1013" s="196">
        <f>E14+600</f>
        <v>2057</v>
      </c>
      <c r="F1013" s="196">
        <f>F14+600</f>
        <v>2057</v>
      </c>
      <c r="G1013" s="225" t="s">
        <v>4569</v>
      </c>
      <c r="H1013" s="69" t="s">
        <v>4602</v>
      </c>
      <c r="I1013" s="38" t="s">
        <v>4595</v>
      </c>
      <c r="J1013" s="30"/>
      <c r="K1013" s="38" t="s">
        <v>4735</v>
      </c>
      <c r="L1013" s="116" t="s">
        <v>4539</v>
      </c>
      <c r="M1013" s="6">
        <v>43074</v>
      </c>
      <c r="N1013" s="6">
        <v>43084</v>
      </c>
      <c r="O1013" s="61" t="s">
        <v>4664</v>
      </c>
      <c r="P1013" s="61"/>
      <c r="Q1013" s="61"/>
      <c r="R1013" s="239"/>
      <c r="S1013" s="328" t="s">
        <v>4543</v>
      </c>
      <c r="T1013" s="722"/>
      <c r="U1013" s="42"/>
      <c r="AE1013" s="283"/>
      <c r="AF1013" s="283"/>
      <c r="AG1013" s="283"/>
      <c r="AH1013" s="283"/>
      <c r="AI1013" s="283"/>
      <c r="AJ1013" s="283"/>
      <c r="AK1013" s="283"/>
      <c r="AL1013" s="283"/>
      <c r="AM1013" s="283"/>
      <c r="AN1013" s="283"/>
      <c r="AO1013" s="283"/>
      <c r="AP1013" s="283"/>
      <c r="AQ1013" s="283"/>
      <c r="AR1013" s="283"/>
      <c r="AS1013" s="283"/>
      <c r="AT1013" s="283"/>
      <c r="AU1013" s="283"/>
      <c r="AV1013" s="283"/>
      <c r="AW1013" s="283"/>
      <c r="AX1013" s="283"/>
      <c r="AY1013" s="283"/>
      <c r="AZ1013" s="283"/>
      <c r="BA1013" s="283"/>
      <c r="BB1013" s="283"/>
      <c r="BC1013" s="283"/>
      <c r="BD1013" s="283"/>
      <c r="BE1013" s="283"/>
      <c r="BF1013" s="283"/>
      <c r="BG1013" s="283"/>
      <c r="BH1013" s="283"/>
      <c r="BI1013" s="283"/>
      <c r="BJ1013" s="283"/>
      <c r="BK1013" s="283"/>
      <c r="BL1013" s="283"/>
      <c r="BM1013" s="283"/>
      <c r="BN1013" s="283"/>
      <c r="BO1013" s="283"/>
      <c r="BP1013" s="283"/>
    </row>
    <row r="1014" spans="1:68" ht="20.100000000000001" customHeight="1">
      <c r="A1014" s="1229" t="s">
        <v>4536</v>
      </c>
      <c r="B1014" s="1229" t="s">
        <v>4799</v>
      </c>
      <c r="C1014" s="1229" t="s">
        <v>4804</v>
      </c>
      <c r="D1014" s="195">
        <f>D90+1200</f>
        <v>1965</v>
      </c>
      <c r="E1014" s="195">
        <f>E90+1000</f>
        <v>2430</v>
      </c>
      <c r="F1014" s="195">
        <f>F90+1000</f>
        <v>2480</v>
      </c>
      <c r="G1014" s="110" t="s">
        <v>4560</v>
      </c>
      <c r="H1014" s="48" t="s">
        <v>4556</v>
      </c>
      <c r="I1014" s="38" t="s">
        <v>4540</v>
      </c>
      <c r="J1014" s="30"/>
      <c r="K1014" s="38">
        <v>36</v>
      </c>
      <c r="L1014" s="116" t="s">
        <v>4539</v>
      </c>
      <c r="M1014" s="15">
        <v>43084</v>
      </c>
      <c r="N1014" s="15">
        <v>43100</v>
      </c>
      <c r="O1014" s="59" t="s">
        <v>4559</v>
      </c>
      <c r="P1014" s="61"/>
      <c r="Q1014" s="61"/>
      <c r="R1014" s="239"/>
      <c r="S1014" s="336" t="s">
        <v>4558</v>
      </c>
      <c r="T1014" s="722"/>
      <c r="U1014" s="42"/>
      <c r="AE1014" s="283"/>
      <c r="AF1014" s="283"/>
      <c r="AG1014" s="283"/>
      <c r="AH1014" s="283"/>
      <c r="AI1014" s="283"/>
      <c r="AJ1014" s="283"/>
      <c r="AK1014" s="283"/>
      <c r="AL1014" s="283"/>
      <c r="AM1014" s="283"/>
      <c r="AN1014" s="283"/>
      <c r="AO1014" s="283"/>
      <c r="AP1014" s="283"/>
      <c r="AQ1014" s="283"/>
      <c r="AR1014" s="283"/>
      <c r="AS1014" s="283"/>
      <c r="AT1014" s="283"/>
      <c r="AU1014" s="283"/>
      <c r="AV1014" s="283"/>
      <c r="AW1014" s="283"/>
      <c r="AX1014" s="283"/>
      <c r="AY1014" s="283"/>
      <c r="AZ1014" s="283"/>
      <c r="BA1014" s="283"/>
      <c r="BB1014" s="283"/>
      <c r="BC1014" s="283"/>
      <c r="BD1014" s="283"/>
      <c r="BE1014" s="283"/>
      <c r="BF1014" s="283"/>
      <c r="BG1014" s="283"/>
      <c r="BH1014" s="283"/>
      <c r="BI1014" s="283"/>
      <c r="BJ1014" s="283"/>
      <c r="BK1014" s="283"/>
      <c r="BL1014" s="283"/>
      <c r="BM1014" s="283"/>
      <c r="BN1014" s="283"/>
      <c r="BO1014" s="283"/>
      <c r="BP1014" s="283"/>
    </row>
    <row r="1015" spans="1:68" ht="20.100000000000001" customHeight="1">
      <c r="A1015" s="1229" t="s">
        <v>4536</v>
      </c>
      <c r="B1015" s="1229" t="s">
        <v>4799</v>
      </c>
      <c r="C1015" s="1229" t="s">
        <v>4804</v>
      </c>
      <c r="D1015" s="195">
        <f>D11+750</f>
        <v>1500</v>
      </c>
      <c r="E1015" s="195">
        <f>E11+850</f>
        <v>2250</v>
      </c>
      <c r="F1015" s="195">
        <f>F11+850</f>
        <v>2250</v>
      </c>
      <c r="G1015" s="217" t="s">
        <v>4557</v>
      </c>
      <c r="H1015" s="69" t="s">
        <v>4556</v>
      </c>
      <c r="I1015" s="38" t="s">
        <v>4595</v>
      </c>
      <c r="J1015" s="30"/>
      <c r="K1015" s="38"/>
      <c r="L1015" s="116" t="s">
        <v>4539</v>
      </c>
      <c r="M1015" s="6">
        <v>43084</v>
      </c>
      <c r="N1015" s="6">
        <v>43100</v>
      </c>
      <c r="O1015" s="61" t="s">
        <v>4555</v>
      </c>
      <c r="P1015" s="61"/>
      <c r="Q1015" s="7"/>
      <c r="R1015" s="239" t="s">
        <v>4554</v>
      </c>
      <c r="S1015" s="326" t="s">
        <v>4543</v>
      </c>
      <c r="T1015" s="722"/>
      <c r="U1015" s="42"/>
      <c r="AE1015" s="115"/>
      <c r="AF1015" s="115"/>
      <c r="AG1015" s="115"/>
      <c r="AH1015" s="115"/>
      <c r="AI1015" s="115"/>
      <c r="AJ1015" s="115"/>
      <c r="AK1015" s="115"/>
      <c r="AL1015" s="115"/>
      <c r="AM1015" s="115"/>
      <c r="AN1015" s="115"/>
      <c r="AO1015" s="115"/>
      <c r="AP1015" s="115"/>
      <c r="AQ1015" s="115"/>
      <c r="AR1015" s="115"/>
      <c r="AS1015" s="115"/>
      <c r="AT1015" s="115"/>
      <c r="AU1015" s="115"/>
      <c r="AV1015" s="115"/>
      <c r="AW1015" s="115"/>
      <c r="AX1015" s="115"/>
      <c r="AY1015" s="115"/>
      <c r="AZ1015" s="115"/>
      <c r="BA1015" s="115"/>
      <c r="BB1015" s="115"/>
      <c r="BC1015" s="115"/>
      <c r="BD1015" s="115"/>
      <c r="BE1015" s="115"/>
      <c r="BF1015" s="115"/>
      <c r="BG1015" s="115"/>
      <c r="BH1015" s="115"/>
      <c r="BI1015" s="115"/>
      <c r="BJ1015" s="115"/>
      <c r="BK1015" s="115"/>
      <c r="BL1015" s="115"/>
      <c r="BM1015" s="115"/>
      <c r="BN1015" s="115"/>
      <c r="BO1015" s="115"/>
      <c r="BP1015" s="115"/>
    </row>
    <row r="1016" spans="1:68" ht="20.100000000000001" customHeight="1">
      <c r="A1016" s="1229" t="s">
        <v>4536</v>
      </c>
      <c r="B1016" s="1229" t="s">
        <v>4799</v>
      </c>
      <c r="C1016" s="1229" t="s">
        <v>4804</v>
      </c>
      <c r="D1016" s="195">
        <f>D120+75</f>
        <v>975</v>
      </c>
      <c r="E1016" s="195">
        <f>E120+150</f>
        <v>1750</v>
      </c>
      <c r="F1016" s="195">
        <f>F120+150</f>
        <v>1800</v>
      </c>
      <c r="G1016" s="110" t="s">
        <v>4553</v>
      </c>
      <c r="H1016" s="56" t="s">
        <v>4552</v>
      </c>
      <c r="I1016" s="38" t="s">
        <v>4639</v>
      </c>
      <c r="J1016" s="30"/>
      <c r="K1016" s="38">
        <v>38</v>
      </c>
      <c r="L1016" s="116" t="s">
        <v>4539</v>
      </c>
      <c r="M1016" s="6">
        <v>43085</v>
      </c>
      <c r="N1016" s="6">
        <v>43100</v>
      </c>
      <c r="O1016" s="61" t="s">
        <v>4673</v>
      </c>
      <c r="P1016" s="61"/>
      <c r="Q1016" s="167"/>
      <c r="R1016" s="239"/>
      <c r="S1016" s="328" t="s">
        <v>4543</v>
      </c>
      <c r="T1016" s="722"/>
      <c r="U1016" s="42"/>
      <c r="AE1016" s="279"/>
      <c r="AF1016" s="279"/>
      <c r="AG1016" s="279"/>
      <c r="AH1016" s="279"/>
      <c r="AI1016" s="279"/>
      <c r="AJ1016" s="279"/>
      <c r="AK1016" s="279"/>
      <c r="AL1016" s="279"/>
      <c r="AM1016" s="279"/>
      <c r="AN1016" s="279"/>
      <c r="AO1016" s="279"/>
      <c r="AP1016" s="279"/>
      <c r="AQ1016" s="279"/>
      <c r="AR1016" s="279"/>
      <c r="AS1016" s="279"/>
      <c r="AT1016" s="279"/>
      <c r="AU1016" s="279"/>
      <c r="AV1016" s="279"/>
      <c r="AW1016" s="279"/>
      <c r="AX1016" s="279"/>
      <c r="AY1016" s="279"/>
      <c r="AZ1016" s="279"/>
      <c r="BA1016" s="279"/>
      <c r="BB1016" s="279"/>
      <c r="BC1016" s="279"/>
      <c r="BD1016" s="279"/>
      <c r="BE1016" s="279"/>
      <c r="BF1016" s="279"/>
      <c r="BG1016" s="279"/>
      <c r="BH1016" s="279"/>
      <c r="BI1016" s="279"/>
      <c r="BJ1016" s="279"/>
      <c r="BK1016" s="279"/>
      <c r="BL1016" s="279"/>
      <c r="BM1016" s="279"/>
      <c r="BN1016" s="279"/>
      <c r="BO1016" s="279"/>
      <c r="BP1016" s="279"/>
    </row>
    <row r="1017" spans="1:68" ht="20.100000000000001" customHeight="1">
      <c r="A1017" s="1229" t="s">
        <v>4536</v>
      </c>
      <c r="B1017" s="1229" t="s">
        <v>4799</v>
      </c>
      <c r="C1017" s="1229" t="s">
        <v>4804</v>
      </c>
      <c r="D1017" s="195">
        <f>D65+400</f>
        <v>1200</v>
      </c>
      <c r="E1017" s="195">
        <f>E65+450</f>
        <v>1950</v>
      </c>
      <c r="F1017" s="195">
        <f>F65+400</f>
        <v>1950</v>
      </c>
      <c r="G1017" s="12" t="s">
        <v>4645</v>
      </c>
      <c r="H1017" s="48" t="s">
        <v>4556</v>
      </c>
      <c r="I1017" s="38" t="s">
        <v>4540</v>
      </c>
      <c r="J1017" s="30"/>
      <c r="K1017" s="38" t="s">
        <v>4803</v>
      </c>
      <c r="L1017" s="116" t="s">
        <v>4539</v>
      </c>
      <c r="M1017" s="6">
        <v>43084</v>
      </c>
      <c r="N1017" s="6">
        <v>43100</v>
      </c>
      <c r="O1017" s="61" t="s">
        <v>4643</v>
      </c>
      <c r="P1017" s="61"/>
      <c r="Q1017" s="61"/>
      <c r="R1017" s="239"/>
      <c r="S1017" s="326" t="s">
        <v>4641</v>
      </c>
      <c r="T1017" s="722"/>
      <c r="U1017" s="42"/>
      <c r="AE1017" s="115"/>
      <c r="AF1017" s="115"/>
      <c r="AG1017" s="115"/>
      <c r="AH1017" s="115"/>
      <c r="AI1017" s="115"/>
      <c r="AJ1017" s="115"/>
      <c r="AK1017" s="115"/>
      <c r="AL1017" s="115"/>
      <c r="AM1017" s="115"/>
      <c r="AN1017" s="115"/>
      <c r="AO1017" s="115"/>
      <c r="AP1017" s="115"/>
      <c r="AQ1017" s="115"/>
      <c r="AR1017" s="115"/>
      <c r="AS1017" s="115"/>
      <c r="AT1017" s="115"/>
      <c r="AU1017" s="115"/>
      <c r="AV1017" s="115"/>
      <c r="AW1017" s="115"/>
      <c r="AX1017" s="115"/>
      <c r="AY1017" s="115"/>
      <c r="AZ1017" s="115"/>
      <c r="BA1017" s="115"/>
      <c r="BB1017" s="115"/>
      <c r="BC1017" s="115"/>
      <c r="BD1017" s="115"/>
      <c r="BE1017" s="115"/>
      <c r="BF1017" s="115"/>
      <c r="BG1017" s="115"/>
      <c r="BH1017" s="115"/>
      <c r="BI1017" s="115"/>
      <c r="BJ1017" s="115"/>
      <c r="BK1017" s="115"/>
      <c r="BL1017" s="115"/>
      <c r="BM1017" s="115"/>
      <c r="BN1017" s="115"/>
      <c r="BO1017" s="115"/>
      <c r="BP1017" s="115"/>
    </row>
    <row r="1018" spans="1:68" ht="20.100000000000001" customHeight="1">
      <c r="A1018" s="908" t="s">
        <v>4536</v>
      </c>
      <c r="B1018" s="908" t="s">
        <v>4799</v>
      </c>
      <c r="C1018" s="908" t="s">
        <v>4802</v>
      </c>
      <c r="D1018" s="345">
        <f>D77+250+25</f>
        <v>1125</v>
      </c>
      <c r="E1018" s="345">
        <f>E77+400+50</f>
        <v>2050</v>
      </c>
      <c r="F1018" s="345">
        <f>F77+400+50</f>
        <v>2100</v>
      </c>
      <c r="G1018" s="217" t="s">
        <v>4572</v>
      </c>
      <c r="H1018" s="56" t="s">
        <v>4541</v>
      </c>
      <c r="I1018" s="20" t="s">
        <v>4540</v>
      </c>
      <c r="J1018" s="30"/>
      <c r="K1018" s="38"/>
      <c r="L1018" s="116" t="s">
        <v>4539</v>
      </c>
      <c r="M1018" s="15">
        <v>43070</v>
      </c>
      <c r="N1018" s="15">
        <v>43100</v>
      </c>
      <c r="O1018" s="61" t="s">
        <v>4655</v>
      </c>
      <c r="P1018" s="61"/>
      <c r="Q1018" s="7"/>
      <c r="R1018" s="239"/>
      <c r="S1018" s="327" t="s">
        <v>4570</v>
      </c>
      <c r="T1018" s="722"/>
      <c r="U1018" s="42"/>
      <c r="AE1018" s="115"/>
      <c r="AF1018" s="115"/>
      <c r="AG1018" s="115"/>
      <c r="AH1018" s="115"/>
      <c r="AI1018" s="115"/>
      <c r="AJ1018" s="115"/>
      <c r="AK1018" s="115"/>
      <c r="AL1018" s="115"/>
      <c r="AM1018" s="115"/>
      <c r="AN1018" s="115"/>
      <c r="AO1018" s="115"/>
      <c r="AP1018" s="115"/>
      <c r="AQ1018" s="115"/>
      <c r="AR1018" s="115"/>
      <c r="AS1018" s="115"/>
      <c r="AT1018" s="115"/>
      <c r="AU1018" s="115"/>
      <c r="AV1018" s="115"/>
      <c r="AW1018" s="115"/>
      <c r="AX1018" s="115"/>
      <c r="AY1018" s="115"/>
      <c r="AZ1018" s="115"/>
      <c r="BA1018" s="115"/>
      <c r="BB1018" s="115"/>
      <c r="BC1018" s="115"/>
      <c r="BD1018" s="115"/>
      <c r="BE1018" s="115"/>
      <c r="BF1018" s="115"/>
      <c r="BG1018" s="115"/>
      <c r="BH1018" s="115"/>
      <c r="BI1018" s="115"/>
      <c r="BJ1018" s="115"/>
      <c r="BK1018" s="115"/>
      <c r="BL1018" s="115"/>
      <c r="BM1018" s="115"/>
      <c r="BN1018" s="115"/>
      <c r="BO1018" s="115"/>
      <c r="BP1018" s="115"/>
    </row>
    <row r="1019" spans="1:68" ht="20.100000000000001" customHeight="1">
      <c r="A1019" s="1229" t="s">
        <v>4536</v>
      </c>
      <c r="B1019" s="1229" t="s">
        <v>4799</v>
      </c>
      <c r="C1019" s="1229" t="s">
        <v>4801</v>
      </c>
      <c r="D1019" s="345">
        <f>D77+400+25</f>
        <v>1275</v>
      </c>
      <c r="E1019" s="345">
        <f>E77+500+50</f>
        <v>2150</v>
      </c>
      <c r="F1019" s="345">
        <f>F77+500+50</f>
        <v>2200</v>
      </c>
      <c r="G1019" s="217" t="s">
        <v>4572</v>
      </c>
      <c r="H1019" s="56" t="s">
        <v>4541</v>
      </c>
      <c r="I1019" s="20" t="s">
        <v>4540</v>
      </c>
      <c r="J1019" s="30"/>
      <c r="K1019" s="38"/>
      <c r="L1019" s="116" t="s">
        <v>4539</v>
      </c>
      <c r="M1019" s="15">
        <v>43070</v>
      </c>
      <c r="N1019" s="15">
        <v>43100</v>
      </c>
      <c r="O1019" s="61" t="s">
        <v>4655</v>
      </c>
      <c r="P1019" s="61"/>
      <c r="Q1019" s="7"/>
      <c r="R1019" s="239"/>
      <c r="S1019" s="327" t="s">
        <v>4570</v>
      </c>
      <c r="T1019" s="722"/>
      <c r="U1019" s="42"/>
      <c r="AE1019" s="115"/>
      <c r="AF1019" s="115"/>
      <c r="AG1019" s="115"/>
      <c r="AH1019" s="115"/>
      <c r="AI1019" s="115"/>
      <c r="AJ1019" s="115"/>
      <c r="AK1019" s="115"/>
      <c r="AL1019" s="115"/>
      <c r="AM1019" s="115"/>
      <c r="AN1019" s="115"/>
      <c r="AO1019" s="115"/>
      <c r="AP1019" s="115"/>
      <c r="AQ1019" s="115"/>
      <c r="AR1019" s="115"/>
      <c r="AS1019" s="115"/>
      <c r="AT1019" s="115"/>
      <c r="AU1019" s="115"/>
      <c r="AV1019" s="115"/>
      <c r="AW1019" s="115"/>
      <c r="AX1019" s="115"/>
      <c r="AY1019" s="115"/>
      <c r="AZ1019" s="115"/>
      <c r="BA1019" s="115"/>
      <c r="BB1019" s="115"/>
      <c r="BC1019" s="115"/>
      <c r="BD1019" s="115"/>
      <c r="BE1019" s="115"/>
      <c r="BF1019" s="115"/>
      <c r="BG1019" s="115"/>
      <c r="BH1019" s="115"/>
      <c r="BI1019" s="115"/>
      <c r="BJ1019" s="115"/>
      <c r="BK1019" s="115"/>
      <c r="BL1019" s="115"/>
      <c r="BM1019" s="115"/>
      <c r="BN1019" s="115"/>
      <c r="BO1019" s="115"/>
      <c r="BP1019" s="115"/>
    </row>
    <row r="1020" spans="1:68" ht="20.100000000000001" customHeight="1">
      <c r="A1020" s="1229" t="s">
        <v>4536</v>
      </c>
      <c r="B1020" s="1229" t="s">
        <v>4799</v>
      </c>
      <c r="C1020" s="1229" t="s">
        <v>4801</v>
      </c>
      <c r="D1020" s="195">
        <f>D211+900+25</f>
        <v>1650</v>
      </c>
      <c r="E1020" s="195">
        <f>E211+1200+50</f>
        <v>2600</v>
      </c>
      <c r="F1020" s="195">
        <f>F211+1200+50</f>
        <v>2650</v>
      </c>
      <c r="G1020" s="110" t="s">
        <v>4566</v>
      </c>
      <c r="H1020" s="69" t="s">
        <v>4556</v>
      </c>
      <c r="I1020" s="38" t="s">
        <v>4595</v>
      </c>
      <c r="J1020" s="30"/>
      <c r="K1020" s="38"/>
      <c r="L1020" s="116" t="s">
        <v>4539</v>
      </c>
      <c r="M1020" s="15">
        <v>43084</v>
      </c>
      <c r="N1020" s="15">
        <v>43100</v>
      </c>
      <c r="O1020" s="59" t="s">
        <v>4674</v>
      </c>
      <c r="P1020" s="61"/>
      <c r="Q1020" s="61"/>
      <c r="R1020" s="239"/>
      <c r="S1020" s="327" t="s">
        <v>4561</v>
      </c>
      <c r="T1020" s="722"/>
      <c r="U1020" s="42"/>
      <c r="AE1020" s="115"/>
      <c r="AF1020" s="115"/>
      <c r="AG1020" s="115"/>
      <c r="AH1020" s="115"/>
      <c r="AI1020" s="115"/>
      <c r="AJ1020" s="115"/>
      <c r="AK1020" s="115"/>
      <c r="AL1020" s="115"/>
      <c r="AM1020" s="115"/>
      <c r="AN1020" s="115"/>
      <c r="AO1020" s="115"/>
      <c r="AP1020" s="115"/>
      <c r="AQ1020" s="115"/>
      <c r="AR1020" s="115"/>
      <c r="AS1020" s="115"/>
      <c r="AT1020" s="115"/>
      <c r="AU1020" s="115"/>
      <c r="AV1020" s="115"/>
      <c r="AW1020" s="115"/>
      <c r="AX1020" s="115"/>
      <c r="AY1020" s="115"/>
      <c r="AZ1020" s="115"/>
      <c r="BA1020" s="115"/>
      <c r="BB1020" s="115"/>
      <c r="BC1020" s="115"/>
      <c r="BD1020" s="115"/>
      <c r="BE1020" s="115"/>
      <c r="BF1020" s="115"/>
      <c r="BG1020" s="115"/>
      <c r="BH1020" s="115"/>
      <c r="BI1020" s="115"/>
      <c r="BJ1020" s="115"/>
      <c r="BK1020" s="115"/>
      <c r="BL1020" s="115"/>
      <c r="BM1020" s="115"/>
      <c r="BN1020" s="115"/>
      <c r="BO1020" s="115"/>
      <c r="BP1020" s="115"/>
    </row>
    <row r="1021" spans="1:68" ht="20.100000000000001" customHeight="1">
      <c r="A1021" s="908" t="s">
        <v>4536</v>
      </c>
      <c r="B1021" s="908" t="s">
        <v>4799</v>
      </c>
      <c r="C1021" s="908" t="s">
        <v>4800</v>
      </c>
      <c r="D1021" s="195">
        <f>D211+75+25</f>
        <v>825</v>
      </c>
      <c r="E1021" s="195">
        <f>E211+150+50</f>
        <v>1550</v>
      </c>
      <c r="F1021" s="195">
        <f>F211+150+50</f>
        <v>1600</v>
      </c>
      <c r="G1021" s="110" t="s">
        <v>4566</v>
      </c>
      <c r="H1021" s="69" t="s">
        <v>4556</v>
      </c>
      <c r="I1021" s="38" t="s">
        <v>4595</v>
      </c>
      <c r="J1021" s="30"/>
      <c r="K1021" s="38"/>
      <c r="L1021" s="116" t="s">
        <v>4539</v>
      </c>
      <c r="M1021" s="15">
        <v>43084</v>
      </c>
      <c r="N1021" s="15">
        <v>43100</v>
      </c>
      <c r="O1021" s="59" t="s">
        <v>4674</v>
      </c>
      <c r="P1021" s="61"/>
      <c r="Q1021" s="61"/>
      <c r="R1021" s="239"/>
      <c r="S1021" s="327" t="s">
        <v>4561</v>
      </c>
      <c r="T1021" s="722"/>
      <c r="U1021" s="42"/>
      <c r="AE1021" s="115"/>
      <c r="AF1021" s="115"/>
      <c r="AG1021" s="115"/>
      <c r="AH1021" s="115"/>
      <c r="AI1021" s="115"/>
      <c r="AJ1021" s="115"/>
      <c r="AK1021" s="115"/>
      <c r="AL1021" s="115"/>
      <c r="AM1021" s="115"/>
      <c r="AN1021" s="115"/>
      <c r="AO1021" s="115"/>
      <c r="AP1021" s="115"/>
      <c r="AQ1021" s="115"/>
      <c r="AR1021" s="115"/>
      <c r="AS1021" s="115"/>
      <c r="AT1021" s="115"/>
      <c r="AU1021" s="115"/>
      <c r="AV1021" s="115"/>
      <c r="AW1021" s="115"/>
      <c r="AX1021" s="115"/>
      <c r="AY1021" s="115"/>
      <c r="AZ1021" s="115"/>
      <c r="BA1021" s="115"/>
      <c r="BB1021" s="115"/>
      <c r="BC1021" s="115"/>
      <c r="BD1021" s="115"/>
      <c r="BE1021" s="115"/>
      <c r="BF1021" s="115"/>
      <c r="BG1021" s="115"/>
      <c r="BH1021" s="115"/>
      <c r="BI1021" s="115"/>
      <c r="BJ1021" s="115"/>
      <c r="BK1021" s="115"/>
      <c r="BL1021" s="115"/>
      <c r="BM1021" s="115"/>
      <c r="BN1021" s="115"/>
      <c r="BO1021" s="115"/>
      <c r="BP1021" s="115"/>
    </row>
    <row r="1022" spans="1:68" ht="20.100000000000001" customHeight="1">
      <c r="A1022" s="908" t="s">
        <v>4536</v>
      </c>
      <c r="B1022" s="908" t="s">
        <v>4799</v>
      </c>
      <c r="C1022" s="908" t="s">
        <v>4798</v>
      </c>
      <c r="D1022" s="345">
        <f>D968+150</f>
        <v>1150</v>
      </c>
      <c r="E1022" s="345">
        <f>E968+300</f>
        <v>2200</v>
      </c>
      <c r="F1022" s="345">
        <f>F968+300</f>
        <v>2250</v>
      </c>
      <c r="G1022" s="217" t="s">
        <v>4572</v>
      </c>
      <c r="H1022" s="56" t="s">
        <v>4541</v>
      </c>
      <c r="I1022" s="10" t="s">
        <v>4797</v>
      </c>
      <c r="J1022" s="30"/>
      <c r="K1022" s="38"/>
      <c r="L1022" s="116" t="s">
        <v>4539</v>
      </c>
      <c r="M1022" s="15">
        <v>43070</v>
      </c>
      <c r="N1022" s="15">
        <v>43100</v>
      </c>
      <c r="O1022" s="61" t="s">
        <v>4655</v>
      </c>
      <c r="P1022" s="904"/>
      <c r="Q1022" s="14"/>
      <c r="R1022" s="239"/>
      <c r="S1022" s="327" t="s">
        <v>4570</v>
      </c>
      <c r="T1022" s="722"/>
      <c r="U1022" s="42"/>
      <c r="AE1022" s="115"/>
      <c r="AF1022" s="115"/>
      <c r="AG1022" s="115"/>
      <c r="AH1022" s="115"/>
      <c r="AI1022" s="115"/>
      <c r="AJ1022" s="115"/>
      <c r="AK1022" s="115"/>
      <c r="AL1022" s="115"/>
      <c r="AM1022" s="115"/>
      <c r="AN1022" s="115"/>
      <c r="AO1022" s="115"/>
      <c r="AP1022" s="115"/>
      <c r="AQ1022" s="115"/>
      <c r="AR1022" s="115"/>
      <c r="AS1022" s="115"/>
      <c r="AT1022" s="115"/>
      <c r="AU1022" s="115"/>
      <c r="AV1022" s="115"/>
      <c r="AW1022" s="115"/>
      <c r="AX1022" s="115"/>
      <c r="AY1022" s="115"/>
      <c r="AZ1022" s="115"/>
      <c r="BA1022" s="115"/>
      <c r="BB1022" s="115"/>
      <c r="BC1022" s="115"/>
      <c r="BD1022" s="115"/>
      <c r="BE1022" s="115"/>
      <c r="BF1022" s="115"/>
      <c r="BG1022" s="115"/>
      <c r="BH1022" s="115"/>
      <c r="BI1022" s="115"/>
      <c r="BJ1022" s="115"/>
      <c r="BK1022" s="115"/>
      <c r="BL1022" s="115"/>
      <c r="BM1022" s="115"/>
      <c r="BN1022" s="115"/>
      <c r="BO1022" s="115"/>
      <c r="BP1022" s="115"/>
    </row>
    <row r="1023" spans="1:68" ht="20.100000000000001" customHeight="1">
      <c r="A1023" s="908" t="s">
        <v>4536</v>
      </c>
      <c r="B1023" s="908" t="s">
        <v>4781</v>
      </c>
      <c r="C1023" s="908" t="s">
        <v>4796</v>
      </c>
      <c r="D1023" s="201"/>
      <c r="E1023" s="201"/>
      <c r="F1023" s="201"/>
      <c r="G1023" s="12"/>
      <c r="H1023" s="56"/>
      <c r="I1023" s="51"/>
      <c r="J1023" s="34"/>
      <c r="K1023" s="51"/>
      <c r="L1023" s="118"/>
      <c r="M1023" s="118"/>
      <c r="N1023" s="15"/>
      <c r="O1023" s="59"/>
      <c r="P1023" s="106"/>
      <c r="Q1023" s="25"/>
      <c r="R1023" s="21"/>
      <c r="S1023" s="328"/>
      <c r="T1023" s="722"/>
      <c r="U1023" s="42"/>
      <c r="AE1023" s="233"/>
      <c r="AF1023" s="233"/>
      <c r="AG1023" s="233"/>
      <c r="AH1023" s="233"/>
      <c r="AI1023" s="233"/>
      <c r="AJ1023" s="233"/>
      <c r="AK1023" s="233"/>
      <c r="AL1023" s="233"/>
      <c r="AM1023" s="233"/>
      <c r="AN1023" s="233"/>
      <c r="AO1023" s="233"/>
      <c r="AP1023" s="233"/>
      <c r="AQ1023" s="233"/>
      <c r="AR1023" s="233"/>
      <c r="AS1023" s="233"/>
      <c r="AT1023" s="233"/>
      <c r="AU1023" s="233"/>
      <c r="AV1023" s="233"/>
      <c r="AW1023" s="233"/>
      <c r="AX1023" s="233"/>
      <c r="AY1023" s="233"/>
      <c r="AZ1023" s="233"/>
      <c r="BA1023" s="233"/>
      <c r="BB1023" s="233"/>
      <c r="BC1023" s="233"/>
      <c r="BD1023" s="233"/>
      <c r="BE1023" s="233"/>
      <c r="BF1023" s="233"/>
      <c r="BG1023" s="233"/>
      <c r="BH1023" s="233"/>
      <c r="BI1023" s="233"/>
      <c r="BJ1023" s="233"/>
      <c r="BK1023" s="233"/>
      <c r="BL1023" s="233"/>
      <c r="BM1023" s="233"/>
      <c r="BN1023" s="233"/>
      <c r="BO1023" s="233"/>
      <c r="BP1023" s="233"/>
    </row>
    <row r="1024" spans="1:68" ht="20.100000000000001" customHeight="1">
      <c r="A1024" s="1229" t="s">
        <v>4536</v>
      </c>
      <c r="B1024" s="1229" t="s">
        <v>4781</v>
      </c>
      <c r="C1024" s="1229" t="s">
        <v>4795</v>
      </c>
      <c r="D1024" s="345">
        <f>D20+75+25</f>
        <v>950</v>
      </c>
      <c r="E1024" s="345">
        <f>E20+150+50</f>
        <v>1800</v>
      </c>
      <c r="F1024" s="345">
        <f>F20+150+50</f>
        <v>1850</v>
      </c>
      <c r="G1024" s="217" t="s">
        <v>4572</v>
      </c>
      <c r="H1024" s="56" t="s">
        <v>4541</v>
      </c>
      <c r="I1024" s="20" t="s">
        <v>4595</v>
      </c>
      <c r="J1024" s="30"/>
      <c r="K1024" s="38"/>
      <c r="L1024" s="116" t="s">
        <v>4539</v>
      </c>
      <c r="M1024" s="15">
        <v>43070</v>
      </c>
      <c r="N1024" s="15">
        <v>43100</v>
      </c>
      <c r="O1024" s="61" t="s">
        <v>4655</v>
      </c>
      <c r="P1024" s="61"/>
      <c r="Q1024" s="7"/>
      <c r="R1024" s="239"/>
      <c r="S1024" s="327" t="s">
        <v>4570</v>
      </c>
      <c r="T1024" s="722"/>
      <c r="U1024" s="42"/>
      <c r="AE1024" s="115"/>
      <c r="AF1024" s="115"/>
      <c r="AG1024" s="115"/>
      <c r="AH1024" s="115"/>
      <c r="AI1024" s="115"/>
      <c r="AJ1024" s="115"/>
      <c r="AK1024" s="115"/>
      <c r="AL1024" s="115"/>
      <c r="AM1024" s="115"/>
      <c r="AN1024" s="115"/>
      <c r="AO1024" s="115"/>
      <c r="AP1024" s="115"/>
      <c r="AQ1024" s="115"/>
      <c r="AR1024" s="115"/>
      <c r="AS1024" s="115"/>
      <c r="AT1024" s="115"/>
      <c r="AU1024" s="115"/>
      <c r="AV1024" s="115"/>
      <c r="AW1024" s="115"/>
      <c r="AX1024" s="115"/>
      <c r="AY1024" s="115"/>
      <c r="AZ1024" s="115"/>
      <c r="BA1024" s="115"/>
      <c r="BB1024" s="115"/>
      <c r="BC1024" s="115"/>
      <c r="BD1024" s="115"/>
      <c r="BE1024" s="115"/>
      <c r="BF1024" s="115"/>
      <c r="BG1024" s="115"/>
      <c r="BH1024" s="115"/>
      <c r="BI1024" s="115"/>
      <c r="BJ1024" s="115"/>
      <c r="BK1024" s="115"/>
      <c r="BL1024" s="115"/>
      <c r="BM1024" s="115"/>
      <c r="BN1024" s="115"/>
      <c r="BO1024" s="115"/>
      <c r="BP1024" s="115"/>
    </row>
    <row r="1025" spans="1:68" ht="20.100000000000001" customHeight="1">
      <c r="A1025" s="1229" t="s">
        <v>4536</v>
      </c>
      <c r="B1025" s="1229" t="s">
        <v>4781</v>
      </c>
      <c r="C1025" s="1229" t="s">
        <v>4795</v>
      </c>
      <c r="D1025" s="366">
        <f>D97+100</f>
        <v>975</v>
      </c>
      <c r="E1025" s="366">
        <f>E97+50</f>
        <v>1600</v>
      </c>
      <c r="F1025" s="366">
        <f>F97+0</f>
        <v>1600</v>
      </c>
      <c r="G1025" s="217" t="s">
        <v>4575</v>
      </c>
      <c r="H1025" s="48" t="s">
        <v>4541</v>
      </c>
      <c r="I1025" s="38" t="s">
        <v>4540</v>
      </c>
      <c r="J1025" s="30"/>
      <c r="K1025" s="38"/>
      <c r="L1025" s="116" t="s">
        <v>4539</v>
      </c>
      <c r="M1025" s="15">
        <v>43084</v>
      </c>
      <c r="N1025" s="15">
        <v>43100</v>
      </c>
      <c r="O1025" s="61" t="s">
        <v>4573</v>
      </c>
      <c r="P1025" s="61"/>
      <c r="Q1025" s="61"/>
      <c r="R1025" s="239"/>
      <c r="S1025" s="328" t="s">
        <v>4543</v>
      </c>
      <c r="T1025" s="722"/>
      <c r="U1025" s="42"/>
      <c r="AE1025" s="115"/>
      <c r="AF1025" s="115"/>
      <c r="AG1025" s="115"/>
      <c r="AH1025" s="115"/>
      <c r="AI1025" s="115"/>
      <c r="AJ1025" s="115"/>
      <c r="AK1025" s="115"/>
      <c r="AL1025" s="115"/>
      <c r="AM1025" s="115"/>
      <c r="AN1025" s="115"/>
      <c r="AO1025" s="115"/>
      <c r="AP1025" s="115"/>
      <c r="AQ1025" s="115"/>
      <c r="AR1025" s="115"/>
      <c r="AS1025" s="115"/>
      <c r="AT1025" s="115"/>
      <c r="AU1025" s="115"/>
      <c r="AV1025" s="115"/>
      <c r="AW1025" s="115"/>
      <c r="AX1025" s="115"/>
      <c r="AY1025" s="115"/>
      <c r="AZ1025" s="115"/>
      <c r="BA1025" s="115"/>
      <c r="BB1025" s="115"/>
      <c r="BC1025" s="115"/>
      <c r="BD1025" s="115"/>
      <c r="BE1025" s="115"/>
      <c r="BF1025" s="115"/>
      <c r="BG1025" s="115"/>
      <c r="BH1025" s="115"/>
      <c r="BI1025" s="115"/>
      <c r="BJ1025" s="115"/>
      <c r="BK1025" s="115"/>
      <c r="BL1025" s="115"/>
      <c r="BM1025" s="115"/>
      <c r="BN1025" s="115"/>
      <c r="BO1025" s="115"/>
      <c r="BP1025" s="115"/>
    </row>
    <row r="1026" spans="1:68" ht="20.100000000000001" customHeight="1">
      <c r="A1026" s="1229" t="s">
        <v>4536</v>
      </c>
      <c r="B1026" s="1229" t="s">
        <v>4781</v>
      </c>
      <c r="C1026" s="1229" t="s">
        <v>4795</v>
      </c>
      <c r="D1026" s="273">
        <f>D211+100+25</f>
        <v>850</v>
      </c>
      <c r="E1026" s="273">
        <f>E211+200+50</f>
        <v>1600</v>
      </c>
      <c r="F1026" s="273">
        <f>F211+200+50</f>
        <v>1650</v>
      </c>
      <c r="G1026" s="110" t="s">
        <v>4566</v>
      </c>
      <c r="H1026" s="69" t="s">
        <v>4556</v>
      </c>
      <c r="I1026" s="38" t="s">
        <v>4595</v>
      </c>
      <c r="J1026" s="30"/>
      <c r="K1026" s="38"/>
      <c r="L1026" s="116" t="s">
        <v>4539</v>
      </c>
      <c r="M1026" s="15">
        <v>43084</v>
      </c>
      <c r="N1026" s="15">
        <v>43100</v>
      </c>
      <c r="O1026" s="59" t="s">
        <v>4674</v>
      </c>
      <c r="P1026" s="61"/>
      <c r="Q1026" s="61"/>
      <c r="R1026" s="239"/>
      <c r="S1026" s="327" t="s">
        <v>4561</v>
      </c>
      <c r="T1026" s="722"/>
      <c r="U1026" s="42"/>
      <c r="AE1026" s="115"/>
      <c r="AF1026" s="115"/>
      <c r="AG1026" s="115"/>
      <c r="AH1026" s="115"/>
      <c r="AI1026" s="115"/>
      <c r="AJ1026" s="115"/>
      <c r="AK1026" s="115"/>
      <c r="AL1026" s="115"/>
      <c r="AM1026" s="115"/>
      <c r="AN1026" s="115"/>
      <c r="AO1026" s="115"/>
      <c r="AP1026" s="115"/>
      <c r="AQ1026" s="115"/>
      <c r="AR1026" s="115"/>
      <c r="AS1026" s="115"/>
      <c r="AT1026" s="115"/>
      <c r="AU1026" s="115"/>
      <c r="AV1026" s="115"/>
      <c r="AW1026" s="115"/>
      <c r="AX1026" s="115"/>
      <c r="AY1026" s="115"/>
      <c r="AZ1026" s="115"/>
      <c r="BA1026" s="115"/>
      <c r="BB1026" s="115"/>
      <c r="BC1026" s="115"/>
      <c r="BD1026" s="115"/>
      <c r="BE1026" s="115"/>
      <c r="BF1026" s="115"/>
      <c r="BG1026" s="115"/>
      <c r="BH1026" s="115"/>
      <c r="BI1026" s="115"/>
      <c r="BJ1026" s="115"/>
      <c r="BK1026" s="115"/>
      <c r="BL1026" s="115"/>
      <c r="BM1026" s="115"/>
      <c r="BN1026" s="115"/>
      <c r="BO1026" s="115"/>
      <c r="BP1026" s="115"/>
    </row>
    <row r="1027" spans="1:68" ht="20.100000000000001" customHeight="1">
      <c r="A1027" s="1229" t="s">
        <v>4536</v>
      </c>
      <c r="B1027" s="1229" t="s">
        <v>4781</v>
      </c>
      <c r="C1027" s="1229" t="s">
        <v>4795</v>
      </c>
      <c r="D1027" s="195">
        <f>D43+240+25</f>
        <v>1015</v>
      </c>
      <c r="E1027" s="195">
        <f>E43+240+50</f>
        <v>1690</v>
      </c>
      <c r="F1027" s="195">
        <f>F43+240+50</f>
        <v>1740</v>
      </c>
      <c r="G1027" s="110" t="s">
        <v>4636</v>
      </c>
      <c r="H1027" s="36" t="s">
        <v>4667</v>
      </c>
      <c r="I1027" s="38" t="s">
        <v>4666</v>
      </c>
      <c r="J1027" s="30"/>
      <c r="K1027" s="38"/>
      <c r="L1027" s="116" t="s">
        <v>4539</v>
      </c>
      <c r="M1027" s="6">
        <v>43084</v>
      </c>
      <c r="N1027" s="6">
        <v>43100</v>
      </c>
      <c r="O1027" s="61" t="s">
        <v>4633</v>
      </c>
      <c r="P1027" s="61"/>
      <c r="Q1027" s="61"/>
      <c r="R1027" s="239"/>
      <c r="S1027" s="327" t="s">
        <v>4632</v>
      </c>
      <c r="T1027" s="722"/>
      <c r="U1027" s="42"/>
      <c r="AE1027" s="115"/>
      <c r="AF1027" s="115"/>
      <c r="AG1027" s="115"/>
      <c r="AH1027" s="115"/>
      <c r="AI1027" s="115"/>
      <c r="AJ1027" s="115"/>
      <c r="AK1027" s="115"/>
      <c r="AL1027" s="115"/>
      <c r="AM1027" s="115"/>
      <c r="AN1027" s="115"/>
      <c r="AO1027" s="115"/>
      <c r="AP1027" s="115"/>
      <c r="AQ1027" s="115"/>
      <c r="AR1027" s="115"/>
      <c r="AS1027" s="115"/>
      <c r="AT1027" s="115"/>
      <c r="AU1027" s="115"/>
      <c r="AV1027" s="115"/>
      <c r="AW1027" s="115"/>
      <c r="AX1027" s="115"/>
      <c r="AY1027" s="115"/>
      <c r="AZ1027" s="115"/>
      <c r="BA1027" s="115"/>
      <c r="BB1027" s="115"/>
      <c r="BC1027" s="115"/>
      <c r="BD1027" s="115"/>
      <c r="BE1027" s="115"/>
      <c r="BF1027" s="115"/>
      <c r="BG1027" s="115"/>
      <c r="BH1027" s="115"/>
      <c r="BI1027" s="115"/>
      <c r="BJ1027" s="115"/>
      <c r="BK1027" s="115"/>
      <c r="BL1027" s="115"/>
      <c r="BM1027" s="115"/>
      <c r="BN1027" s="115"/>
      <c r="BO1027" s="115"/>
      <c r="BP1027" s="115"/>
    </row>
    <row r="1028" spans="1:68" ht="20.100000000000001" customHeight="1">
      <c r="A1028" s="1229" t="s">
        <v>4536</v>
      </c>
      <c r="B1028" s="1229" t="s">
        <v>4781</v>
      </c>
      <c r="C1028" s="1229" t="s">
        <v>4795</v>
      </c>
      <c r="D1028" s="273">
        <f>D72+150</f>
        <v>930</v>
      </c>
      <c r="E1028" s="273">
        <f>E72+100</f>
        <v>1557</v>
      </c>
      <c r="F1028" s="273">
        <f>F72+100</f>
        <v>1557</v>
      </c>
      <c r="G1028" s="225" t="s">
        <v>4569</v>
      </c>
      <c r="H1028" s="69" t="s">
        <v>4568</v>
      </c>
      <c r="I1028" s="38" t="s">
        <v>4540</v>
      </c>
      <c r="J1028" s="30"/>
      <c r="K1028" s="38" t="s">
        <v>4546</v>
      </c>
      <c r="L1028" s="116" t="s">
        <v>4539</v>
      </c>
      <c r="M1028" s="6">
        <v>43074</v>
      </c>
      <c r="N1028" s="6">
        <v>43084</v>
      </c>
      <c r="O1028" s="61" t="s">
        <v>4664</v>
      </c>
      <c r="P1028" s="61"/>
      <c r="Q1028" s="61"/>
      <c r="R1028" s="239"/>
      <c r="S1028" s="328" t="s">
        <v>4543</v>
      </c>
      <c r="T1028" s="722"/>
      <c r="U1028" s="42"/>
      <c r="AE1028" s="115"/>
      <c r="AF1028" s="115"/>
      <c r="AG1028" s="115"/>
      <c r="AH1028" s="115"/>
      <c r="AI1028" s="115"/>
      <c r="AJ1028" s="115"/>
      <c r="AK1028" s="115"/>
      <c r="AL1028" s="115"/>
      <c r="AM1028" s="115"/>
      <c r="AN1028" s="115"/>
      <c r="AO1028" s="115"/>
      <c r="AP1028" s="115"/>
      <c r="AQ1028" s="115"/>
      <c r="AR1028" s="115"/>
      <c r="AS1028" s="115"/>
      <c r="AT1028" s="115"/>
      <c r="AU1028" s="115"/>
      <c r="AV1028" s="115"/>
      <c r="AW1028" s="115"/>
      <c r="AX1028" s="115"/>
      <c r="AY1028" s="115"/>
      <c r="AZ1028" s="115"/>
      <c r="BA1028" s="115"/>
      <c r="BB1028" s="115"/>
      <c r="BC1028" s="115"/>
      <c r="BD1028" s="115"/>
      <c r="BE1028" s="115"/>
      <c r="BF1028" s="115"/>
      <c r="BG1028" s="115"/>
      <c r="BH1028" s="115"/>
      <c r="BI1028" s="115"/>
      <c r="BJ1028" s="115"/>
      <c r="BK1028" s="115"/>
      <c r="BL1028" s="115"/>
      <c r="BM1028" s="115"/>
      <c r="BN1028" s="115"/>
      <c r="BO1028" s="115"/>
      <c r="BP1028" s="115"/>
    </row>
    <row r="1029" spans="1:68" ht="20.100000000000001" customHeight="1">
      <c r="A1029" s="1229" t="s">
        <v>4536</v>
      </c>
      <c r="B1029" s="1229" t="s">
        <v>4781</v>
      </c>
      <c r="C1029" s="1229" t="s">
        <v>4795</v>
      </c>
      <c r="D1029" s="195">
        <f>D90+150</f>
        <v>915</v>
      </c>
      <c r="E1029" s="195">
        <f>E90+100</f>
        <v>1530</v>
      </c>
      <c r="F1029" s="195">
        <f>F90+100</f>
        <v>1580</v>
      </c>
      <c r="G1029" s="110" t="s">
        <v>4560</v>
      </c>
      <c r="H1029" s="48" t="s">
        <v>4556</v>
      </c>
      <c r="I1029" s="38" t="s">
        <v>4540</v>
      </c>
      <c r="J1029" s="30"/>
      <c r="K1029" s="38">
        <v>36</v>
      </c>
      <c r="L1029" s="116" t="s">
        <v>4539</v>
      </c>
      <c r="M1029" s="15">
        <v>43084</v>
      </c>
      <c r="N1029" s="15">
        <v>43100</v>
      </c>
      <c r="O1029" s="59" t="s">
        <v>4559</v>
      </c>
      <c r="P1029" s="61"/>
      <c r="Q1029" s="61"/>
      <c r="R1029" s="239"/>
      <c r="S1029" s="336" t="s">
        <v>4558</v>
      </c>
      <c r="T1029" s="722"/>
      <c r="U1029" s="42"/>
      <c r="AE1029" s="115"/>
      <c r="AF1029" s="115"/>
      <c r="AG1029" s="115"/>
      <c r="AH1029" s="115"/>
      <c r="AI1029" s="115"/>
      <c r="AJ1029" s="115"/>
      <c r="AK1029" s="115"/>
      <c r="AL1029" s="115"/>
      <c r="AM1029" s="115"/>
      <c r="AN1029" s="115"/>
      <c r="AO1029" s="115"/>
      <c r="AP1029" s="115"/>
      <c r="AQ1029" s="115"/>
      <c r="AR1029" s="115"/>
      <c r="AS1029" s="115"/>
      <c r="AT1029" s="115"/>
      <c r="AU1029" s="115"/>
      <c r="AV1029" s="115"/>
      <c r="AW1029" s="115"/>
      <c r="AX1029" s="115"/>
      <c r="AY1029" s="115"/>
      <c r="AZ1029" s="115"/>
      <c r="BA1029" s="115"/>
      <c r="BB1029" s="115"/>
      <c r="BC1029" s="115"/>
      <c r="BD1029" s="115"/>
      <c r="BE1029" s="115"/>
      <c r="BF1029" s="115"/>
      <c r="BG1029" s="115"/>
      <c r="BH1029" s="115"/>
      <c r="BI1029" s="115"/>
      <c r="BJ1029" s="115"/>
      <c r="BK1029" s="115"/>
      <c r="BL1029" s="115"/>
      <c r="BM1029" s="115"/>
      <c r="BN1029" s="115"/>
      <c r="BO1029" s="115"/>
      <c r="BP1029" s="115"/>
    </row>
    <row r="1030" spans="1:68" ht="20.100000000000001" customHeight="1">
      <c r="A1030" s="1229" t="s">
        <v>4536</v>
      </c>
      <c r="B1030" s="1229" t="s">
        <v>4781</v>
      </c>
      <c r="C1030" s="1229" t="s">
        <v>4795</v>
      </c>
      <c r="D1030" s="195">
        <f>D64+250</f>
        <v>1000</v>
      </c>
      <c r="E1030" s="195">
        <f>E64+450</f>
        <v>1850</v>
      </c>
      <c r="F1030" s="195">
        <f>F64+450</f>
        <v>1850</v>
      </c>
      <c r="G1030" s="217" t="s">
        <v>4557</v>
      </c>
      <c r="H1030" s="69" t="s">
        <v>4556</v>
      </c>
      <c r="I1030" s="38" t="s">
        <v>4540</v>
      </c>
      <c r="J1030" s="30"/>
      <c r="K1030" s="38"/>
      <c r="L1030" s="116" t="s">
        <v>4539</v>
      </c>
      <c r="M1030" s="6">
        <v>43084</v>
      </c>
      <c r="N1030" s="6">
        <v>43100</v>
      </c>
      <c r="O1030" s="61" t="s">
        <v>4555</v>
      </c>
      <c r="P1030" s="61"/>
      <c r="Q1030" s="7"/>
      <c r="R1030" s="239" t="s">
        <v>4554</v>
      </c>
      <c r="S1030" s="326" t="s">
        <v>4543</v>
      </c>
      <c r="T1030" s="722"/>
      <c r="U1030" s="42"/>
      <c r="AE1030" s="115"/>
      <c r="AF1030" s="115"/>
      <c r="AG1030" s="115"/>
      <c r="AH1030" s="115"/>
      <c r="AI1030" s="115"/>
      <c r="AJ1030" s="115"/>
      <c r="AK1030" s="115"/>
      <c r="AL1030" s="115"/>
      <c r="AM1030" s="115"/>
      <c r="AN1030" s="115"/>
      <c r="AO1030" s="115"/>
      <c r="AP1030" s="115"/>
      <c r="AQ1030" s="115"/>
      <c r="AR1030" s="115"/>
      <c r="AS1030" s="115"/>
      <c r="AT1030" s="115"/>
      <c r="AU1030" s="115"/>
      <c r="AV1030" s="115"/>
      <c r="AW1030" s="115"/>
      <c r="AX1030" s="115"/>
      <c r="AY1030" s="115"/>
      <c r="AZ1030" s="115"/>
      <c r="BA1030" s="115"/>
      <c r="BB1030" s="115"/>
      <c r="BC1030" s="115"/>
      <c r="BD1030" s="115"/>
      <c r="BE1030" s="115"/>
      <c r="BF1030" s="115"/>
      <c r="BG1030" s="115"/>
      <c r="BH1030" s="115"/>
      <c r="BI1030" s="115"/>
      <c r="BJ1030" s="115"/>
      <c r="BK1030" s="115"/>
      <c r="BL1030" s="115"/>
      <c r="BM1030" s="115"/>
      <c r="BN1030" s="115"/>
      <c r="BO1030" s="115"/>
      <c r="BP1030" s="115"/>
    </row>
    <row r="1031" spans="1:68" ht="20.100000000000001" customHeight="1">
      <c r="A1031" s="1229" t="s">
        <v>4536</v>
      </c>
      <c r="B1031" s="1229" t="s">
        <v>4781</v>
      </c>
      <c r="C1031" s="1229" t="s">
        <v>4795</v>
      </c>
      <c r="D1031" s="195">
        <f>D120+75</f>
        <v>975</v>
      </c>
      <c r="E1031" s="195">
        <f>E120+125</f>
        <v>1725</v>
      </c>
      <c r="F1031" s="195">
        <f>F120+125</f>
        <v>1775</v>
      </c>
      <c r="G1031" s="110" t="s">
        <v>4553</v>
      </c>
      <c r="H1031" s="56" t="s">
        <v>4552</v>
      </c>
      <c r="I1031" s="38" t="s">
        <v>4639</v>
      </c>
      <c r="J1031" s="30"/>
      <c r="K1031" s="38">
        <v>47</v>
      </c>
      <c r="L1031" s="116" t="s">
        <v>4539</v>
      </c>
      <c r="M1031" s="6">
        <v>43085</v>
      </c>
      <c r="N1031" s="6">
        <v>43100</v>
      </c>
      <c r="O1031" s="61" t="s">
        <v>4673</v>
      </c>
      <c r="P1031" s="61"/>
      <c r="Q1031" s="61"/>
      <c r="R1031" s="239"/>
      <c r="S1031" s="328" t="s">
        <v>4543</v>
      </c>
      <c r="T1031" s="722"/>
      <c r="U1031" s="42"/>
      <c r="AE1031" s="115"/>
      <c r="AF1031" s="115"/>
      <c r="AG1031" s="115"/>
      <c r="AH1031" s="115"/>
      <c r="AI1031" s="115"/>
      <c r="AJ1031" s="115"/>
      <c r="AK1031" s="115"/>
      <c r="AL1031" s="115"/>
      <c r="AM1031" s="115"/>
      <c r="AN1031" s="115"/>
      <c r="AO1031" s="115"/>
      <c r="AP1031" s="115"/>
      <c r="AQ1031" s="115"/>
      <c r="AR1031" s="115"/>
      <c r="AS1031" s="115"/>
      <c r="AT1031" s="115"/>
      <c r="AU1031" s="115"/>
      <c r="AV1031" s="115"/>
      <c r="AW1031" s="115"/>
      <c r="AX1031" s="115"/>
      <c r="AY1031" s="115"/>
      <c r="AZ1031" s="115"/>
      <c r="BA1031" s="115"/>
      <c r="BB1031" s="115"/>
      <c r="BC1031" s="115"/>
      <c r="BD1031" s="115"/>
      <c r="BE1031" s="115"/>
      <c r="BF1031" s="115"/>
      <c r="BG1031" s="115"/>
      <c r="BH1031" s="115"/>
      <c r="BI1031" s="115"/>
      <c r="BJ1031" s="115"/>
      <c r="BK1031" s="115"/>
      <c r="BL1031" s="115"/>
      <c r="BM1031" s="115"/>
      <c r="BN1031" s="115"/>
      <c r="BO1031" s="115"/>
      <c r="BP1031" s="115"/>
    </row>
    <row r="1032" spans="1:68" ht="20.100000000000001" customHeight="1">
      <c r="A1032" s="1229" t="s">
        <v>4536</v>
      </c>
      <c r="B1032" s="1229" t="s">
        <v>4781</v>
      </c>
      <c r="C1032" s="1229" t="s">
        <v>4795</v>
      </c>
      <c r="D1032" s="195">
        <f>D19+525+25</f>
        <v>1325</v>
      </c>
      <c r="E1032" s="195">
        <f>E19+850+50</f>
        <v>2350</v>
      </c>
      <c r="F1032" s="195">
        <f>F19+850+50</f>
        <v>2400</v>
      </c>
      <c r="G1032" s="12" t="s">
        <v>4542</v>
      </c>
      <c r="H1032" s="69" t="s">
        <v>4541</v>
      </c>
      <c r="I1032" s="38" t="s">
        <v>4595</v>
      </c>
      <c r="J1032" s="140"/>
      <c r="K1032" s="38"/>
      <c r="L1032" s="116" t="s">
        <v>4539</v>
      </c>
      <c r="M1032" s="15">
        <v>43084</v>
      </c>
      <c r="N1032" s="15">
        <v>43100</v>
      </c>
      <c r="O1032" s="61" t="s">
        <v>4538</v>
      </c>
      <c r="P1032" s="61"/>
      <c r="Q1032" s="61"/>
      <c r="R1032" s="239"/>
      <c r="S1032" s="326" t="s">
        <v>4537</v>
      </c>
      <c r="T1032" s="722"/>
      <c r="U1032" s="42"/>
      <c r="AE1032" s="115"/>
      <c r="AF1032" s="115"/>
      <c r="AG1032" s="115"/>
      <c r="AH1032" s="115"/>
      <c r="AI1032" s="115"/>
      <c r="AJ1032" s="115"/>
      <c r="AK1032" s="115"/>
      <c r="AL1032" s="115"/>
      <c r="AM1032" s="115"/>
      <c r="AN1032" s="115"/>
      <c r="AO1032" s="115"/>
      <c r="AP1032" s="115"/>
      <c r="AQ1032" s="115"/>
      <c r="AR1032" s="115"/>
      <c r="AS1032" s="115"/>
      <c r="AT1032" s="115"/>
      <c r="AU1032" s="115"/>
      <c r="AV1032" s="115"/>
      <c r="AW1032" s="115"/>
      <c r="AX1032" s="115"/>
      <c r="AY1032" s="115"/>
      <c r="AZ1032" s="115"/>
      <c r="BA1032" s="115"/>
      <c r="BB1032" s="115"/>
      <c r="BC1032" s="115"/>
      <c r="BD1032" s="115"/>
      <c r="BE1032" s="115"/>
      <c r="BF1032" s="115"/>
      <c r="BG1032" s="115"/>
      <c r="BH1032" s="115"/>
      <c r="BI1032" s="115"/>
      <c r="BJ1032" s="115"/>
      <c r="BK1032" s="115"/>
      <c r="BL1032" s="115"/>
      <c r="BM1032" s="115"/>
      <c r="BN1032" s="115"/>
      <c r="BO1032" s="115"/>
      <c r="BP1032" s="115"/>
    </row>
    <row r="1033" spans="1:68" ht="20.100000000000001" customHeight="1">
      <c r="A1033" s="1229" t="s">
        <v>4536</v>
      </c>
      <c r="B1033" s="1229" t="s">
        <v>4781</v>
      </c>
      <c r="C1033" s="1229" t="s">
        <v>4795</v>
      </c>
      <c r="D1033" s="195">
        <f>D65+350</f>
        <v>1150</v>
      </c>
      <c r="E1033" s="195">
        <f>E65+450</f>
        <v>1950</v>
      </c>
      <c r="F1033" s="195">
        <f>F65+450</f>
        <v>2000</v>
      </c>
      <c r="G1033" s="12" t="s">
        <v>4645</v>
      </c>
      <c r="H1033" s="48" t="s">
        <v>4556</v>
      </c>
      <c r="I1033" s="38" t="s">
        <v>4595</v>
      </c>
      <c r="J1033" s="30"/>
      <c r="K1033" s="38" t="s">
        <v>4794</v>
      </c>
      <c r="L1033" s="116" t="s">
        <v>4539</v>
      </c>
      <c r="M1033" s="6">
        <v>43084</v>
      </c>
      <c r="N1033" s="6">
        <v>43100</v>
      </c>
      <c r="O1033" s="61" t="s">
        <v>4643</v>
      </c>
      <c r="P1033" s="61"/>
      <c r="Q1033" s="61"/>
      <c r="R1033" s="239"/>
      <c r="S1033" s="326" t="s">
        <v>4641</v>
      </c>
      <c r="T1033" s="722"/>
      <c r="U1033" s="42"/>
      <c r="AE1033" s="213"/>
      <c r="AF1033" s="213"/>
      <c r="AG1033" s="213"/>
      <c r="AH1033" s="213"/>
      <c r="AI1033" s="213"/>
      <c r="AJ1033" s="213"/>
      <c r="AK1033" s="213"/>
      <c r="AL1033" s="213"/>
      <c r="AM1033" s="213"/>
      <c r="AN1033" s="213"/>
      <c r="AO1033" s="213"/>
      <c r="AP1033" s="213"/>
      <c r="AQ1033" s="213"/>
      <c r="AR1033" s="213"/>
      <c r="AS1033" s="213"/>
      <c r="AT1033" s="213"/>
      <c r="AU1033" s="213"/>
      <c r="AV1033" s="213"/>
      <c r="AW1033" s="213"/>
      <c r="AX1033" s="213"/>
      <c r="AY1033" s="213"/>
      <c r="AZ1033" s="213"/>
      <c r="BA1033" s="213"/>
      <c r="BB1033" s="213"/>
      <c r="BC1033" s="213"/>
      <c r="BD1033" s="213"/>
      <c r="BE1033" s="213"/>
      <c r="BF1033" s="213"/>
      <c r="BG1033" s="213"/>
      <c r="BH1033" s="213"/>
      <c r="BI1033" s="213"/>
      <c r="BJ1033" s="213"/>
      <c r="BK1033" s="213"/>
      <c r="BL1033" s="213"/>
      <c r="BM1033" s="213"/>
      <c r="BN1033" s="213"/>
      <c r="BO1033" s="213"/>
      <c r="BP1033" s="213"/>
    </row>
    <row r="1034" spans="1:68" ht="20.100000000000001" customHeight="1">
      <c r="A1034" s="1229" t="s">
        <v>4536</v>
      </c>
      <c r="B1034" s="1229" t="s">
        <v>4781</v>
      </c>
      <c r="C1034" s="1229" t="s">
        <v>4793</v>
      </c>
      <c r="D1034" s="196">
        <f>D36+1300</f>
        <v>2175</v>
      </c>
      <c r="E1034" s="196">
        <f>E36+1850</f>
        <v>3400</v>
      </c>
      <c r="F1034" s="196">
        <f>F36+1800</f>
        <v>3400</v>
      </c>
      <c r="G1034" s="217" t="s">
        <v>4575</v>
      </c>
      <c r="H1034" s="48" t="s">
        <v>4541</v>
      </c>
      <c r="I1034" s="38" t="s">
        <v>4595</v>
      </c>
      <c r="J1034" s="30"/>
      <c r="K1034" s="38"/>
      <c r="L1034" s="116" t="s">
        <v>4539</v>
      </c>
      <c r="M1034" s="15">
        <v>43084</v>
      </c>
      <c r="N1034" s="15">
        <v>43100</v>
      </c>
      <c r="O1034" s="61" t="s">
        <v>4573</v>
      </c>
      <c r="P1034" s="61"/>
      <c r="Q1034" s="61"/>
      <c r="R1034" s="239"/>
      <c r="S1034" s="328" t="s">
        <v>4543</v>
      </c>
      <c r="T1034" s="722"/>
      <c r="U1034" s="42"/>
      <c r="AE1034" s="276"/>
      <c r="AF1034" s="276"/>
      <c r="AG1034" s="276"/>
      <c r="AH1034" s="276"/>
      <c r="AI1034" s="276"/>
      <c r="AJ1034" s="276"/>
      <c r="AK1034" s="276"/>
      <c r="AL1034" s="276"/>
      <c r="AM1034" s="276"/>
      <c r="AN1034" s="276"/>
      <c r="AO1034" s="276"/>
      <c r="AP1034" s="276"/>
      <c r="AQ1034" s="276"/>
      <c r="AR1034" s="276"/>
      <c r="AS1034" s="276"/>
      <c r="AT1034" s="276"/>
      <c r="AU1034" s="276"/>
      <c r="AV1034" s="276"/>
      <c r="AW1034" s="276"/>
      <c r="AX1034" s="276"/>
      <c r="AY1034" s="276"/>
      <c r="AZ1034" s="276"/>
      <c r="BA1034" s="276"/>
      <c r="BB1034" s="276"/>
      <c r="BC1034" s="276"/>
      <c r="BD1034" s="276"/>
      <c r="BE1034" s="276"/>
      <c r="BF1034" s="276"/>
      <c r="BG1034" s="276"/>
      <c r="BH1034" s="276"/>
      <c r="BI1034" s="276"/>
      <c r="BJ1034" s="276"/>
      <c r="BK1034" s="276"/>
      <c r="BL1034" s="276"/>
      <c r="BM1034" s="276"/>
      <c r="BN1034" s="276"/>
      <c r="BO1034" s="276"/>
      <c r="BP1034" s="276"/>
    </row>
    <row r="1035" spans="1:68" ht="20.100000000000001" customHeight="1">
      <c r="A1035" s="1229" t="s">
        <v>4536</v>
      </c>
      <c r="B1035" s="1229" t="s">
        <v>4781</v>
      </c>
      <c r="C1035" s="1229" t="s">
        <v>4793</v>
      </c>
      <c r="D1035" s="273">
        <f>D211+375+25</f>
        <v>1125</v>
      </c>
      <c r="E1035" s="273">
        <f>E211+600+50</f>
        <v>2000</v>
      </c>
      <c r="F1035" s="273">
        <f>F211+600+50</f>
        <v>2050</v>
      </c>
      <c r="G1035" s="110" t="s">
        <v>4566</v>
      </c>
      <c r="H1035" s="69" t="s">
        <v>4556</v>
      </c>
      <c r="I1035" s="38" t="s">
        <v>4595</v>
      </c>
      <c r="J1035" s="30"/>
      <c r="K1035" s="38"/>
      <c r="L1035" s="116" t="s">
        <v>4539</v>
      </c>
      <c r="M1035" s="15">
        <v>43084</v>
      </c>
      <c r="N1035" s="15">
        <v>43100</v>
      </c>
      <c r="O1035" s="59" t="s">
        <v>4674</v>
      </c>
      <c r="P1035" s="61"/>
      <c r="Q1035" s="61"/>
      <c r="R1035" s="239"/>
      <c r="S1035" s="327" t="s">
        <v>4561</v>
      </c>
      <c r="T1035" s="722"/>
      <c r="U1035" s="42"/>
      <c r="AE1035" s="276"/>
      <c r="AF1035" s="276"/>
      <c r="AG1035" s="276"/>
      <c r="AH1035" s="276"/>
      <c r="AI1035" s="276"/>
      <c r="AJ1035" s="276"/>
      <c r="AK1035" s="276"/>
      <c r="AL1035" s="276"/>
      <c r="AM1035" s="276"/>
      <c r="AN1035" s="276"/>
      <c r="AO1035" s="276"/>
      <c r="AP1035" s="276"/>
      <c r="AQ1035" s="276"/>
      <c r="AR1035" s="276"/>
      <c r="AS1035" s="276"/>
      <c r="AT1035" s="276"/>
      <c r="AU1035" s="276"/>
      <c r="AV1035" s="276"/>
      <c r="AW1035" s="276"/>
      <c r="AX1035" s="276"/>
      <c r="AY1035" s="276"/>
      <c r="AZ1035" s="276"/>
      <c r="BA1035" s="276"/>
      <c r="BB1035" s="276"/>
      <c r="BC1035" s="276"/>
      <c r="BD1035" s="276"/>
      <c r="BE1035" s="276"/>
      <c r="BF1035" s="276"/>
      <c r="BG1035" s="276"/>
      <c r="BH1035" s="276"/>
      <c r="BI1035" s="276"/>
      <c r="BJ1035" s="276"/>
      <c r="BK1035" s="276"/>
      <c r="BL1035" s="276"/>
      <c r="BM1035" s="276"/>
      <c r="BN1035" s="276"/>
      <c r="BO1035" s="276"/>
      <c r="BP1035" s="276"/>
    </row>
    <row r="1036" spans="1:68" ht="20.100000000000001" customHeight="1">
      <c r="A1036" s="1229" t="s">
        <v>4536</v>
      </c>
      <c r="B1036" s="1229" t="s">
        <v>4781</v>
      </c>
      <c r="C1036" s="1229" t="s">
        <v>4793</v>
      </c>
      <c r="D1036" s="274">
        <f>D14+350</f>
        <v>1130</v>
      </c>
      <c r="E1036" s="274">
        <f>E14+500</f>
        <v>1957</v>
      </c>
      <c r="F1036" s="274">
        <f>F14+500</f>
        <v>1957</v>
      </c>
      <c r="G1036" s="225" t="s">
        <v>4569</v>
      </c>
      <c r="H1036" s="69" t="s">
        <v>4602</v>
      </c>
      <c r="I1036" s="38" t="s">
        <v>4595</v>
      </c>
      <c r="J1036" s="30"/>
      <c r="K1036" s="38" t="s">
        <v>4735</v>
      </c>
      <c r="L1036" s="116" t="s">
        <v>4539</v>
      </c>
      <c r="M1036" s="6">
        <v>43074</v>
      </c>
      <c r="N1036" s="6">
        <v>43084</v>
      </c>
      <c r="O1036" s="61" t="s">
        <v>4664</v>
      </c>
      <c r="P1036" s="61"/>
      <c r="Q1036" s="61"/>
      <c r="R1036" s="239"/>
      <c r="S1036" s="328" t="s">
        <v>4543</v>
      </c>
      <c r="T1036" s="722"/>
      <c r="U1036" s="42"/>
      <c r="AE1036" s="115"/>
      <c r="AF1036" s="115"/>
      <c r="AG1036" s="115"/>
      <c r="AH1036" s="115"/>
      <c r="AI1036" s="115"/>
      <c r="AJ1036" s="115"/>
      <c r="AK1036" s="115"/>
      <c r="AL1036" s="115"/>
      <c r="AM1036" s="115"/>
      <c r="AN1036" s="115"/>
      <c r="AO1036" s="115"/>
      <c r="AP1036" s="115"/>
      <c r="AQ1036" s="115"/>
      <c r="AR1036" s="115"/>
      <c r="AS1036" s="115"/>
      <c r="AT1036" s="115"/>
      <c r="AU1036" s="115"/>
      <c r="AV1036" s="115"/>
      <c r="AW1036" s="115"/>
      <c r="AX1036" s="115"/>
      <c r="AY1036" s="115"/>
      <c r="AZ1036" s="115"/>
      <c r="BA1036" s="115"/>
      <c r="BB1036" s="115"/>
      <c r="BC1036" s="115"/>
      <c r="BD1036" s="115"/>
      <c r="BE1036" s="115"/>
      <c r="BF1036" s="115"/>
      <c r="BG1036" s="115"/>
      <c r="BH1036" s="115"/>
      <c r="BI1036" s="115"/>
      <c r="BJ1036" s="115"/>
      <c r="BK1036" s="115"/>
      <c r="BL1036" s="115"/>
      <c r="BM1036" s="115"/>
      <c r="BN1036" s="115"/>
      <c r="BO1036" s="115"/>
      <c r="BP1036" s="115"/>
    </row>
    <row r="1037" spans="1:68" ht="20.100000000000001" customHeight="1">
      <c r="A1037" s="1229" t="s">
        <v>4536</v>
      </c>
      <c r="B1037" s="1229" t="s">
        <v>4781</v>
      </c>
      <c r="C1037" s="1229" t="s">
        <v>4793</v>
      </c>
      <c r="D1037" s="195">
        <f>D39+780</f>
        <v>1680</v>
      </c>
      <c r="E1037" s="195">
        <f>E39+1185</f>
        <v>2785</v>
      </c>
      <c r="F1037" s="195">
        <f>F39+1185</f>
        <v>2835</v>
      </c>
      <c r="G1037" s="110" t="s">
        <v>4553</v>
      </c>
      <c r="H1037" s="36" t="s">
        <v>4667</v>
      </c>
      <c r="I1037" s="38" t="s">
        <v>4666</v>
      </c>
      <c r="J1037" s="30"/>
      <c r="K1037" s="38">
        <v>33</v>
      </c>
      <c r="L1037" s="116" t="s">
        <v>4539</v>
      </c>
      <c r="M1037" s="6">
        <v>43085</v>
      </c>
      <c r="N1037" s="6">
        <v>43100</v>
      </c>
      <c r="O1037" s="61" t="s">
        <v>4673</v>
      </c>
      <c r="P1037" s="61"/>
      <c r="Q1037" s="61"/>
      <c r="R1037" s="239"/>
      <c r="S1037" s="328" t="s">
        <v>4543</v>
      </c>
      <c r="T1037" s="722"/>
      <c r="U1037" s="42"/>
      <c r="AE1037" s="115"/>
      <c r="AF1037" s="115"/>
      <c r="AG1037" s="115"/>
      <c r="AH1037" s="115"/>
      <c r="AI1037" s="115"/>
      <c r="AJ1037" s="115"/>
      <c r="AK1037" s="115"/>
      <c r="AL1037" s="115"/>
      <c r="AM1037" s="115"/>
      <c r="AN1037" s="115"/>
      <c r="AO1037" s="115"/>
      <c r="AP1037" s="115"/>
      <c r="AQ1037" s="115"/>
      <c r="AR1037" s="115"/>
      <c r="AS1037" s="115"/>
      <c r="AT1037" s="115"/>
      <c r="AU1037" s="115"/>
      <c r="AV1037" s="115"/>
      <c r="AW1037" s="115"/>
      <c r="AX1037" s="115"/>
      <c r="AY1037" s="115"/>
      <c r="AZ1037" s="115"/>
      <c r="BA1037" s="115"/>
      <c r="BB1037" s="115"/>
      <c r="BC1037" s="115"/>
      <c r="BD1037" s="115"/>
      <c r="BE1037" s="115"/>
      <c r="BF1037" s="115"/>
      <c r="BG1037" s="115"/>
      <c r="BH1037" s="115"/>
      <c r="BI1037" s="115"/>
      <c r="BJ1037" s="115"/>
      <c r="BK1037" s="115"/>
      <c r="BL1037" s="115"/>
      <c r="BM1037" s="115"/>
      <c r="BN1037" s="115"/>
      <c r="BO1037" s="115"/>
      <c r="BP1037" s="115"/>
    </row>
    <row r="1038" spans="1:68" ht="20.100000000000001" customHeight="1">
      <c r="A1038" s="1229" t="s">
        <v>4536</v>
      </c>
      <c r="B1038" s="1229" t="s">
        <v>4781</v>
      </c>
      <c r="C1038" s="1229" t="s">
        <v>4792</v>
      </c>
      <c r="D1038" s="273">
        <f>D211+375+25</f>
        <v>1125</v>
      </c>
      <c r="E1038" s="273">
        <f>E211+600+50</f>
        <v>2000</v>
      </c>
      <c r="F1038" s="273">
        <f>F211+600+50</f>
        <v>2050</v>
      </c>
      <c r="G1038" s="110" t="s">
        <v>4566</v>
      </c>
      <c r="H1038" s="69" t="s">
        <v>4556</v>
      </c>
      <c r="I1038" s="38" t="s">
        <v>4595</v>
      </c>
      <c r="J1038" s="30"/>
      <c r="K1038" s="38"/>
      <c r="L1038" s="116" t="s">
        <v>4539</v>
      </c>
      <c r="M1038" s="15">
        <v>43084</v>
      </c>
      <c r="N1038" s="15">
        <v>43100</v>
      </c>
      <c r="O1038" s="59" t="s">
        <v>4674</v>
      </c>
      <c r="P1038" s="61"/>
      <c r="Q1038" s="61"/>
      <c r="R1038" s="239"/>
      <c r="S1038" s="327" t="s">
        <v>4561</v>
      </c>
      <c r="T1038" s="722"/>
      <c r="U1038" s="42"/>
      <c r="AE1038" s="115"/>
      <c r="AF1038" s="115"/>
      <c r="AG1038" s="115"/>
      <c r="AH1038" s="115"/>
      <c r="AI1038" s="115"/>
      <c r="AJ1038" s="115"/>
      <c r="AK1038" s="115"/>
      <c r="AL1038" s="115"/>
      <c r="AM1038" s="115"/>
      <c r="AN1038" s="115"/>
      <c r="AO1038" s="115"/>
      <c r="AP1038" s="115"/>
      <c r="AQ1038" s="115"/>
      <c r="AR1038" s="115"/>
      <c r="AS1038" s="115"/>
      <c r="AT1038" s="115"/>
      <c r="AU1038" s="115"/>
      <c r="AV1038" s="115"/>
      <c r="AW1038" s="115"/>
      <c r="AX1038" s="115"/>
      <c r="AY1038" s="115"/>
      <c r="AZ1038" s="115"/>
      <c r="BA1038" s="115"/>
      <c r="BB1038" s="115"/>
      <c r="BC1038" s="115"/>
      <c r="BD1038" s="115"/>
      <c r="BE1038" s="115"/>
      <c r="BF1038" s="115"/>
      <c r="BG1038" s="115"/>
      <c r="BH1038" s="115"/>
      <c r="BI1038" s="115"/>
      <c r="BJ1038" s="115"/>
      <c r="BK1038" s="115"/>
      <c r="BL1038" s="115"/>
      <c r="BM1038" s="115"/>
      <c r="BN1038" s="115"/>
      <c r="BO1038" s="115"/>
      <c r="BP1038" s="115"/>
    </row>
    <row r="1039" spans="1:68" ht="20.100000000000001" customHeight="1">
      <c r="A1039" s="1229" t="s">
        <v>4536</v>
      </c>
      <c r="B1039" s="1229" t="s">
        <v>4781</v>
      </c>
      <c r="C1039" s="1229" t="s">
        <v>4792</v>
      </c>
      <c r="D1039" s="195">
        <f>D120+460</f>
        <v>1360</v>
      </c>
      <c r="E1039" s="195">
        <f>E120+800</f>
        <v>2400</v>
      </c>
      <c r="F1039" s="195">
        <f>F120+800</f>
        <v>2450</v>
      </c>
      <c r="G1039" s="110" t="s">
        <v>4553</v>
      </c>
      <c r="H1039" s="56" t="s">
        <v>4552</v>
      </c>
      <c r="I1039" s="38" t="s">
        <v>4639</v>
      </c>
      <c r="J1039" s="30"/>
      <c r="K1039" s="38">
        <v>34</v>
      </c>
      <c r="L1039" s="116" t="s">
        <v>4539</v>
      </c>
      <c r="M1039" s="6">
        <v>43085</v>
      </c>
      <c r="N1039" s="6">
        <v>43100</v>
      </c>
      <c r="O1039" s="61" t="s">
        <v>4673</v>
      </c>
      <c r="P1039" s="61"/>
      <c r="Q1039" s="61"/>
      <c r="R1039" s="239"/>
      <c r="S1039" s="328" t="s">
        <v>4543</v>
      </c>
      <c r="T1039" s="722"/>
      <c r="U1039" s="42"/>
      <c r="AE1039" s="115"/>
      <c r="AF1039" s="115"/>
      <c r="AG1039" s="115"/>
      <c r="AH1039" s="115"/>
      <c r="AI1039" s="115"/>
      <c r="AJ1039" s="115"/>
      <c r="AK1039" s="115"/>
      <c r="AL1039" s="115"/>
      <c r="AM1039" s="115"/>
      <c r="AN1039" s="115"/>
      <c r="AO1039" s="115"/>
      <c r="AP1039" s="115"/>
      <c r="AQ1039" s="115"/>
      <c r="AR1039" s="115"/>
      <c r="AS1039" s="115"/>
      <c r="AT1039" s="115"/>
      <c r="AU1039" s="115"/>
      <c r="AV1039" s="115"/>
      <c r="AW1039" s="115"/>
      <c r="AX1039" s="115"/>
      <c r="AY1039" s="115"/>
      <c r="AZ1039" s="115"/>
      <c r="BA1039" s="115"/>
      <c r="BB1039" s="115"/>
      <c r="BC1039" s="115"/>
      <c r="BD1039" s="115"/>
      <c r="BE1039" s="115"/>
      <c r="BF1039" s="115"/>
      <c r="BG1039" s="115"/>
      <c r="BH1039" s="115"/>
      <c r="BI1039" s="115"/>
      <c r="BJ1039" s="115"/>
      <c r="BK1039" s="115"/>
      <c r="BL1039" s="115"/>
      <c r="BM1039" s="115"/>
      <c r="BN1039" s="115"/>
      <c r="BO1039" s="115"/>
      <c r="BP1039" s="115"/>
    </row>
    <row r="1040" spans="1:68" ht="20.100000000000001" customHeight="1">
      <c r="A1040" s="1229" t="s">
        <v>4536</v>
      </c>
      <c r="B1040" s="1229" t="s">
        <v>4781</v>
      </c>
      <c r="C1040" s="1229" t="s">
        <v>4791</v>
      </c>
      <c r="D1040" s="345">
        <f>D20+200+25</f>
        <v>1075</v>
      </c>
      <c r="E1040" s="345">
        <f>E20+200+50</f>
        <v>1850</v>
      </c>
      <c r="F1040" s="345">
        <f>F20+200+50</f>
        <v>1900</v>
      </c>
      <c r="G1040" s="217" t="s">
        <v>4572</v>
      </c>
      <c r="H1040" s="56" t="s">
        <v>4541</v>
      </c>
      <c r="I1040" s="20" t="s">
        <v>4595</v>
      </c>
      <c r="J1040" s="30"/>
      <c r="K1040" s="38"/>
      <c r="L1040" s="116" t="s">
        <v>4539</v>
      </c>
      <c r="M1040" s="15">
        <v>43070</v>
      </c>
      <c r="N1040" s="15">
        <v>43100</v>
      </c>
      <c r="O1040" s="61" t="s">
        <v>4655</v>
      </c>
      <c r="P1040" s="61"/>
      <c r="Q1040" s="7"/>
      <c r="R1040" s="239"/>
      <c r="S1040" s="327" t="s">
        <v>4570</v>
      </c>
      <c r="T1040" s="722"/>
      <c r="U1040" s="42"/>
      <c r="AE1040" s="115"/>
      <c r="AF1040" s="115"/>
      <c r="AG1040" s="115"/>
      <c r="AH1040" s="115"/>
      <c r="AI1040" s="115"/>
      <c r="AJ1040" s="115"/>
      <c r="AK1040" s="115"/>
      <c r="AL1040" s="115"/>
      <c r="AM1040" s="115"/>
      <c r="AN1040" s="115"/>
      <c r="AO1040" s="115"/>
      <c r="AP1040" s="115"/>
      <c r="AQ1040" s="115"/>
      <c r="AR1040" s="115"/>
      <c r="AS1040" s="115"/>
      <c r="AT1040" s="115"/>
      <c r="AU1040" s="115"/>
      <c r="AV1040" s="115"/>
      <c r="AW1040" s="115"/>
      <c r="AX1040" s="115"/>
      <c r="AY1040" s="115"/>
      <c r="AZ1040" s="115"/>
      <c r="BA1040" s="115"/>
      <c r="BB1040" s="115"/>
      <c r="BC1040" s="115"/>
      <c r="BD1040" s="115"/>
      <c r="BE1040" s="115"/>
      <c r="BF1040" s="115"/>
      <c r="BG1040" s="115"/>
      <c r="BH1040" s="115"/>
      <c r="BI1040" s="115"/>
      <c r="BJ1040" s="115"/>
      <c r="BK1040" s="115"/>
      <c r="BL1040" s="115"/>
      <c r="BM1040" s="115"/>
      <c r="BN1040" s="115"/>
      <c r="BO1040" s="115"/>
      <c r="BP1040" s="115"/>
    </row>
    <row r="1041" spans="1:68" ht="20.100000000000001" customHeight="1">
      <c r="A1041" s="1229" t="s">
        <v>4536</v>
      </c>
      <c r="B1041" s="1229" t="s">
        <v>4781</v>
      </c>
      <c r="C1041" s="1229" t="s">
        <v>4791</v>
      </c>
      <c r="D1041" s="344">
        <f>D97+50+0</f>
        <v>925</v>
      </c>
      <c r="E1041" s="344">
        <f>E97+0+0</f>
        <v>1550</v>
      </c>
      <c r="F1041" s="344">
        <f>F97+0+0</f>
        <v>1600</v>
      </c>
      <c r="G1041" s="217" t="s">
        <v>4575</v>
      </c>
      <c r="H1041" s="48" t="s">
        <v>4574</v>
      </c>
      <c r="I1041" s="38" t="s">
        <v>4540</v>
      </c>
      <c r="J1041" s="30"/>
      <c r="K1041" s="38"/>
      <c r="L1041" s="116" t="s">
        <v>4539</v>
      </c>
      <c r="M1041" s="15">
        <v>43084</v>
      </c>
      <c r="N1041" s="15">
        <v>43100</v>
      </c>
      <c r="O1041" s="61" t="s">
        <v>4573</v>
      </c>
      <c r="P1041" s="61"/>
      <c r="Q1041" s="61"/>
      <c r="R1041" s="239"/>
      <c r="S1041" s="328" t="s">
        <v>4543</v>
      </c>
      <c r="T1041" s="722"/>
      <c r="U1041" s="42"/>
      <c r="AE1041" s="233"/>
      <c r="AF1041" s="233"/>
      <c r="AG1041" s="233"/>
      <c r="AH1041" s="233"/>
      <c r="AI1041" s="233"/>
      <c r="AJ1041" s="233"/>
      <c r="AK1041" s="233"/>
      <c r="AL1041" s="233"/>
      <c r="AM1041" s="233"/>
      <c r="AN1041" s="233"/>
      <c r="AO1041" s="233"/>
      <c r="AP1041" s="233"/>
      <c r="AQ1041" s="233"/>
      <c r="AR1041" s="233"/>
      <c r="AS1041" s="233"/>
      <c r="AT1041" s="233"/>
      <c r="AU1041" s="233"/>
      <c r="AV1041" s="233"/>
      <c r="AW1041" s="233"/>
      <c r="AX1041" s="233"/>
      <c r="AY1041" s="233"/>
      <c r="AZ1041" s="233"/>
      <c r="BA1041" s="233"/>
      <c r="BB1041" s="233"/>
      <c r="BC1041" s="233"/>
      <c r="BD1041" s="233"/>
      <c r="BE1041" s="233"/>
      <c r="BF1041" s="233"/>
      <c r="BG1041" s="233"/>
      <c r="BH1041" s="233"/>
      <c r="BI1041" s="233"/>
      <c r="BJ1041" s="233"/>
      <c r="BK1041" s="233"/>
      <c r="BL1041" s="233"/>
      <c r="BM1041" s="233"/>
      <c r="BN1041" s="233"/>
      <c r="BO1041" s="233"/>
      <c r="BP1041" s="233"/>
    </row>
    <row r="1042" spans="1:68" ht="20.100000000000001" customHeight="1">
      <c r="A1042" s="1229" t="s">
        <v>4536</v>
      </c>
      <c r="B1042" s="1229" t="s">
        <v>4781</v>
      </c>
      <c r="C1042" s="1229" t="s">
        <v>4791</v>
      </c>
      <c r="D1042" s="273">
        <f>D211+125+25</f>
        <v>875</v>
      </c>
      <c r="E1042" s="273">
        <f>E211+250+50</f>
        <v>1650</v>
      </c>
      <c r="F1042" s="273">
        <f>F211+250+50</f>
        <v>1700</v>
      </c>
      <c r="G1042" s="110" t="s">
        <v>4566</v>
      </c>
      <c r="H1042" s="69" t="s">
        <v>4556</v>
      </c>
      <c r="I1042" s="38" t="s">
        <v>4595</v>
      </c>
      <c r="J1042" s="30"/>
      <c r="K1042" s="38"/>
      <c r="L1042" s="116" t="s">
        <v>4539</v>
      </c>
      <c r="M1042" s="15">
        <v>43084</v>
      </c>
      <c r="N1042" s="15">
        <v>43100</v>
      </c>
      <c r="O1042" s="59" t="s">
        <v>4674</v>
      </c>
      <c r="P1042" s="61"/>
      <c r="Q1042" s="61"/>
      <c r="R1042" s="239"/>
      <c r="S1042" s="327" t="s">
        <v>4561</v>
      </c>
      <c r="T1042" s="722"/>
      <c r="U1042" s="42"/>
      <c r="AE1042" s="115"/>
      <c r="AF1042" s="115"/>
      <c r="AG1042" s="115"/>
      <c r="AH1042" s="115"/>
      <c r="AI1042" s="115"/>
      <c r="AJ1042" s="115"/>
      <c r="AK1042" s="115"/>
      <c r="AL1042" s="115"/>
      <c r="AM1042" s="115"/>
      <c r="AN1042" s="115"/>
      <c r="AO1042" s="115"/>
      <c r="AP1042" s="115"/>
      <c r="AQ1042" s="115"/>
      <c r="AR1042" s="115"/>
      <c r="AS1042" s="115"/>
      <c r="AT1042" s="115"/>
      <c r="AU1042" s="115"/>
      <c r="AV1042" s="115"/>
      <c r="AW1042" s="115"/>
      <c r="AX1042" s="115"/>
      <c r="AY1042" s="115"/>
      <c r="AZ1042" s="115"/>
      <c r="BA1042" s="115"/>
      <c r="BB1042" s="115"/>
      <c r="BC1042" s="115"/>
      <c r="BD1042" s="115"/>
      <c r="BE1042" s="115"/>
      <c r="BF1042" s="115"/>
      <c r="BG1042" s="115"/>
      <c r="BH1042" s="115"/>
      <c r="BI1042" s="115"/>
      <c r="BJ1042" s="115"/>
      <c r="BK1042" s="115"/>
      <c r="BL1042" s="115"/>
      <c r="BM1042" s="115"/>
      <c r="BN1042" s="115"/>
      <c r="BO1042" s="115"/>
      <c r="BP1042" s="115"/>
    </row>
    <row r="1043" spans="1:68" ht="20.100000000000001" customHeight="1">
      <c r="A1043" s="1229" t="s">
        <v>4536</v>
      </c>
      <c r="B1043" s="1229" t="s">
        <v>4781</v>
      </c>
      <c r="C1043" s="1229" t="s">
        <v>4791</v>
      </c>
      <c r="D1043" s="195">
        <f>D43+240+25</f>
        <v>1015</v>
      </c>
      <c r="E1043" s="195">
        <f>E43+240+50</f>
        <v>1690</v>
      </c>
      <c r="F1043" s="195">
        <f>F43+240+50</f>
        <v>1740</v>
      </c>
      <c r="G1043" s="110" t="s">
        <v>4636</v>
      </c>
      <c r="H1043" s="36" t="s">
        <v>4667</v>
      </c>
      <c r="I1043" s="38" t="s">
        <v>4666</v>
      </c>
      <c r="J1043" s="30"/>
      <c r="K1043" s="38"/>
      <c r="L1043" s="116" t="s">
        <v>4539</v>
      </c>
      <c r="M1043" s="6">
        <v>43084</v>
      </c>
      <c r="N1043" s="6">
        <v>43100</v>
      </c>
      <c r="O1043" s="61" t="s">
        <v>4633</v>
      </c>
      <c r="P1043" s="61"/>
      <c r="Q1043" s="61"/>
      <c r="R1043" s="239"/>
      <c r="S1043" s="327" t="s">
        <v>4632</v>
      </c>
      <c r="T1043" s="722"/>
      <c r="U1043" s="42"/>
      <c r="AE1043" s="115"/>
      <c r="AF1043" s="115"/>
      <c r="AG1043" s="115"/>
      <c r="AH1043" s="115"/>
      <c r="AI1043" s="115"/>
      <c r="AJ1043" s="115"/>
      <c r="AK1043" s="115"/>
      <c r="AL1043" s="115"/>
      <c r="AM1043" s="115"/>
      <c r="AN1043" s="115"/>
      <c r="AO1043" s="115"/>
      <c r="AP1043" s="115"/>
      <c r="AQ1043" s="115"/>
      <c r="AR1043" s="115"/>
      <c r="AS1043" s="115"/>
      <c r="AT1043" s="115"/>
      <c r="AU1043" s="115"/>
      <c r="AV1043" s="115"/>
      <c r="AW1043" s="115"/>
      <c r="AX1043" s="115"/>
      <c r="AY1043" s="115"/>
      <c r="AZ1043" s="115"/>
      <c r="BA1043" s="115"/>
      <c r="BB1043" s="115"/>
      <c r="BC1043" s="115"/>
      <c r="BD1043" s="115"/>
      <c r="BE1043" s="115"/>
      <c r="BF1043" s="115"/>
      <c r="BG1043" s="115"/>
      <c r="BH1043" s="115"/>
      <c r="BI1043" s="115"/>
      <c r="BJ1043" s="115"/>
      <c r="BK1043" s="115"/>
      <c r="BL1043" s="115"/>
      <c r="BM1043" s="115"/>
      <c r="BN1043" s="115"/>
      <c r="BO1043" s="115"/>
      <c r="BP1043" s="115"/>
    </row>
    <row r="1044" spans="1:68" ht="20.100000000000001" customHeight="1">
      <c r="A1044" s="1229" t="s">
        <v>4536</v>
      </c>
      <c r="B1044" s="1229" t="s">
        <v>4781</v>
      </c>
      <c r="C1044" s="1229" t="s">
        <v>4791</v>
      </c>
      <c r="D1044" s="273">
        <f>D72+50</f>
        <v>830</v>
      </c>
      <c r="E1044" s="273">
        <f>E72+50</f>
        <v>1507</v>
      </c>
      <c r="F1044" s="273">
        <f>F72+50</f>
        <v>1507</v>
      </c>
      <c r="G1044" s="225" t="s">
        <v>4569</v>
      </c>
      <c r="H1044" s="69" t="s">
        <v>4568</v>
      </c>
      <c r="I1044" s="38" t="s">
        <v>4540</v>
      </c>
      <c r="J1044" s="30"/>
      <c r="K1044" s="38" t="s">
        <v>4546</v>
      </c>
      <c r="L1044" s="116" t="s">
        <v>4539</v>
      </c>
      <c r="M1044" s="6">
        <v>43074</v>
      </c>
      <c r="N1044" s="6">
        <v>43084</v>
      </c>
      <c r="O1044" s="61" t="s">
        <v>4664</v>
      </c>
      <c r="P1044" s="61"/>
      <c r="Q1044" s="61"/>
      <c r="R1044" s="239"/>
      <c r="S1044" s="328" t="s">
        <v>4543</v>
      </c>
      <c r="T1044" s="722"/>
      <c r="U1044" s="42"/>
      <c r="AE1044" s="115"/>
      <c r="AF1044" s="115"/>
      <c r="AG1044" s="115"/>
      <c r="AH1044" s="115"/>
      <c r="AI1044" s="115"/>
      <c r="AJ1044" s="115"/>
      <c r="AK1044" s="115"/>
      <c r="AL1044" s="115"/>
      <c r="AM1044" s="115"/>
      <c r="AN1044" s="115"/>
      <c r="AO1044" s="115"/>
      <c r="AP1044" s="115"/>
      <c r="AQ1044" s="115"/>
      <c r="AR1044" s="115"/>
      <c r="AS1044" s="115"/>
      <c r="AT1044" s="115"/>
      <c r="AU1044" s="115"/>
      <c r="AV1044" s="115"/>
      <c r="AW1044" s="115"/>
      <c r="AX1044" s="115"/>
      <c r="AY1044" s="115"/>
      <c r="AZ1044" s="115"/>
      <c r="BA1044" s="115"/>
      <c r="BB1044" s="115"/>
      <c r="BC1044" s="115"/>
      <c r="BD1044" s="115"/>
      <c r="BE1044" s="115"/>
      <c r="BF1044" s="115"/>
      <c r="BG1044" s="115"/>
      <c r="BH1044" s="115"/>
      <c r="BI1044" s="115"/>
      <c r="BJ1044" s="115"/>
      <c r="BK1044" s="115"/>
      <c r="BL1044" s="115"/>
      <c r="BM1044" s="115"/>
      <c r="BN1044" s="115"/>
      <c r="BO1044" s="115"/>
      <c r="BP1044" s="115"/>
    </row>
    <row r="1045" spans="1:68" ht="20.100000000000001" customHeight="1">
      <c r="A1045" s="1229" t="s">
        <v>4536</v>
      </c>
      <c r="B1045" s="1229" t="s">
        <v>4781</v>
      </c>
      <c r="C1045" s="1229" t="s">
        <v>4791</v>
      </c>
      <c r="D1045" s="195">
        <f>D90+150</f>
        <v>915</v>
      </c>
      <c r="E1045" s="195">
        <f>E90+100</f>
        <v>1530</v>
      </c>
      <c r="F1045" s="195">
        <f>F90+100</f>
        <v>1580</v>
      </c>
      <c r="G1045" s="110" t="s">
        <v>4560</v>
      </c>
      <c r="H1045" s="48" t="s">
        <v>4556</v>
      </c>
      <c r="I1045" s="38" t="s">
        <v>4540</v>
      </c>
      <c r="J1045" s="30"/>
      <c r="K1045" s="38">
        <v>39</v>
      </c>
      <c r="L1045" s="116" t="s">
        <v>4539</v>
      </c>
      <c r="M1045" s="15">
        <v>43084</v>
      </c>
      <c r="N1045" s="15">
        <v>43100</v>
      </c>
      <c r="O1045" s="59" t="s">
        <v>4559</v>
      </c>
      <c r="P1045" s="61"/>
      <c r="Q1045" s="61"/>
      <c r="R1045" s="239"/>
      <c r="S1045" s="336" t="s">
        <v>4558</v>
      </c>
      <c r="T1045" s="722"/>
      <c r="U1045" s="42"/>
      <c r="AE1045" s="115"/>
      <c r="AF1045" s="115"/>
      <c r="AG1045" s="115"/>
      <c r="AH1045" s="115"/>
      <c r="AI1045" s="115"/>
      <c r="AJ1045" s="115"/>
      <c r="AK1045" s="115"/>
      <c r="AL1045" s="115"/>
      <c r="AM1045" s="115"/>
      <c r="AN1045" s="115"/>
      <c r="AO1045" s="115"/>
      <c r="AP1045" s="115"/>
      <c r="AQ1045" s="115"/>
      <c r="AR1045" s="115"/>
      <c r="AS1045" s="115"/>
      <c r="AT1045" s="115"/>
      <c r="AU1045" s="115"/>
      <c r="AV1045" s="115"/>
      <c r="AW1045" s="115"/>
      <c r="AX1045" s="115"/>
      <c r="AY1045" s="115"/>
      <c r="AZ1045" s="115"/>
      <c r="BA1045" s="115"/>
      <c r="BB1045" s="115"/>
      <c r="BC1045" s="115"/>
      <c r="BD1045" s="115"/>
      <c r="BE1045" s="115"/>
      <c r="BF1045" s="115"/>
      <c r="BG1045" s="115"/>
      <c r="BH1045" s="115"/>
      <c r="BI1045" s="115"/>
      <c r="BJ1045" s="115"/>
      <c r="BK1045" s="115"/>
      <c r="BL1045" s="115"/>
      <c r="BM1045" s="115"/>
      <c r="BN1045" s="115"/>
      <c r="BO1045" s="115"/>
      <c r="BP1045" s="115"/>
    </row>
    <row r="1046" spans="1:68" ht="20.100000000000001" customHeight="1">
      <c r="A1046" s="1229" t="s">
        <v>4536</v>
      </c>
      <c r="B1046" s="1229" t="s">
        <v>4781</v>
      </c>
      <c r="C1046" s="1229" t="s">
        <v>4791</v>
      </c>
      <c r="D1046" s="195">
        <f>D64+250</f>
        <v>1000</v>
      </c>
      <c r="E1046" s="195">
        <f>E64+450</f>
        <v>1850</v>
      </c>
      <c r="F1046" s="195">
        <f>F64+450</f>
        <v>1850</v>
      </c>
      <c r="G1046" s="217" t="s">
        <v>4557</v>
      </c>
      <c r="H1046" s="69" t="s">
        <v>4556</v>
      </c>
      <c r="I1046" s="38" t="s">
        <v>4540</v>
      </c>
      <c r="J1046" s="30"/>
      <c r="K1046" s="38"/>
      <c r="L1046" s="116" t="s">
        <v>4539</v>
      </c>
      <c r="M1046" s="6">
        <v>43084</v>
      </c>
      <c r="N1046" s="6">
        <v>43100</v>
      </c>
      <c r="O1046" s="61" t="s">
        <v>4555</v>
      </c>
      <c r="P1046" s="61"/>
      <c r="Q1046" s="7"/>
      <c r="R1046" s="239" t="s">
        <v>4554</v>
      </c>
      <c r="S1046" s="326" t="s">
        <v>4543</v>
      </c>
      <c r="T1046" s="722"/>
      <c r="U1046" s="42"/>
      <c r="AE1046" s="233"/>
      <c r="AF1046" s="233"/>
      <c r="AG1046" s="233"/>
      <c r="AH1046" s="233"/>
      <c r="AI1046" s="233"/>
      <c r="AJ1046" s="233"/>
      <c r="AK1046" s="233"/>
      <c r="AL1046" s="233"/>
      <c r="AM1046" s="233"/>
      <c r="AN1046" s="233"/>
      <c r="AO1046" s="233"/>
      <c r="AP1046" s="233"/>
      <c r="AQ1046" s="233"/>
      <c r="AR1046" s="233"/>
      <c r="AS1046" s="233"/>
      <c r="AT1046" s="233"/>
      <c r="AU1046" s="233"/>
      <c r="AV1046" s="233"/>
      <c r="AW1046" s="233"/>
      <c r="AX1046" s="233"/>
      <c r="AY1046" s="233"/>
      <c r="AZ1046" s="233"/>
      <c r="BA1046" s="233"/>
      <c r="BB1046" s="233"/>
      <c r="BC1046" s="233"/>
      <c r="BD1046" s="233"/>
      <c r="BE1046" s="233"/>
      <c r="BF1046" s="233"/>
      <c r="BG1046" s="233"/>
      <c r="BH1046" s="233"/>
      <c r="BI1046" s="233"/>
      <c r="BJ1046" s="233"/>
      <c r="BK1046" s="233"/>
      <c r="BL1046" s="233"/>
      <c r="BM1046" s="233"/>
      <c r="BN1046" s="233"/>
      <c r="BO1046" s="233"/>
      <c r="BP1046" s="233"/>
    </row>
    <row r="1047" spans="1:68" ht="20.100000000000001" customHeight="1">
      <c r="A1047" s="1229" t="s">
        <v>4536</v>
      </c>
      <c r="B1047" s="1229" t="s">
        <v>4781</v>
      </c>
      <c r="C1047" s="1229" t="s">
        <v>4791</v>
      </c>
      <c r="D1047" s="195">
        <f>D120+75</f>
        <v>975</v>
      </c>
      <c r="E1047" s="195">
        <f>E120+125</f>
        <v>1725</v>
      </c>
      <c r="F1047" s="195">
        <f>F120+125</f>
        <v>1775</v>
      </c>
      <c r="G1047" s="110" t="s">
        <v>4553</v>
      </c>
      <c r="H1047" s="56" t="s">
        <v>4552</v>
      </c>
      <c r="I1047" s="38" t="s">
        <v>4639</v>
      </c>
      <c r="J1047" s="30"/>
      <c r="K1047" s="38">
        <v>45</v>
      </c>
      <c r="L1047" s="116" t="s">
        <v>4539</v>
      </c>
      <c r="M1047" s="6">
        <v>43085</v>
      </c>
      <c r="N1047" s="6">
        <v>43100</v>
      </c>
      <c r="O1047" s="61" t="s">
        <v>4673</v>
      </c>
      <c r="P1047" s="61"/>
      <c r="Q1047" s="61"/>
      <c r="R1047" s="239"/>
      <c r="S1047" s="328" t="s">
        <v>4543</v>
      </c>
      <c r="T1047" s="722"/>
      <c r="U1047" s="42"/>
      <c r="AE1047" s="115"/>
      <c r="AF1047" s="115"/>
      <c r="AG1047" s="115"/>
      <c r="AH1047" s="115"/>
      <c r="AI1047" s="115"/>
      <c r="AJ1047" s="115"/>
      <c r="AK1047" s="115"/>
      <c r="AL1047" s="115"/>
      <c r="AM1047" s="115"/>
      <c r="AN1047" s="115"/>
      <c r="AO1047" s="115"/>
      <c r="AP1047" s="115"/>
      <c r="AQ1047" s="115"/>
      <c r="AR1047" s="115"/>
      <c r="AS1047" s="115"/>
      <c r="AT1047" s="115"/>
      <c r="AU1047" s="115"/>
      <c r="AV1047" s="115"/>
      <c r="AW1047" s="115"/>
      <c r="AX1047" s="115"/>
      <c r="AY1047" s="115"/>
      <c r="AZ1047" s="115"/>
      <c r="BA1047" s="115"/>
      <c r="BB1047" s="115"/>
      <c r="BC1047" s="115"/>
      <c r="BD1047" s="115"/>
      <c r="BE1047" s="115"/>
      <c r="BF1047" s="115"/>
      <c r="BG1047" s="115"/>
      <c r="BH1047" s="115"/>
      <c r="BI1047" s="115"/>
      <c r="BJ1047" s="115"/>
      <c r="BK1047" s="115"/>
      <c r="BL1047" s="115"/>
      <c r="BM1047" s="115"/>
      <c r="BN1047" s="115"/>
      <c r="BO1047" s="115"/>
      <c r="BP1047" s="115"/>
    </row>
    <row r="1048" spans="1:68" ht="20.100000000000001" customHeight="1">
      <c r="A1048" s="1229" t="s">
        <v>4536</v>
      </c>
      <c r="B1048" s="1229" t="s">
        <v>4781</v>
      </c>
      <c r="C1048" s="1229" t="s">
        <v>4791</v>
      </c>
      <c r="D1048" s="195">
        <f>D19+400+25</f>
        <v>1200</v>
      </c>
      <c r="E1048" s="195">
        <f>E19+500+50</f>
        <v>2000</v>
      </c>
      <c r="F1048" s="195">
        <f>F19+500+50</f>
        <v>2050</v>
      </c>
      <c r="G1048" s="12" t="s">
        <v>4542</v>
      </c>
      <c r="H1048" s="69" t="s">
        <v>4541</v>
      </c>
      <c r="I1048" s="38" t="s">
        <v>4595</v>
      </c>
      <c r="J1048" s="140"/>
      <c r="K1048" s="38"/>
      <c r="L1048" s="116" t="s">
        <v>4539</v>
      </c>
      <c r="M1048" s="15">
        <v>43084</v>
      </c>
      <c r="N1048" s="15">
        <v>43100</v>
      </c>
      <c r="O1048" s="61" t="s">
        <v>4538</v>
      </c>
      <c r="P1048" s="61"/>
      <c r="Q1048" s="61"/>
      <c r="R1048" s="239"/>
      <c r="S1048" s="326" t="s">
        <v>4537</v>
      </c>
      <c r="T1048" s="722"/>
      <c r="U1048" s="42"/>
      <c r="AE1048" s="115"/>
      <c r="AF1048" s="115"/>
      <c r="AG1048" s="115"/>
      <c r="AH1048" s="115"/>
      <c r="AI1048" s="115"/>
      <c r="AJ1048" s="115"/>
      <c r="AK1048" s="115"/>
      <c r="AL1048" s="115"/>
      <c r="AM1048" s="115"/>
      <c r="AN1048" s="115"/>
      <c r="AO1048" s="115"/>
      <c r="AP1048" s="115"/>
      <c r="AQ1048" s="115"/>
      <c r="AR1048" s="115"/>
      <c r="AS1048" s="115"/>
      <c r="AT1048" s="115"/>
      <c r="AU1048" s="115"/>
      <c r="AV1048" s="115"/>
      <c r="AW1048" s="115"/>
      <c r="AX1048" s="115"/>
      <c r="AY1048" s="115"/>
      <c r="AZ1048" s="115"/>
      <c r="BA1048" s="115"/>
      <c r="BB1048" s="115"/>
      <c r="BC1048" s="115"/>
      <c r="BD1048" s="115"/>
      <c r="BE1048" s="115"/>
      <c r="BF1048" s="115"/>
      <c r="BG1048" s="115"/>
      <c r="BH1048" s="115"/>
      <c r="BI1048" s="115"/>
      <c r="BJ1048" s="115"/>
      <c r="BK1048" s="115"/>
      <c r="BL1048" s="115"/>
      <c r="BM1048" s="115"/>
      <c r="BN1048" s="115"/>
      <c r="BO1048" s="115"/>
      <c r="BP1048" s="115"/>
    </row>
    <row r="1049" spans="1:68" ht="20.100000000000001" customHeight="1">
      <c r="A1049" s="1229" t="s">
        <v>4536</v>
      </c>
      <c r="B1049" s="1229" t="s">
        <v>4781</v>
      </c>
      <c r="C1049" s="1229" t="s">
        <v>4791</v>
      </c>
      <c r="D1049" s="195">
        <f>D65+200</f>
        <v>1000</v>
      </c>
      <c r="E1049" s="195">
        <f>E65+200</f>
        <v>1700</v>
      </c>
      <c r="F1049" s="195">
        <f>F65+200</f>
        <v>1750</v>
      </c>
      <c r="G1049" s="12" t="s">
        <v>4645</v>
      </c>
      <c r="H1049" s="48" t="s">
        <v>4556</v>
      </c>
      <c r="I1049" s="38" t="s">
        <v>4595</v>
      </c>
      <c r="J1049" s="30"/>
      <c r="K1049" s="38" t="s">
        <v>4790</v>
      </c>
      <c r="L1049" s="116" t="s">
        <v>4539</v>
      </c>
      <c r="M1049" s="6">
        <v>43084</v>
      </c>
      <c r="N1049" s="6">
        <v>43100</v>
      </c>
      <c r="O1049" s="61" t="s">
        <v>4643</v>
      </c>
      <c r="P1049" s="61"/>
      <c r="Q1049" s="61"/>
      <c r="R1049" s="239"/>
      <c r="S1049" s="326" t="s">
        <v>4641</v>
      </c>
      <c r="T1049" s="722"/>
      <c r="U1049" s="42"/>
      <c r="AE1049" s="115"/>
      <c r="AF1049" s="115"/>
      <c r="AG1049" s="115"/>
      <c r="AH1049" s="115"/>
      <c r="AI1049" s="115"/>
      <c r="AJ1049" s="115"/>
      <c r="AK1049" s="115"/>
      <c r="AL1049" s="115"/>
      <c r="AM1049" s="115"/>
      <c r="AN1049" s="115"/>
      <c r="AO1049" s="115"/>
      <c r="AP1049" s="115"/>
      <c r="AQ1049" s="115"/>
      <c r="AR1049" s="115"/>
      <c r="AS1049" s="115"/>
      <c r="AT1049" s="115"/>
      <c r="AU1049" s="115"/>
      <c r="AV1049" s="115"/>
      <c r="AW1049" s="115"/>
      <c r="AX1049" s="115"/>
      <c r="AY1049" s="115"/>
      <c r="AZ1049" s="115"/>
      <c r="BA1049" s="115"/>
      <c r="BB1049" s="115"/>
      <c r="BC1049" s="115"/>
      <c r="BD1049" s="115"/>
      <c r="BE1049" s="115"/>
      <c r="BF1049" s="115"/>
      <c r="BG1049" s="115"/>
      <c r="BH1049" s="115"/>
      <c r="BI1049" s="115"/>
      <c r="BJ1049" s="115"/>
      <c r="BK1049" s="115"/>
      <c r="BL1049" s="115"/>
      <c r="BM1049" s="115"/>
      <c r="BN1049" s="115"/>
      <c r="BO1049" s="115"/>
      <c r="BP1049" s="115"/>
    </row>
    <row r="1050" spans="1:68" ht="20.100000000000001" customHeight="1">
      <c r="A1050" s="1229" t="s">
        <v>4536</v>
      </c>
      <c r="B1050" s="1229" t="s">
        <v>4781</v>
      </c>
      <c r="C1050" s="1229" t="s">
        <v>4788</v>
      </c>
      <c r="D1050" s="345">
        <f>D20+550+25</f>
        <v>1425</v>
      </c>
      <c r="E1050" s="345">
        <f>E20+900+50</f>
        <v>2550</v>
      </c>
      <c r="F1050" s="345">
        <f>F20+900+50</f>
        <v>2600</v>
      </c>
      <c r="G1050" s="217" t="s">
        <v>4572</v>
      </c>
      <c r="H1050" s="56" t="s">
        <v>4541</v>
      </c>
      <c r="I1050" s="10" t="s">
        <v>4595</v>
      </c>
      <c r="J1050" s="30"/>
      <c r="K1050" s="38"/>
      <c r="L1050" s="116" t="s">
        <v>4539</v>
      </c>
      <c r="M1050" s="15">
        <v>43070</v>
      </c>
      <c r="N1050" s="15">
        <v>43100</v>
      </c>
      <c r="O1050" s="61" t="s">
        <v>4655</v>
      </c>
      <c r="P1050" s="904"/>
      <c r="Q1050" s="7"/>
      <c r="R1050" s="239"/>
      <c r="S1050" s="327" t="s">
        <v>4570</v>
      </c>
      <c r="T1050" s="722"/>
      <c r="U1050" s="42"/>
      <c r="AE1050" s="115"/>
      <c r="AF1050" s="115"/>
      <c r="AG1050" s="115"/>
      <c r="AH1050" s="115"/>
      <c r="AI1050" s="115"/>
      <c r="AJ1050" s="115"/>
      <c r="AK1050" s="115"/>
      <c r="AL1050" s="115"/>
      <c r="AM1050" s="115"/>
      <c r="AN1050" s="115"/>
      <c r="AO1050" s="115"/>
      <c r="AP1050" s="115"/>
      <c r="AQ1050" s="115"/>
      <c r="AR1050" s="115"/>
      <c r="AS1050" s="115"/>
      <c r="AT1050" s="115"/>
      <c r="AU1050" s="115"/>
      <c r="AV1050" s="115"/>
      <c r="AW1050" s="115"/>
      <c r="AX1050" s="115"/>
      <c r="AY1050" s="115"/>
      <c r="AZ1050" s="115"/>
      <c r="BA1050" s="115"/>
      <c r="BB1050" s="115"/>
      <c r="BC1050" s="115"/>
      <c r="BD1050" s="115"/>
      <c r="BE1050" s="115"/>
      <c r="BF1050" s="115"/>
      <c r="BG1050" s="115"/>
      <c r="BH1050" s="115"/>
      <c r="BI1050" s="115"/>
      <c r="BJ1050" s="115"/>
      <c r="BK1050" s="115"/>
      <c r="BL1050" s="115"/>
      <c r="BM1050" s="115"/>
      <c r="BN1050" s="115"/>
      <c r="BO1050" s="115"/>
      <c r="BP1050" s="115"/>
    </row>
    <row r="1051" spans="1:68" ht="20.100000000000001" customHeight="1">
      <c r="A1051" s="1229" t="s">
        <v>4536</v>
      </c>
      <c r="B1051" s="1229" t="s">
        <v>4781</v>
      </c>
      <c r="C1051" s="1229" t="s">
        <v>4788</v>
      </c>
      <c r="D1051" s="196">
        <f>D36+800</f>
        <v>1675</v>
      </c>
      <c r="E1051" s="196">
        <f>E36+1350</f>
        <v>2900</v>
      </c>
      <c r="F1051" s="196">
        <f>F36+1350</f>
        <v>2950</v>
      </c>
      <c r="G1051" s="217" t="s">
        <v>4575</v>
      </c>
      <c r="H1051" s="48" t="s">
        <v>4541</v>
      </c>
      <c r="I1051" s="38" t="s">
        <v>4595</v>
      </c>
      <c r="J1051" s="30"/>
      <c r="K1051" s="38"/>
      <c r="L1051" s="116" t="s">
        <v>4539</v>
      </c>
      <c r="M1051" s="15">
        <v>43084</v>
      </c>
      <c r="N1051" s="15">
        <v>43100</v>
      </c>
      <c r="O1051" s="61" t="s">
        <v>4573</v>
      </c>
      <c r="P1051" s="904"/>
      <c r="Q1051" s="904"/>
      <c r="R1051" s="239"/>
      <c r="S1051" s="328" t="s">
        <v>4543</v>
      </c>
      <c r="T1051" s="722"/>
      <c r="U1051" s="42"/>
      <c r="AE1051" s="115"/>
      <c r="AF1051" s="115"/>
      <c r="AG1051" s="115"/>
      <c r="AH1051" s="115"/>
      <c r="AI1051" s="115"/>
      <c r="AJ1051" s="115"/>
      <c r="AK1051" s="115"/>
      <c r="AL1051" s="115"/>
      <c r="AM1051" s="115"/>
      <c r="AN1051" s="115"/>
      <c r="AO1051" s="115"/>
      <c r="AP1051" s="115"/>
      <c r="AQ1051" s="115"/>
      <c r="AR1051" s="115"/>
      <c r="AS1051" s="115"/>
      <c r="AT1051" s="115"/>
      <c r="AU1051" s="115"/>
      <c r="AV1051" s="115"/>
      <c r="AW1051" s="115"/>
      <c r="AX1051" s="115"/>
      <c r="AY1051" s="115"/>
      <c r="AZ1051" s="115"/>
      <c r="BA1051" s="115"/>
      <c r="BB1051" s="115"/>
      <c r="BC1051" s="115"/>
      <c r="BD1051" s="115"/>
      <c r="BE1051" s="115"/>
      <c r="BF1051" s="115"/>
      <c r="BG1051" s="115"/>
      <c r="BH1051" s="115"/>
      <c r="BI1051" s="115"/>
      <c r="BJ1051" s="115"/>
      <c r="BK1051" s="115"/>
      <c r="BL1051" s="115"/>
      <c r="BM1051" s="115"/>
      <c r="BN1051" s="115"/>
      <c r="BO1051" s="115"/>
      <c r="BP1051" s="115"/>
    </row>
    <row r="1052" spans="1:68" ht="20.100000000000001" customHeight="1">
      <c r="A1052" s="1229" t="s">
        <v>4536</v>
      </c>
      <c r="B1052" s="1229" t="s">
        <v>4781</v>
      </c>
      <c r="C1052" s="1229" t="s">
        <v>4788</v>
      </c>
      <c r="D1052" s="273">
        <f>D211+200+25</f>
        <v>950</v>
      </c>
      <c r="E1052" s="273">
        <f>E211+400+50</f>
        <v>1800</v>
      </c>
      <c r="F1052" s="273">
        <f>F211+400+50</f>
        <v>1850</v>
      </c>
      <c r="G1052" s="110" t="s">
        <v>4566</v>
      </c>
      <c r="H1052" s="69" t="s">
        <v>4556</v>
      </c>
      <c r="I1052" s="38" t="s">
        <v>4595</v>
      </c>
      <c r="J1052" s="30"/>
      <c r="K1052" s="38"/>
      <c r="L1052" s="116" t="s">
        <v>4539</v>
      </c>
      <c r="M1052" s="15">
        <v>43084</v>
      </c>
      <c r="N1052" s="15">
        <v>43100</v>
      </c>
      <c r="O1052" s="59" t="s">
        <v>4674</v>
      </c>
      <c r="P1052" s="61"/>
      <c r="Q1052" s="61"/>
      <c r="R1052" s="239"/>
      <c r="S1052" s="327" t="s">
        <v>4561</v>
      </c>
      <c r="T1052" s="722"/>
      <c r="U1052" s="42"/>
      <c r="AE1052" s="115"/>
      <c r="AF1052" s="115"/>
      <c r="AG1052" s="115"/>
      <c r="AH1052" s="115"/>
      <c r="AI1052" s="115"/>
      <c r="AJ1052" s="115"/>
      <c r="AK1052" s="115"/>
      <c r="AL1052" s="115"/>
      <c r="AM1052" s="115"/>
      <c r="AN1052" s="115"/>
      <c r="AO1052" s="115"/>
      <c r="AP1052" s="115"/>
      <c r="AQ1052" s="115"/>
      <c r="AR1052" s="115"/>
      <c r="AS1052" s="115"/>
      <c r="AT1052" s="115"/>
      <c r="AU1052" s="115"/>
      <c r="AV1052" s="115"/>
      <c r="AW1052" s="115"/>
      <c r="AX1052" s="115"/>
      <c r="AY1052" s="115"/>
      <c r="AZ1052" s="115"/>
      <c r="BA1052" s="115"/>
      <c r="BB1052" s="115"/>
      <c r="BC1052" s="115"/>
      <c r="BD1052" s="115"/>
      <c r="BE1052" s="115"/>
      <c r="BF1052" s="115"/>
      <c r="BG1052" s="115"/>
      <c r="BH1052" s="115"/>
      <c r="BI1052" s="115"/>
      <c r="BJ1052" s="115"/>
      <c r="BK1052" s="115"/>
      <c r="BL1052" s="115"/>
      <c r="BM1052" s="115"/>
      <c r="BN1052" s="115"/>
      <c r="BO1052" s="115"/>
      <c r="BP1052" s="115"/>
    </row>
    <row r="1053" spans="1:68" ht="20.100000000000001" customHeight="1">
      <c r="A1053" s="1229" t="s">
        <v>4536</v>
      </c>
      <c r="B1053" s="1229" t="s">
        <v>4781</v>
      </c>
      <c r="C1053" s="1229" t="s">
        <v>4788</v>
      </c>
      <c r="D1053" s="247">
        <f>D13+410+25</f>
        <v>1185</v>
      </c>
      <c r="E1053" s="247">
        <f>E13+730+50</f>
        <v>2180</v>
      </c>
      <c r="F1053" s="247">
        <f>F13+730+50</f>
        <v>2230</v>
      </c>
      <c r="G1053" s="110" t="s">
        <v>4636</v>
      </c>
      <c r="H1053" s="36" t="s">
        <v>4635</v>
      </c>
      <c r="I1053" s="38" t="s">
        <v>4595</v>
      </c>
      <c r="J1053" s="30"/>
      <c r="K1053" s="38" t="s">
        <v>4789</v>
      </c>
      <c r="L1053" s="116" t="s">
        <v>4539</v>
      </c>
      <c r="M1053" s="6">
        <v>43084</v>
      </c>
      <c r="N1053" s="6">
        <v>43100</v>
      </c>
      <c r="O1053" s="61" t="s">
        <v>4633</v>
      </c>
      <c r="P1053" s="61"/>
      <c r="Q1053" s="61"/>
      <c r="R1053" s="239"/>
      <c r="S1053" s="327" t="s">
        <v>4632</v>
      </c>
      <c r="T1053" s="722"/>
      <c r="U1053" s="42"/>
      <c r="AE1053" s="279"/>
      <c r="AF1053" s="279"/>
      <c r="AG1053" s="279"/>
      <c r="AH1053" s="279"/>
      <c r="AI1053" s="279"/>
      <c r="AJ1053" s="279"/>
      <c r="AK1053" s="279"/>
      <c r="AL1053" s="279"/>
      <c r="AM1053" s="279"/>
      <c r="AN1053" s="279"/>
      <c r="AO1053" s="279"/>
      <c r="AP1053" s="279"/>
      <c r="AQ1053" s="279"/>
      <c r="AR1053" s="279"/>
      <c r="AS1053" s="279"/>
      <c r="AT1053" s="279"/>
      <c r="AU1053" s="279"/>
      <c r="AV1053" s="279"/>
      <c r="AW1053" s="279"/>
      <c r="AX1053" s="279"/>
      <c r="AY1053" s="279"/>
      <c r="AZ1053" s="279"/>
      <c r="BA1053" s="279"/>
      <c r="BB1053" s="279"/>
      <c r="BC1053" s="279"/>
      <c r="BD1053" s="279"/>
      <c r="BE1053" s="279"/>
      <c r="BF1053" s="279"/>
      <c r="BG1053" s="279"/>
      <c r="BH1053" s="279"/>
      <c r="BI1053" s="279"/>
      <c r="BJ1053" s="279"/>
      <c r="BK1053" s="279"/>
      <c r="BL1053" s="279"/>
      <c r="BM1053" s="279"/>
      <c r="BN1053" s="279"/>
      <c r="BO1053" s="279"/>
      <c r="BP1053" s="279"/>
    </row>
    <row r="1054" spans="1:68" ht="20.100000000000001" customHeight="1">
      <c r="A1054" s="1229" t="s">
        <v>4536</v>
      </c>
      <c r="B1054" s="1229" t="s">
        <v>4781</v>
      </c>
      <c r="C1054" s="1229" t="s">
        <v>4788</v>
      </c>
      <c r="D1054" s="195">
        <f>D10+1000</f>
        <v>1765</v>
      </c>
      <c r="E1054" s="195">
        <f>E10+900</f>
        <v>2330</v>
      </c>
      <c r="F1054" s="195">
        <f>F10+900</f>
        <v>2380</v>
      </c>
      <c r="G1054" s="110" t="s">
        <v>4560</v>
      </c>
      <c r="H1054" s="48" t="s">
        <v>4556</v>
      </c>
      <c r="I1054" s="38" t="s">
        <v>4595</v>
      </c>
      <c r="J1054" s="30"/>
      <c r="K1054" s="38"/>
      <c r="L1054" s="116" t="s">
        <v>4539</v>
      </c>
      <c r="M1054" s="15">
        <v>43084</v>
      </c>
      <c r="N1054" s="15">
        <v>43100</v>
      </c>
      <c r="O1054" s="59" t="s">
        <v>4559</v>
      </c>
      <c r="P1054" s="61"/>
      <c r="Q1054" s="61"/>
      <c r="R1054" s="239"/>
      <c r="S1054" s="336" t="s">
        <v>4558</v>
      </c>
      <c r="T1054" s="722"/>
      <c r="U1054" s="42"/>
      <c r="AE1054" s="115"/>
      <c r="AF1054" s="115"/>
      <c r="AG1054" s="115"/>
      <c r="AH1054" s="115"/>
      <c r="AI1054" s="115"/>
      <c r="AJ1054" s="115"/>
      <c r="AK1054" s="115"/>
      <c r="AL1054" s="115"/>
      <c r="AM1054" s="115"/>
      <c r="AN1054" s="115"/>
      <c r="AO1054" s="115"/>
      <c r="AP1054" s="115"/>
      <c r="AQ1054" s="115"/>
      <c r="AR1054" s="115"/>
      <c r="AS1054" s="115"/>
      <c r="AT1054" s="115"/>
      <c r="AU1054" s="115"/>
      <c r="AV1054" s="115"/>
      <c r="AW1054" s="115"/>
      <c r="AX1054" s="115"/>
      <c r="AY1054" s="115"/>
      <c r="AZ1054" s="115"/>
      <c r="BA1054" s="115"/>
      <c r="BB1054" s="115"/>
      <c r="BC1054" s="115"/>
      <c r="BD1054" s="115"/>
      <c r="BE1054" s="115"/>
      <c r="BF1054" s="115"/>
      <c r="BG1054" s="115"/>
      <c r="BH1054" s="115"/>
      <c r="BI1054" s="115"/>
      <c r="BJ1054" s="115"/>
      <c r="BK1054" s="115"/>
      <c r="BL1054" s="115"/>
      <c r="BM1054" s="115"/>
      <c r="BN1054" s="115"/>
      <c r="BO1054" s="115"/>
      <c r="BP1054" s="115"/>
    </row>
    <row r="1055" spans="1:68" ht="20.100000000000001" customHeight="1">
      <c r="A1055" s="1229" t="s">
        <v>4536</v>
      </c>
      <c r="B1055" s="1229" t="s">
        <v>4781</v>
      </c>
      <c r="C1055" s="1229" t="s">
        <v>4788</v>
      </c>
      <c r="D1055" s="195">
        <f>D12+700</f>
        <v>1500</v>
      </c>
      <c r="E1055" s="195">
        <f>E12+850</f>
        <v>2350</v>
      </c>
      <c r="F1055" s="195">
        <f>F12+850</f>
        <v>2400</v>
      </c>
      <c r="G1055" s="12" t="s">
        <v>4645</v>
      </c>
      <c r="H1055" s="48" t="s">
        <v>4556</v>
      </c>
      <c r="I1055" s="38" t="s">
        <v>4595</v>
      </c>
      <c r="J1055" s="30"/>
      <c r="K1055" s="38" t="s">
        <v>4787</v>
      </c>
      <c r="L1055" s="116" t="s">
        <v>4539</v>
      </c>
      <c r="M1055" s="6">
        <v>43084</v>
      </c>
      <c r="N1055" s="6">
        <v>43100</v>
      </c>
      <c r="O1055" s="61" t="s">
        <v>4643</v>
      </c>
      <c r="P1055" s="61"/>
      <c r="Q1055" s="61"/>
      <c r="R1055" s="239"/>
      <c r="S1055" s="326" t="s">
        <v>4641</v>
      </c>
      <c r="T1055" s="722"/>
      <c r="U1055" s="42"/>
      <c r="AE1055" s="115"/>
      <c r="AF1055" s="115"/>
      <c r="AG1055" s="115"/>
      <c r="AH1055" s="115"/>
      <c r="AI1055" s="115"/>
      <c r="AJ1055" s="115"/>
      <c r="AK1055" s="115"/>
      <c r="AL1055" s="115"/>
      <c r="AM1055" s="115"/>
      <c r="AN1055" s="115"/>
      <c r="AO1055" s="115"/>
      <c r="AP1055" s="115"/>
      <c r="AQ1055" s="115"/>
      <c r="AR1055" s="115"/>
      <c r="AS1055" s="115"/>
      <c r="AT1055" s="115"/>
      <c r="AU1055" s="115"/>
      <c r="AV1055" s="115"/>
      <c r="AW1055" s="115"/>
      <c r="AX1055" s="115"/>
      <c r="AY1055" s="115"/>
      <c r="AZ1055" s="115"/>
      <c r="BA1055" s="115"/>
      <c r="BB1055" s="115"/>
      <c r="BC1055" s="115"/>
      <c r="BD1055" s="115"/>
      <c r="BE1055" s="115"/>
      <c r="BF1055" s="115"/>
      <c r="BG1055" s="115"/>
      <c r="BH1055" s="115"/>
      <c r="BI1055" s="115"/>
      <c r="BJ1055" s="115"/>
      <c r="BK1055" s="115"/>
      <c r="BL1055" s="115"/>
      <c r="BM1055" s="115"/>
      <c r="BN1055" s="115"/>
      <c r="BO1055" s="115"/>
      <c r="BP1055" s="115"/>
    </row>
    <row r="1056" spans="1:68" ht="20.100000000000001" customHeight="1">
      <c r="A1056" s="1229" t="s">
        <v>4536</v>
      </c>
      <c r="B1056" s="1229" t="s">
        <v>4781</v>
      </c>
      <c r="C1056" s="1229" t="s">
        <v>4786</v>
      </c>
      <c r="D1056" s="345">
        <f>D20+750+25</f>
        <v>1625</v>
      </c>
      <c r="E1056" s="345">
        <f>E20+1100+50</f>
        <v>2750</v>
      </c>
      <c r="F1056" s="345">
        <f>F20+1100+50</f>
        <v>2800</v>
      </c>
      <c r="G1056" s="217" t="s">
        <v>4572</v>
      </c>
      <c r="H1056" s="56" t="s">
        <v>4541</v>
      </c>
      <c r="I1056" s="10" t="s">
        <v>4595</v>
      </c>
      <c r="J1056" s="30"/>
      <c r="K1056" s="38"/>
      <c r="L1056" s="116" t="s">
        <v>4539</v>
      </c>
      <c r="M1056" s="15">
        <v>43070</v>
      </c>
      <c r="N1056" s="15">
        <v>43100</v>
      </c>
      <c r="O1056" s="61" t="s">
        <v>4655</v>
      </c>
      <c r="P1056" s="904"/>
      <c r="Q1056" s="7"/>
      <c r="R1056" s="239"/>
      <c r="S1056" s="327" t="s">
        <v>4570</v>
      </c>
      <c r="T1056" s="722"/>
      <c r="U1056" s="42"/>
      <c r="AE1056" s="115"/>
      <c r="AF1056" s="115"/>
      <c r="AG1056" s="115"/>
      <c r="AH1056" s="115"/>
      <c r="AI1056" s="115"/>
      <c r="AJ1056" s="115"/>
      <c r="AK1056" s="115"/>
      <c r="AL1056" s="115"/>
      <c r="AM1056" s="115"/>
      <c r="AN1056" s="115"/>
      <c r="AO1056" s="115"/>
      <c r="AP1056" s="115"/>
      <c r="AQ1056" s="115"/>
      <c r="AR1056" s="115"/>
      <c r="AS1056" s="115"/>
      <c r="AT1056" s="115"/>
      <c r="AU1056" s="115"/>
      <c r="AV1056" s="115"/>
      <c r="AW1056" s="115"/>
      <c r="AX1056" s="115"/>
      <c r="AY1056" s="115"/>
      <c r="AZ1056" s="115"/>
      <c r="BA1056" s="115"/>
      <c r="BB1056" s="115"/>
      <c r="BC1056" s="115"/>
      <c r="BD1056" s="115"/>
      <c r="BE1056" s="115"/>
      <c r="BF1056" s="115"/>
      <c r="BG1056" s="115"/>
      <c r="BH1056" s="115"/>
      <c r="BI1056" s="115"/>
      <c r="BJ1056" s="115"/>
      <c r="BK1056" s="115"/>
      <c r="BL1056" s="115"/>
      <c r="BM1056" s="115"/>
      <c r="BN1056" s="115"/>
      <c r="BO1056" s="115"/>
      <c r="BP1056" s="115"/>
    </row>
    <row r="1057" spans="1:68" ht="20.100000000000001" customHeight="1">
      <c r="A1057" s="1229" t="s">
        <v>4536</v>
      </c>
      <c r="B1057" s="1229" t="s">
        <v>4781</v>
      </c>
      <c r="C1057" s="1229" t="s">
        <v>4786</v>
      </c>
      <c r="D1057" s="196">
        <f>D36+1200</f>
        <v>2075</v>
      </c>
      <c r="E1057" s="196">
        <f>E36+1750</f>
        <v>3300</v>
      </c>
      <c r="F1057" s="196">
        <f>F36+1750</f>
        <v>3350</v>
      </c>
      <c r="G1057" s="217" t="s">
        <v>4575</v>
      </c>
      <c r="H1057" s="48" t="s">
        <v>4541</v>
      </c>
      <c r="I1057" s="38" t="s">
        <v>4595</v>
      </c>
      <c r="J1057" s="30"/>
      <c r="K1057" s="38"/>
      <c r="L1057" s="116" t="s">
        <v>4539</v>
      </c>
      <c r="M1057" s="15">
        <v>43084</v>
      </c>
      <c r="N1057" s="15">
        <v>43100</v>
      </c>
      <c r="O1057" s="61" t="s">
        <v>4573</v>
      </c>
      <c r="P1057" s="904"/>
      <c r="Q1057" s="904"/>
      <c r="R1057" s="239"/>
      <c r="S1057" s="328" t="s">
        <v>4543</v>
      </c>
      <c r="T1057" s="722"/>
      <c r="U1057" s="42"/>
      <c r="AE1057" s="115"/>
      <c r="AF1057" s="115"/>
      <c r="AG1057" s="115"/>
      <c r="AH1057" s="115"/>
      <c r="AI1057" s="115"/>
      <c r="AJ1057" s="115"/>
      <c r="AK1057" s="115"/>
      <c r="AL1057" s="115"/>
      <c r="AM1057" s="115"/>
      <c r="AN1057" s="115"/>
      <c r="AO1057" s="115"/>
      <c r="AP1057" s="115"/>
      <c r="AQ1057" s="115"/>
      <c r="AR1057" s="115"/>
      <c r="AS1057" s="115"/>
      <c r="AT1057" s="115"/>
      <c r="AU1057" s="115"/>
      <c r="AV1057" s="115"/>
      <c r="AW1057" s="115"/>
      <c r="AX1057" s="115"/>
      <c r="AY1057" s="115"/>
      <c r="AZ1057" s="115"/>
      <c r="BA1057" s="115"/>
      <c r="BB1057" s="115"/>
      <c r="BC1057" s="115"/>
      <c r="BD1057" s="115"/>
      <c r="BE1057" s="115"/>
      <c r="BF1057" s="115"/>
      <c r="BG1057" s="115"/>
      <c r="BH1057" s="115"/>
      <c r="BI1057" s="115"/>
      <c r="BJ1057" s="115"/>
      <c r="BK1057" s="115"/>
      <c r="BL1057" s="115"/>
      <c r="BM1057" s="115"/>
      <c r="BN1057" s="115"/>
      <c r="BO1057" s="115"/>
      <c r="BP1057" s="115"/>
    </row>
    <row r="1058" spans="1:68" ht="20.100000000000001" customHeight="1">
      <c r="A1058" s="1229" t="s">
        <v>4536</v>
      </c>
      <c r="B1058" s="1229" t="s">
        <v>4781</v>
      </c>
      <c r="C1058" s="1229" t="s">
        <v>4786</v>
      </c>
      <c r="D1058" s="273">
        <f>D211+600+25</f>
        <v>1350</v>
      </c>
      <c r="E1058" s="273">
        <f>E211+800+50</f>
        <v>2200</v>
      </c>
      <c r="F1058" s="273">
        <f>F211+800+50</f>
        <v>2250</v>
      </c>
      <c r="G1058" s="110" t="s">
        <v>4566</v>
      </c>
      <c r="H1058" s="69" t="s">
        <v>4556</v>
      </c>
      <c r="I1058" s="38" t="s">
        <v>4595</v>
      </c>
      <c r="J1058" s="30"/>
      <c r="K1058" s="38"/>
      <c r="L1058" s="116" t="s">
        <v>4539</v>
      </c>
      <c r="M1058" s="15">
        <v>43084</v>
      </c>
      <c r="N1058" s="15">
        <v>43100</v>
      </c>
      <c r="O1058" s="59" t="s">
        <v>4674</v>
      </c>
      <c r="P1058" s="61"/>
      <c r="Q1058" s="61"/>
      <c r="R1058" s="239"/>
      <c r="S1058" s="327" t="s">
        <v>4561</v>
      </c>
      <c r="T1058" s="722"/>
      <c r="U1058" s="42"/>
      <c r="AE1058" s="115"/>
      <c r="AF1058" s="115"/>
      <c r="AG1058" s="115"/>
      <c r="AH1058" s="115"/>
      <c r="AI1058" s="115"/>
      <c r="AJ1058" s="115"/>
      <c r="AK1058" s="115"/>
      <c r="AL1058" s="115"/>
      <c r="AM1058" s="115"/>
      <c r="AN1058" s="115"/>
      <c r="AO1058" s="115"/>
      <c r="AP1058" s="115"/>
      <c r="AQ1058" s="115"/>
      <c r="AR1058" s="115"/>
      <c r="AS1058" s="115"/>
      <c r="AT1058" s="115"/>
      <c r="AU1058" s="115"/>
      <c r="AV1058" s="115"/>
      <c r="AW1058" s="115"/>
      <c r="AX1058" s="115"/>
      <c r="AY1058" s="115"/>
      <c r="AZ1058" s="115"/>
      <c r="BA1058" s="115"/>
      <c r="BB1058" s="115"/>
      <c r="BC1058" s="115"/>
      <c r="BD1058" s="115"/>
      <c r="BE1058" s="115"/>
      <c r="BF1058" s="115"/>
      <c r="BG1058" s="115"/>
      <c r="BH1058" s="115"/>
      <c r="BI1058" s="115"/>
      <c r="BJ1058" s="115"/>
      <c r="BK1058" s="115"/>
      <c r="BL1058" s="115"/>
      <c r="BM1058" s="115"/>
      <c r="BN1058" s="115"/>
      <c r="BO1058" s="115"/>
      <c r="BP1058" s="115"/>
    </row>
    <row r="1059" spans="1:68" ht="20.100000000000001" customHeight="1">
      <c r="A1059" s="1229" t="s">
        <v>4536</v>
      </c>
      <c r="B1059" s="1229" t="s">
        <v>4781</v>
      </c>
      <c r="C1059" s="1229" t="s">
        <v>4786</v>
      </c>
      <c r="D1059" s="196">
        <f>D14+350</f>
        <v>1130</v>
      </c>
      <c r="E1059" s="196">
        <f>E14+500</f>
        <v>1957</v>
      </c>
      <c r="F1059" s="196">
        <f>F14+500</f>
        <v>1957</v>
      </c>
      <c r="G1059" s="225" t="s">
        <v>4569</v>
      </c>
      <c r="H1059" s="69" t="s">
        <v>4602</v>
      </c>
      <c r="I1059" s="38" t="s">
        <v>4595</v>
      </c>
      <c r="J1059" s="30"/>
      <c r="K1059" s="38" t="s">
        <v>4546</v>
      </c>
      <c r="L1059" s="116" t="s">
        <v>4539</v>
      </c>
      <c r="M1059" s="6">
        <v>43074</v>
      </c>
      <c r="N1059" s="6">
        <v>43084</v>
      </c>
      <c r="O1059" s="61" t="s">
        <v>4664</v>
      </c>
      <c r="P1059" s="61"/>
      <c r="Q1059" s="61"/>
      <c r="R1059" s="239"/>
      <c r="S1059" s="328" t="s">
        <v>4543</v>
      </c>
      <c r="T1059" s="722"/>
      <c r="U1059" s="42"/>
      <c r="AE1059" s="115"/>
      <c r="AF1059" s="115"/>
      <c r="AG1059" s="115"/>
      <c r="AH1059" s="115"/>
      <c r="AI1059" s="115"/>
      <c r="AJ1059" s="115"/>
      <c r="AK1059" s="115"/>
      <c r="AL1059" s="115"/>
      <c r="AM1059" s="115"/>
      <c r="AN1059" s="115"/>
      <c r="AO1059" s="115"/>
      <c r="AP1059" s="115"/>
      <c r="AQ1059" s="115"/>
      <c r="AR1059" s="115"/>
      <c r="AS1059" s="115"/>
      <c r="AT1059" s="115"/>
      <c r="AU1059" s="115"/>
      <c r="AV1059" s="115"/>
      <c r="AW1059" s="115"/>
      <c r="AX1059" s="115"/>
      <c r="AY1059" s="115"/>
      <c r="AZ1059" s="115"/>
      <c r="BA1059" s="115"/>
      <c r="BB1059" s="115"/>
      <c r="BC1059" s="115"/>
      <c r="BD1059" s="115"/>
      <c r="BE1059" s="115"/>
      <c r="BF1059" s="115"/>
      <c r="BG1059" s="115"/>
      <c r="BH1059" s="115"/>
      <c r="BI1059" s="115"/>
      <c r="BJ1059" s="115"/>
      <c r="BK1059" s="115"/>
      <c r="BL1059" s="115"/>
      <c r="BM1059" s="115"/>
      <c r="BN1059" s="115"/>
      <c r="BO1059" s="115"/>
      <c r="BP1059" s="115"/>
    </row>
    <row r="1060" spans="1:68" ht="20.100000000000001" customHeight="1">
      <c r="A1060" s="1229" t="s">
        <v>4536</v>
      </c>
      <c r="B1060" s="1229" t="s">
        <v>4781</v>
      </c>
      <c r="C1060" s="1229" t="s">
        <v>4786</v>
      </c>
      <c r="D1060" s="195">
        <f>D43+800+25</f>
        <v>1575</v>
      </c>
      <c r="E1060" s="195">
        <f>E43+1050+50</f>
        <v>2500</v>
      </c>
      <c r="F1060" s="195">
        <f>F43+1050+50</f>
        <v>2550</v>
      </c>
      <c r="G1060" s="110" t="s">
        <v>4636</v>
      </c>
      <c r="H1060" s="36" t="s">
        <v>4667</v>
      </c>
      <c r="I1060" s="38" t="s">
        <v>4666</v>
      </c>
      <c r="J1060" s="30"/>
      <c r="K1060" s="38"/>
      <c r="L1060" s="116" t="s">
        <v>4539</v>
      </c>
      <c r="M1060" s="6">
        <v>43084</v>
      </c>
      <c r="N1060" s="6">
        <v>43100</v>
      </c>
      <c r="O1060" s="61" t="s">
        <v>4633</v>
      </c>
      <c r="P1060" s="61"/>
      <c r="Q1060" s="61"/>
      <c r="R1060" s="239"/>
      <c r="S1060" s="327" t="s">
        <v>4632</v>
      </c>
      <c r="T1060" s="722"/>
      <c r="U1060" s="42"/>
      <c r="AE1060" s="276"/>
      <c r="AF1060" s="276"/>
      <c r="AG1060" s="276"/>
      <c r="AH1060" s="276"/>
      <c r="AI1060" s="276"/>
      <c r="AJ1060" s="276"/>
      <c r="AK1060" s="276"/>
      <c r="AL1060" s="276"/>
      <c r="AM1060" s="276"/>
      <c r="AN1060" s="276"/>
      <c r="AO1060" s="276"/>
      <c r="AP1060" s="276"/>
      <c r="AQ1060" s="276"/>
      <c r="AR1060" s="276"/>
      <c r="AS1060" s="276"/>
      <c r="AT1060" s="276"/>
      <c r="AU1060" s="276"/>
      <c r="AV1060" s="276"/>
      <c r="AW1060" s="276"/>
      <c r="AX1060" s="276"/>
      <c r="AY1060" s="276"/>
      <c r="AZ1060" s="276"/>
      <c r="BA1060" s="276"/>
      <c r="BB1060" s="276"/>
      <c r="BC1060" s="276"/>
      <c r="BD1060" s="276"/>
      <c r="BE1060" s="276"/>
      <c r="BF1060" s="276"/>
      <c r="BG1060" s="276"/>
      <c r="BH1060" s="276"/>
      <c r="BI1060" s="276"/>
      <c r="BJ1060" s="276"/>
      <c r="BK1060" s="276"/>
      <c r="BL1060" s="276"/>
      <c r="BM1060" s="276"/>
      <c r="BN1060" s="276"/>
      <c r="BO1060" s="276"/>
      <c r="BP1060" s="276"/>
    </row>
    <row r="1061" spans="1:68" ht="20.100000000000001" customHeight="1">
      <c r="A1061" s="1229" t="s">
        <v>4536</v>
      </c>
      <c r="B1061" s="1229" t="s">
        <v>4781</v>
      </c>
      <c r="C1061" s="1229" t="s">
        <v>4786</v>
      </c>
      <c r="D1061" s="195">
        <f>D10+1050</f>
        <v>1815</v>
      </c>
      <c r="E1061" s="195">
        <f>E10+1600</f>
        <v>3030</v>
      </c>
      <c r="F1061" s="195">
        <f>F10+1600</f>
        <v>3080</v>
      </c>
      <c r="G1061" s="110" t="s">
        <v>4560</v>
      </c>
      <c r="H1061" s="48" t="s">
        <v>4556</v>
      </c>
      <c r="I1061" s="38" t="s">
        <v>4595</v>
      </c>
      <c r="J1061" s="30"/>
      <c r="K1061" s="38"/>
      <c r="L1061" s="116" t="s">
        <v>4539</v>
      </c>
      <c r="M1061" s="15">
        <v>43084</v>
      </c>
      <c r="N1061" s="15">
        <v>43100</v>
      </c>
      <c r="O1061" s="59" t="s">
        <v>4559</v>
      </c>
      <c r="P1061" s="61"/>
      <c r="Q1061" s="61"/>
      <c r="R1061" s="239"/>
      <c r="S1061" s="336" t="s">
        <v>4558</v>
      </c>
      <c r="T1061" s="722"/>
      <c r="U1061" s="42"/>
      <c r="AE1061" s="276"/>
      <c r="AF1061" s="276"/>
      <c r="AG1061" s="276"/>
      <c r="AH1061" s="276"/>
      <c r="AI1061" s="276"/>
      <c r="AJ1061" s="276"/>
      <c r="AK1061" s="276"/>
      <c r="AL1061" s="276"/>
      <c r="AM1061" s="276"/>
      <c r="AN1061" s="276"/>
      <c r="AO1061" s="276"/>
      <c r="AP1061" s="276"/>
      <c r="AQ1061" s="276"/>
      <c r="AR1061" s="276"/>
      <c r="AS1061" s="276"/>
      <c r="AT1061" s="276"/>
      <c r="AU1061" s="276"/>
      <c r="AV1061" s="276"/>
      <c r="AW1061" s="276"/>
      <c r="AX1061" s="276"/>
      <c r="AY1061" s="276"/>
      <c r="AZ1061" s="276"/>
      <c r="BA1061" s="276"/>
      <c r="BB1061" s="276"/>
      <c r="BC1061" s="276"/>
      <c r="BD1061" s="276"/>
      <c r="BE1061" s="276"/>
      <c r="BF1061" s="276"/>
      <c r="BG1061" s="276"/>
      <c r="BH1061" s="276"/>
      <c r="BI1061" s="276"/>
      <c r="BJ1061" s="276"/>
      <c r="BK1061" s="276"/>
      <c r="BL1061" s="276"/>
      <c r="BM1061" s="276"/>
      <c r="BN1061" s="276"/>
      <c r="BO1061" s="276"/>
      <c r="BP1061" s="276"/>
    </row>
    <row r="1062" spans="1:68" ht="20.100000000000001" customHeight="1">
      <c r="A1062" s="1229" t="s">
        <v>4536</v>
      </c>
      <c r="B1062" s="1229" t="s">
        <v>4781</v>
      </c>
      <c r="C1062" s="1229" t="s">
        <v>4786</v>
      </c>
      <c r="D1062" s="195">
        <f>D120+435</f>
        <v>1335</v>
      </c>
      <c r="E1062" s="195">
        <f>E120+775</f>
        <v>2375</v>
      </c>
      <c r="F1062" s="195">
        <f>F120+775</f>
        <v>2425</v>
      </c>
      <c r="G1062" s="110" t="s">
        <v>4553</v>
      </c>
      <c r="H1062" s="56" t="s">
        <v>4552</v>
      </c>
      <c r="I1062" s="38" t="s">
        <v>4639</v>
      </c>
      <c r="J1062" s="140"/>
      <c r="K1062" s="38">
        <v>34</v>
      </c>
      <c r="L1062" s="116" t="s">
        <v>4539</v>
      </c>
      <c r="M1062" s="6">
        <v>43085</v>
      </c>
      <c r="N1062" s="6">
        <v>43100</v>
      </c>
      <c r="O1062" s="61" t="s">
        <v>4673</v>
      </c>
      <c r="P1062" s="61"/>
      <c r="Q1062" s="61"/>
      <c r="R1062" s="239"/>
      <c r="S1062" s="328" t="s">
        <v>4543</v>
      </c>
      <c r="T1062" s="722"/>
      <c r="U1062" s="42"/>
      <c r="AE1062" s="115"/>
      <c r="AF1062" s="115"/>
      <c r="AG1062" s="115"/>
      <c r="AH1062" s="115"/>
      <c r="AI1062" s="115"/>
      <c r="AJ1062" s="115"/>
      <c r="AK1062" s="115"/>
      <c r="AL1062" s="115"/>
      <c r="AM1062" s="115"/>
      <c r="AN1062" s="115"/>
      <c r="AO1062" s="115"/>
      <c r="AP1062" s="115"/>
      <c r="AQ1062" s="115"/>
      <c r="AR1062" s="115"/>
      <c r="AS1062" s="115"/>
      <c r="AT1062" s="115"/>
      <c r="AU1062" s="115"/>
      <c r="AV1062" s="115"/>
      <c r="AW1062" s="115"/>
      <c r="AX1062" s="115"/>
      <c r="AY1062" s="115"/>
      <c r="AZ1062" s="115"/>
      <c r="BA1062" s="115"/>
      <c r="BB1062" s="115"/>
      <c r="BC1062" s="115"/>
      <c r="BD1062" s="115"/>
      <c r="BE1062" s="115"/>
      <c r="BF1062" s="115"/>
      <c r="BG1062" s="115"/>
      <c r="BH1062" s="115"/>
      <c r="BI1062" s="115"/>
      <c r="BJ1062" s="115"/>
      <c r="BK1062" s="115"/>
      <c r="BL1062" s="115"/>
      <c r="BM1062" s="115"/>
      <c r="BN1062" s="115"/>
      <c r="BO1062" s="115"/>
      <c r="BP1062" s="115"/>
    </row>
    <row r="1063" spans="1:68" ht="20.100000000000001" customHeight="1">
      <c r="A1063" s="1229" t="s">
        <v>4536</v>
      </c>
      <c r="B1063" s="1229" t="s">
        <v>4781</v>
      </c>
      <c r="C1063" s="1229" t="s">
        <v>4785</v>
      </c>
      <c r="D1063" s="345">
        <f>D20+125+25</f>
        <v>1000</v>
      </c>
      <c r="E1063" s="345">
        <f>E20+150+50</f>
        <v>1800</v>
      </c>
      <c r="F1063" s="345">
        <f>F20+150+50</f>
        <v>1850</v>
      </c>
      <c r="G1063" s="217" t="s">
        <v>4572</v>
      </c>
      <c r="H1063" s="56" t="s">
        <v>4541</v>
      </c>
      <c r="I1063" s="10" t="s">
        <v>4595</v>
      </c>
      <c r="J1063" s="30"/>
      <c r="K1063" s="38"/>
      <c r="L1063" s="116" t="s">
        <v>4539</v>
      </c>
      <c r="M1063" s="15">
        <v>43070</v>
      </c>
      <c r="N1063" s="15">
        <v>43100</v>
      </c>
      <c r="O1063" s="61" t="s">
        <v>4655</v>
      </c>
      <c r="P1063" s="61"/>
      <c r="Q1063" s="7"/>
      <c r="R1063" s="239"/>
      <c r="S1063" s="327" t="s">
        <v>4570</v>
      </c>
      <c r="T1063" s="722"/>
      <c r="U1063" s="42"/>
      <c r="AE1063" s="233"/>
      <c r="AF1063" s="233"/>
      <c r="AG1063" s="233"/>
      <c r="AH1063" s="233"/>
      <c r="AI1063" s="233"/>
      <c r="AJ1063" s="233"/>
      <c r="AK1063" s="233"/>
      <c r="AL1063" s="233"/>
      <c r="AM1063" s="233"/>
      <c r="AN1063" s="233"/>
      <c r="AO1063" s="233"/>
      <c r="AP1063" s="233"/>
      <c r="AQ1063" s="233"/>
      <c r="AR1063" s="233"/>
      <c r="AS1063" s="233"/>
      <c r="AT1063" s="233"/>
      <c r="AU1063" s="233"/>
      <c r="AV1063" s="233"/>
      <c r="AW1063" s="233"/>
      <c r="AX1063" s="233"/>
      <c r="AY1063" s="233"/>
      <c r="AZ1063" s="233"/>
      <c r="BA1063" s="233"/>
      <c r="BB1063" s="233"/>
      <c r="BC1063" s="233"/>
      <c r="BD1063" s="233"/>
      <c r="BE1063" s="233"/>
      <c r="BF1063" s="233"/>
      <c r="BG1063" s="233"/>
      <c r="BH1063" s="233"/>
      <c r="BI1063" s="233"/>
      <c r="BJ1063" s="233"/>
      <c r="BK1063" s="233"/>
      <c r="BL1063" s="233"/>
      <c r="BM1063" s="233"/>
      <c r="BN1063" s="233"/>
      <c r="BO1063" s="233"/>
      <c r="BP1063" s="233"/>
    </row>
    <row r="1064" spans="1:68" ht="20.100000000000001" customHeight="1">
      <c r="A1064" s="1229" t="s">
        <v>4536</v>
      </c>
      <c r="B1064" s="1229" t="s">
        <v>4781</v>
      </c>
      <c r="C1064" s="1229" t="s">
        <v>4785</v>
      </c>
      <c r="D1064" s="196">
        <f>D36+450</f>
        <v>1325</v>
      </c>
      <c r="E1064" s="196">
        <f>E36+200</f>
        <v>1750</v>
      </c>
      <c r="F1064" s="196">
        <f>F36+200</f>
        <v>1800</v>
      </c>
      <c r="G1064" s="217" t="s">
        <v>4575</v>
      </c>
      <c r="H1064" s="48" t="s">
        <v>4541</v>
      </c>
      <c r="I1064" s="38" t="s">
        <v>4595</v>
      </c>
      <c r="J1064" s="30"/>
      <c r="K1064" s="38"/>
      <c r="L1064" s="116" t="s">
        <v>4539</v>
      </c>
      <c r="M1064" s="15">
        <v>43084</v>
      </c>
      <c r="N1064" s="15">
        <v>43100</v>
      </c>
      <c r="O1064" s="61" t="s">
        <v>4573</v>
      </c>
      <c r="P1064" s="61"/>
      <c r="Q1064" s="61"/>
      <c r="R1064" s="239"/>
      <c r="S1064" s="328" t="s">
        <v>4543</v>
      </c>
      <c r="T1064" s="722"/>
      <c r="U1064" s="42"/>
      <c r="AE1064" s="279"/>
      <c r="AF1064" s="279"/>
      <c r="AG1064" s="279"/>
      <c r="AH1064" s="279"/>
      <c r="AI1064" s="279"/>
      <c r="AJ1064" s="279"/>
      <c r="AK1064" s="279"/>
      <c r="AL1064" s="279"/>
      <c r="AM1064" s="279"/>
      <c r="AN1064" s="279"/>
      <c r="AO1064" s="279"/>
      <c r="AP1064" s="279"/>
      <c r="AQ1064" s="279"/>
      <c r="AR1064" s="279"/>
      <c r="AS1064" s="279"/>
      <c r="AT1064" s="279"/>
      <c r="AU1064" s="279"/>
      <c r="AV1064" s="279"/>
      <c r="AW1064" s="279"/>
      <c r="AX1064" s="279"/>
      <c r="AY1064" s="279"/>
      <c r="AZ1064" s="279"/>
      <c r="BA1064" s="279"/>
      <c r="BB1064" s="279"/>
      <c r="BC1064" s="279"/>
      <c r="BD1064" s="279"/>
      <c r="BE1064" s="279"/>
      <c r="BF1064" s="279"/>
      <c r="BG1064" s="279"/>
      <c r="BH1064" s="279"/>
      <c r="BI1064" s="279"/>
      <c r="BJ1064" s="279"/>
      <c r="BK1064" s="279"/>
      <c r="BL1064" s="279"/>
      <c r="BM1064" s="279"/>
      <c r="BN1064" s="279"/>
      <c r="BO1064" s="279"/>
      <c r="BP1064" s="279"/>
    </row>
    <row r="1065" spans="1:68" ht="20.100000000000001" customHeight="1">
      <c r="A1065" s="1229" t="s">
        <v>4536</v>
      </c>
      <c r="B1065" s="1229" t="s">
        <v>4781</v>
      </c>
      <c r="C1065" s="1229" t="s">
        <v>4785</v>
      </c>
      <c r="D1065" s="273">
        <f>D211+125+25</f>
        <v>875</v>
      </c>
      <c r="E1065" s="273">
        <f>E211+250+50</f>
        <v>1650</v>
      </c>
      <c r="F1065" s="273">
        <f>F211+250+50</f>
        <v>1700</v>
      </c>
      <c r="G1065" s="110" t="s">
        <v>4566</v>
      </c>
      <c r="H1065" s="69" t="s">
        <v>4556</v>
      </c>
      <c r="I1065" s="38" t="s">
        <v>4595</v>
      </c>
      <c r="J1065" s="30"/>
      <c r="K1065" s="38"/>
      <c r="L1065" s="116" t="s">
        <v>4539</v>
      </c>
      <c r="M1065" s="15">
        <v>43084</v>
      </c>
      <c r="N1065" s="15">
        <v>43100</v>
      </c>
      <c r="O1065" s="59" t="s">
        <v>4674</v>
      </c>
      <c r="P1065" s="61"/>
      <c r="Q1065" s="61"/>
      <c r="R1065" s="239"/>
      <c r="S1065" s="327" t="s">
        <v>4561</v>
      </c>
      <c r="T1065" s="722"/>
      <c r="U1065" s="42"/>
      <c r="AE1065" s="279"/>
      <c r="AF1065" s="279"/>
      <c r="AG1065" s="279"/>
      <c r="AH1065" s="279"/>
      <c r="AI1065" s="279"/>
      <c r="AJ1065" s="279"/>
      <c r="AK1065" s="279"/>
      <c r="AL1065" s="279"/>
      <c r="AM1065" s="279"/>
      <c r="AN1065" s="279"/>
      <c r="AO1065" s="279"/>
      <c r="AP1065" s="279"/>
      <c r="AQ1065" s="279"/>
      <c r="AR1065" s="279"/>
      <c r="AS1065" s="279"/>
      <c r="AT1065" s="279"/>
      <c r="AU1065" s="279"/>
      <c r="AV1065" s="279"/>
      <c r="AW1065" s="279"/>
      <c r="AX1065" s="279"/>
      <c r="AY1065" s="279"/>
      <c r="AZ1065" s="279"/>
      <c r="BA1065" s="279"/>
      <c r="BB1065" s="279"/>
      <c r="BC1065" s="279"/>
      <c r="BD1065" s="279"/>
      <c r="BE1065" s="279"/>
      <c r="BF1065" s="279"/>
      <c r="BG1065" s="279"/>
      <c r="BH1065" s="279"/>
      <c r="BI1065" s="279"/>
      <c r="BJ1065" s="279"/>
      <c r="BK1065" s="279"/>
      <c r="BL1065" s="279"/>
      <c r="BM1065" s="279"/>
      <c r="BN1065" s="279"/>
      <c r="BO1065" s="279"/>
      <c r="BP1065" s="279"/>
    </row>
    <row r="1066" spans="1:68" ht="20.100000000000001" customHeight="1">
      <c r="A1066" s="1229" t="s">
        <v>4536</v>
      </c>
      <c r="B1066" s="1229" t="s">
        <v>4781</v>
      </c>
      <c r="C1066" s="1229" t="s">
        <v>4785</v>
      </c>
      <c r="D1066" s="195">
        <f>D43+440+25</f>
        <v>1215</v>
      </c>
      <c r="E1066" s="195">
        <f>E43+500+50</f>
        <v>1950</v>
      </c>
      <c r="F1066" s="195">
        <f>F43+500+50</f>
        <v>2000</v>
      </c>
      <c r="G1066" s="110" t="s">
        <v>4636</v>
      </c>
      <c r="H1066" s="36" t="s">
        <v>4667</v>
      </c>
      <c r="I1066" s="38" t="s">
        <v>4666</v>
      </c>
      <c r="J1066" s="30"/>
      <c r="K1066" s="38"/>
      <c r="L1066" s="116" t="s">
        <v>4539</v>
      </c>
      <c r="M1066" s="6">
        <v>43084</v>
      </c>
      <c r="N1066" s="6">
        <v>43100</v>
      </c>
      <c r="O1066" s="61" t="s">
        <v>4633</v>
      </c>
      <c r="P1066" s="61"/>
      <c r="Q1066" s="61"/>
      <c r="R1066" s="239"/>
      <c r="S1066" s="327" t="s">
        <v>4632</v>
      </c>
      <c r="T1066" s="722"/>
      <c r="U1066" s="42"/>
      <c r="AE1066" s="115"/>
      <c r="AF1066" s="115"/>
      <c r="AG1066" s="115"/>
      <c r="AH1066" s="115"/>
      <c r="AI1066" s="115"/>
      <c r="AJ1066" s="115"/>
      <c r="AK1066" s="115"/>
      <c r="AL1066" s="115"/>
      <c r="AM1066" s="115"/>
      <c r="AN1066" s="115"/>
      <c r="AO1066" s="115"/>
      <c r="AP1066" s="115"/>
      <c r="AQ1066" s="115"/>
      <c r="AR1066" s="115"/>
      <c r="AS1066" s="115"/>
      <c r="AT1066" s="115"/>
      <c r="AU1066" s="115"/>
      <c r="AV1066" s="115"/>
      <c r="AW1066" s="115"/>
      <c r="AX1066" s="115"/>
      <c r="AY1066" s="115"/>
      <c r="AZ1066" s="115"/>
      <c r="BA1066" s="115"/>
      <c r="BB1066" s="115"/>
      <c r="BC1066" s="115"/>
      <c r="BD1066" s="115"/>
      <c r="BE1066" s="115"/>
      <c r="BF1066" s="115"/>
      <c r="BG1066" s="115"/>
      <c r="BH1066" s="115"/>
      <c r="BI1066" s="115"/>
      <c r="BJ1066" s="115"/>
      <c r="BK1066" s="115"/>
      <c r="BL1066" s="115"/>
      <c r="BM1066" s="115"/>
      <c r="BN1066" s="115"/>
      <c r="BO1066" s="115"/>
      <c r="BP1066" s="115"/>
    </row>
    <row r="1067" spans="1:68" ht="20.100000000000001" customHeight="1">
      <c r="A1067" s="1229" t="s">
        <v>4536</v>
      </c>
      <c r="B1067" s="1229" t="s">
        <v>4781</v>
      </c>
      <c r="C1067" s="1229" t="s">
        <v>4785</v>
      </c>
      <c r="D1067" s="195">
        <f>D14+50</f>
        <v>830</v>
      </c>
      <c r="E1067" s="195">
        <f>E14+100</f>
        <v>1557</v>
      </c>
      <c r="F1067" s="195">
        <f>F14+100</f>
        <v>1557</v>
      </c>
      <c r="G1067" s="225" t="s">
        <v>4569</v>
      </c>
      <c r="H1067" s="69" t="s">
        <v>4602</v>
      </c>
      <c r="I1067" s="38" t="s">
        <v>4595</v>
      </c>
      <c r="J1067" s="30"/>
      <c r="K1067" s="38" t="s">
        <v>4546</v>
      </c>
      <c r="L1067" s="116" t="s">
        <v>4539</v>
      </c>
      <c r="M1067" s="6">
        <v>43074</v>
      </c>
      <c r="N1067" s="6">
        <v>43084</v>
      </c>
      <c r="O1067" s="61" t="s">
        <v>4664</v>
      </c>
      <c r="P1067" s="61"/>
      <c r="Q1067" s="61"/>
      <c r="R1067" s="239"/>
      <c r="S1067" s="328" t="s">
        <v>4543</v>
      </c>
      <c r="T1067" s="722"/>
      <c r="U1067" s="42"/>
      <c r="AE1067" s="276"/>
      <c r="AF1067" s="276"/>
      <c r="AG1067" s="276"/>
      <c r="AH1067" s="276"/>
      <c r="AI1067" s="276"/>
      <c r="AJ1067" s="276"/>
      <c r="AK1067" s="276"/>
      <c r="AL1067" s="276"/>
      <c r="AM1067" s="276"/>
      <c r="AN1067" s="276"/>
      <c r="AO1067" s="276"/>
      <c r="AP1067" s="276"/>
      <c r="AQ1067" s="276"/>
      <c r="AR1067" s="276"/>
      <c r="AS1067" s="276"/>
      <c r="AT1067" s="276"/>
      <c r="AU1067" s="276"/>
      <c r="AV1067" s="276"/>
      <c r="AW1067" s="276"/>
      <c r="AX1067" s="276"/>
      <c r="AY1067" s="276"/>
      <c r="AZ1067" s="276"/>
      <c r="BA1067" s="276"/>
      <c r="BB1067" s="276"/>
      <c r="BC1067" s="276"/>
      <c r="BD1067" s="276"/>
      <c r="BE1067" s="276"/>
      <c r="BF1067" s="276"/>
      <c r="BG1067" s="276"/>
      <c r="BH1067" s="276"/>
      <c r="BI1067" s="276"/>
      <c r="BJ1067" s="276"/>
      <c r="BK1067" s="276"/>
      <c r="BL1067" s="276"/>
      <c r="BM1067" s="276"/>
      <c r="BN1067" s="276"/>
      <c r="BO1067" s="276"/>
      <c r="BP1067" s="276"/>
    </row>
    <row r="1068" spans="1:68" ht="20.100000000000001" customHeight="1">
      <c r="A1068" s="1229" t="s">
        <v>4536</v>
      </c>
      <c r="B1068" s="1229" t="s">
        <v>4781</v>
      </c>
      <c r="C1068" s="1229" t="s">
        <v>4785</v>
      </c>
      <c r="D1068" s="195">
        <f>D90+350</f>
        <v>1115</v>
      </c>
      <c r="E1068" s="195">
        <f>E90+200</f>
        <v>1630</v>
      </c>
      <c r="F1068" s="195">
        <f>F90+200</f>
        <v>1680</v>
      </c>
      <c r="G1068" s="110" t="s">
        <v>4560</v>
      </c>
      <c r="H1068" s="48" t="s">
        <v>4556</v>
      </c>
      <c r="I1068" s="38" t="s">
        <v>4540</v>
      </c>
      <c r="J1068" s="30"/>
      <c r="K1068" s="38">
        <v>37</v>
      </c>
      <c r="L1068" s="116" t="s">
        <v>4539</v>
      </c>
      <c r="M1068" s="15">
        <v>43084</v>
      </c>
      <c r="N1068" s="15">
        <v>43100</v>
      </c>
      <c r="O1068" s="59" t="s">
        <v>4559</v>
      </c>
      <c r="P1068" s="61"/>
      <c r="Q1068" s="61"/>
      <c r="R1068" s="239"/>
      <c r="S1068" s="336" t="s">
        <v>4558</v>
      </c>
      <c r="T1068" s="722"/>
      <c r="U1068" s="42"/>
      <c r="AE1068" s="276"/>
      <c r="AF1068" s="276"/>
      <c r="AG1068" s="276"/>
      <c r="AH1068" s="276"/>
      <c r="AI1068" s="276"/>
      <c r="AJ1068" s="276"/>
      <c r="AK1068" s="276"/>
      <c r="AL1068" s="276"/>
      <c r="AM1068" s="276"/>
      <c r="AN1068" s="276"/>
      <c r="AO1068" s="276"/>
      <c r="AP1068" s="276"/>
      <c r="AQ1068" s="276"/>
      <c r="AR1068" s="276"/>
      <c r="AS1068" s="276"/>
      <c r="AT1068" s="276"/>
      <c r="AU1068" s="276"/>
      <c r="AV1068" s="276"/>
      <c r="AW1068" s="276"/>
      <c r="AX1068" s="276"/>
      <c r="AY1068" s="276"/>
      <c r="AZ1068" s="276"/>
      <c r="BA1068" s="276"/>
      <c r="BB1068" s="276"/>
      <c r="BC1068" s="276"/>
      <c r="BD1068" s="276"/>
      <c r="BE1068" s="276"/>
      <c r="BF1068" s="276"/>
      <c r="BG1068" s="276"/>
      <c r="BH1068" s="276"/>
      <c r="BI1068" s="276"/>
      <c r="BJ1068" s="276"/>
      <c r="BK1068" s="276"/>
      <c r="BL1068" s="276"/>
      <c r="BM1068" s="276"/>
      <c r="BN1068" s="276"/>
      <c r="BO1068" s="276"/>
      <c r="BP1068" s="276"/>
    </row>
    <row r="1069" spans="1:68" ht="20.100000000000001" customHeight="1">
      <c r="A1069" s="1229" t="s">
        <v>4536</v>
      </c>
      <c r="B1069" s="1229" t="s">
        <v>4781</v>
      </c>
      <c r="C1069" s="1229" t="s">
        <v>4785</v>
      </c>
      <c r="D1069" s="195">
        <f>D11+500</f>
        <v>1250</v>
      </c>
      <c r="E1069" s="195">
        <f>E11+800</f>
        <v>2200</v>
      </c>
      <c r="F1069" s="195">
        <f>F11+800</f>
        <v>2200</v>
      </c>
      <c r="G1069" s="217" t="s">
        <v>4557</v>
      </c>
      <c r="H1069" s="69" t="s">
        <v>4556</v>
      </c>
      <c r="I1069" s="38" t="s">
        <v>4595</v>
      </c>
      <c r="J1069" s="30"/>
      <c r="K1069" s="38"/>
      <c r="L1069" s="116" t="s">
        <v>4539</v>
      </c>
      <c r="M1069" s="6">
        <v>43084</v>
      </c>
      <c r="N1069" s="6">
        <v>43100</v>
      </c>
      <c r="O1069" s="61" t="s">
        <v>4555</v>
      </c>
      <c r="P1069" s="61"/>
      <c r="Q1069" s="7"/>
      <c r="R1069" s="239" t="s">
        <v>4554</v>
      </c>
      <c r="S1069" s="326" t="s">
        <v>4543</v>
      </c>
      <c r="T1069" s="722"/>
      <c r="U1069" s="42"/>
      <c r="AE1069" s="276"/>
      <c r="AF1069" s="276"/>
      <c r="AG1069" s="276"/>
      <c r="AH1069" s="276"/>
      <c r="AI1069" s="276"/>
      <c r="AJ1069" s="276"/>
      <c r="AK1069" s="276"/>
      <c r="AL1069" s="276"/>
      <c r="AM1069" s="276"/>
      <c r="AN1069" s="276"/>
      <c r="AO1069" s="276"/>
      <c r="AP1069" s="276"/>
      <c r="AQ1069" s="276"/>
      <c r="AR1069" s="276"/>
      <c r="AS1069" s="276"/>
      <c r="AT1069" s="276"/>
      <c r="AU1069" s="276"/>
      <c r="AV1069" s="276"/>
      <c r="AW1069" s="276"/>
      <c r="AX1069" s="276"/>
      <c r="AY1069" s="276"/>
      <c r="AZ1069" s="276"/>
      <c r="BA1069" s="276"/>
      <c r="BB1069" s="276"/>
      <c r="BC1069" s="276"/>
      <c r="BD1069" s="276"/>
      <c r="BE1069" s="276"/>
      <c r="BF1069" s="276"/>
      <c r="BG1069" s="276"/>
      <c r="BH1069" s="276"/>
      <c r="BI1069" s="276"/>
      <c r="BJ1069" s="276"/>
      <c r="BK1069" s="276"/>
      <c r="BL1069" s="276"/>
      <c r="BM1069" s="276"/>
      <c r="BN1069" s="276"/>
      <c r="BO1069" s="276"/>
      <c r="BP1069" s="276"/>
    </row>
    <row r="1070" spans="1:68" ht="20.100000000000001" customHeight="1">
      <c r="A1070" s="1229" t="s">
        <v>4536</v>
      </c>
      <c r="B1070" s="1229" t="s">
        <v>4781</v>
      </c>
      <c r="C1070" s="1229" t="s">
        <v>4785</v>
      </c>
      <c r="D1070" s="195">
        <f>D120+75</f>
        <v>975</v>
      </c>
      <c r="E1070" s="195">
        <f>E120+125</f>
        <v>1725</v>
      </c>
      <c r="F1070" s="195">
        <f>F120+125</f>
        <v>1775</v>
      </c>
      <c r="G1070" s="110" t="s">
        <v>4553</v>
      </c>
      <c r="H1070" s="56" t="s">
        <v>4552</v>
      </c>
      <c r="I1070" s="38" t="s">
        <v>4639</v>
      </c>
      <c r="J1070" s="30"/>
      <c r="K1070" s="38">
        <v>47</v>
      </c>
      <c r="L1070" s="116" t="s">
        <v>4539</v>
      </c>
      <c r="M1070" s="6">
        <v>43085</v>
      </c>
      <c r="N1070" s="6">
        <v>43100</v>
      </c>
      <c r="O1070" s="61" t="s">
        <v>4673</v>
      </c>
      <c r="P1070" s="61"/>
      <c r="Q1070" s="61"/>
      <c r="R1070" s="239"/>
      <c r="S1070" s="328" t="s">
        <v>4543</v>
      </c>
      <c r="T1070" s="722"/>
      <c r="U1070" s="42"/>
      <c r="AE1070" s="115"/>
      <c r="AF1070" s="115"/>
      <c r="AG1070" s="115"/>
      <c r="AH1070" s="115"/>
      <c r="AI1070" s="115"/>
      <c r="AJ1070" s="115"/>
      <c r="AK1070" s="115"/>
      <c r="AL1070" s="115"/>
      <c r="AM1070" s="115"/>
      <c r="AN1070" s="115"/>
      <c r="AO1070" s="115"/>
      <c r="AP1070" s="115"/>
      <c r="AQ1070" s="115"/>
      <c r="AR1070" s="115"/>
      <c r="AS1070" s="115"/>
      <c r="AT1070" s="115"/>
      <c r="AU1070" s="115"/>
      <c r="AV1070" s="115"/>
      <c r="AW1070" s="115"/>
      <c r="AX1070" s="115"/>
      <c r="AY1070" s="115"/>
      <c r="AZ1070" s="115"/>
      <c r="BA1070" s="115"/>
      <c r="BB1070" s="115"/>
      <c r="BC1070" s="115"/>
      <c r="BD1070" s="115"/>
      <c r="BE1070" s="115"/>
      <c r="BF1070" s="115"/>
      <c r="BG1070" s="115"/>
      <c r="BH1070" s="115"/>
      <c r="BI1070" s="115"/>
      <c r="BJ1070" s="115"/>
      <c r="BK1070" s="115"/>
      <c r="BL1070" s="115"/>
      <c r="BM1070" s="115"/>
      <c r="BN1070" s="115"/>
      <c r="BO1070" s="115"/>
      <c r="BP1070" s="115"/>
    </row>
    <row r="1071" spans="1:68" ht="24" customHeight="1">
      <c r="A1071" s="1229" t="s">
        <v>4536</v>
      </c>
      <c r="B1071" s="1229" t="s">
        <v>4781</v>
      </c>
      <c r="C1071" s="1229" t="s">
        <v>4785</v>
      </c>
      <c r="D1071" s="195">
        <f>D19+425+25</f>
        <v>1225</v>
      </c>
      <c r="E1071" s="195">
        <f>E19+650+50</f>
        <v>2150</v>
      </c>
      <c r="F1071" s="195">
        <f>F19+650+50</f>
        <v>2200</v>
      </c>
      <c r="G1071" s="12" t="s">
        <v>4542</v>
      </c>
      <c r="H1071" s="69" t="s">
        <v>4541</v>
      </c>
      <c r="I1071" s="38" t="s">
        <v>4595</v>
      </c>
      <c r="J1071" s="140"/>
      <c r="K1071" s="38"/>
      <c r="L1071" s="116" t="s">
        <v>4539</v>
      </c>
      <c r="M1071" s="15">
        <v>43084</v>
      </c>
      <c r="N1071" s="15">
        <v>43100</v>
      </c>
      <c r="O1071" s="61" t="s">
        <v>4538</v>
      </c>
      <c r="P1071" s="61"/>
      <c r="Q1071" s="61"/>
      <c r="R1071" s="239"/>
      <c r="S1071" s="326" t="s">
        <v>4537</v>
      </c>
      <c r="T1071" s="722"/>
      <c r="U1071" s="42"/>
      <c r="AE1071" s="115"/>
      <c r="AF1071" s="115"/>
      <c r="AG1071" s="115"/>
      <c r="AH1071" s="115"/>
      <c r="AI1071" s="115"/>
      <c r="AJ1071" s="115"/>
      <c r="AK1071" s="115"/>
      <c r="AL1071" s="115"/>
      <c r="AM1071" s="115"/>
      <c r="AN1071" s="115"/>
      <c r="AO1071" s="115"/>
      <c r="AP1071" s="115"/>
      <c r="AQ1071" s="115"/>
      <c r="AR1071" s="115"/>
      <c r="AS1071" s="115"/>
      <c r="AT1071" s="115"/>
      <c r="AU1071" s="115"/>
      <c r="AV1071" s="115"/>
      <c r="AW1071" s="115"/>
      <c r="AX1071" s="115"/>
      <c r="AY1071" s="115"/>
      <c r="AZ1071" s="115"/>
      <c r="BA1071" s="115"/>
      <c r="BB1071" s="115"/>
      <c r="BC1071" s="115"/>
      <c r="BD1071" s="115"/>
      <c r="BE1071" s="115"/>
      <c r="BF1071" s="115"/>
      <c r="BG1071" s="115"/>
      <c r="BH1071" s="115"/>
      <c r="BI1071" s="115"/>
      <c r="BJ1071" s="115"/>
      <c r="BK1071" s="115"/>
      <c r="BL1071" s="115"/>
      <c r="BM1071" s="115"/>
      <c r="BN1071" s="115"/>
      <c r="BO1071" s="115"/>
      <c r="BP1071" s="115"/>
    </row>
    <row r="1072" spans="1:68" ht="20.100000000000001" customHeight="1">
      <c r="A1072" s="1229" t="s">
        <v>4536</v>
      </c>
      <c r="B1072" s="1229" t="s">
        <v>4781</v>
      </c>
      <c r="C1072" s="1229" t="s">
        <v>4785</v>
      </c>
      <c r="D1072" s="195">
        <f>D65+350</f>
        <v>1150</v>
      </c>
      <c r="E1072" s="195">
        <f>E65+450</f>
        <v>1950</v>
      </c>
      <c r="F1072" s="195">
        <f>F65+450</f>
        <v>2000</v>
      </c>
      <c r="G1072" s="12" t="s">
        <v>4645</v>
      </c>
      <c r="H1072" s="48" t="s">
        <v>4556</v>
      </c>
      <c r="I1072" s="38" t="s">
        <v>4595</v>
      </c>
      <c r="J1072" s="30"/>
      <c r="K1072" s="38" t="s">
        <v>4784</v>
      </c>
      <c r="L1072" s="116" t="s">
        <v>4539</v>
      </c>
      <c r="M1072" s="6">
        <v>43084</v>
      </c>
      <c r="N1072" s="6">
        <v>43100</v>
      </c>
      <c r="O1072" s="61" t="s">
        <v>4643</v>
      </c>
      <c r="P1072" s="61"/>
      <c r="Q1072" s="61"/>
      <c r="R1072" s="239"/>
      <c r="S1072" s="326" t="s">
        <v>4641</v>
      </c>
      <c r="T1072" s="722"/>
      <c r="U1072" s="42"/>
      <c r="AE1072" s="115"/>
      <c r="AF1072" s="115"/>
      <c r="AG1072" s="115"/>
      <c r="AH1072" s="115"/>
      <c r="AI1072" s="115"/>
      <c r="AJ1072" s="115"/>
      <c r="AK1072" s="115"/>
      <c r="AL1072" s="115"/>
      <c r="AM1072" s="115"/>
      <c r="AN1072" s="115"/>
      <c r="AO1072" s="115"/>
      <c r="AP1072" s="115"/>
      <c r="AQ1072" s="115"/>
      <c r="AR1072" s="115"/>
      <c r="AS1072" s="115"/>
      <c r="AT1072" s="115"/>
      <c r="AU1072" s="115"/>
      <c r="AV1072" s="115"/>
      <c r="AW1072" s="115"/>
      <c r="AX1072" s="115"/>
      <c r="AY1072" s="115"/>
      <c r="AZ1072" s="115"/>
      <c r="BA1072" s="115"/>
      <c r="BB1072" s="115"/>
      <c r="BC1072" s="115"/>
      <c r="BD1072" s="115"/>
      <c r="BE1072" s="115"/>
      <c r="BF1072" s="115"/>
      <c r="BG1072" s="115"/>
      <c r="BH1072" s="115"/>
      <c r="BI1072" s="115"/>
      <c r="BJ1072" s="115"/>
      <c r="BK1072" s="115"/>
      <c r="BL1072" s="115"/>
      <c r="BM1072" s="115"/>
      <c r="BN1072" s="115"/>
      <c r="BO1072" s="115"/>
      <c r="BP1072" s="115"/>
    </row>
    <row r="1073" spans="1:68" ht="20.100000000000001" customHeight="1">
      <c r="A1073" s="911" t="s">
        <v>4614</v>
      </c>
      <c r="B1073" s="908" t="s">
        <v>4781</v>
      </c>
      <c r="C1073" s="908" t="s">
        <v>4783</v>
      </c>
      <c r="D1073" s="195">
        <f>D211+375+25</f>
        <v>1125</v>
      </c>
      <c r="E1073" s="195">
        <f>E211+600+50</f>
        <v>2000</v>
      </c>
      <c r="F1073" s="195">
        <f>F211+600+50</f>
        <v>2050</v>
      </c>
      <c r="G1073" s="12" t="s">
        <v>4566</v>
      </c>
      <c r="H1073" s="69" t="s">
        <v>4556</v>
      </c>
      <c r="I1073" s="38" t="s">
        <v>4595</v>
      </c>
      <c r="J1073" s="30"/>
      <c r="K1073" s="38"/>
      <c r="L1073" s="116" t="s">
        <v>4539</v>
      </c>
      <c r="M1073" s="15">
        <v>43084</v>
      </c>
      <c r="N1073" s="15">
        <v>43100</v>
      </c>
      <c r="O1073" s="59" t="s">
        <v>4674</v>
      </c>
      <c r="P1073" s="61"/>
      <c r="Q1073" s="61"/>
      <c r="R1073" s="239"/>
      <c r="S1073" s="327" t="s">
        <v>4561</v>
      </c>
      <c r="T1073" s="722"/>
      <c r="U1073" s="42"/>
      <c r="AE1073" s="115"/>
      <c r="AF1073" s="115"/>
      <c r="AG1073" s="115"/>
      <c r="AH1073" s="115"/>
      <c r="AI1073" s="115"/>
      <c r="AJ1073" s="115"/>
      <c r="AK1073" s="115"/>
      <c r="AL1073" s="115"/>
      <c r="AM1073" s="115"/>
      <c r="AN1073" s="115"/>
      <c r="AO1073" s="115"/>
      <c r="AP1073" s="115"/>
      <c r="AQ1073" s="115"/>
      <c r="AR1073" s="115"/>
      <c r="AS1073" s="115"/>
      <c r="AT1073" s="115"/>
      <c r="AU1073" s="115"/>
      <c r="AV1073" s="115"/>
      <c r="AW1073" s="115"/>
      <c r="AX1073" s="115"/>
      <c r="AY1073" s="115"/>
      <c r="AZ1073" s="115"/>
      <c r="BA1073" s="115"/>
      <c r="BB1073" s="115"/>
      <c r="BC1073" s="115"/>
      <c r="BD1073" s="115"/>
      <c r="BE1073" s="115"/>
      <c r="BF1073" s="115"/>
      <c r="BG1073" s="115"/>
      <c r="BH1073" s="115"/>
      <c r="BI1073" s="115"/>
      <c r="BJ1073" s="115"/>
      <c r="BK1073" s="115"/>
      <c r="BL1073" s="115"/>
      <c r="BM1073" s="115"/>
      <c r="BN1073" s="115"/>
      <c r="BO1073" s="115"/>
      <c r="BP1073" s="115"/>
    </row>
    <row r="1074" spans="1:68" ht="20.100000000000001" customHeight="1">
      <c r="A1074" s="908" t="s">
        <v>4536</v>
      </c>
      <c r="B1074" s="908" t="s">
        <v>4781</v>
      </c>
      <c r="C1074" s="908" t="s">
        <v>4782</v>
      </c>
      <c r="D1074" s="195">
        <f>D1071+450</f>
        <v>1675</v>
      </c>
      <c r="E1074" s="195">
        <f>E1071+550</f>
        <v>2700</v>
      </c>
      <c r="F1074" s="195">
        <f>F1071+550</f>
        <v>2750</v>
      </c>
      <c r="G1074" s="12" t="s">
        <v>4542</v>
      </c>
      <c r="H1074" s="69" t="s">
        <v>4541</v>
      </c>
      <c r="I1074" s="38" t="s">
        <v>4595</v>
      </c>
      <c r="J1074" s="140"/>
      <c r="K1074" s="38"/>
      <c r="L1074" s="116" t="s">
        <v>4539</v>
      </c>
      <c r="M1074" s="15">
        <v>43084</v>
      </c>
      <c r="N1074" s="15">
        <v>43100</v>
      </c>
      <c r="O1074" s="61" t="s">
        <v>4538</v>
      </c>
      <c r="P1074" s="61"/>
      <c r="Q1074" s="61"/>
      <c r="R1074" s="239"/>
      <c r="S1074" s="326" t="s">
        <v>4537</v>
      </c>
      <c r="T1074" s="722"/>
      <c r="U1074" s="42"/>
      <c r="AE1074" s="115"/>
      <c r="AF1074" s="115"/>
      <c r="AG1074" s="115"/>
      <c r="AH1074" s="115"/>
      <c r="AI1074" s="115"/>
      <c r="AJ1074" s="115"/>
      <c r="AK1074" s="115"/>
      <c r="AL1074" s="115"/>
      <c r="AM1074" s="115"/>
      <c r="AN1074" s="115"/>
      <c r="AO1074" s="115"/>
      <c r="AP1074" s="115"/>
      <c r="AQ1074" s="115"/>
      <c r="AR1074" s="115"/>
      <c r="AS1074" s="115"/>
      <c r="AT1074" s="115"/>
      <c r="AU1074" s="115"/>
      <c r="AV1074" s="115"/>
      <c r="AW1074" s="115"/>
      <c r="AX1074" s="115"/>
      <c r="AY1074" s="115"/>
      <c r="AZ1074" s="115"/>
      <c r="BA1074" s="115"/>
      <c r="BB1074" s="115"/>
      <c r="BC1074" s="115"/>
      <c r="BD1074" s="115"/>
      <c r="BE1074" s="115"/>
      <c r="BF1074" s="115"/>
      <c r="BG1074" s="115"/>
      <c r="BH1074" s="115"/>
      <c r="BI1074" s="115"/>
      <c r="BJ1074" s="115"/>
      <c r="BK1074" s="115"/>
      <c r="BL1074" s="115"/>
      <c r="BM1074" s="115"/>
      <c r="BN1074" s="115"/>
      <c r="BO1074" s="115"/>
      <c r="BP1074" s="115"/>
    </row>
    <row r="1075" spans="1:68" ht="20.100000000000001" customHeight="1">
      <c r="A1075" s="908" t="s">
        <v>4536</v>
      </c>
      <c r="B1075" s="908" t="s">
        <v>4781</v>
      </c>
      <c r="C1075" s="908" t="s">
        <v>4780</v>
      </c>
      <c r="D1075" s="273">
        <f>D211+500+25</f>
        <v>1250</v>
      </c>
      <c r="E1075" s="273">
        <f>E211+700+50</f>
        <v>2100</v>
      </c>
      <c r="F1075" s="273">
        <f>F211+700+50</f>
        <v>2150</v>
      </c>
      <c r="G1075" s="110" t="s">
        <v>4566</v>
      </c>
      <c r="H1075" s="69" t="s">
        <v>4556</v>
      </c>
      <c r="I1075" s="38" t="s">
        <v>4595</v>
      </c>
      <c r="J1075" s="30"/>
      <c r="K1075" s="38"/>
      <c r="L1075" s="116" t="s">
        <v>4539</v>
      </c>
      <c r="M1075" s="15">
        <v>43084</v>
      </c>
      <c r="N1075" s="15">
        <v>43100</v>
      </c>
      <c r="O1075" s="59" t="s">
        <v>4674</v>
      </c>
      <c r="P1075" s="61"/>
      <c r="Q1075" s="61"/>
      <c r="R1075" s="239"/>
      <c r="S1075" s="327" t="s">
        <v>4561</v>
      </c>
      <c r="T1075" s="722"/>
      <c r="U1075" s="42"/>
      <c r="AE1075" s="115"/>
      <c r="AF1075" s="115"/>
      <c r="AG1075" s="115"/>
      <c r="AH1075" s="115"/>
      <c r="AI1075" s="115"/>
      <c r="AJ1075" s="115"/>
      <c r="AK1075" s="115"/>
      <c r="AL1075" s="115"/>
      <c r="AM1075" s="115"/>
      <c r="AN1075" s="115"/>
      <c r="AO1075" s="115"/>
      <c r="AP1075" s="115"/>
      <c r="AQ1075" s="115"/>
      <c r="AR1075" s="115"/>
      <c r="AS1075" s="115"/>
      <c r="AT1075" s="115"/>
      <c r="AU1075" s="115"/>
      <c r="AV1075" s="115"/>
      <c r="AW1075" s="115"/>
      <c r="AX1075" s="115"/>
      <c r="AY1075" s="115"/>
      <c r="AZ1075" s="115"/>
      <c r="BA1075" s="115"/>
      <c r="BB1075" s="115"/>
      <c r="BC1075" s="115"/>
      <c r="BD1075" s="115"/>
      <c r="BE1075" s="115"/>
      <c r="BF1075" s="115"/>
      <c r="BG1075" s="115"/>
      <c r="BH1075" s="115"/>
      <c r="BI1075" s="115"/>
      <c r="BJ1075" s="115"/>
      <c r="BK1075" s="115"/>
      <c r="BL1075" s="115"/>
      <c r="BM1075" s="115"/>
      <c r="BN1075" s="115"/>
      <c r="BO1075" s="115"/>
      <c r="BP1075" s="115"/>
    </row>
    <row r="1076" spans="1:68" ht="20.100000000000001" customHeight="1">
      <c r="A1076" s="1229" t="s">
        <v>4536</v>
      </c>
      <c r="B1076" s="1229" t="s">
        <v>4749</v>
      </c>
      <c r="C1076" s="1229" t="s">
        <v>4779</v>
      </c>
      <c r="D1076" s="345">
        <f>D193+250+25</f>
        <v>1125</v>
      </c>
      <c r="E1076" s="345">
        <f>E193+300+50</f>
        <v>1950</v>
      </c>
      <c r="F1076" s="345">
        <f>F193+300+50</f>
        <v>2000</v>
      </c>
      <c r="G1076" s="217" t="s">
        <v>4572</v>
      </c>
      <c r="H1076" s="36" t="s">
        <v>4556</v>
      </c>
      <c r="I1076" s="20" t="s">
        <v>4743</v>
      </c>
      <c r="J1076" s="30"/>
      <c r="K1076" s="38"/>
      <c r="L1076" s="116" t="s">
        <v>4539</v>
      </c>
      <c r="M1076" s="15">
        <v>43070</v>
      </c>
      <c r="N1076" s="15">
        <v>43100</v>
      </c>
      <c r="O1076" s="59" t="s">
        <v>4571</v>
      </c>
      <c r="P1076" s="61"/>
      <c r="Q1076" s="7"/>
      <c r="R1076" s="239"/>
      <c r="S1076" s="327" t="s">
        <v>4570</v>
      </c>
      <c r="T1076" s="722"/>
      <c r="U1076" s="42"/>
      <c r="AE1076" s="115"/>
      <c r="AF1076" s="115"/>
      <c r="AG1076" s="115"/>
      <c r="AH1076" s="115"/>
      <c r="AI1076" s="115"/>
      <c r="AJ1076" s="115"/>
      <c r="AK1076" s="115"/>
      <c r="AL1076" s="115"/>
      <c r="AM1076" s="115"/>
      <c r="AN1076" s="115"/>
      <c r="AO1076" s="115"/>
      <c r="AP1076" s="115"/>
      <c r="AQ1076" s="115"/>
      <c r="AR1076" s="115"/>
      <c r="AS1076" s="115"/>
      <c r="AT1076" s="115"/>
      <c r="AU1076" s="115"/>
      <c r="AV1076" s="115"/>
      <c r="AW1076" s="115"/>
      <c r="AX1076" s="115"/>
      <c r="AY1076" s="115"/>
      <c r="AZ1076" s="115"/>
      <c r="BA1076" s="115"/>
      <c r="BB1076" s="115"/>
      <c r="BC1076" s="115"/>
      <c r="BD1076" s="115"/>
      <c r="BE1076" s="115"/>
      <c r="BF1076" s="115"/>
      <c r="BG1076" s="115"/>
      <c r="BH1076" s="115"/>
      <c r="BI1076" s="115"/>
      <c r="BJ1076" s="115"/>
      <c r="BK1076" s="115"/>
      <c r="BL1076" s="115"/>
      <c r="BM1076" s="115"/>
      <c r="BN1076" s="115"/>
      <c r="BO1076" s="115"/>
      <c r="BP1076" s="115"/>
    </row>
    <row r="1077" spans="1:68" ht="20.100000000000001" customHeight="1">
      <c r="A1077" s="1229" t="s">
        <v>4536</v>
      </c>
      <c r="B1077" s="1229" t="s">
        <v>4749</v>
      </c>
      <c r="C1077" s="1229" t="s">
        <v>4779</v>
      </c>
      <c r="D1077" s="196">
        <f>D97+450</f>
        <v>1325</v>
      </c>
      <c r="E1077" s="196">
        <f>E97+250</f>
        <v>1800</v>
      </c>
      <c r="F1077" s="196">
        <f>F97+250</f>
        <v>1850</v>
      </c>
      <c r="G1077" s="217" t="s">
        <v>4575</v>
      </c>
      <c r="H1077" s="48" t="s">
        <v>4574</v>
      </c>
      <c r="I1077" s="38" t="s">
        <v>4540</v>
      </c>
      <c r="J1077" s="30"/>
      <c r="K1077" s="38"/>
      <c r="L1077" s="116" t="s">
        <v>4539</v>
      </c>
      <c r="M1077" s="15">
        <v>43084</v>
      </c>
      <c r="N1077" s="15">
        <v>43100</v>
      </c>
      <c r="O1077" s="61" t="s">
        <v>4758</v>
      </c>
      <c r="P1077" s="61"/>
      <c r="Q1077" s="61"/>
      <c r="R1077" s="239"/>
      <c r="S1077" s="328" t="s">
        <v>4543</v>
      </c>
      <c r="T1077" s="722"/>
      <c r="U1077" s="42"/>
      <c r="AE1077" s="115"/>
      <c r="AF1077" s="115"/>
      <c r="AG1077" s="115"/>
      <c r="AH1077" s="115"/>
      <c r="AI1077" s="115"/>
      <c r="AJ1077" s="115"/>
      <c r="AK1077" s="115"/>
      <c r="AL1077" s="115"/>
      <c r="AM1077" s="115"/>
      <c r="AN1077" s="115"/>
      <c r="AO1077" s="115"/>
      <c r="AP1077" s="115"/>
      <c r="AQ1077" s="115"/>
      <c r="AR1077" s="115"/>
      <c r="AS1077" s="115"/>
      <c r="AT1077" s="115"/>
      <c r="AU1077" s="115"/>
      <c r="AV1077" s="115"/>
      <c r="AW1077" s="115"/>
      <c r="AX1077" s="115"/>
      <c r="AY1077" s="115"/>
      <c r="AZ1077" s="115"/>
      <c r="BA1077" s="115"/>
      <c r="BB1077" s="115"/>
      <c r="BC1077" s="115"/>
      <c r="BD1077" s="115"/>
      <c r="BE1077" s="115"/>
      <c r="BF1077" s="115"/>
      <c r="BG1077" s="115"/>
      <c r="BH1077" s="115"/>
      <c r="BI1077" s="115"/>
      <c r="BJ1077" s="115"/>
      <c r="BK1077" s="115"/>
      <c r="BL1077" s="115"/>
      <c r="BM1077" s="115"/>
      <c r="BN1077" s="115"/>
      <c r="BO1077" s="115"/>
      <c r="BP1077" s="115"/>
    </row>
    <row r="1078" spans="1:68" ht="20.100000000000001" customHeight="1">
      <c r="A1078" s="1229" t="s">
        <v>4536</v>
      </c>
      <c r="B1078" s="1229" t="s">
        <v>4749</v>
      </c>
      <c r="C1078" s="1229" t="s">
        <v>4779</v>
      </c>
      <c r="D1078" s="196">
        <f>D71+580+25</f>
        <v>1355</v>
      </c>
      <c r="E1078" s="196">
        <f>E71+800+50</f>
        <v>2250</v>
      </c>
      <c r="F1078" s="196">
        <f>F71+800+50</f>
        <v>2300</v>
      </c>
      <c r="G1078" s="110" t="s">
        <v>4636</v>
      </c>
      <c r="H1078" s="36" t="s">
        <v>4696</v>
      </c>
      <c r="I1078" s="38" t="s">
        <v>4540</v>
      </c>
      <c r="J1078" s="30"/>
      <c r="K1078" s="38"/>
      <c r="L1078" s="116" t="s">
        <v>4539</v>
      </c>
      <c r="M1078" s="6">
        <v>43084</v>
      </c>
      <c r="N1078" s="6">
        <v>43100</v>
      </c>
      <c r="O1078" s="61" t="s">
        <v>4633</v>
      </c>
      <c r="P1078" s="61"/>
      <c r="Q1078" s="61"/>
      <c r="R1078" s="239"/>
      <c r="S1078" s="327" t="s">
        <v>4632</v>
      </c>
      <c r="T1078" s="722"/>
      <c r="U1078" s="42"/>
      <c r="AE1078" s="115"/>
      <c r="AF1078" s="115"/>
      <c r="AG1078" s="115"/>
      <c r="AH1078" s="115"/>
      <c r="AI1078" s="115"/>
      <c r="AJ1078" s="115"/>
      <c r="AK1078" s="115"/>
      <c r="AL1078" s="115"/>
      <c r="AM1078" s="115"/>
      <c r="AN1078" s="115"/>
      <c r="AO1078" s="115"/>
      <c r="AP1078" s="115"/>
      <c r="AQ1078" s="115"/>
      <c r="AR1078" s="115"/>
      <c r="AS1078" s="115"/>
      <c r="AT1078" s="115"/>
      <c r="AU1078" s="115"/>
      <c r="AV1078" s="115"/>
      <c r="AW1078" s="115"/>
      <c r="AX1078" s="115"/>
      <c r="AY1078" s="115"/>
      <c r="AZ1078" s="115"/>
      <c r="BA1078" s="115"/>
      <c r="BB1078" s="115"/>
      <c r="BC1078" s="115"/>
      <c r="BD1078" s="115"/>
      <c r="BE1078" s="115"/>
      <c r="BF1078" s="115"/>
      <c r="BG1078" s="115"/>
      <c r="BH1078" s="115"/>
      <c r="BI1078" s="115"/>
      <c r="BJ1078" s="115"/>
      <c r="BK1078" s="115"/>
      <c r="BL1078" s="115"/>
      <c r="BM1078" s="115"/>
      <c r="BN1078" s="115"/>
      <c r="BO1078" s="115"/>
      <c r="BP1078" s="115"/>
    </row>
    <row r="1079" spans="1:68" ht="20.100000000000001" customHeight="1">
      <c r="A1079" s="1229" t="s">
        <v>4536</v>
      </c>
      <c r="B1079" s="1229" t="s">
        <v>4749</v>
      </c>
      <c r="C1079" s="1229" t="s">
        <v>4779</v>
      </c>
      <c r="D1079" s="273">
        <f>D211+250+25</f>
        <v>1000</v>
      </c>
      <c r="E1079" s="273">
        <f>E211+200+50</f>
        <v>1600</v>
      </c>
      <c r="F1079" s="273">
        <f>F211+200+50</f>
        <v>1650</v>
      </c>
      <c r="G1079" s="110" t="s">
        <v>4566</v>
      </c>
      <c r="H1079" s="69" t="s">
        <v>4556</v>
      </c>
      <c r="I1079" s="38" t="s">
        <v>4540</v>
      </c>
      <c r="J1079" s="30"/>
      <c r="K1079" s="38"/>
      <c r="L1079" s="116" t="s">
        <v>4539</v>
      </c>
      <c r="M1079" s="15">
        <v>43084</v>
      </c>
      <c r="N1079" s="15">
        <v>43100</v>
      </c>
      <c r="O1079" s="59" t="s">
        <v>4638</v>
      </c>
      <c r="P1079" s="61"/>
      <c r="Q1079" s="61"/>
      <c r="R1079" s="239"/>
      <c r="S1079" s="327" t="s">
        <v>4561</v>
      </c>
      <c r="T1079" s="722"/>
      <c r="U1079" s="42"/>
      <c r="AE1079" s="115"/>
      <c r="AF1079" s="115"/>
      <c r="AG1079" s="115"/>
      <c r="AH1079" s="115"/>
      <c r="AI1079" s="115"/>
      <c r="AJ1079" s="115"/>
      <c r="AK1079" s="115"/>
      <c r="AL1079" s="115"/>
      <c r="AM1079" s="115"/>
      <c r="AN1079" s="115"/>
      <c r="AO1079" s="115"/>
      <c r="AP1079" s="115"/>
      <c r="AQ1079" s="115"/>
      <c r="AR1079" s="115"/>
      <c r="AS1079" s="115"/>
      <c r="AT1079" s="115"/>
      <c r="AU1079" s="115"/>
      <c r="AV1079" s="115"/>
      <c r="AW1079" s="115"/>
      <c r="AX1079" s="115"/>
      <c r="AY1079" s="115"/>
      <c r="AZ1079" s="115"/>
      <c r="BA1079" s="115"/>
      <c r="BB1079" s="115"/>
      <c r="BC1079" s="115"/>
      <c r="BD1079" s="115"/>
      <c r="BE1079" s="115"/>
      <c r="BF1079" s="115"/>
      <c r="BG1079" s="115"/>
      <c r="BH1079" s="115"/>
      <c r="BI1079" s="115"/>
      <c r="BJ1079" s="115"/>
      <c r="BK1079" s="115"/>
      <c r="BL1079" s="115"/>
      <c r="BM1079" s="115"/>
      <c r="BN1079" s="115"/>
      <c r="BO1079" s="115"/>
      <c r="BP1079" s="115"/>
    </row>
    <row r="1080" spans="1:68" ht="20.100000000000001" customHeight="1">
      <c r="A1080" s="1229" t="s">
        <v>4536</v>
      </c>
      <c r="B1080" s="1229" t="s">
        <v>4749</v>
      </c>
      <c r="C1080" s="1229" t="s">
        <v>4779</v>
      </c>
      <c r="D1080" s="273">
        <f>D72+300</f>
        <v>1080</v>
      </c>
      <c r="E1080" s="273">
        <f>E72+500</f>
        <v>1957</v>
      </c>
      <c r="F1080" s="273">
        <f>F72+500</f>
        <v>1957</v>
      </c>
      <c r="G1080" s="225" t="s">
        <v>4569</v>
      </c>
      <c r="H1080" s="69" t="s">
        <v>4568</v>
      </c>
      <c r="I1080" s="38" t="s">
        <v>4540</v>
      </c>
      <c r="J1080" s="30"/>
      <c r="K1080" s="38" t="s">
        <v>4665</v>
      </c>
      <c r="L1080" s="116" t="s">
        <v>4539</v>
      </c>
      <c r="M1080" s="6">
        <v>43074</v>
      </c>
      <c r="N1080" s="6">
        <v>43084</v>
      </c>
      <c r="O1080" s="61" t="s">
        <v>4567</v>
      </c>
      <c r="P1080" s="61"/>
      <c r="Q1080" s="61"/>
      <c r="R1080" s="239"/>
      <c r="S1080" s="328" t="s">
        <v>4543</v>
      </c>
      <c r="T1080" s="722"/>
      <c r="U1080" s="42"/>
      <c r="AE1080" s="115"/>
      <c r="AF1080" s="115"/>
      <c r="AG1080" s="115"/>
      <c r="AH1080" s="115"/>
      <c r="AI1080" s="115"/>
      <c r="AJ1080" s="115"/>
      <c r="AK1080" s="115"/>
      <c r="AL1080" s="115"/>
      <c r="AM1080" s="115"/>
      <c r="AN1080" s="115"/>
      <c r="AO1080" s="115"/>
      <c r="AP1080" s="115"/>
      <c r="AQ1080" s="115"/>
      <c r="AR1080" s="115"/>
      <c r="AS1080" s="115"/>
      <c r="AT1080" s="115"/>
      <c r="AU1080" s="115"/>
      <c r="AV1080" s="115"/>
      <c r="AW1080" s="115"/>
      <c r="AX1080" s="115"/>
      <c r="AY1080" s="115"/>
      <c r="AZ1080" s="115"/>
      <c r="BA1080" s="115"/>
      <c r="BB1080" s="115"/>
      <c r="BC1080" s="115"/>
      <c r="BD1080" s="115"/>
      <c r="BE1080" s="115"/>
      <c r="BF1080" s="115"/>
      <c r="BG1080" s="115"/>
      <c r="BH1080" s="115"/>
      <c r="BI1080" s="115"/>
      <c r="BJ1080" s="115"/>
      <c r="BK1080" s="115"/>
      <c r="BL1080" s="115"/>
      <c r="BM1080" s="115"/>
      <c r="BN1080" s="115"/>
      <c r="BO1080" s="115"/>
      <c r="BP1080" s="115"/>
    </row>
    <row r="1081" spans="1:68" ht="20.100000000000001" customHeight="1">
      <c r="A1081" s="1229" t="s">
        <v>4536</v>
      </c>
      <c r="B1081" s="1229" t="s">
        <v>4749</v>
      </c>
      <c r="C1081" s="1229" t="s">
        <v>4779</v>
      </c>
      <c r="D1081" s="195">
        <f>D90+750</f>
        <v>1515</v>
      </c>
      <c r="E1081" s="195">
        <f>E90+500</f>
        <v>1930</v>
      </c>
      <c r="F1081" s="195">
        <f>F90+500</f>
        <v>1980</v>
      </c>
      <c r="G1081" s="110" t="s">
        <v>4560</v>
      </c>
      <c r="H1081" s="48" t="s">
        <v>4556</v>
      </c>
      <c r="I1081" s="38" t="s">
        <v>4540</v>
      </c>
      <c r="J1081" s="30"/>
      <c r="K1081" s="38">
        <v>38</v>
      </c>
      <c r="L1081" s="116" t="s">
        <v>4539</v>
      </c>
      <c r="M1081" s="15">
        <v>43084</v>
      </c>
      <c r="N1081" s="15">
        <v>43100</v>
      </c>
      <c r="O1081" s="59" t="s">
        <v>4559</v>
      </c>
      <c r="P1081" s="61"/>
      <c r="Q1081" s="61"/>
      <c r="R1081" s="239"/>
      <c r="S1081" s="336" t="s">
        <v>4558</v>
      </c>
      <c r="T1081" s="722"/>
      <c r="U1081" s="42"/>
      <c r="AE1081" s="283"/>
      <c r="AF1081" s="283"/>
      <c r="AG1081" s="283"/>
      <c r="AH1081" s="283"/>
      <c r="AI1081" s="283"/>
      <c r="AJ1081" s="283"/>
      <c r="AK1081" s="283"/>
      <c r="AL1081" s="283"/>
      <c r="AM1081" s="283"/>
      <c r="AN1081" s="283"/>
      <c r="AO1081" s="283"/>
      <c r="AP1081" s="283"/>
      <c r="AQ1081" s="283"/>
      <c r="AR1081" s="283"/>
      <c r="AS1081" s="283"/>
      <c r="AT1081" s="283"/>
      <c r="AU1081" s="283"/>
      <c r="AV1081" s="283"/>
      <c r="AW1081" s="283"/>
      <c r="AX1081" s="283"/>
      <c r="AY1081" s="283"/>
      <c r="AZ1081" s="283"/>
      <c r="BA1081" s="283"/>
      <c r="BB1081" s="283"/>
      <c r="BC1081" s="283"/>
      <c r="BD1081" s="283"/>
      <c r="BE1081" s="283"/>
      <c r="BF1081" s="283"/>
      <c r="BG1081" s="283"/>
      <c r="BH1081" s="283"/>
      <c r="BI1081" s="283"/>
      <c r="BJ1081" s="283"/>
      <c r="BK1081" s="283"/>
      <c r="BL1081" s="283"/>
      <c r="BM1081" s="283"/>
      <c r="BN1081" s="283"/>
      <c r="BO1081" s="283"/>
      <c r="BP1081" s="283"/>
    </row>
    <row r="1082" spans="1:68" ht="20.100000000000001" customHeight="1">
      <c r="A1082" s="1229" t="s">
        <v>4536</v>
      </c>
      <c r="B1082" s="1229" t="s">
        <v>4749</v>
      </c>
      <c r="C1082" s="1229" t="s">
        <v>4779</v>
      </c>
      <c r="D1082" s="195">
        <f>D189+400</f>
        <v>1150</v>
      </c>
      <c r="E1082" s="195">
        <f>E189+450</f>
        <v>1850</v>
      </c>
      <c r="F1082" s="195">
        <f>F189+450</f>
        <v>1850</v>
      </c>
      <c r="G1082" s="217" t="s">
        <v>4557</v>
      </c>
      <c r="H1082" s="69" t="s">
        <v>4556</v>
      </c>
      <c r="I1082" s="38" t="s">
        <v>4743</v>
      </c>
      <c r="J1082" s="30"/>
      <c r="K1082" s="38"/>
      <c r="L1082" s="116" t="s">
        <v>4539</v>
      </c>
      <c r="M1082" s="6">
        <v>43084</v>
      </c>
      <c r="N1082" s="6">
        <v>43100</v>
      </c>
      <c r="O1082" s="61" t="s">
        <v>4555</v>
      </c>
      <c r="P1082" s="61"/>
      <c r="Q1082" s="7"/>
      <c r="R1082" s="239" t="s">
        <v>4554</v>
      </c>
      <c r="S1082" s="326" t="s">
        <v>4543</v>
      </c>
      <c r="T1082" s="722"/>
      <c r="U1082" s="42"/>
      <c r="AE1082" s="283"/>
      <c r="AF1082" s="283"/>
      <c r="AG1082" s="283"/>
      <c r="AH1082" s="283"/>
      <c r="AI1082" s="283"/>
      <c r="AJ1082" s="283"/>
      <c r="AK1082" s="283"/>
      <c r="AL1082" s="283"/>
      <c r="AM1082" s="283"/>
      <c r="AN1082" s="283"/>
      <c r="AO1082" s="283"/>
      <c r="AP1082" s="283"/>
      <c r="AQ1082" s="283"/>
      <c r="AR1082" s="283"/>
      <c r="AS1082" s="283"/>
      <c r="AT1082" s="283"/>
      <c r="AU1082" s="283"/>
      <c r="AV1082" s="283"/>
      <c r="AW1082" s="283"/>
      <c r="AX1082" s="283"/>
      <c r="AY1082" s="283"/>
      <c r="AZ1082" s="283"/>
      <c r="BA1082" s="283"/>
      <c r="BB1082" s="283"/>
      <c r="BC1082" s="283"/>
      <c r="BD1082" s="283"/>
      <c r="BE1082" s="283"/>
      <c r="BF1082" s="283"/>
      <c r="BG1082" s="283"/>
      <c r="BH1082" s="283"/>
      <c r="BI1082" s="283"/>
      <c r="BJ1082" s="283"/>
      <c r="BK1082" s="283"/>
      <c r="BL1082" s="283"/>
      <c r="BM1082" s="283"/>
      <c r="BN1082" s="283"/>
      <c r="BO1082" s="283"/>
      <c r="BP1082" s="283"/>
    </row>
    <row r="1083" spans="1:68" ht="20.100000000000001" customHeight="1">
      <c r="A1083" s="1229" t="s">
        <v>4536</v>
      </c>
      <c r="B1083" s="1229" t="s">
        <v>4749</v>
      </c>
      <c r="C1083" s="1229" t="s">
        <v>4779</v>
      </c>
      <c r="D1083" s="195">
        <f>D120+200</f>
        <v>1100</v>
      </c>
      <c r="E1083" s="195">
        <f>E120+200</f>
        <v>1800</v>
      </c>
      <c r="F1083" s="195">
        <f>F120+200</f>
        <v>1850</v>
      </c>
      <c r="G1083" s="110" t="s">
        <v>4553</v>
      </c>
      <c r="H1083" s="56" t="s">
        <v>4552</v>
      </c>
      <c r="I1083" s="38" t="s">
        <v>4639</v>
      </c>
      <c r="J1083" s="30"/>
      <c r="K1083" s="38">
        <v>34</v>
      </c>
      <c r="L1083" s="116" t="s">
        <v>4539</v>
      </c>
      <c r="M1083" s="6">
        <v>43085</v>
      </c>
      <c r="N1083" s="6">
        <v>43100</v>
      </c>
      <c r="O1083" s="61" t="s">
        <v>4744</v>
      </c>
      <c r="P1083" s="61"/>
      <c r="Q1083" s="61"/>
      <c r="R1083" s="239"/>
      <c r="S1083" s="328" t="s">
        <v>4543</v>
      </c>
      <c r="T1083" s="722"/>
      <c r="U1083" s="42"/>
      <c r="AE1083" s="115"/>
      <c r="AF1083" s="115"/>
      <c r="AG1083" s="115"/>
      <c r="AH1083" s="115"/>
      <c r="AI1083" s="115"/>
      <c r="AJ1083" s="115"/>
      <c r="AK1083" s="115"/>
      <c r="AL1083" s="115"/>
      <c r="AM1083" s="115"/>
      <c r="AN1083" s="115"/>
      <c r="AO1083" s="115"/>
      <c r="AP1083" s="115"/>
      <c r="AQ1083" s="115"/>
      <c r="AR1083" s="115"/>
      <c r="AS1083" s="115"/>
      <c r="AT1083" s="115"/>
      <c r="AU1083" s="115"/>
      <c r="AV1083" s="115"/>
      <c r="AW1083" s="115"/>
      <c r="AX1083" s="115"/>
      <c r="AY1083" s="115"/>
      <c r="AZ1083" s="115"/>
      <c r="BA1083" s="115"/>
      <c r="BB1083" s="115"/>
      <c r="BC1083" s="115"/>
      <c r="BD1083" s="115"/>
      <c r="BE1083" s="115"/>
      <c r="BF1083" s="115"/>
      <c r="BG1083" s="115"/>
      <c r="BH1083" s="115"/>
      <c r="BI1083" s="115"/>
      <c r="BJ1083" s="115"/>
      <c r="BK1083" s="115"/>
      <c r="BL1083" s="115"/>
      <c r="BM1083" s="115"/>
      <c r="BN1083" s="115"/>
      <c r="BO1083" s="115"/>
      <c r="BP1083" s="115"/>
    </row>
    <row r="1084" spans="1:68" ht="20.100000000000001" customHeight="1">
      <c r="A1084" s="1229" t="s">
        <v>4536</v>
      </c>
      <c r="B1084" s="1229" t="s">
        <v>4749</v>
      </c>
      <c r="C1084" s="1229" t="s">
        <v>4779</v>
      </c>
      <c r="D1084" s="195">
        <f>D186+475+25</f>
        <v>1275</v>
      </c>
      <c r="E1084" s="195">
        <f>E186+600+50</f>
        <v>2100</v>
      </c>
      <c r="F1084" s="195">
        <f>F186+600+50</f>
        <v>2150</v>
      </c>
      <c r="G1084" s="12" t="s">
        <v>4542</v>
      </c>
      <c r="H1084" s="69" t="s">
        <v>4556</v>
      </c>
      <c r="I1084" s="38" t="s">
        <v>4743</v>
      </c>
      <c r="J1084" s="140"/>
      <c r="K1084" s="38"/>
      <c r="L1084" s="116" t="s">
        <v>4539</v>
      </c>
      <c r="M1084" s="15">
        <v>43084</v>
      </c>
      <c r="N1084" s="15">
        <v>43100</v>
      </c>
      <c r="O1084" s="61" t="s">
        <v>4538</v>
      </c>
      <c r="P1084" s="61"/>
      <c r="Q1084" s="61"/>
      <c r="R1084" s="239"/>
      <c r="S1084" s="326" t="s">
        <v>4537</v>
      </c>
      <c r="T1084" s="722"/>
      <c r="U1084" s="42"/>
      <c r="AE1084" s="115"/>
      <c r="AF1084" s="115"/>
      <c r="AG1084" s="115"/>
      <c r="AH1084" s="115"/>
      <c r="AI1084" s="115"/>
      <c r="AJ1084" s="115"/>
      <c r="AK1084" s="115"/>
      <c r="AL1084" s="115"/>
      <c r="AM1084" s="115"/>
      <c r="AN1084" s="115"/>
      <c r="AO1084" s="115"/>
      <c r="AP1084" s="115"/>
      <c r="AQ1084" s="115"/>
      <c r="AR1084" s="115"/>
      <c r="AS1084" s="115"/>
      <c r="AT1084" s="115"/>
      <c r="AU1084" s="115"/>
      <c r="AV1084" s="115"/>
      <c r="AW1084" s="115"/>
      <c r="AX1084" s="115"/>
      <c r="AY1084" s="115"/>
      <c r="AZ1084" s="115"/>
      <c r="BA1084" s="115"/>
      <c r="BB1084" s="115"/>
      <c r="BC1084" s="115"/>
      <c r="BD1084" s="115"/>
      <c r="BE1084" s="115"/>
      <c r="BF1084" s="115"/>
      <c r="BG1084" s="115"/>
      <c r="BH1084" s="115"/>
      <c r="BI1084" s="115"/>
      <c r="BJ1084" s="115"/>
      <c r="BK1084" s="115"/>
      <c r="BL1084" s="115"/>
      <c r="BM1084" s="115"/>
      <c r="BN1084" s="115"/>
      <c r="BO1084" s="115"/>
      <c r="BP1084" s="115"/>
    </row>
    <row r="1085" spans="1:68" ht="20.100000000000001" customHeight="1">
      <c r="A1085" s="1229" t="s">
        <v>4536</v>
      </c>
      <c r="B1085" s="1229" t="s">
        <v>4749</v>
      </c>
      <c r="C1085" s="1229" t="s">
        <v>4779</v>
      </c>
      <c r="D1085" s="195">
        <f>D65+350</f>
        <v>1150</v>
      </c>
      <c r="E1085" s="195">
        <f>E65+400</f>
        <v>1900</v>
      </c>
      <c r="F1085" s="195">
        <f>F65+400</f>
        <v>1950</v>
      </c>
      <c r="G1085" s="12" t="s">
        <v>4645</v>
      </c>
      <c r="H1085" s="48" t="s">
        <v>4556</v>
      </c>
      <c r="I1085" s="38" t="s">
        <v>4540</v>
      </c>
      <c r="J1085" s="30"/>
      <c r="K1085" s="38" t="s">
        <v>4770</v>
      </c>
      <c r="L1085" s="116" t="s">
        <v>4539</v>
      </c>
      <c r="M1085" s="6">
        <v>43084</v>
      </c>
      <c r="N1085" s="6">
        <v>43100</v>
      </c>
      <c r="O1085" s="61" t="s">
        <v>4643</v>
      </c>
      <c r="P1085" s="61"/>
      <c r="Q1085" s="61"/>
      <c r="R1085" s="239"/>
      <c r="S1085" s="326" t="s">
        <v>4641</v>
      </c>
      <c r="T1085" s="722"/>
      <c r="U1085" s="42"/>
      <c r="AE1085" s="283"/>
      <c r="AF1085" s="283"/>
      <c r="AG1085" s="283"/>
      <c r="AH1085" s="283"/>
      <c r="AI1085" s="283"/>
      <c r="AJ1085" s="283"/>
      <c r="AK1085" s="283"/>
      <c r="AL1085" s="283"/>
      <c r="AM1085" s="283"/>
      <c r="AN1085" s="283"/>
      <c r="AO1085" s="283"/>
      <c r="AP1085" s="283"/>
      <c r="AQ1085" s="283"/>
      <c r="AR1085" s="283"/>
      <c r="AS1085" s="283"/>
      <c r="AT1085" s="283"/>
      <c r="AU1085" s="283"/>
      <c r="AV1085" s="283"/>
      <c r="AW1085" s="283"/>
      <c r="AX1085" s="283"/>
      <c r="AY1085" s="283"/>
      <c r="AZ1085" s="283"/>
      <c r="BA1085" s="283"/>
      <c r="BB1085" s="283"/>
      <c r="BC1085" s="283"/>
      <c r="BD1085" s="283"/>
      <c r="BE1085" s="283"/>
      <c r="BF1085" s="283"/>
      <c r="BG1085" s="283"/>
      <c r="BH1085" s="283"/>
      <c r="BI1085" s="283"/>
      <c r="BJ1085" s="283"/>
      <c r="BK1085" s="283"/>
      <c r="BL1085" s="283"/>
      <c r="BM1085" s="283"/>
      <c r="BN1085" s="283"/>
      <c r="BO1085" s="283"/>
      <c r="BP1085" s="283"/>
    </row>
    <row r="1086" spans="1:68" ht="20.100000000000001" customHeight="1">
      <c r="A1086" s="1229" t="s">
        <v>4536</v>
      </c>
      <c r="B1086" s="1229" t="s">
        <v>4749</v>
      </c>
      <c r="C1086" s="1229" t="s">
        <v>4778</v>
      </c>
      <c r="D1086" s="195">
        <f>D193+(354+140)*1.4</f>
        <v>1541.6</v>
      </c>
      <c r="E1086" s="195">
        <f>E193+(461+140)*1.4</f>
        <v>2441.4</v>
      </c>
      <c r="F1086" s="195">
        <f>F193+(386+140)*1.4</f>
        <v>2386.4</v>
      </c>
      <c r="G1086" s="217" t="s">
        <v>4572</v>
      </c>
      <c r="H1086" s="36" t="s">
        <v>4556</v>
      </c>
      <c r="I1086" s="20" t="s">
        <v>4743</v>
      </c>
      <c r="J1086" s="30"/>
      <c r="K1086" s="38"/>
      <c r="L1086" s="116" t="s">
        <v>4539</v>
      </c>
      <c r="M1086" s="15">
        <v>43070</v>
      </c>
      <c r="N1086" s="15">
        <v>43100</v>
      </c>
      <c r="O1086" s="59" t="s">
        <v>4571</v>
      </c>
      <c r="P1086" s="61" t="s">
        <v>4598</v>
      </c>
      <c r="Q1086" s="14" t="s">
        <v>4642</v>
      </c>
      <c r="R1086" s="239"/>
      <c r="S1086" s="327" t="s">
        <v>4570</v>
      </c>
      <c r="T1086" s="722"/>
      <c r="U1086" s="42"/>
      <c r="AE1086" s="115"/>
      <c r="AF1086" s="115"/>
      <c r="AG1086" s="115"/>
      <c r="AH1086" s="115"/>
      <c r="AI1086" s="115"/>
      <c r="AJ1086" s="115"/>
      <c r="AK1086" s="115"/>
      <c r="AL1086" s="115"/>
      <c r="AM1086" s="115"/>
      <c r="AN1086" s="115"/>
      <c r="AO1086" s="115"/>
      <c r="AP1086" s="115"/>
      <c r="AQ1086" s="115"/>
      <c r="AR1086" s="115"/>
      <c r="AS1086" s="115"/>
      <c r="AT1086" s="115"/>
      <c r="AU1086" s="115"/>
      <c r="AV1086" s="115"/>
      <c r="AW1086" s="115"/>
      <c r="AX1086" s="115"/>
      <c r="AY1086" s="115"/>
      <c r="AZ1086" s="115"/>
      <c r="BA1086" s="115"/>
      <c r="BB1086" s="115"/>
      <c r="BC1086" s="115"/>
      <c r="BD1086" s="115"/>
      <c r="BE1086" s="115"/>
      <c r="BF1086" s="115"/>
      <c r="BG1086" s="115"/>
      <c r="BH1086" s="115"/>
      <c r="BI1086" s="115"/>
      <c r="BJ1086" s="115"/>
      <c r="BK1086" s="115"/>
      <c r="BL1086" s="115"/>
      <c r="BM1086" s="115"/>
      <c r="BN1086" s="115"/>
      <c r="BO1086" s="115"/>
      <c r="BP1086" s="115"/>
    </row>
    <row r="1087" spans="1:68" ht="20.100000000000001" customHeight="1">
      <c r="A1087" s="1229" t="s">
        <v>4536</v>
      </c>
      <c r="B1087" s="1229" t="s">
        <v>4749</v>
      </c>
      <c r="C1087" s="1229" t="s">
        <v>4778</v>
      </c>
      <c r="D1087" s="195">
        <f>D193+(395+140)*1.4</f>
        <v>1599</v>
      </c>
      <c r="E1087" s="195">
        <f>E193+(507+140)*1.4</f>
        <v>2505.8000000000002</v>
      </c>
      <c r="F1087" s="195">
        <f>F193+(423+140)*1.4</f>
        <v>2438.1999999999998</v>
      </c>
      <c r="G1087" s="217" t="s">
        <v>4572</v>
      </c>
      <c r="H1087" s="36" t="s">
        <v>4556</v>
      </c>
      <c r="I1087" s="20" t="s">
        <v>4743</v>
      </c>
      <c r="J1087" s="30"/>
      <c r="K1087" s="38"/>
      <c r="L1087" s="116" t="s">
        <v>4539</v>
      </c>
      <c r="M1087" s="15">
        <v>43070</v>
      </c>
      <c r="N1087" s="15">
        <v>43100</v>
      </c>
      <c r="O1087" s="59" t="s">
        <v>4571</v>
      </c>
      <c r="P1087" s="61" t="s">
        <v>4598</v>
      </c>
      <c r="Q1087" s="14" t="s">
        <v>4585</v>
      </c>
      <c r="R1087" s="239"/>
      <c r="S1087" s="327" t="s">
        <v>4570</v>
      </c>
      <c r="T1087" s="722"/>
      <c r="U1087" s="42"/>
      <c r="AE1087" s="115"/>
      <c r="AF1087" s="115"/>
      <c r="AG1087" s="115"/>
      <c r="AH1087" s="115"/>
      <c r="AI1087" s="115"/>
      <c r="AJ1087" s="115"/>
      <c r="AK1087" s="115"/>
      <c r="AL1087" s="115"/>
      <c r="AM1087" s="115"/>
      <c r="AN1087" s="115"/>
      <c r="AO1087" s="115"/>
      <c r="AP1087" s="115"/>
      <c r="AQ1087" s="115"/>
      <c r="AR1087" s="115"/>
      <c r="AS1087" s="115"/>
      <c r="AT1087" s="115"/>
      <c r="AU1087" s="115"/>
      <c r="AV1087" s="115"/>
      <c r="AW1087" s="115"/>
      <c r="AX1087" s="115"/>
      <c r="AY1087" s="115"/>
      <c r="AZ1087" s="115"/>
      <c r="BA1087" s="115"/>
      <c r="BB1087" s="115"/>
      <c r="BC1087" s="115"/>
      <c r="BD1087" s="115"/>
      <c r="BE1087" s="115"/>
      <c r="BF1087" s="115"/>
      <c r="BG1087" s="115"/>
      <c r="BH1087" s="115"/>
      <c r="BI1087" s="115"/>
      <c r="BJ1087" s="115"/>
      <c r="BK1087" s="115"/>
      <c r="BL1087" s="115"/>
      <c r="BM1087" s="115"/>
      <c r="BN1087" s="115"/>
      <c r="BO1087" s="115"/>
      <c r="BP1087" s="115"/>
    </row>
    <row r="1088" spans="1:68" ht="20.100000000000001" customHeight="1">
      <c r="A1088" s="1229" t="s">
        <v>4536</v>
      </c>
      <c r="B1088" s="1229" t="s">
        <v>4749</v>
      </c>
      <c r="C1088" s="1229" t="s">
        <v>4778</v>
      </c>
      <c r="D1088" s="195">
        <f>D162+284*1.0625*1.3</f>
        <v>1267.2750000000001</v>
      </c>
      <c r="E1088" s="195">
        <f>E162+321*1.0625*1.3</f>
        <v>1993.3812499999999</v>
      </c>
      <c r="F1088" s="195">
        <f>F162+321*1.0625*1.3</f>
        <v>2043.3812499999999</v>
      </c>
      <c r="G1088" s="217" t="s">
        <v>4575</v>
      </c>
      <c r="H1088" s="48" t="s">
        <v>4753</v>
      </c>
      <c r="I1088" s="20" t="s">
        <v>4752</v>
      </c>
      <c r="J1088" s="30"/>
      <c r="K1088" s="38"/>
      <c r="L1088" s="116" t="s">
        <v>4539</v>
      </c>
      <c r="M1088" s="15">
        <v>43084</v>
      </c>
      <c r="N1088" s="15">
        <v>43100</v>
      </c>
      <c r="O1088" s="61" t="s">
        <v>4751</v>
      </c>
      <c r="P1088" s="61"/>
      <c r="Q1088" s="14" t="s">
        <v>4761</v>
      </c>
      <c r="R1088" s="239"/>
      <c r="S1088" s="328" t="s">
        <v>4543</v>
      </c>
      <c r="T1088" s="722"/>
      <c r="U1088" s="42"/>
      <c r="AE1088" s="283"/>
      <c r="AF1088" s="283"/>
      <c r="AG1088" s="283"/>
      <c r="AH1088" s="283"/>
      <c r="AI1088" s="283"/>
      <c r="AJ1088" s="283"/>
      <c r="AK1088" s="283"/>
      <c r="AL1088" s="283"/>
      <c r="AM1088" s="283"/>
      <c r="AN1088" s="283"/>
      <c r="AO1088" s="283"/>
      <c r="AP1088" s="283"/>
      <c r="AQ1088" s="283"/>
      <c r="AR1088" s="283"/>
      <c r="AS1088" s="283"/>
      <c r="AT1088" s="283"/>
      <c r="AU1088" s="283"/>
      <c r="AV1088" s="283"/>
      <c r="AW1088" s="283"/>
      <c r="AX1088" s="283"/>
      <c r="AY1088" s="283"/>
      <c r="AZ1088" s="283"/>
      <c r="BA1088" s="283"/>
      <c r="BB1088" s="283"/>
      <c r="BC1088" s="283"/>
      <c r="BD1088" s="283"/>
      <c r="BE1088" s="283"/>
      <c r="BF1088" s="283"/>
      <c r="BG1088" s="283"/>
      <c r="BH1088" s="283"/>
      <c r="BI1088" s="283"/>
      <c r="BJ1088" s="283"/>
      <c r="BK1088" s="283"/>
      <c r="BL1088" s="283"/>
      <c r="BM1088" s="283"/>
      <c r="BN1088" s="283"/>
      <c r="BO1088" s="283"/>
      <c r="BP1088" s="283"/>
    </row>
    <row r="1089" spans="1:68" ht="20.100000000000001" customHeight="1">
      <c r="A1089" s="1229" t="s">
        <v>4536</v>
      </c>
      <c r="B1089" s="1229" t="s">
        <v>4749</v>
      </c>
      <c r="C1089" s="1229" t="s">
        <v>4778</v>
      </c>
      <c r="D1089" s="195">
        <f>D162+310*1.0124*1.3</f>
        <v>1282.9972</v>
      </c>
      <c r="E1089" s="195">
        <f>E162+310*1.0124*1.3</f>
        <v>1957.9972</v>
      </c>
      <c r="F1089" s="195">
        <f>F162+310*1.0124*1.3</f>
        <v>2007.9972</v>
      </c>
      <c r="G1089" s="217" t="s">
        <v>4575</v>
      </c>
      <c r="H1089" s="48" t="s">
        <v>4753</v>
      </c>
      <c r="I1089" s="20" t="s">
        <v>4752</v>
      </c>
      <c r="J1089" s="30"/>
      <c r="K1089" s="38"/>
      <c r="L1089" s="116" t="s">
        <v>4539</v>
      </c>
      <c r="M1089" s="15">
        <v>43084</v>
      </c>
      <c r="N1089" s="15">
        <v>43100</v>
      </c>
      <c r="O1089" s="61" t="s">
        <v>4751</v>
      </c>
      <c r="P1089" s="61"/>
      <c r="Q1089" s="14" t="s">
        <v>4763</v>
      </c>
      <c r="R1089" s="239"/>
      <c r="S1089" s="328" t="s">
        <v>4543</v>
      </c>
      <c r="T1089" s="722"/>
      <c r="U1089" s="42"/>
      <c r="AE1089" s="115"/>
      <c r="AF1089" s="115"/>
      <c r="AG1089" s="115"/>
      <c r="AH1089" s="115"/>
      <c r="AI1089" s="115"/>
      <c r="AJ1089" s="115"/>
      <c r="AK1089" s="115"/>
      <c r="AL1089" s="115"/>
      <c r="AM1089" s="115"/>
      <c r="AN1089" s="115"/>
      <c r="AO1089" s="115"/>
      <c r="AP1089" s="115"/>
      <c r="AQ1089" s="115"/>
      <c r="AR1089" s="115"/>
      <c r="AS1089" s="115"/>
      <c r="AT1089" s="115"/>
      <c r="AU1089" s="115"/>
      <c r="AV1089" s="115"/>
      <c r="AW1089" s="115"/>
      <c r="AX1089" s="115"/>
      <c r="AY1089" s="115"/>
      <c r="AZ1089" s="115"/>
      <c r="BA1089" s="115"/>
      <c r="BB1089" s="115"/>
      <c r="BC1089" s="115"/>
      <c r="BD1089" s="115"/>
      <c r="BE1089" s="115"/>
      <c r="BF1089" s="115"/>
      <c r="BG1089" s="115"/>
      <c r="BH1089" s="115"/>
      <c r="BI1089" s="115"/>
      <c r="BJ1089" s="115"/>
      <c r="BK1089" s="115"/>
      <c r="BL1089" s="115"/>
      <c r="BM1089" s="115"/>
      <c r="BN1089" s="115"/>
      <c r="BO1089" s="115"/>
      <c r="BP1089" s="115"/>
    </row>
    <row r="1090" spans="1:68" ht="20.100000000000001" customHeight="1">
      <c r="A1090" s="1229" t="s">
        <v>4536</v>
      </c>
      <c r="B1090" s="1229" t="s">
        <v>4749</v>
      </c>
      <c r="C1090" s="1229" t="s">
        <v>4778</v>
      </c>
      <c r="D1090" s="195">
        <f>D186+850+25</f>
        <v>1650</v>
      </c>
      <c r="E1090" s="195">
        <f>E186+850+50</f>
        <v>2350</v>
      </c>
      <c r="F1090" s="195">
        <f>F186+850+50</f>
        <v>2400</v>
      </c>
      <c r="G1090" s="12" t="s">
        <v>4542</v>
      </c>
      <c r="H1090" s="69" t="s">
        <v>4556</v>
      </c>
      <c r="I1090" s="38" t="s">
        <v>4743</v>
      </c>
      <c r="J1090" s="30"/>
      <c r="K1090" s="38"/>
      <c r="L1090" s="116" t="s">
        <v>4539</v>
      </c>
      <c r="M1090" s="15">
        <v>43084</v>
      </c>
      <c r="N1090" s="15">
        <v>43100</v>
      </c>
      <c r="O1090" s="61" t="s">
        <v>4538</v>
      </c>
      <c r="P1090" s="61"/>
      <c r="Q1090" s="61"/>
      <c r="R1090" s="239"/>
      <c r="S1090" s="326" t="s">
        <v>4537</v>
      </c>
      <c r="T1090" s="722"/>
      <c r="U1090" s="42"/>
      <c r="AE1090" s="115"/>
      <c r="AF1090" s="115"/>
      <c r="AG1090" s="115"/>
      <c r="AH1090" s="115"/>
      <c r="AI1090" s="115"/>
      <c r="AJ1090" s="115"/>
      <c r="AK1090" s="115"/>
      <c r="AL1090" s="115"/>
      <c r="AM1090" s="115"/>
      <c r="AN1090" s="115"/>
      <c r="AO1090" s="115"/>
      <c r="AP1090" s="115"/>
      <c r="AQ1090" s="115"/>
      <c r="AR1090" s="115"/>
      <c r="AS1090" s="115"/>
      <c r="AT1090" s="115"/>
      <c r="AU1090" s="115"/>
      <c r="AV1090" s="115"/>
      <c r="AW1090" s="115"/>
      <c r="AX1090" s="115"/>
      <c r="AY1090" s="115"/>
      <c r="AZ1090" s="115"/>
      <c r="BA1090" s="115"/>
      <c r="BB1090" s="115"/>
      <c r="BC1090" s="115"/>
      <c r="BD1090" s="115"/>
      <c r="BE1090" s="115"/>
      <c r="BF1090" s="115"/>
      <c r="BG1090" s="115"/>
      <c r="BH1090" s="115"/>
      <c r="BI1090" s="115"/>
      <c r="BJ1090" s="115"/>
      <c r="BK1090" s="115"/>
      <c r="BL1090" s="115"/>
      <c r="BM1090" s="115"/>
      <c r="BN1090" s="115"/>
      <c r="BO1090" s="115"/>
      <c r="BP1090" s="115"/>
    </row>
    <row r="1091" spans="1:68" ht="20.100000000000001" customHeight="1">
      <c r="A1091" s="908" t="s">
        <v>4536</v>
      </c>
      <c r="B1091" s="908" t="s">
        <v>4749</v>
      </c>
      <c r="C1091" s="908" t="s">
        <v>4777</v>
      </c>
      <c r="D1091" s="195">
        <f>D162+309*1.0625*1.3</f>
        <v>1301.8062500000001</v>
      </c>
      <c r="E1091" s="195">
        <f>E162+362*1.0625*1.3</f>
        <v>2050.0124999999998</v>
      </c>
      <c r="F1091" s="195">
        <f>F162+362*1.0625*1.3</f>
        <v>2100.0124999999998</v>
      </c>
      <c r="G1091" s="217" t="s">
        <v>4575</v>
      </c>
      <c r="H1091" s="48" t="s">
        <v>4753</v>
      </c>
      <c r="I1091" s="20" t="s">
        <v>4752</v>
      </c>
      <c r="J1091" s="30"/>
      <c r="K1091" s="38"/>
      <c r="L1091" s="116" t="s">
        <v>4539</v>
      </c>
      <c r="M1091" s="15">
        <v>43084</v>
      </c>
      <c r="N1091" s="15">
        <v>43100</v>
      </c>
      <c r="O1091" s="61" t="s">
        <v>4751</v>
      </c>
      <c r="P1091" s="59"/>
      <c r="Q1091" s="14" t="s">
        <v>4761</v>
      </c>
      <c r="R1091" s="239"/>
      <c r="S1091" s="328" t="s">
        <v>4543</v>
      </c>
      <c r="T1091" s="722"/>
      <c r="U1091" s="42"/>
      <c r="AE1091" s="115"/>
      <c r="AF1091" s="115"/>
      <c r="AG1091" s="115"/>
      <c r="AH1091" s="115"/>
      <c r="AI1091" s="115"/>
      <c r="AJ1091" s="115"/>
      <c r="AK1091" s="115"/>
      <c r="AL1091" s="115"/>
      <c r="AM1091" s="115"/>
      <c r="AN1091" s="115"/>
      <c r="AO1091" s="115"/>
      <c r="AP1091" s="115"/>
      <c r="AQ1091" s="115"/>
      <c r="AR1091" s="115"/>
      <c r="AS1091" s="115"/>
      <c r="AT1091" s="115"/>
      <c r="AU1091" s="115"/>
      <c r="AV1091" s="115"/>
      <c r="AW1091" s="115"/>
      <c r="AX1091" s="115"/>
      <c r="AY1091" s="115"/>
      <c r="AZ1091" s="115"/>
      <c r="BA1091" s="115"/>
      <c r="BB1091" s="115"/>
      <c r="BC1091" s="115"/>
      <c r="BD1091" s="115"/>
      <c r="BE1091" s="115"/>
      <c r="BF1091" s="115"/>
      <c r="BG1091" s="115"/>
      <c r="BH1091" s="115"/>
      <c r="BI1091" s="115"/>
      <c r="BJ1091" s="115"/>
      <c r="BK1091" s="115"/>
      <c r="BL1091" s="115"/>
      <c r="BM1091" s="115"/>
      <c r="BN1091" s="115"/>
      <c r="BO1091" s="115"/>
      <c r="BP1091" s="115"/>
    </row>
    <row r="1092" spans="1:68" ht="20.100000000000001" customHeight="1">
      <c r="A1092" s="1229" t="s">
        <v>4536</v>
      </c>
      <c r="B1092" s="1229" t="s">
        <v>4749</v>
      </c>
      <c r="C1092" s="1229" t="s">
        <v>4776</v>
      </c>
      <c r="D1092" s="195">
        <f>D162+318*1.0625*1.3</f>
        <v>1314.2375</v>
      </c>
      <c r="E1092" s="195">
        <f>E162+373*1.0625*1.3</f>
        <v>2065.2062500000002</v>
      </c>
      <c r="F1092" s="195">
        <f>F162+373*1.0625*1.3</f>
        <v>2115.2062500000002</v>
      </c>
      <c r="G1092" s="217" t="s">
        <v>4575</v>
      </c>
      <c r="H1092" s="48" t="s">
        <v>4753</v>
      </c>
      <c r="I1092" s="20" t="s">
        <v>4752</v>
      </c>
      <c r="J1092" s="30"/>
      <c r="K1092" s="38"/>
      <c r="L1092" s="116" t="s">
        <v>4539</v>
      </c>
      <c r="M1092" s="15">
        <v>43084</v>
      </c>
      <c r="N1092" s="15">
        <v>43100</v>
      </c>
      <c r="O1092" s="61" t="s">
        <v>4751</v>
      </c>
      <c r="P1092" s="59"/>
      <c r="Q1092" s="14" t="s">
        <v>4761</v>
      </c>
      <c r="R1092" s="239"/>
      <c r="S1092" s="328" t="s">
        <v>4543</v>
      </c>
      <c r="T1092" s="722"/>
      <c r="U1092" s="42"/>
      <c r="AE1092" s="233"/>
      <c r="AF1092" s="233"/>
      <c r="AG1092" s="233"/>
      <c r="AH1092" s="233"/>
      <c r="AI1092" s="233"/>
      <c r="AJ1092" s="233"/>
      <c r="AK1092" s="233"/>
      <c r="AL1092" s="233"/>
      <c r="AM1092" s="233"/>
      <c r="AN1092" s="233"/>
      <c r="AO1092" s="233"/>
      <c r="AP1092" s="233"/>
      <c r="AQ1092" s="233"/>
      <c r="AR1092" s="233"/>
      <c r="AS1092" s="233"/>
      <c r="AT1092" s="233"/>
      <c r="AU1092" s="233"/>
      <c r="AV1092" s="233"/>
      <c r="AW1092" s="233"/>
      <c r="AX1092" s="233"/>
      <c r="AY1092" s="233"/>
      <c r="AZ1092" s="233"/>
      <c r="BA1092" s="233"/>
      <c r="BB1092" s="233"/>
      <c r="BC1092" s="233"/>
      <c r="BD1092" s="233"/>
      <c r="BE1092" s="233"/>
      <c r="BF1092" s="233"/>
      <c r="BG1092" s="233"/>
      <c r="BH1092" s="233"/>
      <c r="BI1092" s="233"/>
      <c r="BJ1092" s="233"/>
      <c r="BK1092" s="233"/>
      <c r="BL1092" s="233"/>
      <c r="BM1092" s="233"/>
      <c r="BN1092" s="233"/>
      <c r="BO1092" s="233"/>
      <c r="BP1092" s="233"/>
    </row>
    <row r="1093" spans="1:68" ht="20.100000000000001" customHeight="1">
      <c r="A1093" s="1229" t="s">
        <v>4536</v>
      </c>
      <c r="B1093" s="1229" t="s">
        <v>4749</v>
      </c>
      <c r="C1093" s="1229" t="s">
        <v>4776</v>
      </c>
      <c r="D1093" s="195">
        <f>D186+900+25</f>
        <v>1700</v>
      </c>
      <c r="E1093" s="195">
        <f>E186+900+50</f>
        <v>2400</v>
      </c>
      <c r="F1093" s="195">
        <f>F186+900+50</f>
        <v>2450</v>
      </c>
      <c r="G1093" s="12" t="s">
        <v>4542</v>
      </c>
      <c r="H1093" s="69" t="s">
        <v>4556</v>
      </c>
      <c r="I1093" s="38" t="s">
        <v>4743</v>
      </c>
      <c r="J1093" s="30"/>
      <c r="K1093" s="38"/>
      <c r="L1093" s="116" t="s">
        <v>4539</v>
      </c>
      <c r="M1093" s="15">
        <v>43084</v>
      </c>
      <c r="N1093" s="15">
        <v>43100</v>
      </c>
      <c r="O1093" s="61" t="s">
        <v>4538</v>
      </c>
      <c r="P1093" s="61"/>
      <c r="Q1093" s="61"/>
      <c r="R1093" s="239"/>
      <c r="S1093" s="326" t="s">
        <v>4537</v>
      </c>
      <c r="T1093" s="722"/>
      <c r="U1093" s="42"/>
      <c r="AE1093" s="115"/>
      <c r="AF1093" s="115"/>
      <c r="AG1093" s="115"/>
      <c r="AH1093" s="115"/>
      <c r="AI1093" s="115"/>
      <c r="AJ1093" s="115"/>
      <c r="AK1093" s="115"/>
      <c r="AL1093" s="115"/>
      <c r="AM1093" s="115"/>
      <c r="AN1093" s="115"/>
      <c r="AO1093" s="115"/>
      <c r="AP1093" s="115"/>
      <c r="AQ1093" s="115"/>
      <c r="AR1093" s="115"/>
      <c r="AS1093" s="115"/>
      <c r="AT1093" s="115"/>
      <c r="AU1093" s="115"/>
      <c r="AV1093" s="115"/>
      <c r="AW1093" s="115"/>
      <c r="AX1093" s="115"/>
      <c r="AY1093" s="115"/>
      <c r="AZ1093" s="115"/>
      <c r="BA1093" s="115"/>
      <c r="BB1093" s="115"/>
      <c r="BC1093" s="115"/>
      <c r="BD1093" s="115"/>
      <c r="BE1093" s="115"/>
      <c r="BF1093" s="115"/>
      <c r="BG1093" s="115"/>
      <c r="BH1093" s="115"/>
      <c r="BI1093" s="115"/>
      <c r="BJ1093" s="115"/>
      <c r="BK1093" s="115"/>
      <c r="BL1093" s="115"/>
      <c r="BM1093" s="115"/>
      <c r="BN1093" s="115"/>
      <c r="BO1093" s="115"/>
      <c r="BP1093" s="115"/>
    </row>
    <row r="1094" spans="1:68" ht="20.100000000000001" customHeight="1">
      <c r="A1094" s="1229" t="s">
        <v>4536</v>
      </c>
      <c r="B1094" s="1229" t="s">
        <v>4749</v>
      </c>
      <c r="C1094" s="1229" t="s">
        <v>4776</v>
      </c>
      <c r="D1094" s="195">
        <f>D120+200</f>
        <v>1100</v>
      </c>
      <c r="E1094" s="195">
        <f>E120+300</f>
        <v>1900</v>
      </c>
      <c r="F1094" s="195">
        <f>F120+300</f>
        <v>1950</v>
      </c>
      <c r="G1094" s="110" t="s">
        <v>4553</v>
      </c>
      <c r="H1094" s="56" t="s">
        <v>4552</v>
      </c>
      <c r="I1094" s="38" t="s">
        <v>4639</v>
      </c>
      <c r="J1094" s="30"/>
      <c r="K1094" s="38">
        <v>40</v>
      </c>
      <c r="L1094" s="116" t="s">
        <v>4539</v>
      </c>
      <c r="M1094" s="6">
        <v>43085</v>
      </c>
      <c r="N1094" s="6">
        <v>43100</v>
      </c>
      <c r="O1094" s="61" t="s">
        <v>4744</v>
      </c>
      <c r="P1094" s="61"/>
      <c r="Q1094" s="61"/>
      <c r="R1094" s="239"/>
      <c r="S1094" s="328" t="s">
        <v>4543</v>
      </c>
      <c r="T1094" s="722"/>
      <c r="U1094" s="42"/>
      <c r="AE1094" s="115"/>
      <c r="AF1094" s="115"/>
      <c r="AG1094" s="115"/>
      <c r="AH1094" s="115"/>
      <c r="AI1094" s="115"/>
      <c r="AJ1094" s="115"/>
      <c r="AK1094" s="115"/>
      <c r="AL1094" s="115"/>
      <c r="AM1094" s="115"/>
      <c r="AN1094" s="115"/>
      <c r="AO1094" s="115"/>
      <c r="AP1094" s="115"/>
      <c r="AQ1094" s="115"/>
      <c r="AR1094" s="115"/>
      <c r="AS1094" s="115"/>
      <c r="AT1094" s="115"/>
      <c r="AU1094" s="115"/>
      <c r="AV1094" s="115"/>
      <c r="AW1094" s="115"/>
      <c r="AX1094" s="115"/>
      <c r="AY1094" s="115"/>
      <c r="AZ1094" s="115"/>
      <c r="BA1094" s="115"/>
      <c r="BB1094" s="115"/>
      <c r="BC1094" s="115"/>
      <c r="BD1094" s="115"/>
      <c r="BE1094" s="115"/>
      <c r="BF1094" s="115"/>
      <c r="BG1094" s="115"/>
      <c r="BH1094" s="115"/>
      <c r="BI1094" s="115"/>
      <c r="BJ1094" s="115"/>
      <c r="BK1094" s="115"/>
      <c r="BL1094" s="115"/>
      <c r="BM1094" s="115"/>
      <c r="BN1094" s="115"/>
      <c r="BO1094" s="115"/>
      <c r="BP1094" s="115"/>
    </row>
    <row r="1095" spans="1:68" ht="20.100000000000001" customHeight="1">
      <c r="A1095" s="1229" t="s">
        <v>4536</v>
      </c>
      <c r="B1095" s="1229" t="s">
        <v>4749</v>
      </c>
      <c r="C1095" s="1229" t="s">
        <v>4774</v>
      </c>
      <c r="D1095" s="195">
        <f>D1098+157*1.0124*1.3</f>
        <v>1481.63084</v>
      </c>
      <c r="E1095" s="195">
        <f>E1098+157*1.0124*1.3</f>
        <v>2256.6308399999998</v>
      </c>
      <c r="F1095" s="195">
        <f>F1098+157*1.0124*1.3</f>
        <v>2106.6308399999998</v>
      </c>
      <c r="G1095" s="217" t="s">
        <v>4575</v>
      </c>
      <c r="H1095" s="48" t="s">
        <v>4574</v>
      </c>
      <c r="I1095" s="38" t="s">
        <v>4775</v>
      </c>
      <c r="J1095" s="30"/>
      <c r="K1095" s="38"/>
      <c r="L1095" s="116" t="s">
        <v>4539</v>
      </c>
      <c r="M1095" s="15">
        <v>43084</v>
      </c>
      <c r="N1095" s="15">
        <v>43100</v>
      </c>
      <c r="O1095" s="61" t="s">
        <v>4758</v>
      </c>
      <c r="P1095" s="61"/>
      <c r="Q1095" s="14" t="s">
        <v>4763</v>
      </c>
      <c r="R1095" s="239"/>
      <c r="S1095" s="328" t="s">
        <v>4543</v>
      </c>
      <c r="T1095" s="722"/>
      <c r="U1095" s="42"/>
      <c r="AE1095" s="115"/>
      <c r="AF1095" s="115"/>
      <c r="AG1095" s="115"/>
      <c r="AH1095" s="115"/>
      <c r="AI1095" s="115"/>
      <c r="AJ1095" s="115"/>
      <c r="AK1095" s="115"/>
      <c r="AL1095" s="115"/>
      <c r="AM1095" s="115"/>
      <c r="AN1095" s="115"/>
      <c r="AO1095" s="115"/>
      <c r="AP1095" s="115"/>
      <c r="AQ1095" s="115"/>
      <c r="AR1095" s="115"/>
      <c r="AS1095" s="115"/>
      <c r="AT1095" s="115"/>
      <c r="AU1095" s="115"/>
      <c r="AV1095" s="115"/>
      <c r="AW1095" s="115"/>
      <c r="AX1095" s="115"/>
      <c r="AY1095" s="115"/>
      <c r="AZ1095" s="115"/>
      <c r="BA1095" s="115"/>
      <c r="BB1095" s="115"/>
      <c r="BC1095" s="115"/>
      <c r="BD1095" s="115"/>
      <c r="BE1095" s="115"/>
      <c r="BF1095" s="115"/>
      <c r="BG1095" s="115"/>
      <c r="BH1095" s="115"/>
      <c r="BI1095" s="115"/>
      <c r="BJ1095" s="115"/>
      <c r="BK1095" s="115"/>
      <c r="BL1095" s="115"/>
      <c r="BM1095" s="115"/>
      <c r="BN1095" s="115"/>
      <c r="BO1095" s="115"/>
      <c r="BP1095" s="115"/>
    </row>
    <row r="1096" spans="1:68" ht="20.100000000000001" customHeight="1">
      <c r="A1096" s="1229" t="s">
        <v>4536</v>
      </c>
      <c r="B1096" s="1229" t="s">
        <v>4749</v>
      </c>
      <c r="C1096" s="1229" t="s">
        <v>4774</v>
      </c>
      <c r="D1096" s="195">
        <f>D79+825+25</f>
        <v>1625</v>
      </c>
      <c r="E1096" s="195">
        <f>E79+825+50</f>
        <v>2325</v>
      </c>
      <c r="F1096" s="195">
        <f>F79+825+50</f>
        <v>2375</v>
      </c>
      <c r="G1096" s="12" t="s">
        <v>4542</v>
      </c>
      <c r="H1096" s="69" t="s">
        <v>4541</v>
      </c>
      <c r="I1096" s="38" t="s">
        <v>4540</v>
      </c>
      <c r="J1096" s="140"/>
      <c r="K1096" s="38"/>
      <c r="L1096" s="116" t="s">
        <v>4539</v>
      </c>
      <c r="M1096" s="15">
        <v>43084</v>
      </c>
      <c r="N1096" s="15">
        <v>43100</v>
      </c>
      <c r="O1096" s="61" t="s">
        <v>4538</v>
      </c>
      <c r="P1096" s="61"/>
      <c r="Q1096" s="61"/>
      <c r="R1096" s="239"/>
      <c r="S1096" s="326" t="s">
        <v>4537</v>
      </c>
      <c r="T1096" s="722"/>
      <c r="U1096" s="42"/>
      <c r="AE1096" s="283"/>
      <c r="AF1096" s="283"/>
      <c r="AG1096" s="283"/>
      <c r="AH1096" s="283"/>
      <c r="AI1096" s="283"/>
      <c r="AJ1096" s="283"/>
      <c r="AK1096" s="283"/>
      <c r="AL1096" s="283"/>
      <c r="AM1096" s="283"/>
      <c r="AN1096" s="283"/>
      <c r="AO1096" s="283"/>
      <c r="AP1096" s="283"/>
      <c r="AQ1096" s="283"/>
      <c r="AR1096" s="283"/>
      <c r="AS1096" s="283"/>
      <c r="AT1096" s="283"/>
      <c r="AU1096" s="283"/>
      <c r="AV1096" s="283"/>
      <c r="AW1096" s="283"/>
      <c r="AX1096" s="283"/>
      <c r="AY1096" s="283"/>
      <c r="AZ1096" s="283"/>
      <c r="BA1096" s="283"/>
      <c r="BB1096" s="283"/>
      <c r="BC1096" s="283"/>
      <c r="BD1096" s="283"/>
      <c r="BE1096" s="283"/>
      <c r="BF1096" s="283"/>
      <c r="BG1096" s="283"/>
      <c r="BH1096" s="283"/>
      <c r="BI1096" s="283"/>
      <c r="BJ1096" s="283"/>
      <c r="BK1096" s="283"/>
      <c r="BL1096" s="283"/>
      <c r="BM1096" s="283"/>
      <c r="BN1096" s="283"/>
      <c r="BO1096" s="283"/>
      <c r="BP1096" s="283"/>
    </row>
    <row r="1097" spans="1:68" ht="20.100000000000001" customHeight="1">
      <c r="A1097" s="1229" t="s">
        <v>4536</v>
      </c>
      <c r="B1097" s="1229" t="s">
        <v>4749</v>
      </c>
      <c r="C1097" s="1229" t="s">
        <v>4771</v>
      </c>
      <c r="D1097" s="345">
        <f>D77+250+25</f>
        <v>1125</v>
      </c>
      <c r="E1097" s="345">
        <f>E77+350+50</f>
        <v>2000</v>
      </c>
      <c r="F1097" s="345">
        <f>F77+350+50</f>
        <v>2050</v>
      </c>
      <c r="G1097" s="217" t="s">
        <v>4572</v>
      </c>
      <c r="H1097" s="56" t="s">
        <v>4541</v>
      </c>
      <c r="I1097" s="20" t="s">
        <v>4540</v>
      </c>
      <c r="J1097" s="30"/>
      <c r="K1097" s="38"/>
      <c r="L1097" s="116" t="s">
        <v>4539</v>
      </c>
      <c r="M1097" s="15">
        <v>43070</v>
      </c>
      <c r="N1097" s="15">
        <v>43100</v>
      </c>
      <c r="O1097" s="59" t="s">
        <v>4571</v>
      </c>
      <c r="P1097" s="61"/>
      <c r="Q1097" s="7"/>
      <c r="R1097" s="239"/>
      <c r="S1097" s="327" t="s">
        <v>4570</v>
      </c>
      <c r="T1097" s="722"/>
      <c r="U1097" s="42"/>
      <c r="AE1097" s="115"/>
      <c r="AF1097" s="115"/>
      <c r="AG1097" s="115"/>
      <c r="AH1097" s="115"/>
      <c r="AI1097" s="115"/>
      <c r="AJ1097" s="115"/>
      <c r="AK1097" s="115"/>
      <c r="AL1097" s="115"/>
      <c r="AM1097" s="115"/>
      <c r="AN1097" s="115"/>
      <c r="AO1097" s="115"/>
      <c r="AP1097" s="115"/>
      <c r="AQ1097" s="115"/>
      <c r="AR1097" s="115"/>
      <c r="AS1097" s="115"/>
      <c r="AT1097" s="115"/>
      <c r="AU1097" s="115"/>
      <c r="AV1097" s="115"/>
      <c r="AW1097" s="115"/>
      <c r="AX1097" s="115"/>
      <c r="AY1097" s="115"/>
      <c r="AZ1097" s="115"/>
      <c r="BA1097" s="115"/>
      <c r="BB1097" s="115"/>
      <c r="BC1097" s="115"/>
      <c r="BD1097" s="115"/>
      <c r="BE1097" s="115"/>
      <c r="BF1097" s="115"/>
      <c r="BG1097" s="115"/>
      <c r="BH1097" s="115"/>
      <c r="BI1097" s="115"/>
      <c r="BJ1097" s="115"/>
      <c r="BK1097" s="115"/>
      <c r="BL1097" s="115"/>
      <c r="BM1097" s="115"/>
      <c r="BN1097" s="115"/>
      <c r="BO1097" s="115"/>
      <c r="BP1097" s="115"/>
    </row>
    <row r="1098" spans="1:68" ht="20.100000000000001" customHeight="1">
      <c r="A1098" s="1229" t="s">
        <v>4536</v>
      </c>
      <c r="B1098" s="1229" t="s">
        <v>4749</v>
      </c>
      <c r="C1098" s="1229" t="s">
        <v>4771</v>
      </c>
      <c r="D1098" s="196">
        <f>D97+400</f>
        <v>1275</v>
      </c>
      <c r="E1098" s="196">
        <f>E97+500</f>
        <v>2050</v>
      </c>
      <c r="F1098" s="196">
        <f>F97+300</f>
        <v>1900</v>
      </c>
      <c r="G1098" s="217" t="s">
        <v>4575</v>
      </c>
      <c r="H1098" s="48" t="s">
        <v>4574</v>
      </c>
      <c r="I1098" s="38" t="s">
        <v>4540</v>
      </c>
      <c r="J1098" s="30"/>
      <c r="K1098" s="38"/>
      <c r="L1098" s="116" t="s">
        <v>4539</v>
      </c>
      <c r="M1098" s="15">
        <v>43084</v>
      </c>
      <c r="N1098" s="15">
        <v>43100</v>
      </c>
      <c r="O1098" s="61" t="s">
        <v>4758</v>
      </c>
      <c r="P1098" s="61"/>
      <c r="Q1098" s="61"/>
      <c r="R1098" s="239"/>
      <c r="S1098" s="328" t="s">
        <v>4543</v>
      </c>
      <c r="T1098" s="722"/>
      <c r="U1098" s="42"/>
      <c r="AE1098" s="115"/>
      <c r="AF1098" s="115"/>
      <c r="AG1098" s="115"/>
      <c r="AH1098" s="115"/>
      <c r="AI1098" s="115"/>
      <c r="AJ1098" s="115"/>
      <c r="AK1098" s="115"/>
      <c r="AL1098" s="115"/>
      <c r="AM1098" s="115"/>
      <c r="AN1098" s="115"/>
      <c r="AO1098" s="115"/>
      <c r="AP1098" s="115"/>
      <c r="AQ1098" s="115"/>
      <c r="AR1098" s="115"/>
      <c r="AS1098" s="115"/>
      <c r="AT1098" s="115"/>
      <c r="AU1098" s="115"/>
      <c r="AV1098" s="115"/>
      <c r="AW1098" s="115"/>
      <c r="AX1098" s="115"/>
      <c r="AY1098" s="115"/>
      <c r="AZ1098" s="115"/>
      <c r="BA1098" s="115"/>
      <c r="BB1098" s="115"/>
      <c r="BC1098" s="115"/>
      <c r="BD1098" s="115"/>
      <c r="BE1098" s="115"/>
      <c r="BF1098" s="115"/>
      <c r="BG1098" s="115"/>
      <c r="BH1098" s="115"/>
      <c r="BI1098" s="115"/>
      <c r="BJ1098" s="115"/>
      <c r="BK1098" s="115"/>
      <c r="BL1098" s="115"/>
      <c r="BM1098" s="115"/>
      <c r="BN1098" s="115"/>
      <c r="BO1098" s="115"/>
      <c r="BP1098" s="115"/>
    </row>
    <row r="1099" spans="1:68" ht="20.100000000000001" customHeight="1">
      <c r="A1099" s="1229" t="s">
        <v>4536</v>
      </c>
      <c r="B1099" s="1229" t="s">
        <v>4749</v>
      </c>
      <c r="C1099" s="1229" t="s">
        <v>4771</v>
      </c>
      <c r="D1099" s="196">
        <f>D173+350+25</f>
        <v>1125</v>
      </c>
      <c r="E1099" s="196">
        <f>E173+450+50</f>
        <v>1900</v>
      </c>
      <c r="F1099" s="196">
        <f>F173+450+50</f>
        <v>1950</v>
      </c>
      <c r="G1099" s="110" t="s">
        <v>4636</v>
      </c>
      <c r="H1099" s="36" t="s">
        <v>4773</v>
      </c>
      <c r="I1099" s="38" t="s">
        <v>4752</v>
      </c>
      <c r="J1099" s="30"/>
      <c r="K1099" s="38"/>
      <c r="L1099" s="116" t="s">
        <v>4539</v>
      </c>
      <c r="M1099" s="6">
        <v>43084</v>
      </c>
      <c r="N1099" s="6">
        <v>43100</v>
      </c>
      <c r="O1099" s="61" t="s">
        <v>4633</v>
      </c>
      <c r="P1099" s="61"/>
      <c r="Q1099" s="61"/>
      <c r="R1099" s="239"/>
      <c r="S1099" s="327" t="s">
        <v>4632</v>
      </c>
      <c r="T1099" s="722"/>
      <c r="U1099" s="42"/>
      <c r="AE1099" s="115"/>
      <c r="AF1099" s="115"/>
      <c r="AG1099" s="115"/>
      <c r="AH1099" s="115"/>
      <c r="AI1099" s="115"/>
      <c r="AJ1099" s="115"/>
      <c r="AK1099" s="115"/>
      <c r="AL1099" s="115"/>
      <c r="AM1099" s="115"/>
      <c r="AN1099" s="115"/>
      <c r="AO1099" s="115"/>
      <c r="AP1099" s="115"/>
      <c r="AQ1099" s="115"/>
      <c r="AR1099" s="115"/>
      <c r="AS1099" s="115"/>
      <c r="AT1099" s="115"/>
      <c r="AU1099" s="115"/>
      <c r="AV1099" s="115"/>
      <c r="AW1099" s="115"/>
      <c r="AX1099" s="115"/>
      <c r="AY1099" s="115"/>
      <c r="AZ1099" s="115"/>
      <c r="BA1099" s="115"/>
      <c r="BB1099" s="115"/>
      <c r="BC1099" s="115"/>
      <c r="BD1099" s="115"/>
      <c r="BE1099" s="115"/>
      <c r="BF1099" s="115"/>
      <c r="BG1099" s="115"/>
      <c r="BH1099" s="115"/>
      <c r="BI1099" s="115"/>
      <c r="BJ1099" s="115"/>
      <c r="BK1099" s="115"/>
      <c r="BL1099" s="115"/>
      <c r="BM1099" s="115"/>
      <c r="BN1099" s="115"/>
      <c r="BO1099" s="115"/>
      <c r="BP1099" s="115"/>
    </row>
    <row r="1100" spans="1:68" ht="20.100000000000001" customHeight="1">
      <c r="A1100" s="1229" t="s">
        <v>4536</v>
      </c>
      <c r="B1100" s="1229" t="s">
        <v>4749</v>
      </c>
      <c r="C1100" s="1229" t="s">
        <v>4771</v>
      </c>
      <c r="D1100" s="273">
        <f>D211+400+25</f>
        <v>1150</v>
      </c>
      <c r="E1100" s="273">
        <f>E211+550+50</f>
        <v>1950</v>
      </c>
      <c r="F1100" s="273">
        <f>F211+550+50</f>
        <v>2000</v>
      </c>
      <c r="G1100" s="110" t="s">
        <v>4566</v>
      </c>
      <c r="H1100" s="69" t="s">
        <v>4556</v>
      </c>
      <c r="I1100" s="38" t="s">
        <v>4540</v>
      </c>
      <c r="J1100" s="30"/>
      <c r="K1100" s="38"/>
      <c r="L1100" s="116" t="s">
        <v>4539</v>
      </c>
      <c r="M1100" s="15">
        <v>43084</v>
      </c>
      <c r="N1100" s="15">
        <v>43100</v>
      </c>
      <c r="O1100" s="59" t="s">
        <v>4638</v>
      </c>
      <c r="P1100" s="61"/>
      <c r="Q1100" s="61"/>
      <c r="R1100" s="239"/>
      <c r="S1100" s="327" t="s">
        <v>4561</v>
      </c>
      <c r="T1100" s="722"/>
      <c r="U1100" s="42"/>
      <c r="AE1100" s="266"/>
      <c r="AF1100" s="266"/>
      <c r="AG1100" s="266"/>
      <c r="AH1100" s="266"/>
      <c r="AI1100" s="266"/>
      <c r="AJ1100" s="266"/>
      <c r="AK1100" s="266"/>
      <c r="AL1100" s="266"/>
      <c r="AM1100" s="266"/>
      <c r="AN1100" s="266"/>
      <c r="AO1100" s="266"/>
      <c r="AP1100" s="266"/>
      <c r="AQ1100" s="266"/>
      <c r="AR1100" s="266"/>
      <c r="AS1100" s="266"/>
      <c r="AT1100" s="266"/>
      <c r="AU1100" s="266"/>
      <c r="AV1100" s="266"/>
      <c r="AW1100" s="266"/>
      <c r="AX1100" s="266"/>
      <c r="AY1100" s="266"/>
      <c r="AZ1100" s="266"/>
      <c r="BA1100" s="266"/>
      <c r="BB1100" s="266"/>
      <c r="BC1100" s="266"/>
      <c r="BD1100" s="266"/>
      <c r="BE1100" s="266"/>
      <c r="BF1100" s="266"/>
      <c r="BG1100" s="266"/>
      <c r="BH1100" s="266"/>
      <c r="BI1100" s="266"/>
      <c r="BJ1100" s="266"/>
      <c r="BK1100" s="266"/>
      <c r="BL1100" s="266"/>
      <c r="BM1100" s="266"/>
      <c r="BN1100" s="266"/>
      <c r="BO1100" s="266"/>
      <c r="BP1100" s="266"/>
    </row>
    <row r="1101" spans="1:68" ht="20.100000000000001" customHeight="1">
      <c r="A1101" s="1229" t="s">
        <v>4536</v>
      </c>
      <c r="B1101" s="1229" t="s">
        <v>4749</v>
      </c>
      <c r="C1101" s="1229" t="s">
        <v>4771</v>
      </c>
      <c r="D1101" s="195">
        <f>D72+200</f>
        <v>980</v>
      </c>
      <c r="E1101" s="195">
        <f>E72+200</f>
        <v>1657</v>
      </c>
      <c r="F1101" s="195">
        <f>F72+200</f>
        <v>1657</v>
      </c>
      <c r="G1101" s="225" t="s">
        <v>4569</v>
      </c>
      <c r="H1101" s="69" t="s">
        <v>4568</v>
      </c>
      <c r="I1101" s="38" t="s">
        <v>4540</v>
      </c>
      <c r="J1101" s="30"/>
      <c r="K1101" s="38" t="s">
        <v>4772</v>
      </c>
      <c r="L1101" s="116" t="s">
        <v>4539</v>
      </c>
      <c r="M1101" s="6">
        <v>43074</v>
      </c>
      <c r="N1101" s="6">
        <v>43084</v>
      </c>
      <c r="O1101" s="61" t="s">
        <v>4567</v>
      </c>
      <c r="P1101" s="61"/>
      <c r="Q1101" s="61"/>
      <c r="R1101" s="239"/>
      <c r="S1101" s="328" t="s">
        <v>4543</v>
      </c>
      <c r="T1101" s="722"/>
      <c r="U1101" s="42"/>
      <c r="AE1101" s="115"/>
      <c r="AF1101" s="115"/>
      <c r="AG1101" s="115"/>
      <c r="AH1101" s="115"/>
      <c r="AI1101" s="115"/>
      <c r="AJ1101" s="115"/>
      <c r="AK1101" s="115"/>
      <c r="AL1101" s="115"/>
      <c r="AM1101" s="115"/>
      <c r="AN1101" s="115"/>
      <c r="AO1101" s="115"/>
      <c r="AP1101" s="115"/>
      <c r="AQ1101" s="115"/>
      <c r="AR1101" s="115"/>
      <c r="AS1101" s="115"/>
      <c r="AT1101" s="115"/>
      <c r="AU1101" s="115"/>
      <c r="AV1101" s="115"/>
      <c r="AW1101" s="115"/>
      <c r="AX1101" s="115"/>
      <c r="AY1101" s="115"/>
      <c r="AZ1101" s="115"/>
      <c r="BA1101" s="115"/>
      <c r="BB1101" s="115"/>
      <c r="BC1101" s="115"/>
      <c r="BD1101" s="115"/>
      <c r="BE1101" s="115"/>
      <c r="BF1101" s="115"/>
      <c r="BG1101" s="115"/>
      <c r="BH1101" s="115"/>
      <c r="BI1101" s="115"/>
      <c r="BJ1101" s="115"/>
      <c r="BK1101" s="115"/>
      <c r="BL1101" s="115"/>
      <c r="BM1101" s="115"/>
      <c r="BN1101" s="115"/>
      <c r="BO1101" s="115"/>
      <c r="BP1101" s="115"/>
    </row>
    <row r="1102" spans="1:68" ht="20.100000000000001" customHeight="1">
      <c r="A1102" s="1229" t="s">
        <v>4536</v>
      </c>
      <c r="B1102" s="1229" t="s">
        <v>4749</v>
      </c>
      <c r="C1102" s="1229" t="s">
        <v>4771</v>
      </c>
      <c r="D1102" s="195">
        <f>D90+500</f>
        <v>1265</v>
      </c>
      <c r="E1102" s="195">
        <f>E90+550</f>
        <v>1980</v>
      </c>
      <c r="F1102" s="195">
        <f>F90+550</f>
        <v>2030</v>
      </c>
      <c r="G1102" s="110" t="s">
        <v>4560</v>
      </c>
      <c r="H1102" s="48" t="s">
        <v>4556</v>
      </c>
      <c r="I1102" s="38" t="s">
        <v>4540</v>
      </c>
      <c r="J1102" s="30"/>
      <c r="K1102" s="38"/>
      <c r="L1102" s="116" t="s">
        <v>4539</v>
      </c>
      <c r="M1102" s="15">
        <v>43084</v>
      </c>
      <c r="N1102" s="15">
        <v>43100</v>
      </c>
      <c r="O1102" s="59" t="s">
        <v>4559</v>
      </c>
      <c r="P1102" s="61"/>
      <c r="Q1102" s="61"/>
      <c r="R1102" s="239"/>
      <c r="S1102" s="336" t="s">
        <v>4558</v>
      </c>
      <c r="T1102" s="722"/>
      <c r="U1102" s="42"/>
      <c r="AE1102" s="115"/>
      <c r="AF1102" s="115"/>
      <c r="AG1102" s="115"/>
      <c r="AH1102" s="115"/>
      <c r="AI1102" s="115"/>
      <c r="AJ1102" s="115"/>
      <c r="AK1102" s="115"/>
      <c r="AL1102" s="115"/>
      <c r="AM1102" s="115"/>
      <c r="AN1102" s="115"/>
      <c r="AO1102" s="115"/>
      <c r="AP1102" s="115"/>
      <c r="AQ1102" s="115"/>
      <c r="AR1102" s="115"/>
      <c r="AS1102" s="115"/>
      <c r="AT1102" s="115"/>
      <c r="AU1102" s="115"/>
      <c r="AV1102" s="115"/>
      <c r="AW1102" s="115"/>
      <c r="AX1102" s="115"/>
      <c r="AY1102" s="115"/>
      <c r="AZ1102" s="115"/>
      <c r="BA1102" s="115"/>
      <c r="BB1102" s="115"/>
      <c r="BC1102" s="115"/>
      <c r="BD1102" s="115"/>
      <c r="BE1102" s="115"/>
      <c r="BF1102" s="115"/>
      <c r="BG1102" s="115"/>
      <c r="BH1102" s="115"/>
      <c r="BI1102" s="115"/>
      <c r="BJ1102" s="115"/>
      <c r="BK1102" s="115"/>
      <c r="BL1102" s="115"/>
      <c r="BM1102" s="115"/>
      <c r="BN1102" s="115"/>
      <c r="BO1102" s="115"/>
      <c r="BP1102" s="115"/>
    </row>
    <row r="1103" spans="1:68" ht="20.100000000000001" customHeight="1">
      <c r="A1103" s="1229" t="s">
        <v>4536</v>
      </c>
      <c r="B1103" s="1229" t="s">
        <v>4749</v>
      </c>
      <c r="C1103" s="1229" t="s">
        <v>4771</v>
      </c>
      <c r="D1103" s="195">
        <f>D79+325+25</f>
        <v>1125</v>
      </c>
      <c r="E1103" s="195">
        <f>E79+425+50</f>
        <v>1925</v>
      </c>
      <c r="F1103" s="195">
        <f>F79+425+50</f>
        <v>1975</v>
      </c>
      <c r="G1103" s="12" t="s">
        <v>4542</v>
      </c>
      <c r="H1103" s="69" t="s">
        <v>4541</v>
      </c>
      <c r="I1103" s="38" t="s">
        <v>4540</v>
      </c>
      <c r="J1103" s="140"/>
      <c r="K1103" s="38"/>
      <c r="L1103" s="116" t="s">
        <v>4539</v>
      </c>
      <c r="M1103" s="15">
        <v>43084</v>
      </c>
      <c r="N1103" s="15">
        <v>43100</v>
      </c>
      <c r="O1103" s="61" t="s">
        <v>4538</v>
      </c>
      <c r="P1103" s="61"/>
      <c r="Q1103" s="61"/>
      <c r="R1103" s="239"/>
      <c r="S1103" s="326" t="s">
        <v>4537</v>
      </c>
      <c r="T1103" s="722"/>
      <c r="U1103" s="42"/>
      <c r="AE1103" s="282"/>
      <c r="AF1103" s="282"/>
      <c r="AG1103" s="282"/>
      <c r="AH1103" s="282"/>
      <c r="AI1103" s="282"/>
      <c r="AJ1103" s="282"/>
      <c r="AK1103" s="282"/>
      <c r="AL1103" s="282"/>
      <c r="AM1103" s="282"/>
      <c r="AN1103" s="282"/>
      <c r="AO1103" s="282"/>
      <c r="AP1103" s="282"/>
      <c r="AQ1103" s="282"/>
      <c r="AR1103" s="282"/>
      <c r="AS1103" s="282"/>
      <c r="AT1103" s="282"/>
      <c r="AU1103" s="282"/>
      <c r="AV1103" s="282"/>
      <c r="AW1103" s="282"/>
      <c r="AX1103" s="282"/>
      <c r="AY1103" s="282"/>
      <c r="AZ1103" s="282"/>
      <c r="BA1103" s="282"/>
      <c r="BB1103" s="282"/>
      <c r="BC1103" s="282"/>
      <c r="BD1103" s="282"/>
      <c r="BE1103" s="282"/>
      <c r="BF1103" s="282"/>
      <c r="BG1103" s="282"/>
      <c r="BH1103" s="282"/>
      <c r="BI1103" s="282"/>
      <c r="BJ1103" s="282"/>
      <c r="BK1103" s="282"/>
      <c r="BL1103" s="282"/>
      <c r="BM1103" s="282"/>
      <c r="BN1103" s="282"/>
      <c r="BO1103" s="282"/>
      <c r="BP1103" s="282"/>
    </row>
    <row r="1104" spans="1:68" ht="20.100000000000001" customHeight="1">
      <c r="A1104" s="1229" t="s">
        <v>4536</v>
      </c>
      <c r="B1104" s="1229" t="s">
        <v>4749</v>
      </c>
      <c r="C1104" s="1229" t="s">
        <v>4771</v>
      </c>
      <c r="D1104" s="195">
        <f>D64+250</f>
        <v>1000</v>
      </c>
      <c r="E1104" s="195">
        <f>E64+300</f>
        <v>1700</v>
      </c>
      <c r="F1104" s="195">
        <f>F64+300</f>
        <v>1700</v>
      </c>
      <c r="G1104" s="217" t="s">
        <v>4557</v>
      </c>
      <c r="H1104" s="69" t="s">
        <v>4556</v>
      </c>
      <c r="I1104" s="38" t="s">
        <v>4540</v>
      </c>
      <c r="J1104" s="140"/>
      <c r="K1104" s="38"/>
      <c r="L1104" s="116" t="s">
        <v>4539</v>
      </c>
      <c r="M1104" s="6">
        <v>43084</v>
      </c>
      <c r="N1104" s="6">
        <v>43100</v>
      </c>
      <c r="O1104" s="61" t="s">
        <v>4555</v>
      </c>
      <c r="P1104" s="61"/>
      <c r="Q1104" s="7"/>
      <c r="R1104" s="239" t="s">
        <v>4554</v>
      </c>
      <c r="S1104" s="326" t="s">
        <v>4543</v>
      </c>
      <c r="T1104" s="722"/>
      <c r="U1104" s="42"/>
      <c r="AE1104" s="115"/>
      <c r="AF1104" s="115"/>
      <c r="AG1104" s="115"/>
      <c r="AH1104" s="115"/>
      <c r="AI1104" s="115"/>
      <c r="AJ1104" s="115"/>
      <c r="AK1104" s="115"/>
      <c r="AL1104" s="115"/>
      <c r="AM1104" s="115"/>
      <c r="AN1104" s="115"/>
      <c r="AO1104" s="115"/>
      <c r="AP1104" s="115"/>
      <c r="AQ1104" s="115"/>
      <c r="AR1104" s="115"/>
      <c r="AS1104" s="115"/>
      <c r="AT1104" s="115"/>
      <c r="AU1104" s="115"/>
      <c r="AV1104" s="115"/>
      <c r="AW1104" s="115"/>
      <c r="AX1104" s="115"/>
      <c r="AY1104" s="115"/>
      <c r="AZ1104" s="115"/>
      <c r="BA1104" s="115"/>
      <c r="BB1104" s="115"/>
      <c r="BC1104" s="115"/>
      <c r="BD1104" s="115"/>
      <c r="BE1104" s="115"/>
      <c r="BF1104" s="115"/>
      <c r="BG1104" s="115"/>
      <c r="BH1104" s="115"/>
      <c r="BI1104" s="115"/>
      <c r="BJ1104" s="115"/>
      <c r="BK1104" s="115"/>
      <c r="BL1104" s="115"/>
      <c r="BM1104" s="115"/>
      <c r="BN1104" s="115"/>
      <c r="BO1104" s="115"/>
      <c r="BP1104" s="115"/>
    </row>
    <row r="1105" spans="1:68" ht="20.100000000000001" customHeight="1">
      <c r="A1105" s="1229" t="s">
        <v>4536</v>
      </c>
      <c r="B1105" s="1229" t="s">
        <v>4749</v>
      </c>
      <c r="C1105" s="1229" t="s">
        <v>4771</v>
      </c>
      <c r="D1105" s="195">
        <f>D120+200</f>
        <v>1100</v>
      </c>
      <c r="E1105" s="195">
        <f>E120+200</f>
        <v>1800</v>
      </c>
      <c r="F1105" s="195">
        <f>F120+200</f>
        <v>1850</v>
      </c>
      <c r="G1105" s="110" t="s">
        <v>4553</v>
      </c>
      <c r="H1105" s="56" t="s">
        <v>4552</v>
      </c>
      <c r="I1105" s="38" t="s">
        <v>4639</v>
      </c>
      <c r="J1105" s="30"/>
      <c r="K1105" s="38">
        <v>37</v>
      </c>
      <c r="L1105" s="116" t="s">
        <v>4539</v>
      </c>
      <c r="M1105" s="6">
        <v>43085</v>
      </c>
      <c r="N1105" s="6">
        <v>43100</v>
      </c>
      <c r="O1105" s="61" t="s">
        <v>4744</v>
      </c>
      <c r="P1105" s="61"/>
      <c r="Q1105" s="61"/>
      <c r="R1105" s="239"/>
      <c r="S1105" s="328" t="s">
        <v>4543</v>
      </c>
      <c r="T1105" s="722"/>
      <c r="U1105" s="42"/>
      <c r="AE1105" s="233"/>
      <c r="AF1105" s="233"/>
      <c r="AG1105" s="233"/>
      <c r="AH1105" s="233"/>
      <c r="AI1105" s="233"/>
      <c r="AJ1105" s="233"/>
      <c r="AK1105" s="233"/>
      <c r="AL1105" s="233"/>
      <c r="AM1105" s="233"/>
      <c r="AN1105" s="233"/>
      <c r="AO1105" s="233"/>
      <c r="AP1105" s="233"/>
      <c r="AQ1105" s="233"/>
      <c r="AR1105" s="233"/>
      <c r="AS1105" s="233"/>
      <c r="AT1105" s="233"/>
      <c r="AU1105" s="233"/>
      <c r="AV1105" s="233"/>
      <c r="AW1105" s="233"/>
      <c r="AX1105" s="233"/>
      <c r="AY1105" s="233"/>
      <c r="AZ1105" s="233"/>
      <c r="BA1105" s="233"/>
      <c r="BB1105" s="233"/>
      <c r="BC1105" s="233"/>
      <c r="BD1105" s="233"/>
      <c r="BE1105" s="233"/>
      <c r="BF1105" s="233"/>
      <c r="BG1105" s="233"/>
      <c r="BH1105" s="233"/>
      <c r="BI1105" s="233"/>
      <c r="BJ1105" s="233"/>
      <c r="BK1105" s="233"/>
      <c r="BL1105" s="233"/>
      <c r="BM1105" s="233"/>
      <c r="BN1105" s="233"/>
      <c r="BO1105" s="233"/>
      <c r="BP1105" s="233"/>
    </row>
    <row r="1106" spans="1:68" ht="20.100000000000001" customHeight="1">
      <c r="A1106" s="1229" t="s">
        <v>4536</v>
      </c>
      <c r="B1106" s="1229" t="s">
        <v>4749</v>
      </c>
      <c r="C1106" s="1229" t="s">
        <v>4771</v>
      </c>
      <c r="D1106" s="195">
        <f>D65+600</f>
        <v>1400</v>
      </c>
      <c r="E1106" s="195">
        <f>E65+700</f>
        <v>2200</v>
      </c>
      <c r="F1106" s="195">
        <f>F65+350</f>
        <v>1900</v>
      </c>
      <c r="G1106" s="110" t="s">
        <v>4645</v>
      </c>
      <c r="H1106" s="48" t="s">
        <v>4556</v>
      </c>
      <c r="I1106" s="38" t="s">
        <v>4540</v>
      </c>
      <c r="J1106" s="30"/>
      <c r="K1106" s="38" t="s">
        <v>4770</v>
      </c>
      <c r="L1106" s="116" t="s">
        <v>4539</v>
      </c>
      <c r="M1106" s="6">
        <v>43084</v>
      </c>
      <c r="N1106" s="6">
        <v>43100</v>
      </c>
      <c r="O1106" s="61" t="s">
        <v>4643</v>
      </c>
      <c r="P1106" s="61"/>
      <c r="Q1106" s="61"/>
      <c r="R1106" s="239"/>
      <c r="S1106" s="326" t="s">
        <v>4641</v>
      </c>
      <c r="T1106" s="722"/>
      <c r="U1106" s="42"/>
      <c r="AE1106" s="115"/>
      <c r="AF1106" s="115"/>
      <c r="AG1106" s="115"/>
      <c r="AH1106" s="115"/>
      <c r="AI1106" s="115"/>
      <c r="AJ1106" s="115"/>
      <c r="AK1106" s="115"/>
      <c r="AL1106" s="115"/>
      <c r="AM1106" s="115"/>
      <c r="AN1106" s="115"/>
      <c r="AO1106" s="115"/>
      <c r="AP1106" s="115"/>
      <c r="AQ1106" s="115"/>
      <c r="AR1106" s="115"/>
      <c r="AS1106" s="115"/>
      <c r="AT1106" s="115"/>
      <c r="AU1106" s="115"/>
      <c r="AV1106" s="115"/>
      <c r="AW1106" s="115"/>
      <c r="AX1106" s="115"/>
      <c r="AY1106" s="115"/>
      <c r="AZ1106" s="115"/>
      <c r="BA1106" s="115"/>
      <c r="BB1106" s="115"/>
      <c r="BC1106" s="115"/>
      <c r="BD1106" s="115"/>
      <c r="BE1106" s="115"/>
      <c r="BF1106" s="115"/>
      <c r="BG1106" s="115"/>
      <c r="BH1106" s="115"/>
      <c r="BI1106" s="115"/>
      <c r="BJ1106" s="115"/>
      <c r="BK1106" s="115"/>
      <c r="BL1106" s="115"/>
      <c r="BM1106" s="115"/>
      <c r="BN1106" s="115"/>
      <c r="BO1106" s="115"/>
      <c r="BP1106" s="115"/>
    </row>
    <row r="1107" spans="1:68" ht="20.100000000000001" customHeight="1">
      <c r="A1107" s="1228" t="s">
        <v>4582</v>
      </c>
      <c r="B1107" s="1228" t="s">
        <v>4749</v>
      </c>
      <c r="C1107" s="1228" t="s">
        <v>4769</v>
      </c>
      <c r="D1107" s="345">
        <f>D193+250+25</f>
        <v>1125</v>
      </c>
      <c r="E1107" s="345">
        <f>E193+350+50</f>
        <v>2000</v>
      </c>
      <c r="F1107" s="345">
        <f>F193+350+50</f>
        <v>2050</v>
      </c>
      <c r="G1107" s="217" t="s">
        <v>4572</v>
      </c>
      <c r="H1107" s="36" t="s">
        <v>4556</v>
      </c>
      <c r="I1107" s="20" t="s">
        <v>4743</v>
      </c>
      <c r="J1107" s="30"/>
      <c r="K1107" s="38"/>
      <c r="L1107" s="116" t="s">
        <v>4539</v>
      </c>
      <c r="M1107" s="15">
        <v>43070</v>
      </c>
      <c r="N1107" s="15">
        <v>43100</v>
      </c>
      <c r="O1107" s="59" t="s">
        <v>4571</v>
      </c>
      <c r="P1107" s="904"/>
      <c r="Q1107" s="7"/>
      <c r="R1107" s="239"/>
      <c r="S1107" s="327" t="s">
        <v>4570</v>
      </c>
      <c r="T1107" s="722"/>
      <c r="U1107" s="42"/>
      <c r="AE1107" s="115"/>
      <c r="AF1107" s="115"/>
      <c r="AG1107" s="115"/>
      <c r="AH1107" s="115"/>
      <c r="AI1107" s="115"/>
      <c r="AJ1107" s="115"/>
      <c r="AK1107" s="115"/>
      <c r="AL1107" s="115"/>
      <c r="AM1107" s="115"/>
      <c r="AN1107" s="115"/>
      <c r="AO1107" s="115"/>
      <c r="AP1107" s="115"/>
      <c r="AQ1107" s="115"/>
      <c r="AR1107" s="115"/>
      <c r="AS1107" s="115"/>
      <c r="AT1107" s="115"/>
      <c r="AU1107" s="115"/>
      <c r="AV1107" s="115"/>
      <c r="AW1107" s="115"/>
      <c r="AX1107" s="115"/>
      <c r="AY1107" s="115"/>
      <c r="AZ1107" s="115"/>
      <c r="BA1107" s="115"/>
      <c r="BB1107" s="115"/>
      <c r="BC1107" s="115"/>
      <c r="BD1107" s="115"/>
      <c r="BE1107" s="115"/>
      <c r="BF1107" s="115"/>
      <c r="BG1107" s="115"/>
      <c r="BH1107" s="115"/>
      <c r="BI1107" s="115"/>
      <c r="BJ1107" s="115"/>
      <c r="BK1107" s="115"/>
      <c r="BL1107" s="115"/>
      <c r="BM1107" s="115"/>
      <c r="BN1107" s="115"/>
      <c r="BO1107" s="115"/>
      <c r="BP1107" s="115"/>
    </row>
    <row r="1108" spans="1:68" ht="20.100000000000001" customHeight="1">
      <c r="A1108" s="1228" t="s">
        <v>4582</v>
      </c>
      <c r="B1108" s="1228" t="s">
        <v>4749</v>
      </c>
      <c r="C1108" s="1228" t="s">
        <v>4769</v>
      </c>
      <c r="D1108" s="195">
        <f>D186+325+25</f>
        <v>1125</v>
      </c>
      <c r="E1108" s="195">
        <f>E186+425+50</f>
        <v>1925</v>
      </c>
      <c r="F1108" s="195">
        <f>F186+425+50</f>
        <v>1975</v>
      </c>
      <c r="G1108" s="12" t="s">
        <v>4542</v>
      </c>
      <c r="H1108" s="69" t="s">
        <v>4556</v>
      </c>
      <c r="I1108" s="38" t="s">
        <v>4743</v>
      </c>
      <c r="J1108" s="140"/>
      <c r="K1108" s="38"/>
      <c r="L1108" s="116" t="s">
        <v>4539</v>
      </c>
      <c r="M1108" s="15">
        <v>43084</v>
      </c>
      <c r="N1108" s="15">
        <v>43100</v>
      </c>
      <c r="O1108" s="61" t="s">
        <v>4538</v>
      </c>
      <c r="P1108" s="904"/>
      <c r="Q1108" s="904"/>
      <c r="R1108" s="239"/>
      <c r="S1108" s="326" t="s">
        <v>4537</v>
      </c>
      <c r="T1108" s="722"/>
      <c r="U1108" s="42"/>
      <c r="AE1108" s="115"/>
      <c r="AF1108" s="115"/>
      <c r="AG1108" s="115"/>
      <c r="AH1108" s="115"/>
      <c r="AI1108" s="115"/>
      <c r="AJ1108" s="115"/>
      <c r="AK1108" s="115"/>
      <c r="AL1108" s="115"/>
      <c r="AM1108" s="115"/>
      <c r="AN1108" s="115"/>
      <c r="AO1108" s="115"/>
      <c r="AP1108" s="115"/>
      <c r="AQ1108" s="115"/>
      <c r="AR1108" s="115"/>
      <c r="AS1108" s="115"/>
      <c r="AT1108" s="115"/>
      <c r="AU1108" s="115"/>
      <c r="AV1108" s="115"/>
      <c r="AW1108" s="115"/>
      <c r="AX1108" s="115"/>
      <c r="AY1108" s="115"/>
      <c r="AZ1108" s="115"/>
      <c r="BA1108" s="115"/>
      <c r="BB1108" s="115"/>
      <c r="BC1108" s="115"/>
      <c r="BD1108" s="115"/>
      <c r="BE1108" s="115"/>
      <c r="BF1108" s="115"/>
      <c r="BG1108" s="115"/>
      <c r="BH1108" s="115"/>
      <c r="BI1108" s="115"/>
      <c r="BJ1108" s="115"/>
      <c r="BK1108" s="115"/>
      <c r="BL1108" s="115"/>
      <c r="BM1108" s="115"/>
      <c r="BN1108" s="115"/>
      <c r="BO1108" s="115"/>
      <c r="BP1108" s="115"/>
    </row>
    <row r="1109" spans="1:68" ht="20.100000000000001" customHeight="1">
      <c r="A1109" s="1228" t="s">
        <v>4582</v>
      </c>
      <c r="B1109" s="1228" t="s">
        <v>4749</v>
      </c>
      <c r="C1109" s="1228" t="s">
        <v>4769</v>
      </c>
      <c r="D1109" s="195">
        <f>D189+250</f>
        <v>1000</v>
      </c>
      <c r="E1109" s="195">
        <f>E189+400</f>
        <v>1800</v>
      </c>
      <c r="F1109" s="195">
        <f>F189+400</f>
        <v>1800</v>
      </c>
      <c r="G1109" s="217" t="s">
        <v>4557</v>
      </c>
      <c r="H1109" s="36" t="s">
        <v>4556</v>
      </c>
      <c r="I1109" s="38" t="s">
        <v>4743</v>
      </c>
      <c r="J1109" s="140"/>
      <c r="K1109" s="38"/>
      <c r="L1109" s="116" t="s">
        <v>4539</v>
      </c>
      <c r="M1109" s="6">
        <v>43084</v>
      </c>
      <c r="N1109" s="6">
        <v>43100</v>
      </c>
      <c r="O1109" s="61" t="s">
        <v>4555</v>
      </c>
      <c r="P1109" s="904"/>
      <c r="Q1109" s="7"/>
      <c r="R1109" s="239" t="s">
        <v>4554</v>
      </c>
      <c r="S1109" s="326" t="s">
        <v>4543</v>
      </c>
      <c r="T1109" s="722"/>
      <c r="U1109" s="42"/>
      <c r="AE1109" s="115"/>
      <c r="AF1109" s="115"/>
      <c r="AG1109" s="115"/>
      <c r="AH1109" s="115"/>
      <c r="AI1109" s="115"/>
      <c r="AJ1109" s="115"/>
      <c r="AK1109" s="115"/>
      <c r="AL1109" s="115"/>
      <c r="AM1109" s="115"/>
      <c r="AN1109" s="115"/>
      <c r="AO1109" s="115"/>
      <c r="AP1109" s="115"/>
      <c r="AQ1109" s="115"/>
      <c r="AR1109" s="115"/>
      <c r="AS1109" s="115"/>
      <c r="AT1109" s="115"/>
      <c r="AU1109" s="115"/>
      <c r="AV1109" s="115"/>
      <c r="AW1109" s="115"/>
      <c r="AX1109" s="115"/>
      <c r="AY1109" s="115"/>
      <c r="AZ1109" s="115"/>
      <c r="BA1109" s="115"/>
      <c r="BB1109" s="115"/>
      <c r="BC1109" s="115"/>
      <c r="BD1109" s="115"/>
      <c r="BE1109" s="115"/>
      <c r="BF1109" s="115"/>
      <c r="BG1109" s="115"/>
      <c r="BH1109" s="115"/>
      <c r="BI1109" s="115"/>
      <c r="BJ1109" s="115"/>
      <c r="BK1109" s="115"/>
      <c r="BL1109" s="115"/>
      <c r="BM1109" s="115"/>
      <c r="BN1109" s="115"/>
      <c r="BO1109" s="115"/>
      <c r="BP1109" s="115"/>
    </row>
    <row r="1110" spans="1:68" ht="20.100000000000001" customHeight="1">
      <c r="A1110" s="1228" t="s">
        <v>4582</v>
      </c>
      <c r="B1110" s="1228" t="s">
        <v>4749</v>
      </c>
      <c r="C1110" s="1228" t="s">
        <v>4769</v>
      </c>
      <c r="D1110" s="195">
        <f>D134+200</f>
        <v>1100</v>
      </c>
      <c r="E1110" s="195">
        <f>E134+200</f>
        <v>1800</v>
      </c>
      <c r="F1110" s="195">
        <f>F134+200</f>
        <v>1850</v>
      </c>
      <c r="G1110" s="110" t="s">
        <v>4553</v>
      </c>
      <c r="H1110" s="56" t="s">
        <v>4552</v>
      </c>
      <c r="I1110" s="38" t="s">
        <v>4768</v>
      </c>
      <c r="J1110" s="30"/>
      <c r="K1110" s="38">
        <v>34</v>
      </c>
      <c r="L1110" s="116" t="s">
        <v>4539</v>
      </c>
      <c r="M1110" s="6">
        <v>43085</v>
      </c>
      <c r="N1110" s="6">
        <v>43100</v>
      </c>
      <c r="O1110" s="61" t="s">
        <v>4744</v>
      </c>
      <c r="P1110" s="61"/>
      <c r="Q1110" s="61"/>
      <c r="R1110" s="239"/>
      <c r="S1110" s="328" t="s">
        <v>4543</v>
      </c>
      <c r="T1110" s="722"/>
      <c r="U1110" s="42"/>
      <c r="AE1110" s="115"/>
      <c r="AF1110" s="115"/>
      <c r="AG1110" s="115"/>
      <c r="AH1110" s="115"/>
      <c r="AI1110" s="115"/>
      <c r="AJ1110" s="115"/>
      <c r="AK1110" s="115"/>
      <c r="AL1110" s="115"/>
      <c r="AM1110" s="115"/>
      <c r="AN1110" s="115"/>
      <c r="AO1110" s="115"/>
      <c r="AP1110" s="115"/>
      <c r="AQ1110" s="115"/>
      <c r="AR1110" s="115"/>
      <c r="AS1110" s="115"/>
      <c r="AT1110" s="115"/>
      <c r="AU1110" s="115"/>
      <c r="AV1110" s="115"/>
      <c r="AW1110" s="115"/>
      <c r="AX1110" s="115"/>
      <c r="AY1110" s="115"/>
      <c r="AZ1110" s="115"/>
      <c r="BA1110" s="115"/>
      <c r="BB1110" s="115"/>
      <c r="BC1110" s="115"/>
      <c r="BD1110" s="115"/>
      <c r="BE1110" s="115"/>
      <c r="BF1110" s="115"/>
      <c r="BG1110" s="115"/>
      <c r="BH1110" s="115"/>
      <c r="BI1110" s="115"/>
      <c r="BJ1110" s="115"/>
      <c r="BK1110" s="115"/>
      <c r="BL1110" s="115"/>
      <c r="BM1110" s="115"/>
      <c r="BN1110" s="115"/>
      <c r="BO1110" s="115"/>
      <c r="BP1110" s="115"/>
    </row>
    <row r="1111" spans="1:68" ht="20.100000000000001" customHeight="1">
      <c r="A1111" s="907" t="s">
        <v>4582</v>
      </c>
      <c r="B1111" s="907" t="s">
        <v>4749</v>
      </c>
      <c r="C1111" s="907" t="s">
        <v>4767</v>
      </c>
      <c r="D1111" s="197">
        <f>D186+500+25</f>
        <v>1300</v>
      </c>
      <c r="E1111" s="197">
        <f>E186+900+50</f>
        <v>2400</v>
      </c>
      <c r="F1111" s="197">
        <f>F186+900+50</f>
        <v>2450</v>
      </c>
      <c r="G1111" s="12" t="s">
        <v>4542</v>
      </c>
      <c r="H1111" s="69" t="s">
        <v>4556</v>
      </c>
      <c r="I1111" s="38" t="s">
        <v>4743</v>
      </c>
      <c r="J1111" s="140"/>
      <c r="K1111" s="38"/>
      <c r="L1111" s="116" t="s">
        <v>4539</v>
      </c>
      <c r="M1111" s="15">
        <v>43084</v>
      </c>
      <c r="N1111" s="15">
        <v>43100</v>
      </c>
      <c r="O1111" s="61" t="s">
        <v>4538</v>
      </c>
      <c r="P1111" s="61"/>
      <c r="Q1111" s="61"/>
      <c r="R1111" s="239"/>
      <c r="S1111" s="326" t="s">
        <v>4537</v>
      </c>
      <c r="T1111" s="722"/>
      <c r="U1111" s="42"/>
      <c r="AE1111" s="283"/>
      <c r="AF1111" s="283"/>
      <c r="AG1111" s="283"/>
      <c r="AH1111" s="283"/>
      <c r="AI1111" s="283"/>
      <c r="AJ1111" s="283"/>
      <c r="AK1111" s="283"/>
      <c r="AL1111" s="283"/>
      <c r="AM1111" s="283"/>
      <c r="AN1111" s="283"/>
      <c r="AO1111" s="283"/>
      <c r="AP1111" s="283"/>
      <c r="AQ1111" s="283"/>
      <c r="AR1111" s="283"/>
      <c r="AS1111" s="283"/>
      <c r="AT1111" s="283"/>
      <c r="AU1111" s="283"/>
      <c r="AV1111" s="283"/>
      <c r="AW1111" s="283"/>
      <c r="AX1111" s="283"/>
      <c r="AY1111" s="283"/>
      <c r="AZ1111" s="283"/>
      <c r="BA1111" s="283"/>
      <c r="BB1111" s="283"/>
      <c r="BC1111" s="283"/>
      <c r="BD1111" s="283"/>
      <c r="BE1111" s="283"/>
      <c r="BF1111" s="283"/>
      <c r="BG1111" s="283"/>
      <c r="BH1111" s="283"/>
      <c r="BI1111" s="283"/>
      <c r="BJ1111" s="283"/>
      <c r="BK1111" s="283"/>
      <c r="BL1111" s="283"/>
      <c r="BM1111" s="283"/>
      <c r="BN1111" s="283"/>
      <c r="BO1111" s="283"/>
      <c r="BP1111" s="283"/>
    </row>
    <row r="1112" spans="1:68" ht="20.100000000000001" customHeight="1">
      <c r="A1112" s="1228" t="s">
        <v>4582</v>
      </c>
      <c r="B1112" s="1228" t="s">
        <v>4749</v>
      </c>
      <c r="C1112" s="1228" t="s">
        <v>4766</v>
      </c>
      <c r="D1112" s="345">
        <f>D77+250+25</f>
        <v>1125</v>
      </c>
      <c r="E1112" s="345">
        <f>E77+400+50</f>
        <v>2050</v>
      </c>
      <c r="F1112" s="345">
        <f>F77+400+50</f>
        <v>2100</v>
      </c>
      <c r="G1112" s="217" t="s">
        <v>4572</v>
      </c>
      <c r="H1112" s="56" t="s">
        <v>4541</v>
      </c>
      <c r="I1112" s="20" t="s">
        <v>4540</v>
      </c>
      <c r="J1112" s="30"/>
      <c r="K1112" s="38"/>
      <c r="L1112" s="116" t="s">
        <v>4539</v>
      </c>
      <c r="M1112" s="15">
        <v>43070</v>
      </c>
      <c r="N1112" s="15">
        <v>43100</v>
      </c>
      <c r="O1112" s="59" t="s">
        <v>4571</v>
      </c>
      <c r="P1112" s="61"/>
      <c r="Q1112" s="7"/>
      <c r="R1112" s="239"/>
      <c r="S1112" s="327" t="s">
        <v>4570</v>
      </c>
      <c r="T1112" s="722"/>
      <c r="U1112" s="42"/>
      <c r="AE1112" s="266"/>
      <c r="AF1112" s="266"/>
      <c r="AG1112" s="266"/>
      <c r="AH1112" s="266"/>
      <c r="AI1112" s="266"/>
      <c r="AJ1112" s="266"/>
      <c r="AK1112" s="266"/>
      <c r="AL1112" s="266"/>
      <c r="AM1112" s="266"/>
      <c r="AN1112" s="266"/>
      <c r="AO1112" s="266"/>
      <c r="AP1112" s="266"/>
      <c r="AQ1112" s="266"/>
      <c r="AR1112" s="266"/>
      <c r="AS1112" s="266"/>
      <c r="AT1112" s="266"/>
      <c r="AU1112" s="266"/>
      <c r="AV1112" s="266"/>
      <c r="AW1112" s="266"/>
      <c r="AX1112" s="266"/>
      <c r="AY1112" s="266"/>
      <c r="AZ1112" s="266"/>
      <c r="BA1112" s="266"/>
      <c r="BB1112" s="266"/>
      <c r="BC1112" s="266"/>
      <c r="BD1112" s="266"/>
      <c r="BE1112" s="266"/>
      <c r="BF1112" s="266"/>
      <c r="BG1112" s="266"/>
      <c r="BH1112" s="266"/>
      <c r="BI1112" s="266"/>
      <c r="BJ1112" s="266"/>
      <c r="BK1112" s="266"/>
      <c r="BL1112" s="266"/>
      <c r="BM1112" s="266"/>
      <c r="BN1112" s="266"/>
      <c r="BO1112" s="266"/>
      <c r="BP1112" s="266"/>
    </row>
    <row r="1113" spans="1:68" ht="20.100000000000001" customHeight="1">
      <c r="A1113" s="1228" t="s">
        <v>4582</v>
      </c>
      <c r="B1113" s="1228" t="s">
        <v>4749</v>
      </c>
      <c r="C1113" s="1228" t="s">
        <v>4766</v>
      </c>
      <c r="D1113" s="196">
        <f>D97+400</f>
        <v>1275</v>
      </c>
      <c r="E1113" s="196">
        <f>E97+450</f>
        <v>2000</v>
      </c>
      <c r="F1113" s="196">
        <f>F97+400</f>
        <v>2000</v>
      </c>
      <c r="G1113" s="217" t="s">
        <v>4575</v>
      </c>
      <c r="H1113" s="48" t="s">
        <v>4574</v>
      </c>
      <c r="I1113" s="38" t="s">
        <v>4540</v>
      </c>
      <c r="J1113" s="30"/>
      <c r="K1113" s="38"/>
      <c r="L1113" s="116" t="s">
        <v>4539</v>
      </c>
      <c r="M1113" s="15">
        <v>43084</v>
      </c>
      <c r="N1113" s="15">
        <v>43100</v>
      </c>
      <c r="O1113" s="61" t="s">
        <v>4758</v>
      </c>
      <c r="P1113" s="61"/>
      <c r="Q1113" s="61"/>
      <c r="R1113" s="239"/>
      <c r="S1113" s="328" t="s">
        <v>4543</v>
      </c>
      <c r="T1113" s="722"/>
      <c r="U1113" s="42"/>
      <c r="AE1113" s="115"/>
      <c r="AF1113" s="115"/>
      <c r="AG1113" s="115"/>
      <c r="AH1113" s="115"/>
      <c r="AI1113" s="115"/>
      <c r="AJ1113" s="115"/>
      <c r="AK1113" s="115"/>
      <c r="AL1113" s="115"/>
      <c r="AM1113" s="115"/>
      <c r="AN1113" s="115"/>
      <c r="AO1113" s="115"/>
      <c r="AP1113" s="115"/>
      <c r="AQ1113" s="115"/>
      <c r="AR1113" s="115"/>
      <c r="AS1113" s="115"/>
      <c r="AT1113" s="115"/>
      <c r="AU1113" s="115"/>
      <c r="AV1113" s="115"/>
      <c r="AW1113" s="115"/>
      <c r="AX1113" s="115"/>
      <c r="AY1113" s="115"/>
      <c r="AZ1113" s="115"/>
      <c r="BA1113" s="115"/>
      <c r="BB1113" s="115"/>
      <c r="BC1113" s="115"/>
      <c r="BD1113" s="115"/>
      <c r="BE1113" s="115"/>
      <c r="BF1113" s="115"/>
      <c r="BG1113" s="115"/>
      <c r="BH1113" s="115"/>
      <c r="BI1113" s="115"/>
      <c r="BJ1113" s="115"/>
      <c r="BK1113" s="115"/>
      <c r="BL1113" s="115"/>
      <c r="BM1113" s="115"/>
      <c r="BN1113" s="115"/>
      <c r="BO1113" s="115"/>
      <c r="BP1113" s="115"/>
    </row>
    <row r="1114" spans="1:68" ht="20.100000000000001" customHeight="1">
      <c r="A1114" s="1228" t="s">
        <v>4582</v>
      </c>
      <c r="B1114" s="1228" t="s">
        <v>4749</v>
      </c>
      <c r="C1114" s="1228" t="s">
        <v>4766</v>
      </c>
      <c r="D1114" s="196">
        <f>D64+300</f>
        <v>1050</v>
      </c>
      <c r="E1114" s="196">
        <f>E64+500</f>
        <v>1900</v>
      </c>
      <c r="F1114" s="196">
        <f>F64+500</f>
        <v>1900</v>
      </c>
      <c r="G1114" s="217" t="s">
        <v>4557</v>
      </c>
      <c r="H1114" s="69" t="s">
        <v>4556</v>
      </c>
      <c r="I1114" s="38" t="s">
        <v>4540</v>
      </c>
      <c r="J1114" s="140"/>
      <c r="K1114" s="38"/>
      <c r="L1114" s="116" t="s">
        <v>4539</v>
      </c>
      <c r="M1114" s="6">
        <v>43084</v>
      </c>
      <c r="N1114" s="6">
        <v>43100</v>
      </c>
      <c r="O1114" s="61" t="s">
        <v>4555</v>
      </c>
      <c r="P1114" s="61"/>
      <c r="Q1114" s="61"/>
      <c r="R1114" s="239" t="s">
        <v>4554</v>
      </c>
      <c r="S1114" s="326" t="s">
        <v>4543</v>
      </c>
      <c r="T1114" s="722"/>
      <c r="U1114" s="42"/>
      <c r="AE1114" s="283"/>
      <c r="AF1114" s="283"/>
      <c r="AG1114" s="283"/>
      <c r="AH1114" s="283"/>
      <c r="AI1114" s="283"/>
      <c r="AJ1114" s="283"/>
      <c r="AK1114" s="283"/>
      <c r="AL1114" s="283"/>
      <c r="AM1114" s="283"/>
      <c r="AN1114" s="283"/>
      <c r="AO1114" s="283"/>
      <c r="AP1114" s="283"/>
      <c r="AQ1114" s="283"/>
      <c r="AR1114" s="283"/>
      <c r="AS1114" s="283"/>
      <c r="AT1114" s="283"/>
      <c r="AU1114" s="283"/>
      <c r="AV1114" s="283"/>
      <c r="AW1114" s="283"/>
      <c r="AX1114" s="283"/>
      <c r="AY1114" s="283"/>
      <c r="AZ1114" s="283"/>
      <c r="BA1114" s="283"/>
      <c r="BB1114" s="283"/>
      <c r="BC1114" s="283"/>
      <c r="BD1114" s="283"/>
      <c r="BE1114" s="283"/>
      <c r="BF1114" s="283"/>
      <c r="BG1114" s="283"/>
      <c r="BH1114" s="283"/>
      <c r="BI1114" s="283"/>
      <c r="BJ1114" s="283"/>
      <c r="BK1114" s="283"/>
      <c r="BL1114" s="283"/>
      <c r="BM1114" s="283"/>
      <c r="BN1114" s="283"/>
      <c r="BO1114" s="283"/>
      <c r="BP1114" s="283"/>
    </row>
    <row r="1115" spans="1:68" ht="20.100000000000001" customHeight="1">
      <c r="A1115" s="1228" t="s">
        <v>4582</v>
      </c>
      <c r="B1115" s="1228" t="s">
        <v>4749</v>
      </c>
      <c r="C1115" s="1228" t="s">
        <v>4766</v>
      </c>
      <c r="D1115" s="273">
        <f>D211+450+25</f>
        <v>1200</v>
      </c>
      <c r="E1115" s="273">
        <f>E211+650+50</f>
        <v>2050</v>
      </c>
      <c r="F1115" s="273">
        <f>F211+650+50</f>
        <v>2100</v>
      </c>
      <c r="G1115" s="110" t="s">
        <v>4566</v>
      </c>
      <c r="H1115" s="69" t="s">
        <v>4556</v>
      </c>
      <c r="I1115" s="38" t="s">
        <v>4540</v>
      </c>
      <c r="J1115" s="30"/>
      <c r="K1115" s="38"/>
      <c r="L1115" s="116" t="s">
        <v>4539</v>
      </c>
      <c r="M1115" s="15">
        <v>43084</v>
      </c>
      <c r="N1115" s="15">
        <v>43100</v>
      </c>
      <c r="O1115" s="59" t="s">
        <v>4638</v>
      </c>
      <c r="P1115" s="61"/>
      <c r="Q1115" s="61"/>
      <c r="R1115" s="239"/>
      <c r="S1115" s="327" t="s">
        <v>4561</v>
      </c>
      <c r="T1115" s="722"/>
      <c r="U1115" s="42"/>
      <c r="AE1115" s="282"/>
      <c r="AF1115" s="282"/>
      <c r="AG1115" s="282"/>
      <c r="AH1115" s="282"/>
      <c r="AI1115" s="282"/>
      <c r="AJ1115" s="282"/>
      <c r="AK1115" s="282"/>
      <c r="AL1115" s="282"/>
      <c r="AM1115" s="282"/>
      <c r="AN1115" s="282"/>
      <c r="AO1115" s="282"/>
      <c r="AP1115" s="282"/>
      <c r="AQ1115" s="282"/>
      <c r="AR1115" s="282"/>
      <c r="AS1115" s="282"/>
      <c r="AT1115" s="282"/>
      <c r="AU1115" s="282"/>
      <c r="AV1115" s="282"/>
      <c r="AW1115" s="282"/>
      <c r="AX1115" s="282"/>
      <c r="AY1115" s="282"/>
      <c r="AZ1115" s="282"/>
      <c r="BA1115" s="282"/>
      <c r="BB1115" s="282"/>
      <c r="BC1115" s="282"/>
      <c r="BD1115" s="282"/>
      <c r="BE1115" s="282"/>
      <c r="BF1115" s="282"/>
      <c r="BG1115" s="282"/>
      <c r="BH1115" s="282"/>
      <c r="BI1115" s="282"/>
      <c r="BJ1115" s="282"/>
      <c r="BK1115" s="282"/>
      <c r="BL1115" s="282"/>
      <c r="BM1115" s="282"/>
      <c r="BN1115" s="282"/>
      <c r="BO1115" s="282"/>
      <c r="BP1115" s="282"/>
    </row>
    <row r="1116" spans="1:68" ht="20.100000000000001" customHeight="1">
      <c r="A1116" s="1228" t="s">
        <v>4582</v>
      </c>
      <c r="B1116" s="1228" t="s">
        <v>4749</v>
      </c>
      <c r="C1116" s="1228" t="s">
        <v>4765</v>
      </c>
      <c r="D1116" s="195">
        <f>D161+(455+140)*1.4</f>
        <v>1683</v>
      </c>
      <c r="E1116" s="195">
        <f>E161+(507+140)*1.4</f>
        <v>2505.8000000000002</v>
      </c>
      <c r="F1116" s="195">
        <f>F161+(535+140)*1.4</f>
        <v>2595</v>
      </c>
      <c r="G1116" s="217" t="s">
        <v>4572</v>
      </c>
      <c r="H1116" s="56" t="s">
        <v>4753</v>
      </c>
      <c r="I1116" s="38" t="s">
        <v>4752</v>
      </c>
      <c r="J1116" s="30"/>
      <c r="K1116" s="38"/>
      <c r="L1116" s="116" t="s">
        <v>4539</v>
      </c>
      <c r="M1116" s="15">
        <v>43070</v>
      </c>
      <c r="N1116" s="15">
        <v>43100</v>
      </c>
      <c r="O1116" s="59" t="s">
        <v>4571</v>
      </c>
      <c r="P1116" s="61" t="s">
        <v>4598</v>
      </c>
      <c r="Q1116" s="14" t="s">
        <v>4642</v>
      </c>
      <c r="R1116" s="239"/>
      <c r="S1116" s="327" t="s">
        <v>4570</v>
      </c>
      <c r="T1116" s="722"/>
      <c r="U1116" s="42"/>
      <c r="AE1116" s="115"/>
      <c r="AF1116" s="115"/>
      <c r="AG1116" s="115"/>
      <c r="AH1116" s="115"/>
      <c r="AI1116" s="115"/>
      <c r="AJ1116" s="115"/>
      <c r="AK1116" s="115"/>
      <c r="AL1116" s="115"/>
      <c r="AM1116" s="115"/>
      <c r="AN1116" s="115"/>
      <c r="AO1116" s="115"/>
      <c r="AP1116" s="115"/>
      <c r="AQ1116" s="115"/>
      <c r="AR1116" s="115"/>
      <c r="AS1116" s="115"/>
      <c r="AT1116" s="115"/>
      <c r="AU1116" s="115"/>
      <c r="AV1116" s="115"/>
      <c r="AW1116" s="115"/>
      <c r="AX1116" s="115"/>
      <c r="AY1116" s="115"/>
      <c r="AZ1116" s="115"/>
      <c r="BA1116" s="115"/>
      <c r="BB1116" s="115"/>
      <c r="BC1116" s="115"/>
      <c r="BD1116" s="115"/>
      <c r="BE1116" s="115"/>
      <c r="BF1116" s="115"/>
      <c r="BG1116" s="115"/>
      <c r="BH1116" s="115"/>
      <c r="BI1116" s="115"/>
      <c r="BJ1116" s="115"/>
      <c r="BK1116" s="115"/>
      <c r="BL1116" s="115"/>
      <c r="BM1116" s="115"/>
      <c r="BN1116" s="115"/>
      <c r="BO1116" s="115"/>
      <c r="BP1116" s="115"/>
    </row>
    <row r="1117" spans="1:68" ht="20.100000000000001" customHeight="1">
      <c r="A1117" s="1228" t="s">
        <v>4582</v>
      </c>
      <c r="B1117" s="1228" t="s">
        <v>4749</v>
      </c>
      <c r="C1117" s="1228" t="s">
        <v>4765</v>
      </c>
      <c r="D1117" s="195">
        <f>D161+(501+140)*1.4</f>
        <v>1747.4</v>
      </c>
      <c r="E1117" s="195">
        <f>E161+(557+140)*1.4</f>
        <v>2575.8000000000002</v>
      </c>
      <c r="F1117" s="195">
        <f>F161+(557+140)*1.4</f>
        <v>2625.8</v>
      </c>
      <c r="G1117" s="217" t="s">
        <v>4572</v>
      </c>
      <c r="H1117" s="56" t="s">
        <v>4753</v>
      </c>
      <c r="I1117" s="38" t="s">
        <v>4752</v>
      </c>
      <c r="J1117" s="30"/>
      <c r="K1117" s="38"/>
      <c r="L1117" s="116" t="s">
        <v>4539</v>
      </c>
      <c r="M1117" s="15">
        <v>43070</v>
      </c>
      <c r="N1117" s="15">
        <v>43100</v>
      </c>
      <c r="O1117" s="59" t="s">
        <v>4571</v>
      </c>
      <c r="P1117" s="61" t="s">
        <v>4598</v>
      </c>
      <c r="Q1117" s="14" t="s">
        <v>4585</v>
      </c>
      <c r="R1117" s="239"/>
      <c r="S1117" s="327" t="s">
        <v>4570</v>
      </c>
      <c r="T1117" s="722"/>
      <c r="U1117" s="42"/>
      <c r="AE1117" s="115"/>
      <c r="AF1117" s="115"/>
      <c r="AG1117" s="115"/>
      <c r="AH1117" s="115"/>
      <c r="AI1117" s="115"/>
      <c r="AJ1117" s="115"/>
      <c r="AK1117" s="115"/>
      <c r="AL1117" s="115"/>
      <c r="AM1117" s="115"/>
      <c r="AN1117" s="115"/>
      <c r="AO1117" s="115"/>
      <c r="AP1117" s="115"/>
      <c r="AQ1117" s="115"/>
      <c r="AR1117" s="115"/>
      <c r="AS1117" s="115"/>
      <c r="AT1117" s="115"/>
      <c r="AU1117" s="115"/>
      <c r="AV1117" s="115"/>
      <c r="AW1117" s="115"/>
      <c r="AX1117" s="115"/>
      <c r="AY1117" s="115"/>
      <c r="AZ1117" s="115"/>
      <c r="BA1117" s="115"/>
      <c r="BB1117" s="115"/>
      <c r="BC1117" s="115"/>
      <c r="BD1117" s="115"/>
      <c r="BE1117" s="115"/>
      <c r="BF1117" s="115"/>
      <c r="BG1117" s="115"/>
      <c r="BH1117" s="115"/>
      <c r="BI1117" s="115"/>
      <c r="BJ1117" s="115"/>
      <c r="BK1117" s="115"/>
      <c r="BL1117" s="115"/>
      <c r="BM1117" s="115"/>
      <c r="BN1117" s="115"/>
      <c r="BO1117" s="115"/>
      <c r="BP1117" s="115"/>
    </row>
    <row r="1118" spans="1:68" ht="20.100000000000001" customHeight="1">
      <c r="A1118" s="1228" t="s">
        <v>4582</v>
      </c>
      <c r="B1118" s="1228" t="s">
        <v>4749</v>
      </c>
      <c r="C1118" s="1228" t="s">
        <v>4765</v>
      </c>
      <c r="D1118" s="195">
        <f>D162+309*1.0625*1.3</f>
        <v>1301.8062500000001</v>
      </c>
      <c r="E1118" s="195">
        <f>E162+362*1.0625*1.3</f>
        <v>2050.0124999999998</v>
      </c>
      <c r="F1118" s="195">
        <f>F162+362*1.0625*1.3</f>
        <v>2100.0124999999998</v>
      </c>
      <c r="G1118" s="217" t="s">
        <v>4575</v>
      </c>
      <c r="H1118" s="48" t="s">
        <v>4753</v>
      </c>
      <c r="I1118" s="20" t="s">
        <v>4752</v>
      </c>
      <c r="J1118" s="30"/>
      <c r="K1118" s="38"/>
      <c r="L1118" s="116" t="s">
        <v>4539</v>
      </c>
      <c r="M1118" s="15">
        <v>43084</v>
      </c>
      <c r="N1118" s="15">
        <v>43100</v>
      </c>
      <c r="O1118" s="61" t="s">
        <v>4751</v>
      </c>
      <c r="P1118" s="59"/>
      <c r="Q1118" s="14" t="s">
        <v>4761</v>
      </c>
      <c r="R1118" s="239"/>
      <c r="S1118" s="328" t="s">
        <v>4543</v>
      </c>
      <c r="T1118" s="722"/>
      <c r="U1118" s="42"/>
      <c r="AE1118" s="283"/>
      <c r="AF1118" s="283"/>
      <c r="AG1118" s="283"/>
      <c r="AH1118" s="283"/>
      <c r="AI1118" s="283"/>
      <c r="AJ1118" s="283"/>
      <c r="AK1118" s="283"/>
      <c r="AL1118" s="283"/>
      <c r="AM1118" s="283"/>
      <c r="AN1118" s="283"/>
      <c r="AO1118" s="283"/>
      <c r="AP1118" s="283"/>
      <c r="AQ1118" s="283"/>
      <c r="AR1118" s="283"/>
      <c r="AS1118" s="283"/>
      <c r="AT1118" s="283"/>
      <c r="AU1118" s="283"/>
      <c r="AV1118" s="283"/>
      <c r="AW1118" s="283"/>
      <c r="AX1118" s="283"/>
      <c r="AY1118" s="283"/>
      <c r="AZ1118" s="283"/>
      <c r="BA1118" s="283"/>
      <c r="BB1118" s="283"/>
      <c r="BC1118" s="283"/>
      <c r="BD1118" s="283"/>
      <c r="BE1118" s="283"/>
      <c r="BF1118" s="283"/>
      <c r="BG1118" s="283"/>
      <c r="BH1118" s="283"/>
      <c r="BI1118" s="283"/>
      <c r="BJ1118" s="283"/>
      <c r="BK1118" s="283"/>
      <c r="BL1118" s="283"/>
      <c r="BM1118" s="283"/>
      <c r="BN1118" s="283"/>
      <c r="BO1118" s="283"/>
      <c r="BP1118" s="283"/>
    </row>
    <row r="1119" spans="1:68" ht="20.100000000000001" customHeight="1">
      <c r="A1119" s="1228" t="s">
        <v>4582</v>
      </c>
      <c r="B1119" s="1228" t="s">
        <v>4749</v>
      </c>
      <c r="C1119" s="1228" t="s">
        <v>4765</v>
      </c>
      <c r="D1119" s="195">
        <f>D186+925+25</f>
        <v>1725</v>
      </c>
      <c r="E1119" s="195">
        <f>E186+950+50</f>
        <v>2450</v>
      </c>
      <c r="F1119" s="195">
        <f>F186+950+50</f>
        <v>2500</v>
      </c>
      <c r="G1119" s="12" t="s">
        <v>4542</v>
      </c>
      <c r="H1119" s="69" t="s">
        <v>4556</v>
      </c>
      <c r="I1119" s="38" t="s">
        <v>4743</v>
      </c>
      <c r="J1119" s="140"/>
      <c r="K1119" s="38"/>
      <c r="L1119" s="116" t="s">
        <v>4539</v>
      </c>
      <c r="M1119" s="15">
        <v>43084</v>
      </c>
      <c r="N1119" s="15">
        <v>43100</v>
      </c>
      <c r="O1119" s="61" t="s">
        <v>4538</v>
      </c>
      <c r="P1119" s="61"/>
      <c r="Q1119" s="61"/>
      <c r="R1119" s="239"/>
      <c r="S1119" s="326" t="s">
        <v>4537</v>
      </c>
      <c r="T1119" s="722"/>
      <c r="U1119" s="42"/>
      <c r="AE1119" s="233"/>
      <c r="AF1119" s="233"/>
      <c r="AG1119" s="233"/>
      <c r="AH1119" s="233"/>
      <c r="AI1119" s="233"/>
      <c r="AJ1119" s="233"/>
      <c r="AK1119" s="233"/>
      <c r="AL1119" s="233"/>
      <c r="AM1119" s="233"/>
      <c r="AN1119" s="233"/>
      <c r="AO1119" s="233"/>
      <c r="AP1119" s="233"/>
      <c r="AQ1119" s="233"/>
      <c r="AR1119" s="233"/>
      <c r="AS1119" s="233"/>
      <c r="AT1119" s="233"/>
      <c r="AU1119" s="233"/>
      <c r="AV1119" s="233"/>
      <c r="AW1119" s="233"/>
      <c r="AX1119" s="233"/>
      <c r="AY1119" s="233"/>
      <c r="AZ1119" s="233"/>
      <c r="BA1119" s="233"/>
      <c r="BB1119" s="233"/>
      <c r="BC1119" s="233"/>
      <c r="BD1119" s="233"/>
      <c r="BE1119" s="233"/>
      <c r="BF1119" s="233"/>
      <c r="BG1119" s="233"/>
      <c r="BH1119" s="233"/>
      <c r="BI1119" s="233"/>
      <c r="BJ1119" s="233"/>
      <c r="BK1119" s="233"/>
      <c r="BL1119" s="233"/>
      <c r="BM1119" s="233"/>
      <c r="BN1119" s="233"/>
      <c r="BO1119" s="233"/>
      <c r="BP1119" s="233"/>
    </row>
    <row r="1120" spans="1:68" ht="20.100000000000001" customHeight="1">
      <c r="A1120" s="1228" t="s">
        <v>4582</v>
      </c>
      <c r="B1120" s="1228" t="s">
        <v>4749</v>
      </c>
      <c r="C1120" s="1228" t="s">
        <v>4764</v>
      </c>
      <c r="D1120" s="345">
        <f>D193+250+25</f>
        <v>1125</v>
      </c>
      <c r="E1120" s="345">
        <f>E193+350+50</f>
        <v>2000</v>
      </c>
      <c r="F1120" s="345">
        <f>F193+350+50</f>
        <v>2050</v>
      </c>
      <c r="G1120" s="217" t="s">
        <v>4572</v>
      </c>
      <c r="H1120" s="36" t="s">
        <v>4556</v>
      </c>
      <c r="I1120" s="20" t="s">
        <v>4743</v>
      </c>
      <c r="J1120" s="30"/>
      <c r="K1120" s="38"/>
      <c r="L1120" s="116" t="s">
        <v>4539</v>
      </c>
      <c r="M1120" s="15">
        <v>43070</v>
      </c>
      <c r="N1120" s="15">
        <v>43100</v>
      </c>
      <c r="O1120" s="59" t="s">
        <v>4571</v>
      </c>
      <c r="P1120" s="61"/>
      <c r="Q1120" s="14"/>
      <c r="R1120" s="239"/>
      <c r="S1120" s="327" t="s">
        <v>4570</v>
      </c>
      <c r="T1120" s="722"/>
      <c r="U1120" s="42"/>
      <c r="AE1120" s="115"/>
      <c r="AF1120" s="115"/>
      <c r="AG1120" s="115"/>
      <c r="AH1120" s="115"/>
      <c r="AI1120" s="115"/>
      <c r="AJ1120" s="115"/>
      <c r="AK1120" s="115"/>
      <c r="AL1120" s="115"/>
      <c r="AM1120" s="115"/>
      <c r="AN1120" s="115"/>
      <c r="AO1120" s="115"/>
      <c r="AP1120" s="115"/>
      <c r="AQ1120" s="115"/>
      <c r="AR1120" s="115"/>
      <c r="AS1120" s="115"/>
      <c r="AT1120" s="115"/>
      <c r="AU1120" s="115"/>
      <c r="AV1120" s="115"/>
      <c r="AW1120" s="115"/>
      <c r="AX1120" s="115"/>
      <c r="AY1120" s="115"/>
      <c r="AZ1120" s="115"/>
      <c r="BA1120" s="115"/>
      <c r="BB1120" s="115"/>
      <c r="BC1120" s="115"/>
      <c r="BD1120" s="115"/>
      <c r="BE1120" s="115"/>
      <c r="BF1120" s="115"/>
      <c r="BG1120" s="115"/>
      <c r="BH1120" s="115"/>
      <c r="BI1120" s="115"/>
      <c r="BJ1120" s="115"/>
      <c r="BK1120" s="115"/>
      <c r="BL1120" s="115"/>
      <c r="BM1120" s="115"/>
      <c r="BN1120" s="115"/>
      <c r="BO1120" s="115"/>
      <c r="BP1120" s="115"/>
    </row>
    <row r="1121" spans="1:68" ht="20.100000000000001" customHeight="1">
      <c r="A1121" s="1228" t="s">
        <v>4582</v>
      </c>
      <c r="B1121" s="1228" t="s">
        <v>4749</v>
      </c>
      <c r="C1121" s="1228" t="s">
        <v>4764</v>
      </c>
      <c r="D1121" s="195">
        <f>D162+320*1.0625*1.3</f>
        <v>1317</v>
      </c>
      <c r="E1121" s="195">
        <f>E162+375*1.0625*1.3</f>
        <v>2067.96875</v>
      </c>
      <c r="F1121" s="195">
        <f>F162+375*1.0625*1.3</f>
        <v>2117.96875</v>
      </c>
      <c r="G1121" s="217" t="s">
        <v>4575</v>
      </c>
      <c r="H1121" s="48" t="s">
        <v>4753</v>
      </c>
      <c r="I1121" s="20" t="s">
        <v>4752</v>
      </c>
      <c r="J1121" s="30"/>
      <c r="K1121" s="38"/>
      <c r="L1121" s="116" t="s">
        <v>4539</v>
      </c>
      <c r="M1121" s="15">
        <v>43084</v>
      </c>
      <c r="N1121" s="15">
        <v>43100</v>
      </c>
      <c r="O1121" s="61" t="s">
        <v>4751</v>
      </c>
      <c r="P1121" s="59"/>
      <c r="Q1121" s="14" t="s">
        <v>4761</v>
      </c>
      <c r="R1121" s="239"/>
      <c r="S1121" s="328" t="s">
        <v>4543</v>
      </c>
      <c r="T1121" s="722"/>
      <c r="U1121" s="42"/>
      <c r="AE1121" s="115"/>
      <c r="AF1121" s="115"/>
      <c r="AG1121" s="115"/>
      <c r="AH1121" s="115"/>
      <c r="AI1121" s="115"/>
      <c r="AJ1121" s="115"/>
      <c r="AK1121" s="115"/>
      <c r="AL1121" s="115"/>
      <c r="AM1121" s="115"/>
      <c r="AN1121" s="115"/>
      <c r="AO1121" s="115"/>
      <c r="AP1121" s="115"/>
      <c r="AQ1121" s="115"/>
      <c r="AR1121" s="115"/>
      <c r="AS1121" s="115"/>
      <c r="AT1121" s="115"/>
      <c r="AU1121" s="115"/>
      <c r="AV1121" s="115"/>
      <c r="AW1121" s="115"/>
      <c r="AX1121" s="115"/>
      <c r="AY1121" s="115"/>
      <c r="AZ1121" s="115"/>
      <c r="BA1121" s="115"/>
      <c r="BB1121" s="115"/>
      <c r="BC1121" s="115"/>
      <c r="BD1121" s="115"/>
      <c r="BE1121" s="115"/>
      <c r="BF1121" s="115"/>
      <c r="BG1121" s="115"/>
      <c r="BH1121" s="115"/>
      <c r="BI1121" s="115"/>
      <c r="BJ1121" s="115"/>
      <c r="BK1121" s="115"/>
      <c r="BL1121" s="115"/>
      <c r="BM1121" s="115"/>
      <c r="BN1121" s="115"/>
      <c r="BO1121" s="115"/>
      <c r="BP1121" s="115"/>
    </row>
    <row r="1122" spans="1:68" ht="20.100000000000001" customHeight="1">
      <c r="A1122" s="1228" t="s">
        <v>4582</v>
      </c>
      <c r="B1122" s="1228" t="s">
        <v>4749</v>
      </c>
      <c r="C1122" s="1228" t="s">
        <v>4764</v>
      </c>
      <c r="D1122" s="273">
        <f>D211+450+25</f>
        <v>1200</v>
      </c>
      <c r="E1122" s="273">
        <f>E211+650+50</f>
        <v>2050</v>
      </c>
      <c r="F1122" s="273">
        <f>F211+650+50</f>
        <v>2100</v>
      </c>
      <c r="G1122" s="110" t="s">
        <v>4566</v>
      </c>
      <c r="H1122" s="69" t="s">
        <v>4556</v>
      </c>
      <c r="I1122" s="38" t="s">
        <v>4540</v>
      </c>
      <c r="J1122" s="30"/>
      <c r="K1122" s="38"/>
      <c r="L1122" s="116" t="s">
        <v>4539</v>
      </c>
      <c r="M1122" s="15">
        <v>43084</v>
      </c>
      <c r="N1122" s="15">
        <v>43100</v>
      </c>
      <c r="O1122" s="59" t="s">
        <v>4638</v>
      </c>
      <c r="P1122" s="61"/>
      <c r="Q1122" s="61"/>
      <c r="R1122" s="239"/>
      <c r="S1122" s="327" t="s">
        <v>4561</v>
      </c>
      <c r="T1122" s="722"/>
      <c r="U1122" s="42"/>
      <c r="AE1122" s="283"/>
      <c r="AF1122" s="283"/>
      <c r="AG1122" s="283"/>
      <c r="AH1122" s="283"/>
      <c r="AI1122" s="283"/>
      <c r="AJ1122" s="283"/>
      <c r="AK1122" s="283"/>
      <c r="AL1122" s="283"/>
      <c r="AM1122" s="283"/>
      <c r="AN1122" s="283"/>
      <c r="AO1122" s="283"/>
      <c r="AP1122" s="283"/>
      <c r="AQ1122" s="283"/>
      <c r="AR1122" s="283"/>
      <c r="AS1122" s="283"/>
      <c r="AT1122" s="283"/>
      <c r="AU1122" s="283"/>
      <c r="AV1122" s="283"/>
      <c r="AW1122" s="283"/>
      <c r="AX1122" s="283"/>
      <c r="AY1122" s="283"/>
      <c r="AZ1122" s="283"/>
      <c r="BA1122" s="283"/>
      <c r="BB1122" s="283"/>
      <c r="BC1122" s="283"/>
      <c r="BD1122" s="283"/>
      <c r="BE1122" s="283"/>
      <c r="BF1122" s="283"/>
      <c r="BG1122" s="283"/>
      <c r="BH1122" s="283"/>
      <c r="BI1122" s="283"/>
      <c r="BJ1122" s="283"/>
      <c r="BK1122" s="283"/>
      <c r="BL1122" s="283"/>
      <c r="BM1122" s="283"/>
      <c r="BN1122" s="283"/>
      <c r="BO1122" s="283"/>
      <c r="BP1122" s="283"/>
    </row>
    <row r="1123" spans="1:68" ht="20.100000000000001" customHeight="1">
      <c r="A1123" s="1228" t="s">
        <v>4582</v>
      </c>
      <c r="B1123" s="1228" t="s">
        <v>4749</v>
      </c>
      <c r="C1123" s="1228" t="s">
        <v>4764</v>
      </c>
      <c r="D1123" s="195">
        <f>D120+200</f>
        <v>1100</v>
      </c>
      <c r="E1123" s="195">
        <f>E120+300</f>
        <v>1900</v>
      </c>
      <c r="F1123" s="195">
        <f>F120+300</f>
        <v>1950</v>
      </c>
      <c r="G1123" s="110" t="s">
        <v>4553</v>
      </c>
      <c r="H1123" s="55" t="s">
        <v>4552</v>
      </c>
      <c r="I1123" s="38" t="s">
        <v>4551</v>
      </c>
      <c r="J1123" s="30"/>
      <c r="K1123" s="38">
        <v>36</v>
      </c>
      <c r="L1123" s="116" t="s">
        <v>4539</v>
      </c>
      <c r="M1123" s="6">
        <v>43085</v>
      </c>
      <c r="N1123" s="6">
        <v>43100</v>
      </c>
      <c r="O1123" s="61" t="s">
        <v>4744</v>
      </c>
      <c r="P1123" s="61"/>
      <c r="Q1123" s="61"/>
      <c r="R1123" s="239"/>
      <c r="S1123" s="328" t="s">
        <v>4543</v>
      </c>
      <c r="T1123" s="722"/>
      <c r="U1123" s="42"/>
      <c r="AE1123" s="283"/>
      <c r="AF1123" s="283"/>
      <c r="AG1123" s="283"/>
      <c r="AH1123" s="283"/>
      <c r="AI1123" s="283"/>
      <c r="AJ1123" s="283"/>
      <c r="AK1123" s="283"/>
      <c r="AL1123" s="283"/>
      <c r="AM1123" s="283"/>
      <c r="AN1123" s="283"/>
      <c r="AO1123" s="283"/>
      <c r="AP1123" s="283"/>
      <c r="AQ1123" s="283"/>
      <c r="AR1123" s="283"/>
      <c r="AS1123" s="283"/>
      <c r="AT1123" s="283"/>
      <c r="AU1123" s="283"/>
      <c r="AV1123" s="283"/>
      <c r="AW1123" s="283"/>
      <c r="AX1123" s="283"/>
      <c r="AY1123" s="283"/>
      <c r="AZ1123" s="283"/>
      <c r="BA1123" s="283"/>
      <c r="BB1123" s="283"/>
      <c r="BC1123" s="283"/>
      <c r="BD1123" s="283"/>
      <c r="BE1123" s="283"/>
      <c r="BF1123" s="283"/>
      <c r="BG1123" s="283"/>
      <c r="BH1123" s="283"/>
      <c r="BI1123" s="283"/>
      <c r="BJ1123" s="283"/>
      <c r="BK1123" s="283"/>
      <c r="BL1123" s="283"/>
      <c r="BM1123" s="283"/>
      <c r="BN1123" s="283"/>
      <c r="BO1123" s="283"/>
      <c r="BP1123" s="283"/>
    </row>
    <row r="1124" spans="1:68" ht="20.100000000000001" customHeight="1">
      <c r="A1124" s="1228" t="s">
        <v>4582</v>
      </c>
      <c r="B1124" s="1228" t="s">
        <v>4749</v>
      </c>
      <c r="C1124" s="1228" t="s">
        <v>4762</v>
      </c>
      <c r="D1124" s="195">
        <f>D161+(375+140)*1.4</f>
        <v>1571</v>
      </c>
      <c r="E1124" s="195">
        <f>E161+(375+140)*1.4</f>
        <v>2321</v>
      </c>
      <c r="F1124" s="195">
        <f>F161+(375+140)*1.4</f>
        <v>2371</v>
      </c>
      <c r="G1124" s="217" t="s">
        <v>4572</v>
      </c>
      <c r="H1124" s="56" t="s">
        <v>4753</v>
      </c>
      <c r="I1124" s="38" t="s">
        <v>4752</v>
      </c>
      <c r="J1124" s="30"/>
      <c r="K1124" s="38"/>
      <c r="L1124" s="116" t="s">
        <v>4539</v>
      </c>
      <c r="M1124" s="15">
        <v>43070</v>
      </c>
      <c r="N1124" s="15">
        <v>43100</v>
      </c>
      <c r="O1124" s="59" t="s">
        <v>4571</v>
      </c>
      <c r="P1124" s="61" t="s">
        <v>4598</v>
      </c>
      <c r="Q1124" s="14" t="s">
        <v>4585</v>
      </c>
      <c r="R1124" s="239"/>
      <c r="S1124" s="327" t="s">
        <v>4570</v>
      </c>
      <c r="T1124" s="722"/>
      <c r="U1124" s="42"/>
      <c r="AE1124" s="115"/>
      <c r="AF1124" s="115"/>
      <c r="AG1124" s="115"/>
      <c r="AH1124" s="115"/>
      <c r="AI1124" s="115"/>
      <c r="AJ1124" s="115"/>
      <c r="AK1124" s="115"/>
      <c r="AL1124" s="115"/>
      <c r="AM1124" s="115"/>
      <c r="AN1124" s="115"/>
      <c r="AO1124" s="115"/>
      <c r="AP1124" s="115"/>
      <c r="AQ1124" s="115"/>
      <c r="AR1124" s="115"/>
      <c r="AS1124" s="115"/>
      <c r="AT1124" s="115"/>
      <c r="AU1124" s="115"/>
      <c r="AV1124" s="115"/>
      <c r="AW1124" s="115"/>
      <c r="AX1124" s="115"/>
      <c r="AY1124" s="115"/>
      <c r="AZ1124" s="115"/>
      <c r="BA1124" s="115"/>
      <c r="BB1124" s="115"/>
      <c r="BC1124" s="115"/>
      <c r="BD1124" s="115"/>
      <c r="BE1124" s="115"/>
      <c r="BF1124" s="115"/>
      <c r="BG1124" s="115"/>
      <c r="BH1124" s="115"/>
      <c r="BI1124" s="115"/>
      <c r="BJ1124" s="115"/>
      <c r="BK1124" s="115"/>
      <c r="BL1124" s="115"/>
      <c r="BM1124" s="115"/>
      <c r="BN1124" s="115"/>
      <c r="BO1124" s="115"/>
      <c r="BP1124" s="115"/>
    </row>
    <row r="1125" spans="1:68" ht="20.100000000000001" customHeight="1">
      <c r="A1125" s="1228" t="s">
        <v>4582</v>
      </c>
      <c r="B1125" s="1228" t="s">
        <v>4749</v>
      </c>
      <c r="C1125" s="1228" t="s">
        <v>4762</v>
      </c>
      <c r="D1125" s="195">
        <f>D162+284*1.0124*1.3</f>
        <v>1248.77808</v>
      </c>
      <c r="E1125" s="195">
        <f>E162+284*1.0124*1.3</f>
        <v>1923.77808</v>
      </c>
      <c r="F1125" s="195">
        <f>F162+284*1.0124*1.3</f>
        <v>1973.77808</v>
      </c>
      <c r="G1125" s="217" t="s">
        <v>4575</v>
      </c>
      <c r="H1125" s="48" t="s">
        <v>4753</v>
      </c>
      <c r="I1125" s="20" t="s">
        <v>4752</v>
      </c>
      <c r="J1125" s="30"/>
      <c r="K1125" s="38"/>
      <c r="L1125" s="116" t="s">
        <v>4539</v>
      </c>
      <c r="M1125" s="15">
        <v>43084</v>
      </c>
      <c r="N1125" s="15">
        <v>43100</v>
      </c>
      <c r="O1125" s="61" t="s">
        <v>4751</v>
      </c>
      <c r="P1125" s="61"/>
      <c r="Q1125" s="14" t="s">
        <v>4763</v>
      </c>
      <c r="R1125" s="239"/>
      <c r="S1125" s="328" t="s">
        <v>4543</v>
      </c>
      <c r="T1125" s="722"/>
      <c r="U1125" s="42"/>
      <c r="AE1125" s="279"/>
      <c r="AF1125" s="279"/>
      <c r="AG1125" s="279"/>
      <c r="AH1125" s="279"/>
      <c r="AI1125" s="279"/>
      <c r="AJ1125" s="279"/>
      <c r="AK1125" s="279"/>
      <c r="AL1125" s="279"/>
      <c r="AM1125" s="279"/>
      <c r="AN1125" s="279"/>
      <c r="AO1125" s="279"/>
      <c r="AP1125" s="279"/>
      <c r="AQ1125" s="279"/>
      <c r="AR1125" s="279"/>
      <c r="AS1125" s="279"/>
      <c r="AT1125" s="279"/>
      <c r="AU1125" s="279"/>
      <c r="AV1125" s="279"/>
      <c r="AW1125" s="279"/>
      <c r="AX1125" s="279"/>
      <c r="AY1125" s="279"/>
      <c r="AZ1125" s="279"/>
      <c r="BA1125" s="279"/>
      <c r="BB1125" s="279"/>
      <c r="BC1125" s="279"/>
      <c r="BD1125" s="279"/>
      <c r="BE1125" s="279"/>
      <c r="BF1125" s="279"/>
      <c r="BG1125" s="279"/>
      <c r="BH1125" s="279"/>
      <c r="BI1125" s="279"/>
      <c r="BJ1125" s="279"/>
      <c r="BK1125" s="279"/>
      <c r="BL1125" s="279"/>
      <c r="BM1125" s="279"/>
      <c r="BN1125" s="279"/>
      <c r="BO1125" s="279"/>
      <c r="BP1125" s="279"/>
    </row>
    <row r="1126" spans="1:68" ht="20.100000000000001" customHeight="1">
      <c r="A1126" s="1228" t="s">
        <v>4582</v>
      </c>
      <c r="B1126" s="1228" t="s">
        <v>4749</v>
      </c>
      <c r="C1126" s="1228" t="s">
        <v>4762</v>
      </c>
      <c r="D1126" s="195">
        <f>D186+850+25</f>
        <v>1650</v>
      </c>
      <c r="E1126" s="195">
        <f>E186+825+50</f>
        <v>2325</v>
      </c>
      <c r="F1126" s="195">
        <f>F186+825+50</f>
        <v>2375</v>
      </c>
      <c r="G1126" s="12" t="s">
        <v>4542</v>
      </c>
      <c r="H1126" s="69" t="s">
        <v>4556</v>
      </c>
      <c r="I1126" s="38" t="s">
        <v>4743</v>
      </c>
      <c r="J1126" s="140"/>
      <c r="K1126" s="38"/>
      <c r="L1126" s="116" t="s">
        <v>4539</v>
      </c>
      <c r="M1126" s="15">
        <v>43084</v>
      </c>
      <c r="N1126" s="15">
        <v>43100</v>
      </c>
      <c r="O1126" s="61" t="s">
        <v>4538</v>
      </c>
      <c r="P1126" s="61"/>
      <c r="Q1126" s="61"/>
      <c r="R1126" s="239"/>
      <c r="S1126" s="326" t="s">
        <v>4537</v>
      </c>
      <c r="T1126" s="722"/>
      <c r="U1126" s="42"/>
      <c r="AE1126" s="283"/>
      <c r="AF1126" s="283"/>
      <c r="AG1126" s="283"/>
      <c r="AH1126" s="283"/>
      <c r="AI1126" s="283"/>
      <c r="AJ1126" s="283"/>
      <c r="AK1126" s="283"/>
      <c r="AL1126" s="283"/>
      <c r="AM1126" s="283"/>
      <c r="AN1126" s="283"/>
      <c r="AO1126" s="283"/>
      <c r="AP1126" s="283"/>
      <c r="AQ1126" s="283"/>
      <c r="AR1126" s="283"/>
      <c r="AS1126" s="283"/>
      <c r="AT1126" s="283"/>
      <c r="AU1126" s="283"/>
      <c r="AV1126" s="283"/>
      <c r="AW1126" s="283"/>
      <c r="AX1126" s="283"/>
      <c r="AY1126" s="283"/>
      <c r="AZ1126" s="283"/>
      <c r="BA1126" s="283"/>
      <c r="BB1126" s="283"/>
      <c r="BC1126" s="283"/>
      <c r="BD1126" s="283"/>
      <c r="BE1126" s="283"/>
      <c r="BF1126" s="283"/>
      <c r="BG1126" s="283"/>
      <c r="BH1126" s="283"/>
      <c r="BI1126" s="283"/>
      <c r="BJ1126" s="283"/>
      <c r="BK1126" s="283"/>
      <c r="BL1126" s="283"/>
      <c r="BM1126" s="283"/>
      <c r="BN1126" s="283"/>
      <c r="BO1126" s="283"/>
      <c r="BP1126" s="283"/>
    </row>
    <row r="1127" spans="1:68" ht="20.100000000000001" customHeight="1">
      <c r="A1127" s="1228" t="s">
        <v>4582</v>
      </c>
      <c r="B1127" s="1228" t="s">
        <v>4749</v>
      </c>
      <c r="C1127" s="1228" t="s">
        <v>4760</v>
      </c>
      <c r="D1127" s="195">
        <f>D193+(472+140)*1.4</f>
        <v>1706.8</v>
      </c>
      <c r="E1127" s="195">
        <f>E193+(534+140)*1.4</f>
        <v>2543.6</v>
      </c>
      <c r="F1127" s="195">
        <f>F193+(534+140)*1.4</f>
        <v>2593.6</v>
      </c>
      <c r="G1127" s="217" t="s">
        <v>4572</v>
      </c>
      <c r="H1127" s="36" t="s">
        <v>4556</v>
      </c>
      <c r="I1127" s="20" t="s">
        <v>4743</v>
      </c>
      <c r="J1127" s="30"/>
      <c r="K1127" s="38"/>
      <c r="L1127" s="116" t="s">
        <v>4539</v>
      </c>
      <c r="M1127" s="15">
        <v>43070</v>
      </c>
      <c r="N1127" s="15">
        <v>43100</v>
      </c>
      <c r="O1127" s="59" t="s">
        <v>4571</v>
      </c>
      <c r="P1127" s="61" t="s">
        <v>4598</v>
      </c>
      <c r="Q1127" s="14" t="s">
        <v>4642</v>
      </c>
      <c r="R1127" s="239"/>
      <c r="S1127" s="327" t="s">
        <v>4570</v>
      </c>
      <c r="T1127" s="722"/>
      <c r="U1127" s="42"/>
      <c r="AE1127" s="115"/>
      <c r="AF1127" s="115"/>
      <c r="AG1127" s="115"/>
      <c r="AH1127" s="115"/>
      <c r="AI1127" s="115"/>
      <c r="AJ1127" s="115"/>
      <c r="AK1127" s="115"/>
      <c r="AL1127" s="115"/>
      <c r="AM1127" s="115"/>
      <c r="AN1127" s="115"/>
      <c r="AO1127" s="115"/>
      <c r="AP1127" s="115"/>
      <c r="AQ1127" s="115"/>
      <c r="AR1127" s="115"/>
      <c r="AS1127" s="115"/>
      <c r="AT1127" s="115"/>
      <c r="AU1127" s="115"/>
      <c r="AV1127" s="115"/>
      <c r="AW1127" s="115"/>
      <c r="AX1127" s="115"/>
      <c r="AY1127" s="115"/>
      <c r="AZ1127" s="115"/>
      <c r="BA1127" s="115"/>
      <c r="BB1127" s="115"/>
      <c r="BC1127" s="115"/>
      <c r="BD1127" s="115"/>
      <c r="BE1127" s="115"/>
      <c r="BF1127" s="115"/>
      <c r="BG1127" s="115"/>
      <c r="BH1127" s="115"/>
      <c r="BI1127" s="115"/>
      <c r="BJ1127" s="115"/>
      <c r="BK1127" s="115"/>
      <c r="BL1127" s="115"/>
      <c r="BM1127" s="115"/>
      <c r="BN1127" s="115"/>
      <c r="BO1127" s="115"/>
      <c r="BP1127" s="115"/>
    </row>
    <row r="1128" spans="1:68" ht="20.100000000000001" customHeight="1">
      <c r="A1128" s="1228" t="s">
        <v>4582</v>
      </c>
      <c r="B1128" s="1228" t="s">
        <v>4749</v>
      </c>
      <c r="C1128" s="1228" t="s">
        <v>4760</v>
      </c>
      <c r="D1128" s="195">
        <f>D193+(518+140)*1.4</f>
        <v>1771.1999999999998</v>
      </c>
      <c r="E1128" s="195">
        <f>E193+(558+140)*1.4</f>
        <v>2577.1999999999998</v>
      </c>
      <c r="F1128" s="195">
        <f>F193+(558+140)*1.4</f>
        <v>2627.2</v>
      </c>
      <c r="G1128" s="217" t="s">
        <v>4572</v>
      </c>
      <c r="H1128" s="36" t="s">
        <v>4556</v>
      </c>
      <c r="I1128" s="20" t="s">
        <v>4743</v>
      </c>
      <c r="J1128" s="30"/>
      <c r="K1128" s="38"/>
      <c r="L1128" s="116" t="s">
        <v>4539</v>
      </c>
      <c r="M1128" s="15">
        <v>43070</v>
      </c>
      <c r="N1128" s="15">
        <v>43100</v>
      </c>
      <c r="O1128" s="59" t="s">
        <v>4571</v>
      </c>
      <c r="P1128" s="61" t="s">
        <v>4598</v>
      </c>
      <c r="Q1128" s="14" t="s">
        <v>4585</v>
      </c>
      <c r="R1128" s="239"/>
      <c r="S1128" s="327" t="s">
        <v>4570</v>
      </c>
      <c r="T1128" s="722"/>
      <c r="U1128" s="42"/>
      <c r="AE1128" s="279"/>
      <c r="AF1128" s="279"/>
      <c r="AG1128" s="279"/>
      <c r="AH1128" s="279"/>
      <c r="AI1128" s="279"/>
      <c r="AJ1128" s="279"/>
      <c r="AK1128" s="279"/>
      <c r="AL1128" s="279"/>
      <c r="AM1128" s="279"/>
      <c r="AN1128" s="279"/>
      <c r="AO1128" s="279"/>
      <c r="AP1128" s="279"/>
      <c r="AQ1128" s="279"/>
      <c r="AR1128" s="279"/>
      <c r="AS1128" s="279"/>
      <c r="AT1128" s="279"/>
      <c r="AU1128" s="279"/>
      <c r="AV1128" s="279"/>
      <c r="AW1128" s="279"/>
      <c r="AX1128" s="279"/>
      <c r="AY1128" s="279"/>
      <c r="AZ1128" s="279"/>
      <c r="BA1128" s="279"/>
      <c r="BB1128" s="279"/>
      <c r="BC1128" s="279"/>
      <c r="BD1128" s="279"/>
      <c r="BE1128" s="279"/>
      <c r="BF1128" s="279"/>
      <c r="BG1128" s="279"/>
      <c r="BH1128" s="279"/>
      <c r="BI1128" s="279"/>
      <c r="BJ1128" s="279"/>
      <c r="BK1128" s="279"/>
      <c r="BL1128" s="279"/>
      <c r="BM1128" s="279"/>
      <c r="BN1128" s="279"/>
      <c r="BO1128" s="279"/>
      <c r="BP1128" s="279"/>
    </row>
    <row r="1129" spans="1:68" ht="20.100000000000001" customHeight="1">
      <c r="A1129" s="1228" t="s">
        <v>4582</v>
      </c>
      <c r="B1129" s="1228" t="s">
        <v>4749</v>
      </c>
      <c r="C1129" s="1228" t="s">
        <v>4760</v>
      </c>
      <c r="D1129" s="195">
        <f>D162+318*1.0625*1.3</f>
        <v>1314.2375</v>
      </c>
      <c r="E1129" s="195">
        <f>E162+379*1.0625*1.3</f>
        <v>2073.4937500000001</v>
      </c>
      <c r="F1129" s="195">
        <f>F162+379*1.0625*1.3</f>
        <v>2123.4937500000001</v>
      </c>
      <c r="G1129" s="217" t="s">
        <v>4575</v>
      </c>
      <c r="H1129" s="48" t="s">
        <v>4753</v>
      </c>
      <c r="I1129" s="20" t="s">
        <v>4752</v>
      </c>
      <c r="J1129" s="30"/>
      <c r="K1129" s="38"/>
      <c r="L1129" s="116" t="s">
        <v>4539</v>
      </c>
      <c r="M1129" s="15">
        <v>43084</v>
      </c>
      <c r="N1129" s="15">
        <v>43100</v>
      </c>
      <c r="O1129" s="61" t="s">
        <v>4751</v>
      </c>
      <c r="P1129" s="59"/>
      <c r="Q1129" s="14" t="s">
        <v>4761</v>
      </c>
      <c r="R1129" s="239"/>
      <c r="S1129" s="328" t="s">
        <v>4543</v>
      </c>
      <c r="T1129" s="722"/>
      <c r="U1129" s="42"/>
      <c r="AE1129" s="115"/>
      <c r="AF1129" s="115"/>
      <c r="AG1129" s="115"/>
      <c r="AH1129" s="115"/>
      <c r="AI1129" s="115"/>
      <c r="AJ1129" s="115"/>
      <c r="AK1129" s="115"/>
      <c r="AL1129" s="115"/>
      <c r="AM1129" s="115"/>
      <c r="AN1129" s="115"/>
      <c r="AO1129" s="115"/>
      <c r="AP1129" s="115"/>
      <c r="AQ1129" s="115"/>
      <c r="AR1129" s="115"/>
      <c r="AS1129" s="115"/>
      <c r="AT1129" s="115"/>
      <c r="AU1129" s="115"/>
      <c r="AV1129" s="115"/>
      <c r="AW1129" s="115"/>
      <c r="AX1129" s="115"/>
      <c r="AY1129" s="115"/>
      <c r="AZ1129" s="115"/>
      <c r="BA1129" s="115"/>
      <c r="BB1129" s="115"/>
      <c r="BC1129" s="115"/>
      <c r="BD1129" s="115"/>
      <c r="BE1129" s="115"/>
      <c r="BF1129" s="115"/>
      <c r="BG1129" s="115"/>
      <c r="BH1129" s="115"/>
      <c r="BI1129" s="115"/>
      <c r="BJ1129" s="115"/>
      <c r="BK1129" s="115"/>
      <c r="BL1129" s="115"/>
      <c r="BM1129" s="115"/>
      <c r="BN1129" s="115"/>
      <c r="BO1129" s="115"/>
      <c r="BP1129" s="115"/>
    </row>
    <row r="1130" spans="1:68" ht="20.100000000000001" customHeight="1">
      <c r="A1130" s="1228" t="s">
        <v>4582</v>
      </c>
      <c r="B1130" s="1228" t="s">
        <v>4749</v>
      </c>
      <c r="C1130" s="1228" t="s">
        <v>4760</v>
      </c>
      <c r="D1130" s="195">
        <f>D186+625+25</f>
        <v>1425</v>
      </c>
      <c r="E1130" s="195">
        <f>E186+700+50</f>
        <v>2200</v>
      </c>
      <c r="F1130" s="195">
        <f>F186+950+50</f>
        <v>2500</v>
      </c>
      <c r="G1130" s="12" t="s">
        <v>4542</v>
      </c>
      <c r="H1130" s="69" t="s">
        <v>4556</v>
      </c>
      <c r="I1130" s="38" t="s">
        <v>4743</v>
      </c>
      <c r="J1130" s="140"/>
      <c r="K1130" s="38"/>
      <c r="L1130" s="116" t="s">
        <v>4539</v>
      </c>
      <c r="M1130" s="15">
        <v>43084</v>
      </c>
      <c r="N1130" s="15">
        <v>43100</v>
      </c>
      <c r="O1130" s="61" t="s">
        <v>4538</v>
      </c>
      <c r="P1130" s="61"/>
      <c r="Q1130" s="61"/>
      <c r="R1130" s="239"/>
      <c r="S1130" s="326" t="s">
        <v>4537</v>
      </c>
      <c r="T1130" s="722"/>
      <c r="U1130" s="42"/>
      <c r="AE1130" s="282"/>
      <c r="AF1130" s="282"/>
      <c r="AG1130" s="282"/>
      <c r="AH1130" s="282"/>
      <c r="AI1130" s="282"/>
      <c r="AJ1130" s="282"/>
      <c r="AK1130" s="282"/>
      <c r="AL1130" s="282"/>
      <c r="AM1130" s="282"/>
      <c r="AN1130" s="282"/>
      <c r="AO1130" s="282"/>
      <c r="AP1130" s="282"/>
      <c r="AQ1130" s="282"/>
      <c r="AR1130" s="282"/>
      <c r="AS1130" s="282"/>
      <c r="AT1130" s="282"/>
      <c r="AU1130" s="282"/>
      <c r="AV1130" s="282"/>
      <c r="AW1130" s="282"/>
      <c r="AX1130" s="282"/>
      <c r="AY1130" s="282"/>
      <c r="AZ1130" s="282"/>
      <c r="BA1130" s="282"/>
      <c r="BB1130" s="282"/>
      <c r="BC1130" s="282"/>
      <c r="BD1130" s="282"/>
      <c r="BE1130" s="282"/>
      <c r="BF1130" s="282"/>
      <c r="BG1130" s="282"/>
      <c r="BH1130" s="282"/>
      <c r="BI1130" s="282"/>
      <c r="BJ1130" s="282"/>
      <c r="BK1130" s="282"/>
      <c r="BL1130" s="282"/>
      <c r="BM1130" s="282"/>
      <c r="BN1130" s="282"/>
      <c r="BO1130" s="282"/>
      <c r="BP1130" s="282"/>
    </row>
    <row r="1131" spans="1:68" ht="20.100000000000001" customHeight="1">
      <c r="A1131" s="1228" t="s">
        <v>4614</v>
      </c>
      <c r="B1131" s="1228" t="s">
        <v>4749</v>
      </c>
      <c r="C1131" s="1228" t="s">
        <v>4757</v>
      </c>
      <c r="D1131" s="345">
        <f>D77+350+25</f>
        <v>1225</v>
      </c>
      <c r="E1131" s="345">
        <f>E77+500+50</f>
        <v>2150</v>
      </c>
      <c r="F1131" s="345">
        <f>F77+500+50</f>
        <v>2200</v>
      </c>
      <c r="G1131" s="217" t="s">
        <v>4572</v>
      </c>
      <c r="H1131" s="56" t="s">
        <v>4541</v>
      </c>
      <c r="I1131" s="10" t="s">
        <v>4540</v>
      </c>
      <c r="J1131" s="30"/>
      <c r="K1131" s="38"/>
      <c r="L1131" s="116" t="s">
        <v>4539</v>
      </c>
      <c r="M1131" s="15">
        <v>43070</v>
      </c>
      <c r="N1131" s="15">
        <v>43100</v>
      </c>
      <c r="O1131" s="59" t="s">
        <v>4571</v>
      </c>
      <c r="P1131" s="61"/>
      <c r="Q1131" s="7"/>
      <c r="R1131" s="239"/>
      <c r="S1131" s="327" t="s">
        <v>4570</v>
      </c>
      <c r="T1131" s="722"/>
      <c r="U1131" s="42"/>
      <c r="AE1131" s="115"/>
      <c r="AF1131" s="115"/>
      <c r="AG1131" s="115"/>
      <c r="AH1131" s="115"/>
      <c r="AI1131" s="115"/>
      <c r="AJ1131" s="115"/>
      <c r="AK1131" s="115"/>
      <c r="AL1131" s="115"/>
      <c r="AM1131" s="115"/>
      <c r="AN1131" s="115"/>
      <c r="AO1131" s="115"/>
      <c r="AP1131" s="115"/>
      <c r="AQ1131" s="115"/>
      <c r="AR1131" s="115"/>
      <c r="AS1131" s="115"/>
      <c r="AT1131" s="115"/>
      <c r="AU1131" s="115"/>
      <c r="AV1131" s="115"/>
      <c r="AW1131" s="115"/>
      <c r="AX1131" s="115"/>
      <c r="AY1131" s="115"/>
      <c r="AZ1131" s="115"/>
      <c r="BA1131" s="115"/>
      <c r="BB1131" s="115"/>
      <c r="BC1131" s="115"/>
      <c r="BD1131" s="115"/>
      <c r="BE1131" s="115"/>
      <c r="BF1131" s="115"/>
      <c r="BG1131" s="115"/>
      <c r="BH1131" s="115"/>
      <c r="BI1131" s="115"/>
      <c r="BJ1131" s="115"/>
      <c r="BK1131" s="115"/>
      <c r="BL1131" s="115"/>
      <c r="BM1131" s="115"/>
      <c r="BN1131" s="115"/>
      <c r="BO1131" s="115"/>
      <c r="BP1131" s="115"/>
    </row>
    <row r="1132" spans="1:68" ht="20.100000000000001" customHeight="1">
      <c r="A1132" s="1228" t="s">
        <v>4582</v>
      </c>
      <c r="B1132" s="1228" t="s">
        <v>4749</v>
      </c>
      <c r="C1132" s="1228" t="s">
        <v>4757</v>
      </c>
      <c r="D1132" s="196">
        <f>D97+500</f>
        <v>1375</v>
      </c>
      <c r="E1132" s="196">
        <f>E97+500</f>
        <v>2050</v>
      </c>
      <c r="F1132" s="196">
        <f>F97+400</f>
        <v>2000</v>
      </c>
      <c r="G1132" s="217" t="s">
        <v>4575</v>
      </c>
      <c r="H1132" s="56" t="s">
        <v>4574</v>
      </c>
      <c r="I1132" s="38" t="s">
        <v>4540</v>
      </c>
      <c r="J1132" s="30"/>
      <c r="K1132" s="38"/>
      <c r="L1132" s="116" t="s">
        <v>4539</v>
      </c>
      <c r="M1132" s="15">
        <v>43084</v>
      </c>
      <c r="N1132" s="15">
        <v>43100</v>
      </c>
      <c r="O1132" s="61" t="s">
        <v>4758</v>
      </c>
      <c r="P1132" s="61"/>
      <c r="Q1132" s="61"/>
      <c r="R1132" s="239"/>
      <c r="S1132" s="328" t="s">
        <v>4543</v>
      </c>
      <c r="T1132" s="722"/>
      <c r="U1132" s="42"/>
      <c r="AE1132" s="115"/>
      <c r="AF1132" s="115"/>
      <c r="AG1132" s="115"/>
      <c r="AH1132" s="115"/>
      <c r="AI1132" s="115"/>
      <c r="AJ1132" s="115"/>
      <c r="AK1132" s="115"/>
      <c r="AL1132" s="115"/>
      <c r="AM1132" s="115"/>
      <c r="AN1132" s="115"/>
      <c r="AO1132" s="115"/>
      <c r="AP1132" s="115"/>
      <c r="AQ1132" s="115"/>
      <c r="AR1132" s="115"/>
      <c r="AS1132" s="115"/>
      <c r="AT1132" s="115"/>
      <c r="AU1132" s="115"/>
      <c r="AV1132" s="115"/>
      <c r="AW1132" s="115"/>
      <c r="AX1132" s="115"/>
      <c r="AY1132" s="115"/>
      <c r="AZ1132" s="115"/>
      <c r="BA1132" s="115"/>
      <c r="BB1132" s="115"/>
      <c r="BC1132" s="115"/>
      <c r="BD1132" s="115"/>
      <c r="BE1132" s="115"/>
      <c r="BF1132" s="115"/>
      <c r="BG1132" s="115"/>
      <c r="BH1132" s="115"/>
      <c r="BI1132" s="115"/>
      <c r="BJ1132" s="115"/>
      <c r="BK1132" s="115"/>
      <c r="BL1132" s="115"/>
      <c r="BM1132" s="115"/>
      <c r="BN1132" s="115"/>
      <c r="BO1132" s="115"/>
      <c r="BP1132" s="115"/>
    </row>
    <row r="1133" spans="1:68" ht="20.100000000000001" customHeight="1">
      <c r="A1133" s="1228" t="s">
        <v>4582</v>
      </c>
      <c r="B1133" s="1228" t="s">
        <v>4749</v>
      </c>
      <c r="C1133" s="1228" t="s">
        <v>4757</v>
      </c>
      <c r="D1133" s="196">
        <f>D1132+141*1.0124*1.3</f>
        <v>1560.5729200000001</v>
      </c>
      <c r="E1133" s="196">
        <f>E1132+141*1.0124*1.3</f>
        <v>2235.5729200000001</v>
      </c>
      <c r="F1133" s="196">
        <f>F1132+141*1.0124*1.3</f>
        <v>2185.5729200000001</v>
      </c>
      <c r="G1133" s="217" t="s">
        <v>4575</v>
      </c>
      <c r="H1133" s="48" t="s">
        <v>4574</v>
      </c>
      <c r="I1133" s="38" t="s">
        <v>4759</v>
      </c>
      <c r="J1133" s="30"/>
      <c r="K1133" s="38"/>
      <c r="L1133" s="116" t="s">
        <v>4539</v>
      </c>
      <c r="M1133" s="15">
        <v>43084</v>
      </c>
      <c r="N1133" s="15">
        <v>43100</v>
      </c>
      <c r="O1133" s="61" t="s">
        <v>4758</v>
      </c>
      <c r="P1133" s="61"/>
      <c r="Q1133" s="14" t="s">
        <v>4750</v>
      </c>
      <c r="R1133" s="239"/>
      <c r="S1133" s="328" t="s">
        <v>4543</v>
      </c>
      <c r="T1133" s="722"/>
      <c r="U1133" s="42"/>
      <c r="AE1133" s="283"/>
      <c r="AF1133" s="283"/>
      <c r="AG1133" s="283"/>
      <c r="AH1133" s="283"/>
      <c r="AI1133" s="283"/>
      <c r="AJ1133" s="283"/>
      <c r="AK1133" s="283"/>
      <c r="AL1133" s="283"/>
      <c r="AM1133" s="283"/>
      <c r="AN1133" s="283"/>
      <c r="AO1133" s="283"/>
      <c r="AP1133" s="283"/>
      <c r="AQ1133" s="283"/>
      <c r="AR1133" s="283"/>
      <c r="AS1133" s="283"/>
      <c r="AT1133" s="283"/>
      <c r="AU1133" s="283"/>
      <c r="AV1133" s="283"/>
      <c r="AW1133" s="283"/>
      <c r="AX1133" s="283"/>
      <c r="AY1133" s="283"/>
      <c r="AZ1133" s="283"/>
      <c r="BA1133" s="283"/>
      <c r="BB1133" s="283"/>
      <c r="BC1133" s="283"/>
      <c r="BD1133" s="283"/>
      <c r="BE1133" s="283"/>
      <c r="BF1133" s="283"/>
      <c r="BG1133" s="283"/>
      <c r="BH1133" s="283"/>
      <c r="BI1133" s="283"/>
      <c r="BJ1133" s="283"/>
      <c r="BK1133" s="283"/>
      <c r="BL1133" s="283"/>
      <c r="BM1133" s="283"/>
      <c r="BN1133" s="283"/>
      <c r="BO1133" s="283"/>
      <c r="BP1133" s="283"/>
    </row>
    <row r="1134" spans="1:68" ht="20.100000000000001" customHeight="1">
      <c r="A1134" s="1228" t="s">
        <v>4582</v>
      </c>
      <c r="B1134" s="1228" t="s">
        <v>4749</v>
      </c>
      <c r="C1134" s="1228" t="s">
        <v>4757</v>
      </c>
      <c r="D1134" s="273">
        <f>D211+450+25</f>
        <v>1200</v>
      </c>
      <c r="E1134" s="273">
        <f>E211+650+50</f>
        <v>2050</v>
      </c>
      <c r="F1134" s="273">
        <f>F211+650+50</f>
        <v>2100</v>
      </c>
      <c r="G1134" s="110" t="s">
        <v>4566</v>
      </c>
      <c r="H1134" s="36" t="s">
        <v>4556</v>
      </c>
      <c r="I1134" s="38" t="s">
        <v>4540</v>
      </c>
      <c r="J1134" s="30"/>
      <c r="K1134" s="38"/>
      <c r="L1134" s="116" t="s">
        <v>4539</v>
      </c>
      <c r="M1134" s="15">
        <v>43084</v>
      </c>
      <c r="N1134" s="15">
        <v>43100</v>
      </c>
      <c r="O1134" s="59" t="s">
        <v>4638</v>
      </c>
      <c r="P1134" s="61"/>
      <c r="Q1134" s="61"/>
      <c r="R1134" s="239"/>
      <c r="S1134" s="327" t="s">
        <v>4561</v>
      </c>
      <c r="T1134" s="722"/>
      <c r="U1134" s="42"/>
      <c r="AE1134" s="115"/>
      <c r="AF1134" s="115"/>
      <c r="AG1134" s="115"/>
      <c r="AH1134" s="115"/>
      <c r="AI1134" s="115"/>
      <c r="AJ1134" s="115"/>
      <c r="AK1134" s="115"/>
      <c r="AL1134" s="115"/>
      <c r="AM1134" s="115"/>
      <c r="AN1134" s="115"/>
      <c r="AO1134" s="115"/>
      <c r="AP1134" s="115"/>
      <c r="AQ1134" s="115"/>
      <c r="AR1134" s="115"/>
      <c r="AS1134" s="115"/>
      <c r="AT1134" s="115"/>
      <c r="AU1134" s="115"/>
      <c r="AV1134" s="115"/>
      <c r="AW1134" s="115"/>
      <c r="AX1134" s="115"/>
      <c r="AY1134" s="115"/>
      <c r="AZ1134" s="115"/>
      <c r="BA1134" s="115"/>
      <c r="BB1134" s="115"/>
      <c r="BC1134" s="115"/>
      <c r="BD1134" s="115"/>
      <c r="BE1134" s="115"/>
      <c r="BF1134" s="115"/>
      <c r="BG1134" s="115"/>
      <c r="BH1134" s="115"/>
      <c r="BI1134" s="115"/>
      <c r="BJ1134" s="115"/>
      <c r="BK1134" s="115"/>
      <c r="BL1134" s="115"/>
      <c r="BM1134" s="115"/>
      <c r="BN1134" s="115"/>
      <c r="BO1134" s="115"/>
      <c r="BP1134" s="115"/>
    </row>
    <row r="1135" spans="1:68" ht="20.100000000000001" customHeight="1">
      <c r="A1135" s="1228" t="s">
        <v>4582</v>
      </c>
      <c r="B1135" s="1228" t="s">
        <v>4749</v>
      </c>
      <c r="C1135" s="1228" t="s">
        <v>4757</v>
      </c>
      <c r="D1135" s="195">
        <f>D64+400</f>
        <v>1150</v>
      </c>
      <c r="E1135" s="195">
        <f>E64+600</f>
        <v>2000</v>
      </c>
      <c r="F1135" s="195">
        <f>F64+600</f>
        <v>2000</v>
      </c>
      <c r="G1135" s="217" t="s">
        <v>4557</v>
      </c>
      <c r="H1135" s="36" t="s">
        <v>4556</v>
      </c>
      <c r="I1135" s="38" t="s">
        <v>4540</v>
      </c>
      <c r="J1135" s="30"/>
      <c r="K1135" s="38"/>
      <c r="L1135" s="116" t="s">
        <v>4539</v>
      </c>
      <c r="M1135" s="6">
        <v>43084</v>
      </c>
      <c r="N1135" s="6">
        <v>43100</v>
      </c>
      <c r="O1135" s="61" t="s">
        <v>4555</v>
      </c>
      <c r="P1135" s="61"/>
      <c r="Q1135" s="7"/>
      <c r="R1135" s="239" t="s">
        <v>4554</v>
      </c>
      <c r="S1135" s="326" t="s">
        <v>4543</v>
      </c>
      <c r="T1135" s="722"/>
      <c r="U1135" s="42"/>
      <c r="AE1135" s="283"/>
      <c r="AF1135" s="283"/>
      <c r="AG1135" s="283"/>
      <c r="AH1135" s="283"/>
      <c r="AI1135" s="283"/>
      <c r="AJ1135" s="283"/>
      <c r="AK1135" s="283"/>
      <c r="AL1135" s="283"/>
      <c r="AM1135" s="283"/>
      <c r="AN1135" s="283"/>
      <c r="AO1135" s="283"/>
      <c r="AP1135" s="283"/>
      <c r="AQ1135" s="283"/>
      <c r="AR1135" s="283"/>
      <c r="AS1135" s="283"/>
      <c r="AT1135" s="283"/>
      <c r="AU1135" s="283"/>
      <c r="AV1135" s="283"/>
      <c r="AW1135" s="283"/>
      <c r="AX1135" s="283"/>
      <c r="AY1135" s="283"/>
      <c r="AZ1135" s="283"/>
      <c r="BA1135" s="283"/>
      <c r="BB1135" s="283"/>
      <c r="BC1135" s="283"/>
      <c r="BD1135" s="283"/>
      <c r="BE1135" s="283"/>
      <c r="BF1135" s="283"/>
      <c r="BG1135" s="283"/>
      <c r="BH1135" s="283"/>
      <c r="BI1135" s="283"/>
      <c r="BJ1135" s="283"/>
      <c r="BK1135" s="283"/>
      <c r="BL1135" s="283"/>
      <c r="BM1135" s="283"/>
      <c r="BN1135" s="283"/>
      <c r="BO1135" s="283"/>
      <c r="BP1135" s="283"/>
    </row>
    <row r="1136" spans="1:68" ht="20.100000000000001" customHeight="1">
      <c r="A1136" s="909" t="s">
        <v>4614</v>
      </c>
      <c r="B1136" s="907" t="s">
        <v>4749</v>
      </c>
      <c r="C1136" s="907" t="s">
        <v>4756</v>
      </c>
      <c r="D1136" s="273">
        <f>D211+300+25</f>
        <v>1050</v>
      </c>
      <c r="E1136" s="273">
        <f>E211+300+50</f>
        <v>1700</v>
      </c>
      <c r="F1136" s="273">
        <f>F211+300+50</f>
        <v>1750</v>
      </c>
      <c r="G1136" s="110" t="s">
        <v>4566</v>
      </c>
      <c r="H1136" s="36" t="s">
        <v>4556</v>
      </c>
      <c r="I1136" s="38" t="s">
        <v>4540</v>
      </c>
      <c r="J1136" s="30"/>
      <c r="K1136" s="38"/>
      <c r="L1136" s="116" t="s">
        <v>4539</v>
      </c>
      <c r="M1136" s="15">
        <v>43084</v>
      </c>
      <c r="N1136" s="15">
        <v>43100</v>
      </c>
      <c r="O1136" s="59" t="s">
        <v>4638</v>
      </c>
      <c r="P1136" s="61"/>
      <c r="Q1136" s="61"/>
      <c r="R1136" s="239"/>
      <c r="S1136" s="327" t="s">
        <v>4561</v>
      </c>
      <c r="T1136" s="722"/>
      <c r="U1136" s="42"/>
      <c r="AE1136" s="115"/>
      <c r="AF1136" s="115"/>
      <c r="AG1136" s="115"/>
      <c r="AH1136" s="115"/>
      <c r="AI1136" s="115"/>
      <c r="AJ1136" s="115"/>
      <c r="AK1136" s="115"/>
      <c r="AL1136" s="115"/>
      <c r="AM1136" s="115"/>
      <c r="AN1136" s="115"/>
      <c r="AO1136" s="115"/>
      <c r="AP1136" s="115"/>
      <c r="AQ1136" s="115"/>
      <c r="AR1136" s="115"/>
      <c r="AS1136" s="115"/>
      <c r="AT1136" s="115"/>
      <c r="AU1136" s="115"/>
      <c r="AV1136" s="115"/>
      <c r="AW1136" s="115"/>
      <c r="AX1136" s="115"/>
      <c r="AY1136" s="115"/>
      <c r="AZ1136" s="115"/>
      <c r="BA1136" s="115"/>
      <c r="BB1136" s="115"/>
      <c r="BC1136" s="115"/>
      <c r="BD1136" s="115"/>
      <c r="BE1136" s="115"/>
      <c r="BF1136" s="115"/>
      <c r="BG1136" s="115"/>
      <c r="BH1136" s="115"/>
      <c r="BI1136" s="115"/>
      <c r="BJ1136" s="115"/>
      <c r="BK1136" s="115"/>
      <c r="BL1136" s="115"/>
      <c r="BM1136" s="115"/>
      <c r="BN1136" s="115"/>
      <c r="BO1136" s="115"/>
      <c r="BP1136" s="115"/>
    </row>
    <row r="1137" spans="1:68" ht="20.100000000000001" customHeight="1">
      <c r="A1137" s="1229" t="s">
        <v>4536</v>
      </c>
      <c r="B1137" s="1229" t="s">
        <v>4749</v>
      </c>
      <c r="C1137" s="1229" t="s">
        <v>4755</v>
      </c>
      <c r="D1137" s="345">
        <f>D77+300+25</f>
        <v>1175</v>
      </c>
      <c r="E1137" s="345">
        <f>E77+400+50</f>
        <v>2050</v>
      </c>
      <c r="F1137" s="345">
        <f>F77+400+50</f>
        <v>2100</v>
      </c>
      <c r="G1137" s="217" t="s">
        <v>4572</v>
      </c>
      <c r="H1137" s="56" t="s">
        <v>4541</v>
      </c>
      <c r="I1137" s="20" t="s">
        <v>4540</v>
      </c>
      <c r="J1137" s="30"/>
      <c r="K1137" s="38"/>
      <c r="L1137" s="116" t="s">
        <v>4539</v>
      </c>
      <c r="M1137" s="15">
        <v>43070</v>
      </c>
      <c r="N1137" s="15">
        <v>43100</v>
      </c>
      <c r="O1137" s="59" t="s">
        <v>4571</v>
      </c>
      <c r="P1137" s="61"/>
      <c r="Q1137" s="7"/>
      <c r="R1137" s="239"/>
      <c r="S1137" s="327" t="s">
        <v>4570</v>
      </c>
      <c r="T1137" s="722"/>
      <c r="U1137" s="42"/>
      <c r="AE1137" s="115"/>
      <c r="AF1137" s="115"/>
      <c r="AG1137" s="115"/>
      <c r="AH1137" s="115"/>
      <c r="AI1137" s="115"/>
      <c r="AJ1137" s="115"/>
      <c r="AK1137" s="115"/>
      <c r="AL1137" s="115"/>
      <c r="AM1137" s="115"/>
      <c r="AN1137" s="115"/>
      <c r="AO1137" s="115"/>
      <c r="AP1137" s="115"/>
      <c r="AQ1137" s="115"/>
      <c r="AR1137" s="115"/>
      <c r="AS1137" s="115"/>
      <c r="AT1137" s="115"/>
      <c r="AU1137" s="115"/>
      <c r="AV1137" s="115"/>
      <c r="AW1137" s="115"/>
      <c r="AX1137" s="115"/>
      <c r="AY1137" s="115"/>
      <c r="AZ1137" s="115"/>
      <c r="BA1137" s="115"/>
      <c r="BB1137" s="115"/>
      <c r="BC1137" s="115"/>
      <c r="BD1137" s="115"/>
      <c r="BE1137" s="115"/>
      <c r="BF1137" s="115"/>
      <c r="BG1137" s="115"/>
      <c r="BH1137" s="115"/>
      <c r="BI1137" s="115"/>
      <c r="BJ1137" s="115"/>
      <c r="BK1137" s="115"/>
      <c r="BL1137" s="115"/>
      <c r="BM1137" s="115"/>
      <c r="BN1137" s="115"/>
      <c r="BO1137" s="115"/>
      <c r="BP1137" s="115"/>
    </row>
    <row r="1138" spans="1:68" ht="20.100000000000001" customHeight="1">
      <c r="A1138" s="1229" t="s">
        <v>4536</v>
      </c>
      <c r="B1138" s="1229" t="s">
        <v>4749</v>
      </c>
      <c r="C1138" s="1229" t="s">
        <v>4755</v>
      </c>
      <c r="D1138" s="273">
        <f>D211+450+25</f>
        <v>1200</v>
      </c>
      <c r="E1138" s="273">
        <f>E211+650+50</f>
        <v>2050</v>
      </c>
      <c r="F1138" s="273">
        <f>F211+650+50</f>
        <v>2100</v>
      </c>
      <c r="G1138" s="110" t="s">
        <v>4566</v>
      </c>
      <c r="H1138" s="69" t="s">
        <v>4556</v>
      </c>
      <c r="I1138" s="38" t="s">
        <v>4540</v>
      </c>
      <c r="J1138" s="30"/>
      <c r="K1138" s="38"/>
      <c r="L1138" s="116" t="s">
        <v>4539</v>
      </c>
      <c r="M1138" s="15">
        <v>43084</v>
      </c>
      <c r="N1138" s="15">
        <v>43100</v>
      </c>
      <c r="O1138" s="59" t="s">
        <v>4638</v>
      </c>
      <c r="P1138" s="61"/>
      <c r="Q1138" s="61"/>
      <c r="R1138" s="239"/>
      <c r="S1138" s="327" t="s">
        <v>4561</v>
      </c>
      <c r="T1138" s="137"/>
      <c r="U1138" s="42"/>
      <c r="AE1138" s="271"/>
      <c r="AF1138" s="271"/>
      <c r="AG1138" s="271"/>
      <c r="AH1138" s="271"/>
      <c r="AI1138" s="271"/>
      <c r="AJ1138" s="271"/>
      <c r="AK1138" s="271"/>
      <c r="AL1138" s="271"/>
      <c r="AM1138" s="271"/>
      <c r="AN1138" s="271"/>
      <c r="AO1138" s="271"/>
      <c r="AP1138" s="271"/>
      <c r="AQ1138" s="271"/>
      <c r="AR1138" s="271"/>
      <c r="AS1138" s="271"/>
      <c r="AT1138" s="271"/>
      <c r="AU1138" s="271"/>
      <c r="AV1138" s="271"/>
      <c r="AW1138" s="271"/>
      <c r="AX1138" s="271"/>
      <c r="AY1138" s="271"/>
      <c r="AZ1138" s="271"/>
      <c r="BA1138" s="271"/>
      <c r="BB1138" s="271"/>
      <c r="BC1138" s="271"/>
      <c r="BD1138" s="271"/>
      <c r="BE1138" s="271"/>
      <c r="BF1138" s="271"/>
      <c r="BG1138" s="271"/>
      <c r="BH1138" s="271"/>
      <c r="BI1138" s="271"/>
      <c r="BJ1138" s="271"/>
      <c r="BK1138" s="271"/>
      <c r="BL1138" s="271"/>
      <c r="BM1138" s="271"/>
      <c r="BN1138" s="271"/>
      <c r="BO1138" s="271"/>
      <c r="BP1138" s="271"/>
    </row>
    <row r="1139" spans="1:68" ht="20.100000000000001" customHeight="1">
      <c r="A1139" s="1229" t="s">
        <v>4536</v>
      </c>
      <c r="B1139" s="1229" t="s">
        <v>4749</v>
      </c>
      <c r="C1139" s="1229" t="s">
        <v>4755</v>
      </c>
      <c r="D1139" s="273">
        <f>D90+400</f>
        <v>1165</v>
      </c>
      <c r="E1139" s="273">
        <f>E90+400</f>
        <v>1830</v>
      </c>
      <c r="F1139" s="273">
        <f>F90+400</f>
        <v>1880</v>
      </c>
      <c r="G1139" s="110" t="s">
        <v>4560</v>
      </c>
      <c r="H1139" s="48" t="s">
        <v>4556</v>
      </c>
      <c r="I1139" s="38" t="s">
        <v>4540</v>
      </c>
      <c r="J1139" s="30"/>
      <c r="K1139" s="38"/>
      <c r="L1139" s="116" t="s">
        <v>4539</v>
      </c>
      <c r="M1139" s="15">
        <v>43084</v>
      </c>
      <c r="N1139" s="15">
        <v>43100</v>
      </c>
      <c r="O1139" s="59" t="s">
        <v>4559</v>
      </c>
      <c r="P1139" s="61"/>
      <c r="Q1139" s="61"/>
      <c r="R1139" s="239"/>
      <c r="S1139" s="336" t="s">
        <v>4558</v>
      </c>
      <c r="T1139" s="137"/>
      <c r="U1139" s="42"/>
      <c r="AE1139" s="115"/>
      <c r="AF1139" s="115"/>
      <c r="AG1139" s="115"/>
      <c r="AH1139" s="115"/>
      <c r="AI1139" s="115"/>
      <c r="AJ1139" s="115"/>
      <c r="AK1139" s="115"/>
      <c r="AL1139" s="115"/>
      <c r="AM1139" s="115"/>
      <c r="AN1139" s="115"/>
      <c r="AO1139" s="115"/>
      <c r="AP1139" s="115"/>
      <c r="AQ1139" s="115"/>
      <c r="AR1139" s="115"/>
      <c r="AS1139" s="115"/>
      <c r="AT1139" s="115"/>
      <c r="AU1139" s="115"/>
      <c r="AV1139" s="115"/>
      <c r="AW1139" s="115"/>
      <c r="AX1139" s="115"/>
      <c r="AY1139" s="115"/>
      <c r="AZ1139" s="115"/>
      <c r="BA1139" s="115"/>
      <c r="BB1139" s="115"/>
      <c r="BC1139" s="115"/>
      <c r="BD1139" s="115"/>
      <c r="BE1139" s="115"/>
      <c r="BF1139" s="115"/>
      <c r="BG1139" s="115"/>
      <c r="BH1139" s="115"/>
      <c r="BI1139" s="115"/>
      <c r="BJ1139" s="115"/>
      <c r="BK1139" s="115"/>
      <c r="BL1139" s="115"/>
      <c r="BM1139" s="115"/>
      <c r="BN1139" s="115"/>
      <c r="BO1139" s="115"/>
      <c r="BP1139" s="115"/>
    </row>
    <row r="1140" spans="1:68" ht="20.100000000000001" customHeight="1">
      <c r="A1140" s="1229" t="s">
        <v>4536</v>
      </c>
      <c r="B1140" s="1229" t="s">
        <v>4749</v>
      </c>
      <c r="C1140" s="1229" t="s">
        <v>4755</v>
      </c>
      <c r="D1140" s="195">
        <f>D120+175</f>
        <v>1075</v>
      </c>
      <c r="E1140" s="195">
        <f>E120+300</f>
        <v>1900</v>
      </c>
      <c r="F1140" s="195">
        <f>F120+300</f>
        <v>1950</v>
      </c>
      <c r="G1140" s="110" t="s">
        <v>4553</v>
      </c>
      <c r="H1140" s="55" t="s">
        <v>4552</v>
      </c>
      <c r="I1140" s="38" t="s">
        <v>4639</v>
      </c>
      <c r="J1140" s="30"/>
      <c r="K1140" s="38">
        <v>35</v>
      </c>
      <c r="L1140" s="116" t="s">
        <v>4539</v>
      </c>
      <c r="M1140" s="6">
        <v>43085</v>
      </c>
      <c r="N1140" s="6">
        <v>43100</v>
      </c>
      <c r="O1140" s="61" t="s">
        <v>4744</v>
      </c>
      <c r="P1140" s="61"/>
      <c r="Q1140" s="61"/>
      <c r="R1140" s="239"/>
      <c r="S1140" s="328" t="s">
        <v>4543</v>
      </c>
      <c r="T1140" s="722"/>
      <c r="U1140" s="42"/>
      <c r="AE1140" s="271"/>
      <c r="AF1140" s="271"/>
      <c r="AG1140" s="271"/>
      <c r="AH1140" s="271"/>
      <c r="AI1140" s="271"/>
      <c r="AJ1140" s="271"/>
      <c r="AK1140" s="271"/>
      <c r="AL1140" s="271"/>
      <c r="AM1140" s="271"/>
      <c r="AN1140" s="271"/>
      <c r="AO1140" s="271"/>
      <c r="AP1140" s="271"/>
      <c r="AQ1140" s="271"/>
      <c r="AR1140" s="271"/>
      <c r="AS1140" s="271"/>
      <c r="AT1140" s="271"/>
      <c r="AU1140" s="271"/>
      <c r="AV1140" s="271"/>
      <c r="AW1140" s="271"/>
      <c r="AX1140" s="271"/>
      <c r="AY1140" s="271"/>
      <c r="AZ1140" s="271"/>
      <c r="BA1140" s="271"/>
      <c r="BB1140" s="271"/>
      <c r="BC1140" s="271"/>
      <c r="BD1140" s="271"/>
      <c r="BE1140" s="271"/>
      <c r="BF1140" s="271"/>
      <c r="BG1140" s="271"/>
      <c r="BH1140" s="271"/>
      <c r="BI1140" s="271"/>
      <c r="BJ1140" s="271"/>
      <c r="BK1140" s="271"/>
      <c r="BL1140" s="271"/>
      <c r="BM1140" s="271"/>
      <c r="BN1140" s="271"/>
      <c r="BO1140" s="271"/>
      <c r="BP1140" s="271"/>
    </row>
    <row r="1141" spans="1:68" ht="20.100000000000001" customHeight="1">
      <c r="A1141" s="1229" t="s">
        <v>4536</v>
      </c>
      <c r="B1141" s="1229" t="s">
        <v>4749</v>
      </c>
      <c r="C1141" s="1229" t="s">
        <v>4748</v>
      </c>
      <c r="D1141" s="345">
        <f>D150+250+25</f>
        <v>1125</v>
      </c>
      <c r="E1141" s="345">
        <f>E150+350+50</f>
        <v>2000</v>
      </c>
      <c r="F1141" s="345">
        <f>F150+350+50</f>
        <v>2050</v>
      </c>
      <c r="G1141" s="217" t="s">
        <v>4572</v>
      </c>
      <c r="H1141" s="56" t="s">
        <v>4548</v>
      </c>
      <c r="I1141" s="38" t="s">
        <v>4754</v>
      </c>
      <c r="J1141" s="30"/>
      <c r="K1141" s="38"/>
      <c r="L1141" s="116" t="s">
        <v>4539</v>
      </c>
      <c r="M1141" s="15">
        <v>43070</v>
      </c>
      <c r="N1141" s="15">
        <v>43100</v>
      </c>
      <c r="O1141" s="59" t="s">
        <v>4571</v>
      </c>
      <c r="P1141" s="61"/>
      <c r="Q1141" s="7"/>
      <c r="R1141" s="239"/>
      <c r="S1141" s="327" t="s">
        <v>4570</v>
      </c>
      <c r="T1141" s="722"/>
      <c r="U1141" s="42"/>
      <c r="AE1141" s="271"/>
      <c r="AF1141" s="271"/>
      <c r="AG1141" s="271"/>
      <c r="AH1141" s="271"/>
      <c r="AI1141" s="271"/>
      <c r="AJ1141" s="271"/>
      <c r="AK1141" s="271"/>
      <c r="AL1141" s="271"/>
      <c r="AM1141" s="271"/>
      <c r="AN1141" s="271"/>
      <c r="AO1141" s="271"/>
      <c r="AP1141" s="271"/>
      <c r="AQ1141" s="271"/>
      <c r="AR1141" s="271"/>
      <c r="AS1141" s="271"/>
      <c r="AT1141" s="271"/>
      <c r="AU1141" s="271"/>
      <c r="AV1141" s="271"/>
      <c r="AW1141" s="271"/>
      <c r="AX1141" s="271"/>
      <c r="AY1141" s="271"/>
      <c r="AZ1141" s="271"/>
      <c r="BA1141" s="271"/>
      <c r="BB1141" s="271"/>
      <c r="BC1141" s="271"/>
      <c r="BD1141" s="271"/>
      <c r="BE1141" s="271"/>
      <c r="BF1141" s="271"/>
      <c r="BG1141" s="271"/>
      <c r="BH1141" s="271"/>
      <c r="BI1141" s="271"/>
      <c r="BJ1141" s="271"/>
      <c r="BK1141" s="271"/>
      <c r="BL1141" s="271"/>
      <c r="BM1141" s="271"/>
      <c r="BN1141" s="271"/>
      <c r="BO1141" s="271"/>
      <c r="BP1141" s="271"/>
    </row>
    <row r="1142" spans="1:68" ht="20.100000000000001" customHeight="1">
      <c r="A1142" s="1229" t="s">
        <v>4536</v>
      </c>
      <c r="B1142" s="1229" t="s">
        <v>4749</v>
      </c>
      <c r="C1142" s="1229" t="s">
        <v>4748</v>
      </c>
      <c r="D1142" s="195">
        <f>D162+261*1.0124*1.3</f>
        <v>1218.5073199999999</v>
      </c>
      <c r="E1142" s="195">
        <f>E162+261*1.0124*1.3</f>
        <v>1893.5073199999999</v>
      </c>
      <c r="F1142" s="195">
        <f>F162+261*1.0124*1.3</f>
        <v>1943.5073199999999</v>
      </c>
      <c r="G1142" s="217" t="s">
        <v>4575</v>
      </c>
      <c r="H1142" s="48" t="s">
        <v>4753</v>
      </c>
      <c r="I1142" s="20" t="s">
        <v>4752</v>
      </c>
      <c r="J1142" s="30"/>
      <c r="K1142" s="38"/>
      <c r="L1142" s="116" t="s">
        <v>4539</v>
      </c>
      <c r="M1142" s="15">
        <v>43084</v>
      </c>
      <c r="N1142" s="15">
        <v>43100</v>
      </c>
      <c r="O1142" s="61" t="s">
        <v>4751</v>
      </c>
      <c r="P1142" s="61"/>
      <c r="Q1142" s="14" t="s">
        <v>4750</v>
      </c>
      <c r="R1142" s="239"/>
      <c r="S1142" s="328" t="s">
        <v>4543</v>
      </c>
      <c r="T1142" s="722"/>
      <c r="U1142" s="42"/>
      <c r="AE1142" s="271"/>
      <c r="AF1142" s="271"/>
      <c r="AG1142" s="271"/>
      <c r="AH1142" s="271"/>
      <c r="AI1142" s="271"/>
      <c r="AJ1142" s="271"/>
      <c r="AK1142" s="271"/>
      <c r="AL1142" s="271"/>
      <c r="AM1142" s="271"/>
      <c r="AN1142" s="271"/>
      <c r="AO1142" s="271"/>
      <c r="AP1142" s="271"/>
      <c r="AQ1142" s="271"/>
      <c r="AR1142" s="271"/>
      <c r="AS1142" s="271"/>
      <c r="AT1142" s="271"/>
      <c r="AU1142" s="271"/>
      <c r="AV1142" s="271"/>
      <c r="AW1142" s="271"/>
      <c r="AX1142" s="271"/>
      <c r="AY1142" s="271"/>
      <c r="AZ1142" s="271"/>
      <c r="BA1142" s="271"/>
      <c r="BB1142" s="271"/>
      <c r="BC1142" s="271"/>
      <c r="BD1142" s="271"/>
      <c r="BE1142" s="271"/>
      <c r="BF1142" s="271"/>
      <c r="BG1142" s="271"/>
      <c r="BH1142" s="271"/>
      <c r="BI1142" s="271"/>
      <c r="BJ1142" s="271"/>
      <c r="BK1142" s="271"/>
      <c r="BL1142" s="271"/>
      <c r="BM1142" s="271"/>
      <c r="BN1142" s="271"/>
      <c r="BO1142" s="271"/>
      <c r="BP1142" s="271"/>
    </row>
    <row r="1143" spans="1:68" ht="20.100000000000001" customHeight="1">
      <c r="A1143" s="1229" t="s">
        <v>4536</v>
      </c>
      <c r="B1143" s="1229" t="s">
        <v>4749</v>
      </c>
      <c r="C1143" s="1229" t="s">
        <v>4748</v>
      </c>
      <c r="D1143" s="195">
        <f>D120+200</f>
        <v>1100</v>
      </c>
      <c r="E1143" s="195">
        <f>E120+325</f>
        <v>1925</v>
      </c>
      <c r="F1143" s="195">
        <f>F120+325</f>
        <v>1975</v>
      </c>
      <c r="G1143" s="110" t="s">
        <v>4553</v>
      </c>
      <c r="H1143" s="56" t="s">
        <v>4552</v>
      </c>
      <c r="I1143" s="38" t="s">
        <v>4639</v>
      </c>
      <c r="J1143" s="30"/>
      <c r="K1143" s="38">
        <v>37</v>
      </c>
      <c r="L1143" s="116" t="s">
        <v>4539</v>
      </c>
      <c r="M1143" s="6">
        <v>43085</v>
      </c>
      <c r="N1143" s="6">
        <v>43100</v>
      </c>
      <c r="O1143" s="61" t="s">
        <v>4744</v>
      </c>
      <c r="P1143" s="61"/>
      <c r="Q1143" s="61"/>
      <c r="R1143" s="239"/>
      <c r="S1143" s="328" t="s">
        <v>4543</v>
      </c>
      <c r="T1143" s="722"/>
      <c r="U1143" s="42"/>
      <c r="AE1143" s="115"/>
      <c r="AF1143" s="115"/>
      <c r="AG1143" s="115"/>
      <c r="AH1143" s="115"/>
      <c r="AI1143" s="115"/>
      <c r="AJ1143" s="115"/>
      <c r="AK1143" s="115"/>
      <c r="AL1143" s="115"/>
      <c r="AM1143" s="115"/>
      <c r="AN1143" s="115"/>
      <c r="AO1143" s="115"/>
      <c r="AP1143" s="115"/>
      <c r="AQ1143" s="115"/>
      <c r="AR1143" s="115"/>
      <c r="AS1143" s="115"/>
      <c r="AT1143" s="115"/>
      <c r="AU1143" s="115"/>
      <c r="AV1143" s="115"/>
      <c r="AW1143" s="115"/>
      <c r="AX1143" s="115"/>
      <c r="AY1143" s="115"/>
      <c r="AZ1143" s="115"/>
      <c r="BA1143" s="115"/>
      <c r="BB1143" s="115"/>
      <c r="BC1143" s="115"/>
      <c r="BD1143" s="115"/>
      <c r="BE1143" s="115"/>
      <c r="BF1143" s="115"/>
      <c r="BG1143" s="115"/>
      <c r="BH1143" s="115"/>
      <c r="BI1143" s="115"/>
      <c r="BJ1143" s="115"/>
      <c r="BK1143" s="115"/>
      <c r="BL1143" s="115"/>
      <c r="BM1143" s="115"/>
      <c r="BN1143" s="115"/>
      <c r="BO1143" s="115"/>
      <c r="BP1143" s="115"/>
    </row>
    <row r="1144" spans="1:68" ht="20.100000000000001" customHeight="1">
      <c r="A1144" s="1229" t="s">
        <v>4536</v>
      </c>
      <c r="B1144" s="1229" t="s">
        <v>4742</v>
      </c>
      <c r="C1144" s="1229" t="s">
        <v>4747</v>
      </c>
      <c r="D1144" s="345">
        <f>D77+200+25</f>
        <v>1075</v>
      </c>
      <c r="E1144" s="345">
        <f>E77+250+50</f>
        <v>1900</v>
      </c>
      <c r="F1144" s="345">
        <f>F77+250+50</f>
        <v>1950</v>
      </c>
      <c r="G1144" s="217" t="s">
        <v>4572</v>
      </c>
      <c r="H1144" s="56" t="s">
        <v>4541</v>
      </c>
      <c r="I1144" s="20" t="s">
        <v>4540</v>
      </c>
      <c r="J1144" s="30"/>
      <c r="K1144" s="38"/>
      <c r="L1144" s="116" t="s">
        <v>4539</v>
      </c>
      <c r="M1144" s="15">
        <v>43070</v>
      </c>
      <c r="N1144" s="15">
        <v>43100</v>
      </c>
      <c r="O1144" s="59" t="s">
        <v>4571</v>
      </c>
      <c r="P1144" s="904"/>
      <c r="Q1144" s="7"/>
      <c r="R1144" s="239"/>
      <c r="S1144" s="327" t="s">
        <v>4570</v>
      </c>
      <c r="T1144" s="722"/>
      <c r="U1144" s="42"/>
      <c r="AE1144" s="271"/>
      <c r="AF1144" s="271"/>
      <c r="AG1144" s="271"/>
      <c r="AH1144" s="271"/>
      <c r="AI1144" s="271"/>
      <c r="AJ1144" s="271"/>
      <c r="AK1144" s="271"/>
      <c r="AL1144" s="271"/>
      <c r="AM1144" s="271"/>
      <c r="AN1144" s="271"/>
      <c r="AO1144" s="271"/>
      <c r="AP1144" s="271"/>
      <c r="AQ1144" s="271"/>
      <c r="AR1144" s="271"/>
      <c r="AS1144" s="271"/>
      <c r="AT1144" s="271"/>
      <c r="AU1144" s="271"/>
      <c r="AV1144" s="271"/>
      <c r="AW1144" s="271"/>
      <c r="AX1144" s="271"/>
      <c r="AY1144" s="271"/>
      <c r="AZ1144" s="271"/>
      <c r="BA1144" s="271"/>
      <c r="BB1144" s="271"/>
      <c r="BC1144" s="271"/>
      <c r="BD1144" s="271"/>
      <c r="BE1144" s="271"/>
      <c r="BF1144" s="271"/>
      <c r="BG1144" s="271"/>
      <c r="BH1144" s="271"/>
      <c r="BI1144" s="271"/>
      <c r="BJ1144" s="271"/>
      <c r="BK1144" s="271"/>
      <c r="BL1144" s="271"/>
      <c r="BM1144" s="271"/>
      <c r="BN1144" s="271"/>
      <c r="BO1144" s="271"/>
      <c r="BP1144" s="271"/>
    </row>
    <row r="1145" spans="1:68" ht="20.100000000000001" customHeight="1">
      <c r="A1145" s="1229" t="s">
        <v>4536</v>
      </c>
      <c r="B1145" s="1229" t="s">
        <v>4742</v>
      </c>
      <c r="C1145" s="1229" t="s">
        <v>4747</v>
      </c>
      <c r="D1145" s="196">
        <f>D97+250</f>
        <v>1125</v>
      </c>
      <c r="E1145" s="196">
        <f>E97+300</f>
        <v>1850</v>
      </c>
      <c r="F1145" s="196">
        <f>F97+300</f>
        <v>1900</v>
      </c>
      <c r="G1145" s="217" t="s">
        <v>4575</v>
      </c>
      <c r="H1145" s="48" t="s">
        <v>4574</v>
      </c>
      <c r="I1145" s="38" t="s">
        <v>4540</v>
      </c>
      <c r="J1145" s="30"/>
      <c r="K1145" s="38"/>
      <c r="L1145" s="116" t="s">
        <v>4539</v>
      </c>
      <c r="M1145" s="15">
        <v>43084</v>
      </c>
      <c r="N1145" s="15">
        <v>43100</v>
      </c>
      <c r="O1145" s="61" t="s">
        <v>4573</v>
      </c>
      <c r="P1145" s="904"/>
      <c r="Q1145" s="904"/>
      <c r="R1145" s="239"/>
      <c r="S1145" s="328" t="s">
        <v>4543</v>
      </c>
      <c r="T1145" s="722"/>
      <c r="U1145" s="42"/>
      <c r="AE1145" s="115"/>
      <c r="AF1145" s="115"/>
      <c r="AG1145" s="115"/>
      <c r="AH1145" s="115"/>
      <c r="AI1145" s="115"/>
      <c r="AJ1145" s="115"/>
      <c r="AK1145" s="115"/>
      <c r="AL1145" s="115"/>
      <c r="AM1145" s="115"/>
      <c r="AN1145" s="115"/>
      <c r="AO1145" s="115"/>
      <c r="AP1145" s="115"/>
      <c r="AQ1145" s="115"/>
      <c r="AR1145" s="115"/>
      <c r="AS1145" s="115"/>
      <c r="AT1145" s="115"/>
      <c r="AU1145" s="115"/>
      <c r="AV1145" s="115"/>
      <c r="AW1145" s="115"/>
      <c r="AX1145" s="115"/>
      <c r="AY1145" s="115"/>
      <c r="AZ1145" s="115"/>
      <c r="BA1145" s="115"/>
      <c r="BB1145" s="115"/>
      <c r="BC1145" s="115"/>
      <c r="BD1145" s="115"/>
      <c r="BE1145" s="115"/>
      <c r="BF1145" s="115"/>
      <c r="BG1145" s="115"/>
      <c r="BH1145" s="115"/>
      <c r="BI1145" s="115"/>
      <c r="BJ1145" s="115"/>
      <c r="BK1145" s="115"/>
      <c r="BL1145" s="115"/>
      <c r="BM1145" s="115"/>
      <c r="BN1145" s="115"/>
      <c r="BO1145" s="115"/>
      <c r="BP1145" s="115"/>
    </row>
    <row r="1146" spans="1:68" ht="20.100000000000001" customHeight="1">
      <c r="A1146" s="1229" t="s">
        <v>4536</v>
      </c>
      <c r="B1146" s="1229" t="s">
        <v>4742</v>
      </c>
      <c r="C1146" s="1229" t="s">
        <v>4747</v>
      </c>
      <c r="D1146" s="273">
        <f>D211+250+25</f>
        <v>1000</v>
      </c>
      <c r="E1146" s="273">
        <f>E211+200+50</f>
        <v>1600</v>
      </c>
      <c r="F1146" s="273">
        <f>F211+200+50</f>
        <v>1650</v>
      </c>
      <c r="G1146" s="110" t="s">
        <v>4566</v>
      </c>
      <c r="H1146" s="69" t="s">
        <v>4556</v>
      </c>
      <c r="I1146" s="38" t="s">
        <v>4540</v>
      </c>
      <c r="J1146" s="30"/>
      <c r="K1146" s="38"/>
      <c r="L1146" s="116" t="s">
        <v>4539</v>
      </c>
      <c r="M1146" s="15">
        <v>43084</v>
      </c>
      <c r="N1146" s="15">
        <v>43100</v>
      </c>
      <c r="O1146" s="59" t="s">
        <v>4638</v>
      </c>
      <c r="P1146" s="61"/>
      <c r="Q1146" s="61"/>
      <c r="R1146" s="239"/>
      <c r="S1146" s="327" t="s">
        <v>4561</v>
      </c>
      <c r="T1146" s="722"/>
      <c r="U1146" s="42"/>
      <c r="AE1146" s="115"/>
      <c r="AF1146" s="115"/>
      <c r="AG1146" s="115"/>
      <c r="AH1146" s="115"/>
      <c r="AI1146" s="115"/>
      <c r="AJ1146" s="115"/>
      <c r="AK1146" s="115"/>
      <c r="AL1146" s="115"/>
      <c r="AM1146" s="115"/>
      <c r="AN1146" s="115"/>
      <c r="AO1146" s="115"/>
      <c r="AP1146" s="115"/>
      <c r="AQ1146" s="115"/>
      <c r="AR1146" s="115"/>
      <c r="AS1146" s="115"/>
      <c r="AT1146" s="115"/>
      <c r="AU1146" s="115"/>
      <c r="AV1146" s="115"/>
      <c r="AW1146" s="115"/>
      <c r="AX1146" s="115"/>
      <c r="AY1146" s="115"/>
      <c r="AZ1146" s="115"/>
      <c r="BA1146" s="115"/>
      <c r="BB1146" s="115"/>
      <c r="BC1146" s="115"/>
      <c r="BD1146" s="115"/>
      <c r="BE1146" s="115"/>
      <c r="BF1146" s="115"/>
      <c r="BG1146" s="115"/>
      <c r="BH1146" s="115"/>
      <c r="BI1146" s="115"/>
      <c r="BJ1146" s="115"/>
      <c r="BK1146" s="115"/>
      <c r="BL1146" s="115"/>
      <c r="BM1146" s="115"/>
      <c r="BN1146" s="115"/>
      <c r="BO1146" s="115"/>
      <c r="BP1146" s="115"/>
    </row>
    <row r="1147" spans="1:68" ht="20.100000000000001" customHeight="1">
      <c r="A1147" s="1229" t="s">
        <v>4536</v>
      </c>
      <c r="B1147" s="1229" t="s">
        <v>4742</v>
      </c>
      <c r="C1147" s="1229" t="s">
        <v>4747</v>
      </c>
      <c r="D1147" s="195">
        <f>D71+580+25</f>
        <v>1355</v>
      </c>
      <c r="E1147" s="195">
        <f>E71+800+50</f>
        <v>2250</v>
      </c>
      <c r="F1147" s="195">
        <f>F71+800+50</f>
        <v>2300</v>
      </c>
      <c r="G1147" s="110" t="s">
        <v>4636</v>
      </c>
      <c r="H1147" s="36" t="s">
        <v>4696</v>
      </c>
      <c r="I1147" s="38" t="s">
        <v>4540</v>
      </c>
      <c r="J1147" s="30"/>
      <c r="K1147" s="38"/>
      <c r="L1147" s="116" t="s">
        <v>4539</v>
      </c>
      <c r="M1147" s="6">
        <v>43084</v>
      </c>
      <c r="N1147" s="6">
        <v>43100</v>
      </c>
      <c r="O1147" s="61" t="s">
        <v>4633</v>
      </c>
      <c r="P1147" s="61"/>
      <c r="Q1147" s="61"/>
      <c r="R1147" s="239"/>
      <c r="S1147" s="327" t="s">
        <v>4632</v>
      </c>
      <c r="T1147" s="722"/>
      <c r="U1147" s="42"/>
      <c r="AE1147" s="115"/>
      <c r="AF1147" s="115"/>
      <c r="AG1147" s="115"/>
      <c r="AH1147" s="115"/>
      <c r="AI1147" s="115"/>
      <c r="AJ1147" s="115"/>
      <c r="AK1147" s="115"/>
      <c r="AL1147" s="115"/>
      <c r="AM1147" s="115"/>
      <c r="AN1147" s="115"/>
      <c r="AO1147" s="115"/>
      <c r="AP1147" s="115"/>
      <c r="AQ1147" s="115"/>
      <c r="AR1147" s="115"/>
      <c r="AS1147" s="115"/>
      <c r="AT1147" s="115"/>
      <c r="AU1147" s="115"/>
      <c r="AV1147" s="115"/>
      <c r="AW1147" s="115"/>
      <c r="AX1147" s="115"/>
      <c r="AY1147" s="115"/>
      <c r="AZ1147" s="115"/>
      <c r="BA1147" s="115"/>
      <c r="BB1147" s="115"/>
      <c r="BC1147" s="115"/>
      <c r="BD1147" s="115"/>
      <c r="BE1147" s="115"/>
      <c r="BF1147" s="115"/>
      <c r="BG1147" s="115"/>
      <c r="BH1147" s="115"/>
      <c r="BI1147" s="115"/>
      <c r="BJ1147" s="115"/>
      <c r="BK1147" s="115"/>
      <c r="BL1147" s="115"/>
      <c r="BM1147" s="115"/>
      <c r="BN1147" s="115"/>
      <c r="BO1147" s="115"/>
      <c r="BP1147" s="115"/>
    </row>
    <row r="1148" spans="1:68" ht="20.100000000000001" customHeight="1">
      <c r="A1148" s="1229" t="s">
        <v>4536</v>
      </c>
      <c r="B1148" s="1229" t="s">
        <v>4742</v>
      </c>
      <c r="C1148" s="1229" t="s">
        <v>4747</v>
      </c>
      <c r="D1148" s="195">
        <f>D72+300</f>
        <v>1080</v>
      </c>
      <c r="E1148" s="195">
        <f>E72+500</f>
        <v>1957</v>
      </c>
      <c r="F1148" s="195">
        <f>F72+500</f>
        <v>1957</v>
      </c>
      <c r="G1148" s="225" t="s">
        <v>4569</v>
      </c>
      <c r="H1148" s="69" t="s">
        <v>4568</v>
      </c>
      <c r="I1148" s="38" t="s">
        <v>4540</v>
      </c>
      <c r="J1148" s="30"/>
      <c r="K1148" s="38" t="s">
        <v>4735</v>
      </c>
      <c r="L1148" s="116" t="s">
        <v>4539</v>
      </c>
      <c r="M1148" s="6">
        <v>43074</v>
      </c>
      <c r="N1148" s="6">
        <v>43084</v>
      </c>
      <c r="O1148" s="61" t="s">
        <v>4567</v>
      </c>
      <c r="P1148" s="61"/>
      <c r="Q1148" s="61"/>
      <c r="R1148" s="239"/>
      <c r="S1148" s="328" t="s">
        <v>4543</v>
      </c>
      <c r="T1148" s="722"/>
      <c r="U1148" s="42"/>
      <c r="AE1148" s="115"/>
      <c r="AF1148" s="115"/>
      <c r="AG1148" s="115"/>
      <c r="AH1148" s="115"/>
      <c r="AI1148" s="115"/>
      <c r="AJ1148" s="115"/>
      <c r="AK1148" s="115"/>
      <c r="AL1148" s="115"/>
      <c r="AM1148" s="115"/>
      <c r="AN1148" s="115"/>
      <c r="AO1148" s="115"/>
      <c r="AP1148" s="115"/>
      <c r="AQ1148" s="115"/>
      <c r="AR1148" s="115"/>
      <c r="AS1148" s="115"/>
      <c r="AT1148" s="115"/>
      <c r="AU1148" s="115"/>
      <c r="AV1148" s="115"/>
      <c r="AW1148" s="115"/>
      <c r="AX1148" s="115"/>
      <c r="AY1148" s="115"/>
      <c r="AZ1148" s="115"/>
      <c r="BA1148" s="115"/>
      <c r="BB1148" s="115"/>
      <c r="BC1148" s="115"/>
      <c r="BD1148" s="115"/>
      <c r="BE1148" s="115"/>
      <c r="BF1148" s="115"/>
      <c r="BG1148" s="115"/>
      <c r="BH1148" s="115"/>
      <c r="BI1148" s="115"/>
      <c r="BJ1148" s="115"/>
      <c r="BK1148" s="115"/>
      <c r="BL1148" s="115"/>
      <c r="BM1148" s="115"/>
      <c r="BN1148" s="115"/>
      <c r="BO1148" s="115"/>
      <c r="BP1148" s="115"/>
    </row>
    <row r="1149" spans="1:68" ht="20.100000000000001" customHeight="1">
      <c r="A1149" s="1229" t="s">
        <v>4536</v>
      </c>
      <c r="B1149" s="1229" t="s">
        <v>4742</v>
      </c>
      <c r="C1149" s="1229" t="s">
        <v>4747</v>
      </c>
      <c r="D1149" s="195">
        <f>D90+350</f>
        <v>1115</v>
      </c>
      <c r="E1149" s="195">
        <f>E90+450</f>
        <v>1880</v>
      </c>
      <c r="F1149" s="195">
        <f>F90+450</f>
        <v>1930</v>
      </c>
      <c r="G1149" s="110" t="s">
        <v>4560</v>
      </c>
      <c r="H1149" s="48" t="s">
        <v>4556</v>
      </c>
      <c r="I1149" s="38" t="s">
        <v>4540</v>
      </c>
      <c r="J1149" s="30"/>
      <c r="K1149" s="38">
        <v>33</v>
      </c>
      <c r="L1149" s="116" t="s">
        <v>4539</v>
      </c>
      <c r="M1149" s="15">
        <v>43084</v>
      </c>
      <c r="N1149" s="15">
        <v>43100</v>
      </c>
      <c r="O1149" s="59" t="s">
        <v>4559</v>
      </c>
      <c r="P1149" s="61"/>
      <c r="Q1149" s="61"/>
      <c r="R1149" s="239"/>
      <c r="S1149" s="336" t="s">
        <v>4558</v>
      </c>
      <c r="T1149" s="722"/>
      <c r="U1149" s="42"/>
      <c r="AE1149" s="115"/>
      <c r="AF1149" s="115"/>
      <c r="AG1149" s="115"/>
      <c r="AH1149" s="115"/>
      <c r="AI1149" s="115"/>
      <c r="AJ1149" s="115"/>
      <c r="AK1149" s="115"/>
      <c r="AL1149" s="115"/>
      <c r="AM1149" s="115"/>
      <c r="AN1149" s="115"/>
      <c r="AO1149" s="115"/>
      <c r="AP1149" s="115"/>
      <c r="AQ1149" s="115"/>
      <c r="AR1149" s="115"/>
      <c r="AS1149" s="115"/>
      <c r="AT1149" s="115"/>
      <c r="AU1149" s="115"/>
      <c r="AV1149" s="115"/>
      <c r="AW1149" s="115"/>
      <c r="AX1149" s="115"/>
      <c r="AY1149" s="115"/>
      <c r="AZ1149" s="115"/>
      <c r="BA1149" s="115"/>
      <c r="BB1149" s="115"/>
      <c r="BC1149" s="115"/>
      <c r="BD1149" s="115"/>
      <c r="BE1149" s="115"/>
      <c r="BF1149" s="115"/>
      <c r="BG1149" s="115"/>
      <c r="BH1149" s="115"/>
      <c r="BI1149" s="115"/>
      <c r="BJ1149" s="115"/>
      <c r="BK1149" s="115"/>
      <c r="BL1149" s="115"/>
      <c r="BM1149" s="115"/>
      <c r="BN1149" s="115"/>
      <c r="BO1149" s="115"/>
      <c r="BP1149" s="115"/>
    </row>
    <row r="1150" spans="1:68" ht="20.100000000000001" customHeight="1">
      <c r="A1150" s="1229" t="s">
        <v>4536</v>
      </c>
      <c r="B1150" s="1229" t="s">
        <v>4742</v>
      </c>
      <c r="C1150" s="1229" t="s">
        <v>4747</v>
      </c>
      <c r="D1150" s="195">
        <f>D64+400</f>
        <v>1150</v>
      </c>
      <c r="E1150" s="195">
        <f>E64+500</f>
        <v>1900</v>
      </c>
      <c r="F1150" s="195">
        <f>F64+500</f>
        <v>1900</v>
      </c>
      <c r="G1150" s="217" t="s">
        <v>4557</v>
      </c>
      <c r="H1150" s="69" t="s">
        <v>4556</v>
      </c>
      <c r="I1150" s="38" t="s">
        <v>4540</v>
      </c>
      <c r="J1150" s="30"/>
      <c r="K1150" s="38"/>
      <c r="L1150" s="116" t="s">
        <v>4539</v>
      </c>
      <c r="M1150" s="6">
        <v>43084</v>
      </c>
      <c r="N1150" s="6">
        <v>43100</v>
      </c>
      <c r="O1150" s="61" t="s">
        <v>4555</v>
      </c>
      <c r="P1150" s="61"/>
      <c r="Q1150" s="7"/>
      <c r="R1150" s="239" t="s">
        <v>4554</v>
      </c>
      <c r="S1150" s="326" t="s">
        <v>4543</v>
      </c>
      <c r="T1150" s="722"/>
      <c r="U1150" s="42"/>
      <c r="AE1150" s="283"/>
      <c r="AF1150" s="283"/>
      <c r="AG1150" s="283"/>
      <c r="AH1150" s="283"/>
      <c r="AI1150" s="283"/>
      <c r="AJ1150" s="283"/>
      <c r="AK1150" s="283"/>
      <c r="AL1150" s="283"/>
      <c r="AM1150" s="283"/>
      <c r="AN1150" s="283"/>
      <c r="AO1150" s="283"/>
      <c r="AP1150" s="283"/>
      <c r="AQ1150" s="283"/>
      <c r="AR1150" s="283"/>
      <c r="AS1150" s="283"/>
      <c r="AT1150" s="283"/>
      <c r="AU1150" s="283"/>
      <c r="AV1150" s="283"/>
      <c r="AW1150" s="283"/>
      <c r="AX1150" s="283"/>
      <c r="AY1150" s="283"/>
      <c r="AZ1150" s="283"/>
      <c r="BA1150" s="283"/>
      <c r="BB1150" s="283"/>
      <c r="BC1150" s="283"/>
      <c r="BD1150" s="283"/>
      <c r="BE1150" s="283"/>
      <c r="BF1150" s="283"/>
      <c r="BG1150" s="283"/>
      <c r="BH1150" s="283"/>
      <c r="BI1150" s="283"/>
      <c r="BJ1150" s="283"/>
      <c r="BK1150" s="283"/>
      <c r="BL1150" s="283"/>
      <c r="BM1150" s="283"/>
      <c r="BN1150" s="283"/>
      <c r="BO1150" s="283"/>
      <c r="BP1150" s="283"/>
    </row>
    <row r="1151" spans="1:68" ht="20.100000000000001" customHeight="1">
      <c r="A1151" s="1229" t="s">
        <v>4536</v>
      </c>
      <c r="B1151" s="1229" t="s">
        <v>4742</v>
      </c>
      <c r="C1151" s="1229" t="s">
        <v>4747</v>
      </c>
      <c r="D1151" s="195">
        <f>D120+200</f>
        <v>1100</v>
      </c>
      <c r="E1151" s="195">
        <f>E120+200</f>
        <v>1800</v>
      </c>
      <c r="F1151" s="195">
        <f>F120+200</f>
        <v>1850</v>
      </c>
      <c r="G1151" s="110" t="s">
        <v>4553</v>
      </c>
      <c r="H1151" s="56" t="s">
        <v>4552</v>
      </c>
      <c r="I1151" s="38" t="s">
        <v>4639</v>
      </c>
      <c r="J1151" s="30"/>
      <c r="K1151" s="38">
        <v>34</v>
      </c>
      <c r="L1151" s="116" t="s">
        <v>4539</v>
      </c>
      <c r="M1151" s="6">
        <v>43085</v>
      </c>
      <c r="N1151" s="6">
        <v>43100</v>
      </c>
      <c r="O1151" s="61" t="s">
        <v>4744</v>
      </c>
      <c r="P1151" s="61"/>
      <c r="Q1151" s="61"/>
      <c r="R1151" s="239"/>
      <c r="S1151" s="328" t="s">
        <v>4543</v>
      </c>
      <c r="T1151" s="722"/>
      <c r="U1151" s="42"/>
      <c r="AE1151" s="115"/>
      <c r="AF1151" s="115"/>
      <c r="AG1151" s="115"/>
      <c r="AH1151" s="115"/>
      <c r="AI1151" s="115"/>
      <c r="AJ1151" s="115"/>
      <c r="AK1151" s="115"/>
      <c r="AL1151" s="115"/>
      <c r="AM1151" s="115"/>
      <c r="AN1151" s="115"/>
      <c r="AO1151" s="115"/>
      <c r="AP1151" s="115"/>
      <c r="AQ1151" s="115"/>
      <c r="AR1151" s="115"/>
      <c r="AS1151" s="115"/>
      <c r="AT1151" s="115"/>
      <c r="AU1151" s="115"/>
      <c r="AV1151" s="115"/>
      <c r="AW1151" s="115"/>
      <c r="AX1151" s="115"/>
      <c r="AY1151" s="115"/>
      <c r="AZ1151" s="115"/>
      <c r="BA1151" s="115"/>
      <c r="BB1151" s="115"/>
      <c r="BC1151" s="115"/>
      <c r="BD1151" s="115"/>
      <c r="BE1151" s="115"/>
      <c r="BF1151" s="115"/>
      <c r="BG1151" s="115"/>
      <c r="BH1151" s="115"/>
      <c r="BI1151" s="115"/>
      <c r="BJ1151" s="115"/>
      <c r="BK1151" s="115"/>
      <c r="BL1151" s="115"/>
      <c r="BM1151" s="115"/>
      <c r="BN1151" s="115"/>
      <c r="BO1151" s="115"/>
      <c r="BP1151" s="115"/>
    </row>
    <row r="1152" spans="1:68" ht="20.100000000000001" customHeight="1">
      <c r="A1152" s="1229" t="s">
        <v>4536</v>
      </c>
      <c r="B1152" s="1229" t="s">
        <v>4742</v>
      </c>
      <c r="C1152" s="1229" t="s">
        <v>4747</v>
      </c>
      <c r="D1152" s="195">
        <f>D186+475+25</f>
        <v>1275</v>
      </c>
      <c r="E1152" s="195">
        <f>E186+600+50</f>
        <v>2100</v>
      </c>
      <c r="F1152" s="195">
        <f>F186+600+50</f>
        <v>2150</v>
      </c>
      <c r="G1152" s="12" t="s">
        <v>4542</v>
      </c>
      <c r="H1152" s="69" t="s">
        <v>4556</v>
      </c>
      <c r="I1152" s="38" t="s">
        <v>4743</v>
      </c>
      <c r="J1152" s="140"/>
      <c r="K1152" s="38"/>
      <c r="L1152" s="116" t="s">
        <v>4539</v>
      </c>
      <c r="M1152" s="15">
        <v>43084</v>
      </c>
      <c r="N1152" s="15">
        <v>43100</v>
      </c>
      <c r="O1152" s="61" t="s">
        <v>4538</v>
      </c>
      <c r="P1152" s="61"/>
      <c r="Q1152" s="61"/>
      <c r="R1152" s="239"/>
      <c r="S1152" s="326" t="s">
        <v>4537</v>
      </c>
      <c r="T1152" s="722"/>
      <c r="U1152" s="42"/>
      <c r="AE1152" s="115"/>
      <c r="AF1152" s="115"/>
      <c r="AG1152" s="115"/>
      <c r="AH1152" s="115"/>
      <c r="AI1152" s="115"/>
      <c r="AJ1152" s="115"/>
      <c r="AK1152" s="115"/>
      <c r="AL1152" s="115"/>
      <c r="AM1152" s="115"/>
      <c r="AN1152" s="115"/>
      <c r="AO1152" s="115"/>
      <c r="AP1152" s="115"/>
      <c r="AQ1152" s="115"/>
      <c r="AR1152" s="115"/>
      <c r="AS1152" s="115"/>
      <c r="AT1152" s="115"/>
      <c r="AU1152" s="115"/>
      <c r="AV1152" s="115"/>
      <c r="AW1152" s="115"/>
      <c r="AX1152" s="115"/>
      <c r="AY1152" s="115"/>
      <c r="AZ1152" s="115"/>
      <c r="BA1152" s="115"/>
      <c r="BB1152" s="115"/>
      <c r="BC1152" s="115"/>
      <c r="BD1152" s="115"/>
      <c r="BE1152" s="115"/>
      <c r="BF1152" s="115"/>
      <c r="BG1152" s="115"/>
      <c r="BH1152" s="115"/>
      <c r="BI1152" s="115"/>
      <c r="BJ1152" s="115"/>
      <c r="BK1152" s="115"/>
      <c r="BL1152" s="115"/>
      <c r="BM1152" s="115"/>
      <c r="BN1152" s="115"/>
      <c r="BO1152" s="115"/>
      <c r="BP1152" s="115"/>
    </row>
    <row r="1153" spans="1:68" ht="20.100000000000001" customHeight="1">
      <c r="A1153" s="1229" t="s">
        <v>4536</v>
      </c>
      <c r="B1153" s="1229" t="s">
        <v>4742</v>
      </c>
      <c r="C1153" s="1229" t="s">
        <v>4747</v>
      </c>
      <c r="D1153" s="195">
        <f>D65+350</f>
        <v>1150</v>
      </c>
      <c r="E1153" s="195">
        <f>E65+400</f>
        <v>1900</v>
      </c>
      <c r="F1153" s="195">
        <f>F65+400</f>
        <v>1950</v>
      </c>
      <c r="G1153" s="12" t="s">
        <v>4645</v>
      </c>
      <c r="H1153" s="48" t="s">
        <v>4556</v>
      </c>
      <c r="I1153" s="38" t="s">
        <v>4540</v>
      </c>
      <c r="J1153" s="30"/>
      <c r="K1153" s="38" t="s">
        <v>4746</v>
      </c>
      <c r="L1153" s="116" t="s">
        <v>4539</v>
      </c>
      <c r="M1153" s="6">
        <v>43084</v>
      </c>
      <c r="N1153" s="6">
        <v>43100</v>
      </c>
      <c r="O1153" s="61" t="s">
        <v>4643</v>
      </c>
      <c r="P1153" s="61"/>
      <c r="Q1153" s="61"/>
      <c r="R1153" s="239"/>
      <c r="S1153" s="326" t="s">
        <v>4641</v>
      </c>
      <c r="T1153" s="722"/>
      <c r="U1153" s="42"/>
      <c r="AE1153" s="115"/>
      <c r="AF1153" s="115"/>
      <c r="AG1153" s="115"/>
      <c r="AH1153" s="115"/>
      <c r="AI1153" s="115"/>
      <c r="AJ1153" s="115"/>
      <c r="AK1153" s="115"/>
      <c r="AL1153" s="115"/>
      <c r="AM1153" s="115"/>
      <c r="AN1153" s="115"/>
      <c r="AO1153" s="115"/>
      <c r="AP1153" s="115"/>
      <c r="AQ1153" s="115"/>
      <c r="AR1153" s="115"/>
      <c r="AS1153" s="115"/>
      <c r="AT1153" s="115"/>
      <c r="AU1153" s="115"/>
      <c r="AV1153" s="115"/>
      <c r="AW1153" s="115"/>
      <c r="AX1153" s="115"/>
      <c r="AY1153" s="115"/>
      <c r="AZ1153" s="115"/>
      <c r="BA1153" s="115"/>
      <c r="BB1153" s="115"/>
      <c r="BC1153" s="115"/>
      <c r="BD1153" s="115"/>
      <c r="BE1153" s="115"/>
      <c r="BF1153" s="115"/>
      <c r="BG1153" s="115"/>
      <c r="BH1153" s="115"/>
      <c r="BI1153" s="115"/>
      <c r="BJ1153" s="115"/>
      <c r="BK1153" s="115"/>
      <c r="BL1153" s="115"/>
      <c r="BM1153" s="115"/>
      <c r="BN1153" s="115"/>
      <c r="BO1153" s="115"/>
      <c r="BP1153" s="115"/>
    </row>
    <row r="1154" spans="1:68" ht="20.100000000000001" customHeight="1">
      <c r="A1154" s="1229" t="s">
        <v>4536</v>
      </c>
      <c r="B1154" s="1229" t="s">
        <v>4742</v>
      </c>
      <c r="C1154" s="1229" t="s">
        <v>4741</v>
      </c>
      <c r="D1154" s="345">
        <f>D77+250+25</f>
        <v>1125</v>
      </c>
      <c r="E1154" s="345">
        <f>E77+350+50</f>
        <v>2000</v>
      </c>
      <c r="F1154" s="345">
        <f>F77+350+50</f>
        <v>2050</v>
      </c>
      <c r="G1154" s="217" t="s">
        <v>4572</v>
      </c>
      <c r="H1154" s="56" t="s">
        <v>4541</v>
      </c>
      <c r="I1154" s="20" t="s">
        <v>4540</v>
      </c>
      <c r="J1154" s="30"/>
      <c r="K1154" s="38"/>
      <c r="L1154" s="116" t="s">
        <v>4539</v>
      </c>
      <c r="M1154" s="15">
        <v>43070</v>
      </c>
      <c r="N1154" s="15">
        <v>43100</v>
      </c>
      <c r="O1154" s="59" t="s">
        <v>4571</v>
      </c>
      <c r="P1154" s="904"/>
      <c r="Q1154" s="7"/>
      <c r="R1154" s="239"/>
      <c r="S1154" s="327" t="s">
        <v>4570</v>
      </c>
      <c r="T1154" s="722"/>
      <c r="U1154" s="42"/>
      <c r="AE1154" s="115"/>
      <c r="AF1154" s="115"/>
      <c r="AG1154" s="115"/>
      <c r="AH1154" s="115"/>
      <c r="AI1154" s="115"/>
      <c r="AJ1154" s="115"/>
      <c r="AK1154" s="115"/>
      <c r="AL1154" s="115"/>
      <c r="AM1154" s="115"/>
      <c r="AN1154" s="115"/>
      <c r="AO1154" s="115"/>
      <c r="AP1154" s="115"/>
      <c r="AQ1154" s="115"/>
      <c r="AR1154" s="115"/>
      <c r="AS1154" s="115"/>
      <c r="AT1154" s="115"/>
      <c r="AU1154" s="115"/>
      <c r="AV1154" s="115"/>
      <c r="AW1154" s="115"/>
      <c r="AX1154" s="115"/>
      <c r="AY1154" s="115"/>
      <c r="AZ1154" s="115"/>
      <c r="BA1154" s="115"/>
      <c r="BB1154" s="115"/>
      <c r="BC1154" s="115"/>
      <c r="BD1154" s="115"/>
      <c r="BE1154" s="115"/>
      <c r="BF1154" s="115"/>
      <c r="BG1154" s="115"/>
      <c r="BH1154" s="115"/>
      <c r="BI1154" s="115"/>
      <c r="BJ1154" s="115"/>
      <c r="BK1154" s="115"/>
      <c r="BL1154" s="115"/>
      <c r="BM1154" s="115"/>
      <c r="BN1154" s="115"/>
      <c r="BO1154" s="115"/>
      <c r="BP1154" s="115"/>
    </row>
    <row r="1155" spans="1:68" ht="20.100000000000001" customHeight="1">
      <c r="A1155" s="1229" t="s">
        <v>4536</v>
      </c>
      <c r="B1155" s="1229" t="s">
        <v>4742</v>
      </c>
      <c r="C1155" s="1229" t="s">
        <v>4741</v>
      </c>
      <c r="D1155" s="344">
        <f>D97+100+0</f>
        <v>975</v>
      </c>
      <c r="E1155" s="344">
        <f>E97+100+0</f>
        <v>1650</v>
      </c>
      <c r="F1155" s="344">
        <f>F97+100+0</f>
        <v>1700</v>
      </c>
      <c r="G1155" s="217" t="s">
        <v>4575</v>
      </c>
      <c r="H1155" s="48" t="s">
        <v>4574</v>
      </c>
      <c r="I1155" s="38" t="s">
        <v>4540</v>
      </c>
      <c r="J1155" s="30"/>
      <c r="K1155" s="38"/>
      <c r="L1155" s="116" t="s">
        <v>4539</v>
      </c>
      <c r="M1155" s="15">
        <v>43084</v>
      </c>
      <c r="N1155" s="15">
        <v>43100</v>
      </c>
      <c r="O1155" s="61" t="s">
        <v>4573</v>
      </c>
      <c r="P1155" s="904"/>
      <c r="Q1155" s="904"/>
      <c r="R1155" s="239"/>
      <c r="S1155" s="328" t="s">
        <v>4543</v>
      </c>
      <c r="T1155" s="722"/>
      <c r="U1155" s="42"/>
      <c r="AE1155" s="115"/>
      <c r="AF1155" s="115"/>
      <c r="AG1155" s="115"/>
      <c r="AH1155" s="115"/>
      <c r="AI1155" s="115"/>
      <c r="AJ1155" s="115"/>
      <c r="AK1155" s="115"/>
      <c r="AL1155" s="115"/>
      <c r="AM1155" s="115"/>
      <c r="AN1155" s="115"/>
      <c r="AO1155" s="115"/>
      <c r="AP1155" s="115"/>
      <c r="AQ1155" s="115"/>
      <c r="AR1155" s="115"/>
      <c r="AS1155" s="115"/>
      <c r="AT1155" s="115"/>
      <c r="AU1155" s="115"/>
      <c r="AV1155" s="115"/>
      <c r="AW1155" s="115"/>
      <c r="AX1155" s="115"/>
      <c r="AY1155" s="115"/>
      <c r="AZ1155" s="115"/>
      <c r="BA1155" s="115"/>
      <c r="BB1155" s="115"/>
      <c r="BC1155" s="115"/>
      <c r="BD1155" s="115"/>
      <c r="BE1155" s="115"/>
      <c r="BF1155" s="115"/>
      <c r="BG1155" s="115"/>
      <c r="BH1155" s="115"/>
      <c r="BI1155" s="115"/>
      <c r="BJ1155" s="115"/>
      <c r="BK1155" s="115"/>
      <c r="BL1155" s="115"/>
      <c r="BM1155" s="115"/>
      <c r="BN1155" s="115"/>
      <c r="BO1155" s="115"/>
      <c r="BP1155" s="115"/>
    </row>
    <row r="1156" spans="1:68" ht="20.100000000000001" customHeight="1">
      <c r="A1156" s="1229" t="s">
        <v>4536</v>
      </c>
      <c r="B1156" s="1229" t="s">
        <v>4742</v>
      </c>
      <c r="C1156" s="1229" t="s">
        <v>4741</v>
      </c>
      <c r="D1156" s="273">
        <f>D211+250+25</f>
        <v>1000</v>
      </c>
      <c r="E1156" s="273">
        <f>E211+200+50</f>
        <v>1600</v>
      </c>
      <c r="F1156" s="273">
        <f>F211+200+50</f>
        <v>1650</v>
      </c>
      <c r="G1156" s="110" t="s">
        <v>4566</v>
      </c>
      <c r="H1156" s="69" t="s">
        <v>4556</v>
      </c>
      <c r="I1156" s="38" t="s">
        <v>4540</v>
      </c>
      <c r="J1156" s="30"/>
      <c r="K1156" s="38"/>
      <c r="L1156" s="116" t="s">
        <v>4539</v>
      </c>
      <c r="M1156" s="15">
        <v>43084</v>
      </c>
      <c r="N1156" s="15">
        <v>43100</v>
      </c>
      <c r="O1156" s="59" t="s">
        <v>4638</v>
      </c>
      <c r="P1156" s="61"/>
      <c r="Q1156" s="61"/>
      <c r="R1156" s="239"/>
      <c r="S1156" s="327" t="s">
        <v>4561</v>
      </c>
      <c r="T1156" s="722"/>
      <c r="U1156" s="42"/>
      <c r="AE1156" s="233"/>
      <c r="AF1156" s="233"/>
      <c r="AG1156" s="233"/>
      <c r="AH1156" s="233"/>
      <c r="AI1156" s="233"/>
      <c r="AJ1156" s="233"/>
      <c r="AK1156" s="233"/>
      <c r="AL1156" s="233"/>
      <c r="AM1156" s="233"/>
      <c r="AN1156" s="233"/>
      <c r="AO1156" s="233"/>
      <c r="AP1156" s="233"/>
      <c r="AQ1156" s="233"/>
      <c r="AR1156" s="233"/>
      <c r="AS1156" s="233"/>
      <c r="AT1156" s="233"/>
      <c r="AU1156" s="233"/>
      <c r="AV1156" s="233"/>
      <c r="AW1156" s="233"/>
      <c r="AX1156" s="233"/>
      <c r="AY1156" s="233"/>
      <c r="AZ1156" s="233"/>
      <c r="BA1156" s="233"/>
      <c r="BB1156" s="233"/>
      <c r="BC1156" s="233"/>
      <c r="BD1156" s="233"/>
      <c r="BE1156" s="233"/>
      <c r="BF1156" s="233"/>
      <c r="BG1156" s="233"/>
      <c r="BH1156" s="233"/>
      <c r="BI1156" s="233"/>
      <c r="BJ1156" s="233"/>
      <c r="BK1156" s="233"/>
      <c r="BL1156" s="233"/>
      <c r="BM1156" s="233"/>
      <c r="BN1156" s="233"/>
      <c r="BO1156" s="233"/>
      <c r="BP1156" s="233"/>
    </row>
    <row r="1157" spans="1:68" ht="20.100000000000001" customHeight="1">
      <c r="A1157" s="1229" t="s">
        <v>4536</v>
      </c>
      <c r="B1157" s="1229" t="s">
        <v>4742</v>
      </c>
      <c r="C1157" s="1229" t="s">
        <v>4741</v>
      </c>
      <c r="D1157" s="195">
        <f>D71+580+25</f>
        <v>1355</v>
      </c>
      <c r="E1157" s="195">
        <f>E71+800+50</f>
        <v>2250</v>
      </c>
      <c r="F1157" s="195">
        <f>F71+800+50</f>
        <v>2300</v>
      </c>
      <c r="G1157" s="110" t="s">
        <v>4636</v>
      </c>
      <c r="H1157" s="36" t="s">
        <v>4696</v>
      </c>
      <c r="I1157" s="38" t="s">
        <v>4540</v>
      </c>
      <c r="J1157" s="30"/>
      <c r="K1157" s="38"/>
      <c r="L1157" s="116" t="s">
        <v>4539</v>
      </c>
      <c r="M1157" s="6">
        <v>43084</v>
      </c>
      <c r="N1157" s="6">
        <v>43100</v>
      </c>
      <c r="O1157" s="61" t="s">
        <v>4633</v>
      </c>
      <c r="P1157" s="61"/>
      <c r="Q1157" s="61"/>
      <c r="R1157" s="239"/>
      <c r="S1157" s="327" t="s">
        <v>4632</v>
      </c>
      <c r="T1157" s="137"/>
      <c r="U1157" s="42"/>
      <c r="AE1157" s="115"/>
      <c r="AF1157" s="115"/>
      <c r="AG1157" s="115"/>
      <c r="AH1157" s="115"/>
      <c r="AI1157" s="115"/>
      <c r="AJ1157" s="115"/>
      <c r="AK1157" s="115"/>
      <c r="AL1157" s="115"/>
      <c r="AM1157" s="115"/>
      <c r="AN1157" s="115"/>
      <c r="AO1157" s="115"/>
      <c r="AP1157" s="115"/>
      <c r="AQ1157" s="115"/>
      <c r="AR1157" s="115"/>
      <c r="AS1157" s="115"/>
      <c r="AT1157" s="115"/>
      <c r="AU1157" s="115"/>
      <c r="AV1157" s="115"/>
      <c r="AW1157" s="115"/>
      <c r="AX1157" s="115"/>
      <c r="AY1157" s="115"/>
      <c r="AZ1157" s="115"/>
      <c r="BA1157" s="115"/>
      <c r="BB1157" s="115"/>
      <c r="BC1157" s="115"/>
      <c r="BD1157" s="115"/>
      <c r="BE1157" s="115"/>
      <c r="BF1157" s="115"/>
      <c r="BG1157" s="115"/>
      <c r="BH1157" s="115"/>
      <c r="BI1157" s="115"/>
      <c r="BJ1157" s="115"/>
      <c r="BK1157" s="115"/>
      <c r="BL1157" s="115"/>
      <c r="BM1157" s="115"/>
      <c r="BN1157" s="115"/>
      <c r="BO1157" s="115"/>
      <c r="BP1157" s="115"/>
    </row>
    <row r="1158" spans="1:68" ht="20.100000000000001" customHeight="1">
      <c r="A1158" s="1229" t="s">
        <v>4536</v>
      </c>
      <c r="B1158" s="1229" t="s">
        <v>4742</v>
      </c>
      <c r="C1158" s="1229" t="s">
        <v>4741</v>
      </c>
      <c r="D1158" s="195">
        <f>D72+300</f>
        <v>1080</v>
      </c>
      <c r="E1158" s="195">
        <f>E72+500</f>
        <v>1957</v>
      </c>
      <c r="F1158" s="195">
        <f>F72+500</f>
        <v>1957</v>
      </c>
      <c r="G1158" s="225" t="s">
        <v>4569</v>
      </c>
      <c r="H1158" s="69" t="s">
        <v>4568</v>
      </c>
      <c r="I1158" s="38" t="s">
        <v>4540</v>
      </c>
      <c r="J1158" s="30"/>
      <c r="K1158" s="38" t="s">
        <v>4735</v>
      </c>
      <c r="L1158" s="116" t="s">
        <v>4539</v>
      </c>
      <c r="M1158" s="6">
        <v>43074</v>
      </c>
      <c r="N1158" s="6">
        <v>43084</v>
      </c>
      <c r="O1158" s="61" t="s">
        <v>4567</v>
      </c>
      <c r="P1158" s="61"/>
      <c r="Q1158" s="61"/>
      <c r="R1158" s="239"/>
      <c r="S1158" s="328" t="s">
        <v>4543</v>
      </c>
      <c r="T1158" s="137"/>
      <c r="U1158" s="42"/>
      <c r="AE1158" s="115"/>
      <c r="AF1158" s="115"/>
      <c r="AG1158" s="115"/>
      <c r="AH1158" s="115"/>
      <c r="AI1158" s="115"/>
      <c r="AJ1158" s="115"/>
      <c r="AK1158" s="115"/>
      <c r="AL1158" s="115"/>
      <c r="AM1158" s="115"/>
      <c r="AN1158" s="115"/>
      <c r="AO1158" s="115"/>
      <c r="AP1158" s="115"/>
      <c r="AQ1158" s="115"/>
      <c r="AR1158" s="115"/>
      <c r="AS1158" s="115"/>
      <c r="AT1158" s="115"/>
      <c r="AU1158" s="115"/>
      <c r="AV1158" s="115"/>
      <c r="AW1158" s="115"/>
      <c r="AX1158" s="115"/>
      <c r="AY1158" s="115"/>
      <c r="AZ1158" s="115"/>
      <c r="BA1158" s="115"/>
      <c r="BB1158" s="115"/>
      <c r="BC1158" s="115"/>
      <c r="BD1158" s="115"/>
      <c r="BE1158" s="115"/>
      <c r="BF1158" s="115"/>
      <c r="BG1158" s="115"/>
      <c r="BH1158" s="115"/>
      <c r="BI1158" s="115"/>
      <c r="BJ1158" s="115"/>
      <c r="BK1158" s="115"/>
      <c r="BL1158" s="115"/>
      <c r="BM1158" s="115"/>
      <c r="BN1158" s="115"/>
      <c r="BO1158" s="115"/>
      <c r="BP1158" s="115"/>
    </row>
    <row r="1159" spans="1:68" ht="20.100000000000001" customHeight="1">
      <c r="A1159" s="1229" t="s">
        <v>4536</v>
      </c>
      <c r="B1159" s="1229" t="s">
        <v>4742</v>
      </c>
      <c r="C1159" s="1229" t="s">
        <v>4741</v>
      </c>
      <c r="D1159" s="195">
        <f>D90+350</f>
        <v>1115</v>
      </c>
      <c r="E1159" s="195">
        <f>E90+450</f>
        <v>1880</v>
      </c>
      <c r="F1159" s="195">
        <f>F90+450</f>
        <v>1930</v>
      </c>
      <c r="G1159" s="110" t="s">
        <v>4560</v>
      </c>
      <c r="H1159" s="48" t="s">
        <v>4556</v>
      </c>
      <c r="I1159" s="38" t="s">
        <v>4540</v>
      </c>
      <c r="J1159" s="30"/>
      <c r="K1159" s="38">
        <v>36</v>
      </c>
      <c r="L1159" s="116" t="s">
        <v>4539</v>
      </c>
      <c r="M1159" s="15">
        <v>43084</v>
      </c>
      <c r="N1159" s="15">
        <v>43100</v>
      </c>
      <c r="O1159" s="59" t="s">
        <v>4559</v>
      </c>
      <c r="P1159" s="61"/>
      <c r="Q1159" s="61"/>
      <c r="R1159" s="239"/>
      <c r="S1159" s="336" t="s">
        <v>4558</v>
      </c>
      <c r="T1159" s="722"/>
      <c r="U1159" s="42"/>
      <c r="AE1159" s="115"/>
      <c r="AF1159" s="115"/>
      <c r="AG1159" s="115"/>
      <c r="AH1159" s="115"/>
      <c r="AI1159" s="115"/>
      <c r="AJ1159" s="115"/>
      <c r="AK1159" s="115"/>
      <c r="AL1159" s="115"/>
      <c r="AM1159" s="115"/>
      <c r="AN1159" s="115"/>
      <c r="AO1159" s="115"/>
      <c r="AP1159" s="115"/>
      <c r="AQ1159" s="115"/>
      <c r="AR1159" s="115"/>
      <c r="AS1159" s="115"/>
      <c r="AT1159" s="115"/>
      <c r="AU1159" s="115"/>
      <c r="AV1159" s="115"/>
      <c r="AW1159" s="115"/>
      <c r="AX1159" s="115"/>
      <c r="AY1159" s="115"/>
      <c r="AZ1159" s="115"/>
      <c r="BA1159" s="115"/>
      <c r="BB1159" s="115"/>
      <c r="BC1159" s="115"/>
      <c r="BD1159" s="115"/>
      <c r="BE1159" s="115"/>
      <c r="BF1159" s="115"/>
      <c r="BG1159" s="115"/>
      <c r="BH1159" s="115"/>
      <c r="BI1159" s="115"/>
      <c r="BJ1159" s="115"/>
      <c r="BK1159" s="115"/>
      <c r="BL1159" s="115"/>
      <c r="BM1159" s="115"/>
      <c r="BN1159" s="115"/>
      <c r="BO1159" s="115"/>
      <c r="BP1159" s="115"/>
    </row>
    <row r="1160" spans="1:68" ht="20.100000000000001" customHeight="1">
      <c r="A1160" s="1229" t="s">
        <v>4536</v>
      </c>
      <c r="B1160" s="1229" t="s">
        <v>4742</v>
      </c>
      <c r="C1160" s="1229" t="s">
        <v>4741</v>
      </c>
      <c r="D1160" s="195">
        <f>D64+500</f>
        <v>1250</v>
      </c>
      <c r="E1160" s="195">
        <f>E64+500</f>
        <v>1900</v>
      </c>
      <c r="F1160" s="195">
        <f>F64+500</f>
        <v>1900</v>
      </c>
      <c r="G1160" s="217" t="s">
        <v>4557</v>
      </c>
      <c r="H1160" s="69" t="s">
        <v>4745</v>
      </c>
      <c r="I1160" s="38" t="s">
        <v>4540</v>
      </c>
      <c r="J1160" s="30"/>
      <c r="K1160" s="38"/>
      <c r="L1160" s="116" t="s">
        <v>4539</v>
      </c>
      <c r="M1160" s="6">
        <v>43084</v>
      </c>
      <c r="N1160" s="6">
        <v>43100</v>
      </c>
      <c r="O1160" s="61" t="s">
        <v>4555</v>
      </c>
      <c r="P1160" s="61"/>
      <c r="Q1160" s="7"/>
      <c r="R1160" s="239" t="s">
        <v>4554</v>
      </c>
      <c r="S1160" s="326" t="s">
        <v>4543</v>
      </c>
      <c r="T1160" s="722"/>
      <c r="U1160" s="42"/>
      <c r="AE1160" s="115"/>
      <c r="AF1160" s="115"/>
      <c r="AG1160" s="115"/>
      <c r="AH1160" s="115"/>
      <c r="AI1160" s="115"/>
      <c r="AJ1160" s="115"/>
      <c r="AK1160" s="115"/>
      <c r="AL1160" s="115"/>
      <c r="AM1160" s="115"/>
      <c r="AN1160" s="115"/>
      <c r="AO1160" s="115"/>
      <c r="AP1160" s="115"/>
      <c r="AQ1160" s="115"/>
      <c r="AR1160" s="115"/>
      <c r="AS1160" s="115"/>
      <c r="AT1160" s="115"/>
      <c r="AU1160" s="115"/>
      <c r="AV1160" s="115"/>
      <c r="AW1160" s="115"/>
      <c r="AX1160" s="115"/>
      <c r="AY1160" s="115"/>
      <c r="AZ1160" s="115"/>
      <c r="BA1160" s="115"/>
      <c r="BB1160" s="115"/>
      <c r="BC1160" s="115"/>
      <c r="BD1160" s="115"/>
      <c r="BE1160" s="115"/>
      <c r="BF1160" s="115"/>
      <c r="BG1160" s="115"/>
      <c r="BH1160" s="115"/>
      <c r="BI1160" s="115"/>
      <c r="BJ1160" s="115"/>
      <c r="BK1160" s="115"/>
      <c r="BL1160" s="115"/>
      <c r="BM1160" s="115"/>
      <c r="BN1160" s="115"/>
      <c r="BO1160" s="115"/>
      <c r="BP1160" s="115"/>
    </row>
    <row r="1161" spans="1:68" ht="20.100000000000001" customHeight="1">
      <c r="A1161" s="1229" t="s">
        <v>4536</v>
      </c>
      <c r="B1161" s="1229" t="s">
        <v>4742</v>
      </c>
      <c r="C1161" s="1229" t="s">
        <v>4741</v>
      </c>
      <c r="D1161" s="195">
        <f>D120+200</f>
        <v>1100</v>
      </c>
      <c r="E1161" s="195">
        <f>E120+200</f>
        <v>1800</v>
      </c>
      <c r="F1161" s="195">
        <f>F120+200</f>
        <v>1850</v>
      </c>
      <c r="G1161" s="110" t="s">
        <v>4553</v>
      </c>
      <c r="H1161" s="56" t="s">
        <v>4552</v>
      </c>
      <c r="I1161" s="38" t="s">
        <v>4639</v>
      </c>
      <c r="J1161" s="30"/>
      <c r="K1161" s="38">
        <v>34</v>
      </c>
      <c r="L1161" s="116" t="s">
        <v>4539</v>
      </c>
      <c r="M1161" s="6">
        <v>43085</v>
      </c>
      <c r="N1161" s="6">
        <v>43100</v>
      </c>
      <c r="O1161" s="61" t="s">
        <v>4744</v>
      </c>
      <c r="P1161" s="61"/>
      <c r="Q1161" s="61"/>
      <c r="R1161" s="239"/>
      <c r="S1161" s="328" t="s">
        <v>4543</v>
      </c>
      <c r="T1161" s="722"/>
      <c r="U1161" s="42"/>
      <c r="AE1161" s="283"/>
      <c r="AF1161" s="283"/>
      <c r="AG1161" s="283"/>
      <c r="AH1161" s="283"/>
      <c r="AI1161" s="283"/>
      <c r="AJ1161" s="283"/>
      <c r="AK1161" s="283"/>
      <c r="AL1161" s="283"/>
      <c r="AM1161" s="283"/>
      <c r="AN1161" s="283"/>
      <c r="AO1161" s="283"/>
      <c r="AP1161" s="283"/>
      <c r="AQ1161" s="283"/>
      <c r="AR1161" s="283"/>
      <c r="AS1161" s="283"/>
      <c r="AT1161" s="283"/>
      <c r="AU1161" s="283"/>
      <c r="AV1161" s="283"/>
      <c r="AW1161" s="283"/>
      <c r="AX1161" s="283"/>
      <c r="AY1161" s="283"/>
      <c r="AZ1161" s="283"/>
      <c r="BA1161" s="283"/>
      <c r="BB1161" s="283"/>
      <c r="BC1161" s="283"/>
      <c r="BD1161" s="283"/>
      <c r="BE1161" s="283"/>
      <c r="BF1161" s="283"/>
      <c r="BG1161" s="283"/>
      <c r="BH1161" s="283"/>
      <c r="BI1161" s="283"/>
      <c r="BJ1161" s="283"/>
      <c r="BK1161" s="283"/>
      <c r="BL1161" s="283"/>
      <c r="BM1161" s="283"/>
      <c r="BN1161" s="283"/>
      <c r="BO1161" s="283"/>
      <c r="BP1161" s="283"/>
    </row>
    <row r="1162" spans="1:68" ht="20.100000000000001" customHeight="1">
      <c r="A1162" s="1229" t="s">
        <v>4536</v>
      </c>
      <c r="B1162" s="1229" t="s">
        <v>4742</v>
      </c>
      <c r="C1162" s="1229" t="s">
        <v>4741</v>
      </c>
      <c r="D1162" s="195">
        <f>D186+475+25</f>
        <v>1275</v>
      </c>
      <c r="E1162" s="195">
        <f>E186+600+50</f>
        <v>2100</v>
      </c>
      <c r="F1162" s="195">
        <f>F186+600+50</f>
        <v>2150</v>
      </c>
      <c r="G1162" s="12" t="s">
        <v>4542</v>
      </c>
      <c r="H1162" s="69" t="s">
        <v>4556</v>
      </c>
      <c r="I1162" s="38" t="s">
        <v>4743</v>
      </c>
      <c r="J1162" s="140"/>
      <c r="K1162" s="38"/>
      <c r="L1162" s="116" t="s">
        <v>4539</v>
      </c>
      <c r="M1162" s="15">
        <v>43084</v>
      </c>
      <c r="N1162" s="15">
        <v>43100</v>
      </c>
      <c r="O1162" s="61" t="s">
        <v>4538</v>
      </c>
      <c r="P1162" s="61"/>
      <c r="Q1162" s="61"/>
      <c r="R1162" s="239"/>
      <c r="S1162" s="326" t="s">
        <v>4537</v>
      </c>
      <c r="T1162" s="722"/>
      <c r="U1162" s="42"/>
      <c r="AE1162" s="115"/>
      <c r="AF1162" s="115"/>
      <c r="AG1162" s="115"/>
      <c r="AH1162" s="115"/>
      <c r="AI1162" s="115"/>
      <c r="AJ1162" s="115"/>
      <c r="AK1162" s="115"/>
      <c r="AL1162" s="115"/>
      <c r="AM1162" s="115"/>
      <c r="AN1162" s="115"/>
      <c r="AO1162" s="115"/>
      <c r="AP1162" s="115"/>
      <c r="AQ1162" s="115"/>
      <c r="AR1162" s="115"/>
      <c r="AS1162" s="115"/>
      <c r="AT1162" s="115"/>
      <c r="AU1162" s="115"/>
      <c r="AV1162" s="115"/>
      <c r="AW1162" s="115"/>
      <c r="AX1162" s="115"/>
      <c r="AY1162" s="115"/>
      <c r="AZ1162" s="115"/>
      <c r="BA1162" s="115"/>
      <c r="BB1162" s="115"/>
      <c r="BC1162" s="115"/>
      <c r="BD1162" s="115"/>
      <c r="BE1162" s="115"/>
      <c r="BF1162" s="115"/>
      <c r="BG1162" s="115"/>
      <c r="BH1162" s="115"/>
      <c r="BI1162" s="115"/>
      <c r="BJ1162" s="115"/>
      <c r="BK1162" s="115"/>
      <c r="BL1162" s="115"/>
      <c r="BM1162" s="115"/>
      <c r="BN1162" s="115"/>
      <c r="BO1162" s="115"/>
      <c r="BP1162" s="115"/>
    </row>
    <row r="1163" spans="1:68" ht="20.100000000000001" customHeight="1">
      <c r="A1163" s="1229" t="s">
        <v>4536</v>
      </c>
      <c r="B1163" s="1229" t="s">
        <v>4742</v>
      </c>
      <c r="C1163" s="1229" t="s">
        <v>4741</v>
      </c>
      <c r="D1163" s="195">
        <f>D65+350</f>
        <v>1150</v>
      </c>
      <c r="E1163" s="195">
        <f>E65+400</f>
        <v>1900</v>
      </c>
      <c r="F1163" s="195">
        <f>F65+400</f>
        <v>1950</v>
      </c>
      <c r="G1163" s="12" t="s">
        <v>4645</v>
      </c>
      <c r="H1163" s="48" t="s">
        <v>4556</v>
      </c>
      <c r="I1163" s="38" t="s">
        <v>4540</v>
      </c>
      <c r="J1163" s="30"/>
      <c r="K1163" s="38" t="s">
        <v>4740</v>
      </c>
      <c r="L1163" s="116" t="s">
        <v>4539</v>
      </c>
      <c r="M1163" s="6">
        <v>43084</v>
      </c>
      <c r="N1163" s="6">
        <v>43100</v>
      </c>
      <c r="O1163" s="61" t="s">
        <v>4643</v>
      </c>
      <c r="P1163" s="61"/>
      <c r="Q1163" s="61"/>
      <c r="R1163" s="239"/>
      <c r="S1163" s="326" t="s">
        <v>4641</v>
      </c>
      <c r="T1163" s="722"/>
      <c r="U1163" s="42"/>
      <c r="AE1163" s="115"/>
      <c r="AF1163" s="115"/>
      <c r="AG1163" s="115"/>
      <c r="AH1163" s="115"/>
      <c r="AI1163" s="115"/>
      <c r="AJ1163" s="115"/>
      <c r="AK1163" s="115"/>
      <c r="AL1163" s="115"/>
      <c r="AM1163" s="115"/>
      <c r="AN1163" s="115"/>
      <c r="AO1163" s="115"/>
      <c r="AP1163" s="115"/>
      <c r="AQ1163" s="115"/>
      <c r="AR1163" s="115"/>
      <c r="AS1163" s="115"/>
      <c r="AT1163" s="115"/>
      <c r="AU1163" s="115"/>
      <c r="AV1163" s="115"/>
      <c r="AW1163" s="115"/>
      <c r="AX1163" s="115"/>
      <c r="AY1163" s="115"/>
      <c r="AZ1163" s="115"/>
      <c r="BA1163" s="115"/>
      <c r="BB1163" s="115"/>
      <c r="BC1163" s="115"/>
      <c r="BD1163" s="115"/>
      <c r="BE1163" s="115"/>
      <c r="BF1163" s="115"/>
      <c r="BG1163" s="115"/>
      <c r="BH1163" s="115"/>
      <c r="BI1163" s="115"/>
      <c r="BJ1163" s="115"/>
      <c r="BK1163" s="115"/>
      <c r="BL1163" s="115"/>
      <c r="BM1163" s="115"/>
      <c r="BN1163" s="115"/>
      <c r="BO1163" s="115"/>
      <c r="BP1163" s="115"/>
    </row>
    <row r="1164" spans="1:68" ht="20.100000000000001" customHeight="1">
      <c r="A1164" s="1229" t="s">
        <v>4536</v>
      </c>
      <c r="B1164" s="1229" t="s">
        <v>4722</v>
      </c>
      <c r="C1164" s="1229" t="s">
        <v>4738</v>
      </c>
      <c r="D1164" s="345">
        <f>D77+150+25</f>
        <v>1025</v>
      </c>
      <c r="E1164" s="345">
        <f>E77+300+50</f>
        <v>1950</v>
      </c>
      <c r="F1164" s="345">
        <f>F77+300+50</f>
        <v>2000</v>
      </c>
      <c r="G1164" s="217" t="s">
        <v>4572</v>
      </c>
      <c r="H1164" s="56" t="s">
        <v>4541</v>
      </c>
      <c r="I1164" s="20" t="s">
        <v>4540</v>
      </c>
      <c r="J1164" s="37"/>
      <c r="K1164" s="38"/>
      <c r="L1164" s="116" t="s">
        <v>4539</v>
      </c>
      <c r="M1164" s="15">
        <v>43070</v>
      </c>
      <c r="N1164" s="15">
        <v>43100</v>
      </c>
      <c r="O1164" s="61" t="s">
        <v>4728</v>
      </c>
      <c r="P1164" s="904"/>
      <c r="Q1164" s="7"/>
      <c r="R1164" s="239"/>
      <c r="S1164" s="327" t="s">
        <v>4570</v>
      </c>
      <c r="T1164" s="722"/>
      <c r="U1164" s="42"/>
      <c r="AE1164" s="115"/>
      <c r="AF1164" s="115"/>
      <c r="AG1164" s="115"/>
      <c r="AH1164" s="115"/>
      <c r="AI1164" s="115"/>
      <c r="AJ1164" s="115"/>
      <c r="AK1164" s="115"/>
      <c r="AL1164" s="115"/>
      <c r="AM1164" s="115"/>
      <c r="AN1164" s="115"/>
      <c r="AO1164" s="115"/>
      <c r="AP1164" s="115"/>
      <c r="AQ1164" s="115"/>
      <c r="AR1164" s="115"/>
      <c r="AS1164" s="115"/>
      <c r="AT1164" s="115"/>
      <c r="AU1164" s="115"/>
      <c r="AV1164" s="115"/>
      <c r="AW1164" s="115"/>
      <c r="AX1164" s="115"/>
      <c r="AY1164" s="115"/>
      <c r="AZ1164" s="115"/>
      <c r="BA1164" s="115"/>
      <c r="BB1164" s="115"/>
      <c r="BC1164" s="115"/>
      <c r="BD1164" s="115"/>
      <c r="BE1164" s="115"/>
      <c r="BF1164" s="115"/>
      <c r="BG1164" s="115"/>
      <c r="BH1164" s="115"/>
      <c r="BI1164" s="115"/>
      <c r="BJ1164" s="115"/>
      <c r="BK1164" s="115"/>
      <c r="BL1164" s="115"/>
      <c r="BM1164" s="115"/>
      <c r="BN1164" s="115"/>
      <c r="BO1164" s="115"/>
      <c r="BP1164" s="115"/>
    </row>
    <row r="1165" spans="1:68" ht="20.100000000000001" customHeight="1">
      <c r="A1165" s="1229" t="s">
        <v>4536</v>
      </c>
      <c r="B1165" s="1229" t="s">
        <v>4722</v>
      </c>
      <c r="C1165" s="1229" t="s">
        <v>4738</v>
      </c>
      <c r="D1165" s="345">
        <f>D265+150+25</f>
        <v>825</v>
      </c>
      <c r="E1165" s="345">
        <f>E265+300+50</f>
        <v>1450</v>
      </c>
      <c r="F1165" s="345">
        <f>F265+300+50</f>
        <v>1500</v>
      </c>
      <c r="G1165" s="217" t="s">
        <v>4572</v>
      </c>
      <c r="H1165" s="56" t="s">
        <v>4548</v>
      </c>
      <c r="I1165" s="20" t="s">
        <v>4547</v>
      </c>
      <c r="J1165" s="37"/>
      <c r="K1165" s="38"/>
      <c r="L1165" s="116" t="s">
        <v>4539</v>
      </c>
      <c r="M1165" s="15">
        <v>43054</v>
      </c>
      <c r="N1165" s="15">
        <v>43076</v>
      </c>
      <c r="O1165" s="61" t="s">
        <v>4545</v>
      </c>
      <c r="P1165" s="904"/>
      <c r="Q1165" s="167"/>
      <c r="R1165" s="238" t="s">
        <v>4736</v>
      </c>
      <c r="S1165" s="327" t="s">
        <v>4570</v>
      </c>
      <c r="T1165" s="722"/>
      <c r="U1165" s="42"/>
      <c r="AE1165" s="115"/>
      <c r="AF1165" s="115"/>
      <c r="AG1165" s="115"/>
      <c r="AH1165" s="115"/>
      <c r="AI1165" s="115"/>
      <c r="AJ1165" s="115"/>
      <c r="AK1165" s="115"/>
      <c r="AL1165" s="115"/>
      <c r="AM1165" s="115"/>
      <c r="AN1165" s="115"/>
      <c r="AO1165" s="115"/>
      <c r="AP1165" s="115"/>
      <c r="AQ1165" s="115"/>
      <c r="AR1165" s="115"/>
      <c r="AS1165" s="115"/>
      <c r="AT1165" s="115"/>
      <c r="AU1165" s="115"/>
      <c r="AV1165" s="115"/>
      <c r="AW1165" s="115"/>
      <c r="AX1165" s="115"/>
      <c r="AY1165" s="115"/>
      <c r="AZ1165" s="115"/>
      <c r="BA1165" s="115"/>
      <c r="BB1165" s="115"/>
      <c r="BC1165" s="115"/>
      <c r="BD1165" s="115"/>
      <c r="BE1165" s="115"/>
      <c r="BF1165" s="115"/>
      <c r="BG1165" s="115"/>
      <c r="BH1165" s="115"/>
      <c r="BI1165" s="115"/>
      <c r="BJ1165" s="115"/>
      <c r="BK1165" s="115"/>
      <c r="BL1165" s="115"/>
      <c r="BM1165" s="115"/>
      <c r="BN1165" s="115"/>
      <c r="BO1165" s="115"/>
      <c r="BP1165" s="115"/>
    </row>
    <row r="1166" spans="1:68" ht="20.100000000000001" customHeight="1">
      <c r="A1166" s="1229" t="s">
        <v>4536</v>
      </c>
      <c r="B1166" s="1229" t="s">
        <v>4722</v>
      </c>
      <c r="C1166" s="1229" t="s">
        <v>4738</v>
      </c>
      <c r="D1166" s="196">
        <f>D266+350</f>
        <v>1075</v>
      </c>
      <c r="E1166" s="196">
        <f>E266+475</f>
        <v>1825</v>
      </c>
      <c r="F1166" s="196">
        <f>F266+475</f>
        <v>1875</v>
      </c>
      <c r="G1166" s="217" t="s">
        <v>4575</v>
      </c>
      <c r="H1166" s="55" t="s">
        <v>4548</v>
      </c>
      <c r="I1166" s="38" t="s">
        <v>4547</v>
      </c>
      <c r="J1166" s="37"/>
      <c r="K1166" s="38"/>
      <c r="L1166" s="116" t="s">
        <v>4539</v>
      </c>
      <c r="M1166" s="15">
        <v>43084</v>
      </c>
      <c r="N1166" s="15">
        <v>43100</v>
      </c>
      <c r="O1166" s="61" t="s">
        <v>4573</v>
      </c>
      <c r="P1166" s="904"/>
      <c r="Q1166" s="167"/>
      <c r="R1166" s="239" t="s">
        <v>4577</v>
      </c>
      <c r="S1166" s="328" t="s">
        <v>4543</v>
      </c>
      <c r="T1166" s="722"/>
      <c r="U1166" s="42"/>
      <c r="AE1166" s="115"/>
      <c r="AF1166" s="115"/>
      <c r="AG1166" s="115"/>
      <c r="AH1166" s="115"/>
      <c r="AI1166" s="115"/>
      <c r="AJ1166" s="115"/>
      <c r="AK1166" s="115"/>
      <c r="AL1166" s="115"/>
      <c r="AM1166" s="115"/>
      <c r="AN1166" s="115"/>
      <c r="AO1166" s="115"/>
      <c r="AP1166" s="115"/>
      <c r="AQ1166" s="115"/>
      <c r="AR1166" s="115"/>
      <c r="AS1166" s="115"/>
      <c r="AT1166" s="115"/>
      <c r="AU1166" s="115"/>
      <c r="AV1166" s="115"/>
      <c r="AW1166" s="115"/>
      <c r="AX1166" s="115"/>
      <c r="AY1166" s="115"/>
      <c r="AZ1166" s="115"/>
      <c r="BA1166" s="115"/>
      <c r="BB1166" s="115"/>
      <c r="BC1166" s="115"/>
      <c r="BD1166" s="115"/>
      <c r="BE1166" s="115"/>
      <c r="BF1166" s="115"/>
      <c r="BG1166" s="115"/>
      <c r="BH1166" s="115"/>
      <c r="BI1166" s="115"/>
      <c r="BJ1166" s="115"/>
      <c r="BK1166" s="115"/>
      <c r="BL1166" s="115"/>
      <c r="BM1166" s="115"/>
      <c r="BN1166" s="115"/>
      <c r="BO1166" s="115"/>
      <c r="BP1166" s="115"/>
    </row>
    <row r="1167" spans="1:68" ht="20.100000000000001" customHeight="1">
      <c r="A1167" s="1229" t="s">
        <v>4536</v>
      </c>
      <c r="B1167" s="1229" t="s">
        <v>4722</v>
      </c>
      <c r="C1167" s="1229" t="s">
        <v>4738</v>
      </c>
      <c r="D1167" s="196">
        <f>D97+400</f>
        <v>1275</v>
      </c>
      <c r="E1167" s="196">
        <f>E97+550</f>
        <v>2100</v>
      </c>
      <c r="F1167" s="196">
        <f>F97+550</f>
        <v>2150</v>
      </c>
      <c r="G1167" s="217" t="s">
        <v>4575</v>
      </c>
      <c r="H1167" s="48" t="s">
        <v>4574</v>
      </c>
      <c r="I1167" s="38" t="s">
        <v>4540</v>
      </c>
      <c r="J1167" s="30"/>
      <c r="K1167" s="38"/>
      <c r="L1167" s="116" t="s">
        <v>4539</v>
      </c>
      <c r="M1167" s="15">
        <v>43084</v>
      </c>
      <c r="N1167" s="15">
        <v>43100</v>
      </c>
      <c r="O1167" s="61" t="s">
        <v>4573</v>
      </c>
      <c r="P1167" s="904"/>
      <c r="Q1167" s="904"/>
      <c r="R1167" s="239"/>
      <c r="S1167" s="328" t="s">
        <v>4543</v>
      </c>
      <c r="T1167" s="722"/>
      <c r="U1167" s="42"/>
      <c r="AE1167" s="115"/>
      <c r="AF1167" s="115"/>
      <c r="AG1167" s="115"/>
      <c r="AH1167" s="115"/>
      <c r="AI1167" s="115"/>
      <c r="AJ1167" s="115"/>
      <c r="AK1167" s="115"/>
      <c r="AL1167" s="115"/>
      <c r="AM1167" s="115"/>
      <c r="AN1167" s="115"/>
      <c r="AO1167" s="115"/>
      <c r="AP1167" s="115"/>
      <c r="AQ1167" s="115"/>
      <c r="AR1167" s="115"/>
      <c r="AS1167" s="115"/>
      <c r="AT1167" s="115"/>
      <c r="AU1167" s="115"/>
      <c r="AV1167" s="115"/>
      <c r="AW1167" s="115"/>
      <c r="AX1167" s="115"/>
      <c r="AY1167" s="115"/>
      <c r="AZ1167" s="115"/>
      <c r="BA1167" s="115"/>
      <c r="BB1167" s="115"/>
      <c r="BC1167" s="115"/>
      <c r="BD1167" s="115"/>
      <c r="BE1167" s="115"/>
      <c r="BF1167" s="115"/>
      <c r="BG1167" s="115"/>
      <c r="BH1167" s="115"/>
      <c r="BI1167" s="115"/>
      <c r="BJ1167" s="115"/>
      <c r="BK1167" s="115"/>
      <c r="BL1167" s="115"/>
      <c r="BM1167" s="115"/>
      <c r="BN1167" s="115"/>
      <c r="BO1167" s="115"/>
      <c r="BP1167" s="115"/>
    </row>
    <row r="1168" spans="1:68" ht="20.100000000000001" customHeight="1">
      <c r="A1168" s="1229" t="s">
        <v>4536</v>
      </c>
      <c r="B1168" s="1229" t="s">
        <v>4722</v>
      </c>
      <c r="C1168" s="1229" t="s">
        <v>4738</v>
      </c>
      <c r="D1168" s="196">
        <f>D72+400</f>
        <v>1180</v>
      </c>
      <c r="E1168" s="196">
        <f>E72+400</f>
        <v>1857</v>
      </c>
      <c r="F1168" s="196">
        <f>F72+400</f>
        <v>1857</v>
      </c>
      <c r="G1168" s="225" t="s">
        <v>4569</v>
      </c>
      <c r="H1168" s="69" t="s">
        <v>4568</v>
      </c>
      <c r="I1168" s="38" t="s">
        <v>4540</v>
      </c>
      <c r="J1168" s="30"/>
      <c r="K1168" s="38" t="s">
        <v>4735</v>
      </c>
      <c r="L1168" s="116" t="s">
        <v>4539</v>
      </c>
      <c r="M1168" s="6">
        <v>43074</v>
      </c>
      <c r="N1168" s="6">
        <v>43084</v>
      </c>
      <c r="O1168" s="61" t="s">
        <v>4567</v>
      </c>
      <c r="P1168" s="904"/>
      <c r="Q1168" s="904"/>
      <c r="R1168" s="239"/>
      <c r="S1168" s="328" t="s">
        <v>4543</v>
      </c>
      <c r="T1168" s="137"/>
      <c r="U1168" s="42"/>
      <c r="AE1168" s="115"/>
      <c r="AF1168" s="115"/>
      <c r="AG1168" s="115"/>
      <c r="AH1168" s="115"/>
      <c r="AI1168" s="115"/>
      <c r="AJ1168" s="115"/>
      <c r="AK1168" s="115"/>
      <c r="AL1168" s="115"/>
      <c r="AM1168" s="115"/>
      <c r="AN1168" s="115"/>
      <c r="AO1168" s="115"/>
      <c r="AP1168" s="115"/>
      <c r="AQ1168" s="115"/>
      <c r="AR1168" s="115"/>
      <c r="AS1168" s="115"/>
      <c r="AT1168" s="115"/>
      <c r="AU1168" s="115"/>
      <c r="AV1168" s="115"/>
      <c r="AW1168" s="115"/>
      <c r="AX1168" s="115"/>
      <c r="AY1168" s="115"/>
      <c r="AZ1168" s="115"/>
      <c r="BA1168" s="115"/>
      <c r="BB1168" s="115"/>
      <c r="BC1168" s="115"/>
      <c r="BD1168" s="115"/>
      <c r="BE1168" s="115"/>
      <c r="BF1168" s="115"/>
      <c r="BG1168" s="115"/>
      <c r="BH1168" s="115"/>
      <c r="BI1168" s="115"/>
      <c r="BJ1168" s="115"/>
      <c r="BK1168" s="115"/>
      <c r="BL1168" s="115"/>
      <c r="BM1168" s="115"/>
      <c r="BN1168" s="115"/>
      <c r="BO1168" s="115"/>
      <c r="BP1168" s="115"/>
    </row>
    <row r="1169" spans="1:68" ht="20.100000000000001" customHeight="1">
      <c r="A1169" s="1229" t="s">
        <v>4536</v>
      </c>
      <c r="B1169" s="1229" t="s">
        <v>4722</v>
      </c>
      <c r="C1169" s="1229" t="s">
        <v>4738</v>
      </c>
      <c r="D1169" s="273">
        <f>D247+300+25</f>
        <v>850</v>
      </c>
      <c r="E1169" s="273">
        <f>E247+550+50</f>
        <v>1550</v>
      </c>
      <c r="F1169" s="273">
        <f>F247+550+50</f>
        <v>1600</v>
      </c>
      <c r="G1169" s="110" t="s">
        <v>4566</v>
      </c>
      <c r="H1169" s="69" t="s">
        <v>4580</v>
      </c>
      <c r="I1169" s="38" t="s">
        <v>4579</v>
      </c>
      <c r="J1169" s="37"/>
      <c r="K1169" s="38"/>
      <c r="L1169" s="116" t="s">
        <v>4539</v>
      </c>
      <c r="M1169" s="15">
        <v>43073</v>
      </c>
      <c r="N1169" s="15">
        <v>43100</v>
      </c>
      <c r="O1169" s="59" t="s">
        <v>4563</v>
      </c>
      <c r="P1169" s="61"/>
      <c r="Q1169" s="167"/>
      <c r="R1169" s="239" t="s">
        <v>4578</v>
      </c>
      <c r="S1169" s="327" t="s">
        <v>4561</v>
      </c>
      <c r="T1169" s="722"/>
      <c r="U1169" s="42"/>
      <c r="AE1169" s="115"/>
      <c r="AF1169" s="115"/>
      <c r="AG1169" s="115"/>
      <c r="AH1169" s="115"/>
      <c r="AI1169" s="115"/>
      <c r="AJ1169" s="115"/>
      <c r="AK1169" s="115"/>
      <c r="AL1169" s="115"/>
      <c r="AM1169" s="115"/>
      <c r="AN1169" s="115"/>
      <c r="AO1169" s="115"/>
      <c r="AP1169" s="115"/>
      <c r="AQ1169" s="115"/>
      <c r="AR1169" s="115"/>
      <c r="AS1169" s="115"/>
      <c r="AT1169" s="115"/>
      <c r="AU1169" s="115"/>
      <c r="AV1169" s="115"/>
      <c r="AW1169" s="115"/>
      <c r="AX1169" s="115"/>
      <c r="AY1169" s="115"/>
      <c r="AZ1169" s="115"/>
      <c r="BA1169" s="115"/>
      <c r="BB1169" s="115"/>
      <c r="BC1169" s="115"/>
      <c r="BD1169" s="115"/>
      <c r="BE1169" s="115"/>
      <c r="BF1169" s="115"/>
      <c r="BG1169" s="115"/>
      <c r="BH1169" s="115"/>
      <c r="BI1169" s="115"/>
      <c r="BJ1169" s="115"/>
      <c r="BK1169" s="115"/>
      <c r="BL1169" s="115"/>
      <c r="BM1169" s="115"/>
      <c r="BN1169" s="115"/>
      <c r="BO1169" s="115"/>
      <c r="BP1169" s="115"/>
    </row>
    <row r="1170" spans="1:68" ht="20.100000000000001" customHeight="1">
      <c r="A1170" s="1229" t="s">
        <v>4536</v>
      </c>
      <c r="B1170" s="1229" t="s">
        <v>4722</v>
      </c>
      <c r="C1170" s="1229" t="s">
        <v>4738</v>
      </c>
      <c r="D1170" s="195">
        <f>D90+150</f>
        <v>915</v>
      </c>
      <c r="E1170" s="195">
        <f>E90+100</f>
        <v>1530</v>
      </c>
      <c r="F1170" s="195">
        <f>F90+100</f>
        <v>1580</v>
      </c>
      <c r="G1170" s="110" t="s">
        <v>4560</v>
      </c>
      <c r="H1170" s="48" t="s">
        <v>4556</v>
      </c>
      <c r="I1170" s="38" t="s">
        <v>4540</v>
      </c>
      <c r="J1170" s="30"/>
      <c r="K1170" s="38">
        <v>38</v>
      </c>
      <c r="L1170" s="116" t="s">
        <v>4539</v>
      </c>
      <c r="M1170" s="15">
        <v>43084</v>
      </c>
      <c r="N1170" s="15">
        <v>43100</v>
      </c>
      <c r="O1170" s="59" t="s">
        <v>4559</v>
      </c>
      <c r="P1170" s="61"/>
      <c r="Q1170" s="61"/>
      <c r="R1170" s="239"/>
      <c r="S1170" s="336" t="s">
        <v>4558</v>
      </c>
      <c r="T1170" s="722"/>
      <c r="U1170" s="42"/>
      <c r="AE1170" s="115"/>
      <c r="AF1170" s="115"/>
      <c r="AG1170" s="115"/>
      <c r="AH1170" s="115"/>
      <c r="AI1170" s="115"/>
      <c r="AJ1170" s="115"/>
      <c r="AK1170" s="115"/>
      <c r="AL1170" s="115"/>
      <c r="AM1170" s="115"/>
      <c r="AN1170" s="115"/>
      <c r="AO1170" s="115"/>
      <c r="AP1170" s="115"/>
      <c r="AQ1170" s="115"/>
      <c r="AR1170" s="115"/>
      <c r="AS1170" s="115"/>
      <c r="AT1170" s="115"/>
      <c r="AU1170" s="115"/>
      <c r="AV1170" s="115"/>
      <c r="AW1170" s="115"/>
      <c r="AX1170" s="115"/>
      <c r="AY1170" s="115"/>
      <c r="AZ1170" s="115"/>
      <c r="BA1170" s="115"/>
      <c r="BB1170" s="115"/>
      <c r="BC1170" s="115"/>
      <c r="BD1170" s="115"/>
      <c r="BE1170" s="115"/>
      <c r="BF1170" s="115"/>
      <c r="BG1170" s="115"/>
      <c r="BH1170" s="115"/>
      <c r="BI1170" s="115"/>
      <c r="BJ1170" s="115"/>
      <c r="BK1170" s="115"/>
      <c r="BL1170" s="115"/>
      <c r="BM1170" s="115"/>
      <c r="BN1170" s="115"/>
      <c r="BO1170" s="115"/>
      <c r="BP1170" s="115"/>
    </row>
    <row r="1171" spans="1:68" ht="20.100000000000001" customHeight="1">
      <c r="A1171" s="1229" t="s">
        <v>4536</v>
      </c>
      <c r="B1171" s="1229" t="s">
        <v>4722</v>
      </c>
      <c r="C1171" s="1229" t="s">
        <v>4738</v>
      </c>
      <c r="D1171" s="195">
        <f>D64+400</f>
        <v>1150</v>
      </c>
      <c r="E1171" s="195">
        <f>E64+550</f>
        <v>1950</v>
      </c>
      <c r="F1171" s="195">
        <f>F64+550</f>
        <v>1950</v>
      </c>
      <c r="G1171" s="217" t="s">
        <v>4557</v>
      </c>
      <c r="H1171" s="69" t="s">
        <v>4556</v>
      </c>
      <c r="I1171" s="38" t="s">
        <v>4540</v>
      </c>
      <c r="J1171" s="30"/>
      <c r="K1171" s="38"/>
      <c r="L1171" s="116" t="s">
        <v>4539</v>
      </c>
      <c r="M1171" s="6">
        <v>43084</v>
      </c>
      <c r="N1171" s="6">
        <v>43100</v>
      </c>
      <c r="O1171" s="61" t="s">
        <v>4555</v>
      </c>
      <c r="P1171" s="61"/>
      <c r="Q1171" s="7"/>
      <c r="R1171" s="239" t="s">
        <v>4554</v>
      </c>
      <c r="S1171" s="326" t="s">
        <v>4543</v>
      </c>
      <c r="T1171" s="722"/>
      <c r="U1171" s="42"/>
      <c r="AE1171" s="115"/>
      <c r="AF1171" s="115"/>
      <c r="AG1171" s="115"/>
      <c r="AH1171" s="115"/>
      <c r="AI1171" s="115"/>
      <c r="AJ1171" s="115"/>
      <c r="AK1171" s="115"/>
      <c r="AL1171" s="115"/>
      <c r="AM1171" s="115"/>
      <c r="AN1171" s="115"/>
      <c r="AO1171" s="115"/>
      <c r="AP1171" s="115"/>
      <c r="AQ1171" s="115"/>
      <c r="AR1171" s="115"/>
      <c r="AS1171" s="115"/>
      <c r="AT1171" s="115"/>
      <c r="AU1171" s="115"/>
      <c r="AV1171" s="115"/>
      <c r="AW1171" s="115"/>
      <c r="AX1171" s="115"/>
      <c r="AY1171" s="115"/>
      <c r="AZ1171" s="115"/>
      <c r="BA1171" s="115"/>
      <c r="BB1171" s="115"/>
      <c r="BC1171" s="115"/>
      <c r="BD1171" s="115"/>
      <c r="BE1171" s="115"/>
      <c r="BF1171" s="115"/>
      <c r="BG1171" s="115"/>
      <c r="BH1171" s="115"/>
      <c r="BI1171" s="115"/>
      <c r="BJ1171" s="115"/>
      <c r="BK1171" s="115"/>
      <c r="BL1171" s="115"/>
      <c r="BM1171" s="115"/>
      <c r="BN1171" s="115"/>
      <c r="BO1171" s="115"/>
      <c r="BP1171" s="115"/>
    </row>
    <row r="1172" spans="1:68" ht="20.100000000000001" customHeight="1">
      <c r="A1172" s="1229" t="s">
        <v>4536</v>
      </c>
      <c r="B1172" s="1229" t="s">
        <v>4722</v>
      </c>
      <c r="C1172" s="1229" t="s">
        <v>4738</v>
      </c>
      <c r="D1172" s="365">
        <v>850</v>
      </c>
      <c r="E1172" s="365">
        <v>1700</v>
      </c>
      <c r="F1172" s="365">
        <v>1750</v>
      </c>
      <c r="G1172" s="23" t="s">
        <v>4553</v>
      </c>
      <c r="H1172" s="55" t="s">
        <v>4552</v>
      </c>
      <c r="I1172" s="38" t="s">
        <v>4551</v>
      </c>
      <c r="J1172" s="37"/>
      <c r="K1172" s="38">
        <v>30</v>
      </c>
      <c r="L1172" s="116" t="s">
        <v>4539</v>
      </c>
      <c r="M1172" s="6">
        <v>43085</v>
      </c>
      <c r="N1172" s="6">
        <v>43100</v>
      </c>
      <c r="O1172" s="61" t="s">
        <v>4545</v>
      </c>
      <c r="P1172" s="61"/>
      <c r="Q1172" s="167"/>
      <c r="R1172" s="239" t="s">
        <v>4550</v>
      </c>
      <c r="S1172" s="328" t="s">
        <v>4543</v>
      </c>
      <c r="T1172" s="722"/>
      <c r="U1172" s="42"/>
      <c r="AE1172" s="115"/>
      <c r="AF1172" s="115"/>
      <c r="AG1172" s="115"/>
      <c r="AH1172" s="115"/>
      <c r="AI1172" s="115"/>
      <c r="AJ1172" s="115"/>
      <c r="AK1172" s="115"/>
      <c r="AL1172" s="115"/>
      <c r="AM1172" s="115"/>
      <c r="AN1172" s="115"/>
      <c r="AO1172" s="115"/>
      <c r="AP1172" s="115"/>
      <c r="AQ1172" s="115"/>
      <c r="AR1172" s="115"/>
      <c r="AS1172" s="115"/>
      <c r="AT1172" s="115"/>
      <c r="AU1172" s="115"/>
      <c r="AV1172" s="115"/>
      <c r="AW1172" s="115"/>
      <c r="AX1172" s="115"/>
      <c r="AY1172" s="115"/>
      <c r="AZ1172" s="115"/>
      <c r="BA1172" s="115"/>
      <c r="BB1172" s="115"/>
      <c r="BC1172" s="115"/>
      <c r="BD1172" s="115"/>
      <c r="BE1172" s="115"/>
      <c r="BF1172" s="115"/>
      <c r="BG1172" s="115"/>
      <c r="BH1172" s="115"/>
      <c r="BI1172" s="115"/>
      <c r="BJ1172" s="115"/>
      <c r="BK1172" s="115"/>
      <c r="BL1172" s="115"/>
      <c r="BM1172" s="115"/>
      <c r="BN1172" s="115"/>
      <c r="BO1172" s="115"/>
      <c r="BP1172" s="115"/>
    </row>
    <row r="1173" spans="1:68" ht="20.100000000000001" customHeight="1">
      <c r="A1173" s="1229" t="s">
        <v>4536</v>
      </c>
      <c r="B1173" s="1229" t="s">
        <v>4722</v>
      </c>
      <c r="C1173" s="1229" t="s">
        <v>4738</v>
      </c>
      <c r="D1173" s="885">
        <v>975</v>
      </c>
      <c r="E1173" s="885">
        <v>1850</v>
      </c>
      <c r="F1173" s="885">
        <v>1900</v>
      </c>
      <c r="G1173" s="70" t="s">
        <v>4549</v>
      </c>
      <c r="H1173" s="36" t="s">
        <v>4548</v>
      </c>
      <c r="I1173" s="51" t="s">
        <v>4547</v>
      </c>
      <c r="J1173" s="34"/>
      <c r="K1173" s="20" t="s">
        <v>4739</v>
      </c>
      <c r="L1173" s="118" t="s">
        <v>4539</v>
      </c>
      <c r="M1173" s="6">
        <v>43085</v>
      </c>
      <c r="N1173" s="6">
        <v>43100</v>
      </c>
      <c r="O1173" s="61" t="s">
        <v>4545</v>
      </c>
      <c r="P1173" s="59"/>
      <c r="Q1173" s="167"/>
      <c r="R1173" s="238" t="s">
        <v>4544</v>
      </c>
      <c r="S1173" s="328" t="s">
        <v>4543</v>
      </c>
      <c r="T1173" s="722"/>
      <c r="U1173" s="42"/>
      <c r="AE1173" s="233"/>
      <c r="AF1173" s="233"/>
      <c r="AG1173" s="233"/>
      <c r="AH1173" s="233"/>
      <c r="AI1173" s="233"/>
      <c r="AJ1173" s="233"/>
      <c r="AK1173" s="233"/>
      <c r="AL1173" s="233"/>
      <c r="AM1173" s="233"/>
      <c r="AN1173" s="233"/>
      <c r="AO1173" s="233"/>
      <c r="AP1173" s="233"/>
      <c r="AQ1173" s="233"/>
      <c r="AR1173" s="233"/>
      <c r="AS1173" s="233"/>
      <c r="AT1173" s="233"/>
      <c r="AU1173" s="233"/>
      <c r="AV1173" s="233"/>
      <c r="AW1173" s="233"/>
      <c r="AX1173" s="233"/>
      <c r="AY1173" s="233"/>
      <c r="AZ1173" s="233"/>
      <c r="BA1173" s="233"/>
      <c r="BB1173" s="233"/>
      <c r="BC1173" s="233"/>
      <c r="BD1173" s="233"/>
      <c r="BE1173" s="233"/>
      <c r="BF1173" s="233"/>
      <c r="BG1173" s="233"/>
      <c r="BH1173" s="233"/>
      <c r="BI1173" s="233"/>
      <c r="BJ1173" s="233"/>
      <c r="BK1173" s="233"/>
      <c r="BL1173" s="233"/>
      <c r="BM1173" s="233"/>
      <c r="BN1173" s="233"/>
      <c r="BO1173" s="233"/>
      <c r="BP1173" s="233"/>
    </row>
    <row r="1174" spans="1:68" ht="20.100000000000001" customHeight="1">
      <c r="A1174" s="1229" t="s">
        <v>4536</v>
      </c>
      <c r="B1174" s="1229" t="s">
        <v>4722</v>
      </c>
      <c r="C1174" s="1229" t="s">
        <v>4738</v>
      </c>
      <c r="D1174" s="202">
        <f>D79+650+25</f>
        <v>1450</v>
      </c>
      <c r="E1174" s="202">
        <f>E79+900+50</f>
        <v>2400</v>
      </c>
      <c r="F1174" s="202">
        <f>F79+900+50</f>
        <v>2450</v>
      </c>
      <c r="G1174" s="12" t="s">
        <v>4542</v>
      </c>
      <c r="H1174" s="69" t="s">
        <v>4541</v>
      </c>
      <c r="I1174" s="38" t="s">
        <v>4540</v>
      </c>
      <c r="J1174" s="140"/>
      <c r="K1174" s="38"/>
      <c r="L1174" s="116" t="s">
        <v>4539</v>
      </c>
      <c r="M1174" s="15">
        <v>43084</v>
      </c>
      <c r="N1174" s="15">
        <v>43100</v>
      </c>
      <c r="O1174" s="61" t="s">
        <v>4538</v>
      </c>
      <c r="P1174" s="61"/>
      <c r="Q1174" s="61"/>
      <c r="R1174" s="239"/>
      <c r="S1174" s="326" t="s">
        <v>4537</v>
      </c>
      <c r="T1174" s="722"/>
      <c r="U1174" s="42"/>
      <c r="AE1174" s="115"/>
      <c r="AF1174" s="115"/>
      <c r="AG1174" s="115"/>
      <c r="AH1174" s="115"/>
      <c r="AI1174" s="115"/>
      <c r="AJ1174" s="115"/>
      <c r="AK1174" s="115"/>
      <c r="AL1174" s="115"/>
      <c r="AM1174" s="115"/>
      <c r="AN1174" s="115"/>
      <c r="AO1174" s="115"/>
      <c r="AP1174" s="115"/>
      <c r="AQ1174" s="115"/>
      <c r="AR1174" s="115"/>
      <c r="AS1174" s="115"/>
      <c r="AT1174" s="115"/>
      <c r="AU1174" s="115"/>
      <c r="AV1174" s="115"/>
      <c r="AW1174" s="115"/>
      <c r="AX1174" s="115"/>
      <c r="AY1174" s="115"/>
      <c r="AZ1174" s="115"/>
      <c r="BA1174" s="115"/>
      <c r="BB1174" s="115"/>
      <c r="BC1174" s="115"/>
      <c r="BD1174" s="115"/>
      <c r="BE1174" s="115"/>
      <c r="BF1174" s="115"/>
      <c r="BG1174" s="115"/>
      <c r="BH1174" s="115"/>
      <c r="BI1174" s="115"/>
      <c r="BJ1174" s="115"/>
      <c r="BK1174" s="115"/>
      <c r="BL1174" s="115"/>
      <c r="BM1174" s="115"/>
      <c r="BN1174" s="115"/>
      <c r="BO1174" s="115"/>
      <c r="BP1174" s="115"/>
    </row>
    <row r="1175" spans="1:68" ht="20.100000000000001" customHeight="1">
      <c r="A1175" s="1229" t="s">
        <v>4536</v>
      </c>
      <c r="B1175" s="1229" t="s">
        <v>4722</v>
      </c>
      <c r="C1175" s="1229" t="s">
        <v>4738</v>
      </c>
      <c r="D1175" s="195">
        <f>D65+350</f>
        <v>1150</v>
      </c>
      <c r="E1175" s="195">
        <f>E65+620</f>
        <v>2120</v>
      </c>
      <c r="F1175" s="195">
        <f>F65+620</f>
        <v>2170</v>
      </c>
      <c r="G1175" s="12" t="s">
        <v>4645</v>
      </c>
      <c r="H1175" s="48" t="s">
        <v>4556</v>
      </c>
      <c r="I1175" s="38" t="s">
        <v>4540</v>
      </c>
      <c r="J1175" s="30"/>
      <c r="K1175" s="38" t="s">
        <v>4737</v>
      </c>
      <c r="L1175" s="116" t="s">
        <v>4539</v>
      </c>
      <c r="M1175" s="6">
        <v>43084</v>
      </c>
      <c r="N1175" s="6">
        <v>43100</v>
      </c>
      <c r="O1175" s="61" t="s">
        <v>4643</v>
      </c>
      <c r="P1175" s="61"/>
      <c r="Q1175" s="61"/>
      <c r="R1175" s="239"/>
      <c r="S1175" s="326" t="s">
        <v>4641</v>
      </c>
      <c r="T1175" s="722"/>
      <c r="U1175" s="42"/>
      <c r="AE1175" s="283"/>
      <c r="AF1175" s="283"/>
      <c r="AG1175" s="283"/>
      <c r="AH1175" s="283"/>
      <c r="AI1175" s="283"/>
      <c r="AJ1175" s="283"/>
      <c r="AK1175" s="283"/>
      <c r="AL1175" s="283"/>
      <c r="AM1175" s="283"/>
      <c r="AN1175" s="283"/>
      <c r="AO1175" s="283"/>
      <c r="AP1175" s="283"/>
      <c r="AQ1175" s="283"/>
      <c r="AR1175" s="283"/>
      <c r="AS1175" s="283"/>
      <c r="AT1175" s="283"/>
      <c r="AU1175" s="283"/>
      <c r="AV1175" s="283"/>
      <c r="AW1175" s="283"/>
      <c r="AX1175" s="283"/>
      <c r="AY1175" s="283"/>
      <c r="AZ1175" s="283"/>
      <c r="BA1175" s="283"/>
      <c r="BB1175" s="283"/>
      <c r="BC1175" s="283"/>
      <c r="BD1175" s="283"/>
      <c r="BE1175" s="283"/>
      <c r="BF1175" s="283"/>
      <c r="BG1175" s="283"/>
      <c r="BH1175" s="283"/>
      <c r="BI1175" s="283"/>
      <c r="BJ1175" s="283"/>
      <c r="BK1175" s="283"/>
      <c r="BL1175" s="283"/>
      <c r="BM1175" s="283"/>
      <c r="BN1175" s="283"/>
      <c r="BO1175" s="283"/>
      <c r="BP1175" s="283"/>
    </row>
    <row r="1176" spans="1:68" ht="20.100000000000001" customHeight="1">
      <c r="A1176" s="1229" t="s">
        <v>4536</v>
      </c>
      <c r="B1176" s="1229" t="s">
        <v>4722</v>
      </c>
      <c r="C1176" s="1229" t="s">
        <v>4734</v>
      </c>
      <c r="D1176" s="345">
        <f>D77+150+25</f>
        <v>1025</v>
      </c>
      <c r="E1176" s="345">
        <f>E77+300+50</f>
        <v>1950</v>
      </c>
      <c r="F1176" s="345">
        <f>F77+300+50</f>
        <v>2000</v>
      </c>
      <c r="G1176" s="217" t="s">
        <v>4572</v>
      </c>
      <c r="H1176" s="56" t="s">
        <v>4541</v>
      </c>
      <c r="I1176" s="20" t="s">
        <v>4540</v>
      </c>
      <c r="J1176" s="37"/>
      <c r="K1176" s="38"/>
      <c r="L1176" s="116" t="s">
        <v>4539</v>
      </c>
      <c r="M1176" s="15">
        <v>43070</v>
      </c>
      <c r="N1176" s="15">
        <v>43100</v>
      </c>
      <c r="O1176" s="61" t="s">
        <v>4728</v>
      </c>
      <c r="P1176" s="904"/>
      <c r="Q1176" s="7"/>
      <c r="R1176" s="239"/>
      <c r="S1176" s="327" t="s">
        <v>4570</v>
      </c>
      <c r="T1176" s="722"/>
      <c r="U1176" s="42"/>
      <c r="AE1176" s="115"/>
      <c r="AF1176" s="115"/>
      <c r="AG1176" s="115"/>
      <c r="AH1176" s="115"/>
      <c r="AI1176" s="115"/>
      <c r="AJ1176" s="115"/>
      <c r="AK1176" s="115"/>
      <c r="AL1176" s="115"/>
      <c r="AM1176" s="115"/>
      <c r="AN1176" s="115"/>
      <c r="AO1176" s="115"/>
      <c r="AP1176" s="115"/>
      <c r="AQ1176" s="115"/>
      <c r="AR1176" s="115"/>
      <c r="AS1176" s="115"/>
      <c r="AT1176" s="115"/>
      <c r="AU1176" s="115"/>
      <c r="AV1176" s="115"/>
      <c r="AW1176" s="115"/>
      <c r="AX1176" s="115"/>
      <c r="AY1176" s="115"/>
      <c r="AZ1176" s="115"/>
      <c r="BA1176" s="115"/>
      <c r="BB1176" s="115"/>
      <c r="BC1176" s="115"/>
      <c r="BD1176" s="115"/>
      <c r="BE1176" s="115"/>
      <c r="BF1176" s="115"/>
      <c r="BG1176" s="115"/>
      <c r="BH1176" s="115"/>
      <c r="BI1176" s="115"/>
      <c r="BJ1176" s="115"/>
      <c r="BK1176" s="115"/>
      <c r="BL1176" s="115"/>
      <c r="BM1176" s="115"/>
      <c r="BN1176" s="115"/>
      <c r="BO1176" s="115"/>
      <c r="BP1176" s="115"/>
    </row>
    <row r="1177" spans="1:68" ht="20.100000000000001" customHeight="1">
      <c r="A1177" s="1229" t="s">
        <v>4536</v>
      </c>
      <c r="B1177" s="1229" t="s">
        <v>4722</v>
      </c>
      <c r="C1177" s="1229" t="s">
        <v>4734</v>
      </c>
      <c r="D1177" s="345">
        <f>D265+150+25</f>
        <v>825</v>
      </c>
      <c r="E1177" s="345">
        <f>E265+300+50</f>
        <v>1450</v>
      </c>
      <c r="F1177" s="345">
        <f>F265+300+50</f>
        <v>1500</v>
      </c>
      <c r="G1177" s="217" t="s">
        <v>4572</v>
      </c>
      <c r="H1177" s="56" t="s">
        <v>4548</v>
      </c>
      <c r="I1177" s="20" t="s">
        <v>4547</v>
      </c>
      <c r="J1177" s="37"/>
      <c r="K1177" s="38"/>
      <c r="L1177" s="116" t="s">
        <v>4539</v>
      </c>
      <c r="M1177" s="15">
        <v>43054</v>
      </c>
      <c r="N1177" s="15">
        <v>43076</v>
      </c>
      <c r="O1177" s="61" t="s">
        <v>4545</v>
      </c>
      <c r="P1177" s="904"/>
      <c r="Q1177" s="167"/>
      <c r="R1177" s="238" t="s">
        <v>4736</v>
      </c>
      <c r="S1177" s="327" t="s">
        <v>4570</v>
      </c>
      <c r="T1177" s="722"/>
      <c r="U1177" s="42"/>
      <c r="AE1177" s="115"/>
      <c r="AF1177" s="115"/>
      <c r="AG1177" s="115"/>
      <c r="AH1177" s="115"/>
      <c r="AI1177" s="115"/>
      <c r="AJ1177" s="115"/>
      <c r="AK1177" s="115"/>
      <c r="AL1177" s="115"/>
      <c r="AM1177" s="115"/>
      <c r="AN1177" s="115"/>
      <c r="AO1177" s="115"/>
      <c r="AP1177" s="115"/>
      <c r="AQ1177" s="115"/>
      <c r="AR1177" s="115"/>
      <c r="AS1177" s="115"/>
      <c r="AT1177" s="115"/>
      <c r="AU1177" s="115"/>
      <c r="AV1177" s="115"/>
      <c r="AW1177" s="115"/>
      <c r="AX1177" s="115"/>
      <c r="AY1177" s="115"/>
      <c r="AZ1177" s="115"/>
      <c r="BA1177" s="115"/>
      <c r="BB1177" s="115"/>
      <c r="BC1177" s="115"/>
      <c r="BD1177" s="115"/>
      <c r="BE1177" s="115"/>
      <c r="BF1177" s="115"/>
      <c r="BG1177" s="115"/>
      <c r="BH1177" s="115"/>
      <c r="BI1177" s="115"/>
      <c r="BJ1177" s="115"/>
      <c r="BK1177" s="115"/>
      <c r="BL1177" s="115"/>
      <c r="BM1177" s="115"/>
      <c r="BN1177" s="115"/>
      <c r="BO1177" s="115"/>
      <c r="BP1177" s="115"/>
    </row>
    <row r="1178" spans="1:68" ht="20.100000000000001" customHeight="1">
      <c r="A1178" s="1229" t="s">
        <v>4536</v>
      </c>
      <c r="B1178" s="1229" t="s">
        <v>4722</v>
      </c>
      <c r="C1178" s="1229" t="s">
        <v>4734</v>
      </c>
      <c r="D1178" s="196">
        <f>D266+250</f>
        <v>975</v>
      </c>
      <c r="E1178" s="196">
        <f>E266+475</f>
        <v>1825</v>
      </c>
      <c r="F1178" s="196">
        <f>F266+475</f>
        <v>1875</v>
      </c>
      <c r="G1178" s="217" t="s">
        <v>4575</v>
      </c>
      <c r="H1178" s="55" t="s">
        <v>4548</v>
      </c>
      <c r="I1178" s="38" t="s">
        <v>4547</v>
      </c>
      <c r="J1178" s="37"/>
      <c r="K1178" s="38"/>
      <c r="L1178" s="116" t="s">
        <v>4539</v>
      </c>
      <c r="M1178" s="15">
        <v>43084</v>
      </c>
      <c r="N1178" s="15">
        <v>43100</v>
      </c>
      <c r="O1178" s="61" t="s">
        <v>4573</v>
      </c>
      <c r="P1178" s="904"/>
      <c r="Q1178" s="167"/>
      <c r="R1178" s="239" t="s">
        <v>4577</v>
      </c>
      <c r="S1178" s="328" t="s">
        <v>4543</v>
      </c>
      <c r="T1178" s="722"/>
      <c r="U1178" s="42"/>
      <c r="AE1178" s="283"/>
      <c r="AF1178" s="283"/>
      <c r="AG1178" s="283"/>
      <c r="AH1178" s="283"/>
      <c r="AI1178" s="283"/>
      <c r="AJ1178" s="283"/>
      <c r="AK1178" s="283"/>
      <c r="AL1178" s="283"/>
      <c r="AM1178" s="283"/>
      <c r="AN1178" s="283"/>
      <c r="AO1178" s="283"/>
      <c r="AP1178" s="283"/>
      <c r="AQ1178" s="283"/>
      <c r="AR1178" s="283"/>
      <c r="AS1178" s="283"/>
      <c r="AT1178" s="283"/>
      <c r="AU1178" s="283"/>
      <c r="AV1178" s="283"/>
      <c r="AW1178" s="283"/>
      <c r="AX1178" s="283"/>
      <c r="AY1178" s="283"/>
      <c r="AZ1178" s="283"/>
      <c r="BA1178" s="283"/>
      <c r="BB1178" s="283"/>
      <c r="BC1178" s="283"/>
      <c r="BD1178" s="283"/>
      <c r="BE1178" s="283"/>
      <c r="BF1178" s="283"/>
      <c r="BG1178" s="283"/>
      <c r="BH1178" s="283"/>
      <c r="BI1178" s="283"/>
      <c r="BJ1178" s="283"/>
      <c r="BK1178" s="283"/>
      <c r="BL1178" s="283"/>
      <c r="BM1178" s="283"/>
      <c r="BN1178" s="283"/>
      <c r="BO1178" s="283"/>
      <c r="BP1178" s="283"/>
    </row>
    <row r="1179" spans="1:68" ht="20.100000000000001" customHeight="1">
      <c r="A1179" s="1229" t="s">
        <v>4536</v>
      </c>
      <c r="B1179" s="1229" t="s">
        <v>4722</v>
      </c>
      <c r="C1179" s="1229" t="s">
        <v>4734</v>
      </c>
      <c r="D1179" s="196">
        <f>D97+300</f>
        <v>1175</v>
      </c>
      <c r="E1179" s="196">
        <f>E97+550</f>
        <v>2100</v>
      </c>
      <c r="F1179" s="196">
        <f>F97+550</f>
        <v>2150</v>
      </c>
      <c r="G1179" s="217" t="s">
        <v>4575</v>
      </c>
      <c r="H1179" s="48" t="s">
        <v>4574</v>
      </c>
      <c r="I1179" s="38" t="s">
        <v>4540</v>
      </c>
      <c r="J1179" s="30"/>
      <c r="K1179" s="38"/>
      <c r="L1179" s="116" t="s">
        <v>4539</v>
      </c>
      <c r="M1179" s="15">
        <v>43084</v>
      </c>
      <c r="N1179" s="15">
        <v>43100</v>
      </c>
      <c r="O1179" s="61" t="s">
        <v>4573</v>
      </c>
      <c r="P1179" s="904"/>
      <c r="Q1179" s="904"/>
      <c r="R1179" s="239"/>
      <c r="S1179" s="328" t="s">
        <v>4543</v>
      </c>
      <c r="T1179" s="137"/>
      <c r="U1179" s="42"/>
      <c r="AE1179" s="115"/>
      <c r="AF1179" s="115"/>
      <c r="AG1179" s="115"/>
      <c r="AH1179" s="115"/>
      <c r="AI1179" s="115"/>
      <c r="AJ1179" s="115"/>
      <c r="AK1179" s="115"/>
      <c r="AL1179" s="115"/>
      <c r="AM1179" s="115"/>
      <c r="AN1179" s="115"/>
      <c r="AO1179" s="115"/>
      <c r="AP1179" s="115"/>
      <c r="AQ1179" s="115"/>
      <c r="AR1179" s="115"/>
      <c r="AS1179" s="115"/>
      <c r="AT1179" s="115"/>
      <c r="AU1179" s="115"/>
      <c r="AV1179" s="115"/>
      <c r="AW1179" s="115"/>
      <c r="AX1179" s="115"/>
      <c r="AY1179" s="115"/>
      <c r="AZ1179" s="115"/>
      <c r="BA1179" s="115"/>
      <c r="BB1179" s="115"/>
      <c r="BC1179" s="115"/>
      <c r="BD1179" s="115"/>
      <c r="BE1179" s="115"/>
      <c r="BF1179" s="115"/>
      <c r="BG1179" s="115"/>
      <c r="BH1179" s="115"/>
      <c r="BI1179" s="115"/>
      <c r="BJ1179" s="115"/>
      <c r="BK1179" s="115"/>
      <c r="BL1179" s="115"/>
      <c r="BM1179" s="115"/>
      <c r="BN1179" s="115"/>
      <c r="BO1179" s="115"/>
      <c r="BP1179" s="115"/>
    </row>
    <row r="1180" spans="1:68" ht="20.100000000000001" customHeight="1">
      <c r="A1180" s="1229" t="s">
        <v>4536</v>
      </c>
      <c r="B1180" s="1229" t="s">
        <v>4722</v>
      </c>
      <c r="C1180" s="1229" t="s">
        <v>4734</v>
      </c>
      <c r="D1180" s="196">
        <f>D72+300</f>
        <v>1080</v>
      </c>
      <c r="E1180" s="196">
        <f>E72+400</f>
        <v>1857</v>
      </c>
      <c r="F1180" s="196">
        <f>F72+400</f>
        <v>1857</v>
      </c>
      <c r="G1180" s="225" t="s">
        <v>4569</v>
      </c>
      <c r="H1180" s="69" t="s">
        <v>4568</v>
      </c>
      <c r="I1180" s="38" t="s">
        <v>4540</v>
      </c>
      <c r="J1180" s="30"/>
      <c r="K1180" s="38" t="s">
        <v>4735</v>
      </c>
      <c r="L1180" s="116" t="s">
        <v>4539</v>
      </c>
      <c r="M1180" s="6">
        <v>43074</v>
      </c>
      <c r="N1180" s="6">
        <v>43084</v>
      </c>
      <c r="O1180" s="61" t="s">
        <v>4567</v>
      </c>
      <c r="P1180" s="904"/>
      <c r="Q1180" s="904"/>
      <c r="R1180" s="239"/>
      <c r="S1180" s="328" t="s">
        <v>4543</v>
      </c>
      <c r="T1180" s="722"/>
      <c r="U1180" s="42"/>
      <c r="AE1180" s="115"/>
      <c r="AF1180" s="115"/>
      <c r="AG1180" s="115"/>
      <c r="AH1180" s="115"/>
      <c r="AI1180" s="115"/>
      <c r="AJ1180" s="115"/>
      <c r="AK1180" s="115"/>
      <c r="AL1180" s="115"/>
      <c r="AM1180" s="115"/>
      <c r="AN1180" s="115"/>
      <c r="AO1180" s="115"/>
      <c r="AP1180" s="115"/>
      <c r="AQ1180" s="115"/>
      <c r="AR1180" s="115"/>
      <c r="AS1180" s="115"/>
      <c r="AT1180" s="115"/>
      <c r="AU1180" s="115"/>
      <c r="AV1180" s="115"/>
      <c r="AW1180" s="115"/>
      <c r="AX1180" s="115"/>
      <c r="AY1180" s="115"/>
      <c r="AZ1180" s="115"/>
      <c r="BA1180" s="115"/>
      <c r="BB1180" s="115"/>
      <c r="BC1180" s="115"/>
      <c r="BD1180" s="115"/>
      <c r="BE1180" s="115"/>
      <c r="BF1180" s="115"/>
      <c r="BG1180" s="115"/>
      <c r="BH1180" s="115"/>
      <c r="BI1180" s="115"/>
      <c r="BJ1180" s="115"/>
      <c r="BK1180" s="115"/>
      <c r="BL1180" s="115"/>
      <c r="BM1180" s="115"/>
      <c r="BN1180" s="115"/>
      <c r="BO1180" s="115"/>
      <c r="BP1180" s="115"/>
    </row>
    <row r="1181" spans="1:68" ht="20.100000000000001" customHeight="1">
      <c r="A1181" s="1229" t="s">
        <v>4536</v>
      </c>
      <c r="B1181" s="1229" t="s">
        <v>4722</v>
      </c>
      <c r="C1181" s="1229" t="s">
        <v>4734</v>
      </c>
      <c r="D1181" s="273">
        <f>D226+300+25</f>
        <v>850</v>
      </c>
      <c r="E1181" s="273">
        <f>E226+550+50</f>
        <v>1550</v>
      </c>
      <c r="F1181" s="273">
        <f>F226+550+50</f>
        <v>1600</v>
      </c>
      <c r="G1181" s="110" t="s">
        <v>4566</v>
      </c>
      <c r="H1181" s="69" t="s">
        <v>4580</v>
      </c>
      <c r="I1181" s="38" t="s">
        <v>4564</v>
      </c>
      <c r="J1181" s="38"/>
      <c r="K1181" s="38"/>
      <c r="L1181" s="116" t="s">
        <v>4539</v>
      </c>
      <c r="M1181" s="15">
        <v>43073</v>
      </c>
      <c r="N1181" s="15">
        <v>43100</v>
      </c>
      <c r="O1181" s="59" t="s">
        <v>4563</v>
      </c>
      <c r="P1181" s="61"/>
      <c r="Q1181" s="167"/>
      <c r="R1181" s="239" t="s">
        <v>4578</v>
      </c>
      <c r="S1181" s="327" t="s">
        <v>4561</v>
      </c>
      <c r="T1181" s="722"/>
      <c r="U1181" s="42"/>
      <c r="AE1181" s="115"/>
      <c r="AF1181" s="115"/>
      <c r="AG1181" s="115"/>
      <c r="AH1181" s="115"/>
      <c r="AI1181" s="115"/>
      <c r="AJ1181" s="115"/>
      <c r="AK1181" s="115"/>
      <c r="AL1181" s="115"/>
      <c r="AM1181" s="115"/>
      <c r="AN1181" s="115"/>
      <c r="AO1181" s="115"/>
      <c r="AP1181" s="115"/>
      <c r="AQ1181" s="115"/>
      <c r="AR1181" s="115"/>
      <c r="AS1181" s="115"/>
      <c r="AT1181" s="115"/>
      <c r="AU1181" s="115"/>
      <c r="AV1181" s="115"/>
      <c r="AW1181" s="115"/>
      <c r="AX1181" s="115"/>
      <c r="AY1181" s="115"/>
      <c r="AZ1181" s="115"/>
      <c r="BA1181" s="115"/>
      <c r="BB1181" s="115"/>
      <c r="BC1181" s="115"/>
      <c r="BD1181" s="115"/>
      <c r="BE1181" s="115"/>
      <c r="BF1181" s="115"/>
      <c r="BG1181" s="115"/>
      <c r="BH1181" s="115"/>
      <c r="BI1181" s="115"/>
      <c r="BJ1181" s="115"/>
      <c r="BK1181" s="115"/>
      <c r="BL1181" s="115"/>
      <c r="BM1181" s="115"/>
      <c r="BN1181" s="115"/>
      <c r="BO1181" s="115"/>
      <c r="BP1181" s="115"/>
    </row>
    <row r="1182" spans="1:68" ht="20.100000000000001" customHeight="1">
      <c r="A1182" s="1229" t="s">
        <v>4536</v>
      </c>
      <c r="B1182" s="1229" t="s">
        <v>4722</v>
      </c>
      <c r="C1182" s="1229" t="s">
        <v>4734</v>
      </c>
      <c r="D1182" s="195">
        <f>D90+100</f>
        <v>865</v>
      </c>
      <c r="E1182" s="195">
        <f>E90+100</f>
        <v>1530</v>
      </c>
      <c r="F1182" s="195">
        <f>F90+100</f>
        <v>1580</v>
      </c>
      <c r="G1182" s="110" t="s">
        <v>4560</v>
      </c>
      <c r="H1182" s="48" t="s">
        <v>4556</v>
      </c>
      <c r="I1182" s="38" t="s">
        <v>4540</v>
      </c>
      <c r="J1182" s="30"/>
      <c r="K1182" s="38">
        <v>36</v>
      </c>
      <c r="L1182" s="116" t="s">
        <v>4539</v>
      </c>
      <c r="M1182" s="15">
        <v>43084</v>
      </c>
      <c r="N1182" s="15">
        <v>43100</v>
      </c>
      <c r="O1182" s="59" t="s">
        <v>4559</v>
      </c>
      <c r="P1182" s="61"/>
      <c r="Q1182" s="61"/>
      <c r="R1182" s="239"/>
      <c r="S1182" s="336" t="s">
        <v>4558</v>
      </c>
      <c r="T1182" s="722"/>
      <c r="U1182" s="42"/>
      <c r="AE1182" s="115"/>
      <c r="AF1182" s="115"/>
      <c r="AG1182" s="115"/>
      <c r="AH1182" s="115"/>
      <c r="AI1182" s="115"/>
      <c r="AJ1182" s="115"/>
      <c r="AK1182" s="115"/>
      <c r="AL1182" s="115"/>
      <c r="AM1182" s="115"/>
      <c r="AN1182" s="115"/>
      <c r="AO1182" s="115"/>
      <c r="AP1182" s="115"/>
      <c r="AQ1182" s="115"/>
      <c r="AR1182" s="115"/>
      <c r="AS1182" s="115"/>
      <c r="AT1182" s="115"/>
      <c r="AU1182" s="115"/>
      <c r="AV1182" s="115"/>
      <c r="AW1182" s="115"/>
      <c r="AX1182" s="115"/>
      <c r="AY1182" s="115"/>
      <c r="AZ1182" s="115"/>
      <c r="BA1182" s="115"/>
      <c r="BB1182" s="115"/>
      <c r="BC1182" s="115"/>
      <c r="BD1182" s="115"/>
      <c r="BE1182" s="115"/>
      <c r="BF1182" s="115"/>
      <c r="BG1182" s="115"/>
      <c r="BH1182" s="115"/>
      <c r="BI1182" s="115"/>
      <c r="BJ1182" s="115"/>
      <c r="BK1182" s="115"/>
      <c r="BL1182" s="115"/>
      <c r="BM1182" s="115"/>
      <c r="BN1182" s="115"/>
      <c r="BO1182" s="115"/>
      <c r="BP1182" s="115"/>
    </row>
    <row r="1183" spans="1:68" ht="20.100000000000001" customHeight="1">
      <c r="A1183" s="1229" t="s">
        <v>4536</v>
      </c>
      <c r="B1183" s="1229" t="s">
        <v>4722</v>
      </c>
      <c r="C1183" s="1229" t="s">
        <v>4734</v>
      </c>
      <c r="D1183" s="195">
        <f>D64+400</f>
        <v>1150</v>
      </c>
      <c r="E1183" s="195">
        <f>E64+550</f>
        <v>1950</v>
      </c>
      <c r="F1183" s="195">
        <f>F64+550</f>
        <v>1950</v>
      </c>
      <c r="G1183" s="217" t="s">
        <v>4557</v>
      </c>
      <c r="H1183" s="69" t="s">
        <v>4556</v>
      </c>
      <c r="I1183" s="38" t="s">
        <v>4540</v>
      </c>
      <c r="J1183" s="30"/>
      <c r="K1183" s="38"/>
      <c r="L1183" s="116" t="s">
        <v>4539</v>
      </c>
      <c r="M1183" s="6">
        <v>43084</v>
      </c>
      <c r="N1183" s="6">
        <v>43100</v>
      </c>
      <c r="O1183" s="61" t="s">
        <v>4555</v>
      </c>
      <c r="P1183" s="61"/>
      <c r="Q1183" s="7"/>
      <c r="R1183" s="239" t="s">
        <v>4554</v>
      </c>
      <c r="S1183" s="326" t="s">
        <v>4543</v>
      </c>
      <c r="T1183" s="722"/>
      <c r="U1183" s="42"/>
      <c r="AE1183" s="283"/>
      <c r="AF1183" s="283"/>
      <c r="AG1183" s="283"/>
      <c r="AH1183" s="283"/>
      <c r="AI1183" s="283"/>
      <c r="AJ1183" s="283"/>
      <c r="AK1183" s="283"/>
      <c r="AL1183" s="283"/>
      <c r="AM1183" s="283"/>
      <c r="AN1183" s="283"/>
      <c r="AO1183" s="283"/>
      <c r="AP1183" s="283"/>
      <c r="AQ1183" s="283"/>
      <c r="AR1183" s="283"/>
      <c r="AS1183" s="283"/>
      <c r="AT1183" s="283"/>
      <c r="AU1183" s="283"/>
      <c r="AV1183" s="283"/>
      <c r="AW1183" s="283"/>
      <c r="AX1183" s="283"/>
      <c r="AY1183" s="283"/>
      <c r="AZ1183" s="283"/>
      <c r="BA1183" s="283"/>
      <c r="BB1183" s="283"/>
      <c r="BC1183" s="283"/>
      <c r="BD1183" s="283"/>
      <c r="BE1183" s="283"/>
      <c r="BF1183" s="283"/>
      <c r="BG1183" s="283"/>
      <c r="BH1183" s="283"/>
      <c r="BI1183" s="283"/>
      <c r="BJ1183" s="283"/>
      <c r="BK1183" s="283"/>
      <c r="BL1183" s="283"/>
      <c r="BM1183" s="283"/>
      <c r="BN1183" s="283"/>
      <c r="BO1183" s="283"/>
      <c r="BP1183" s="283"/>
    </row>
    <row r="1184" spans="1:68" ht="20.100000000000001" customHeight="1">
      <c r="A1184" s="1229" t="s">
        <v>4536</v>
      </c>
      <c r="B1184" s="1229" t="s">
        <v>4722</v>
      </c>
      <c r="C1184" s="1229" t="s">
        <v>4734</v>
      </c>
      <c r="D1184" s="885">
        <v>975</v>
      </c>
      <c r="E1184" s="885">
        <v>1850</v>
      </c>
      <c r="F1184" s="885">
        <v>1900</v>
      </c>
      <c r="G1184" s="70" t="s">
        <v>4549</v>
      </c>
      <c r="H1184" s="36" t="s">
        <v>4548</v>
      </c>
      <c r="I1184" s="51" t="s">
        <v>4547</v>
      </c>
      <c r="J1184" s="34"/>
      <c r="K1184" s="20" t="s">
        <v>4546</v>
      </c>
      <c r="L1184" s="118" t="s">
        <v>4539</v>
      </c>
      <c r="M1184" s="6">
        <v>43085</v>
      </c>
      <c r="N1184" s="6">
        <v>43100</v>
      </c>
      <c r="O1184" s="61" t="s">
        <v>4545</v>
      </c>
      <c r="P1184" s="59"/>
      <c r="Q1184" s="167"/>
      <c r="R1184" s="238" t="s">
        <v>4544</v>
      </c>
      <c r="S1184" s="328" t="s">
        <v>4543</v>
      </c>
      <c r="T1184" s="722"/>
      <c r="U1184" s="42"/>
      <c r="AE1184" s="283"/>
      <c r="AF1184" s="283"/>
      <c r="AG1184" s="283"/>
      <c r="AH1184" s="283"/>
      <c r="AI1184" s="283"/>
      <c r="AJ1184" s="283"/>
      <c r="AK1184" s="283"/>
      <c r="AL1184" s="283"/>
      <c r="AM1184" s="283"/>
      <c r="AN1184" s="283"/>
      <c r="AO1184" s="283"/>
      <c r="AP1184" s="283"/>
      <c r="AQ1184" s="283"/>
      <c r="AR1184" s="283"/>
      <c r="AS1184" s="283"/>
      <c r="AT1184" s="283"/>
      <c r="AU1184" s="283"/>
      <c r="AV1184" s="283"/>
      <c r="AW1184" s="283"/>
      <c r="AX1184" s="283"/>
      <c r="AY1184" s="283"/>
      <c r="AZ1184" s="283"/>
      <c r="BA1184" s="283"/>
      <c r="BB1184" s="283"/>
      <c r="BC1184" s="283"/>
      <c r="BD1184" s="283"/>
      <c r="BE1184" s="283"/>
      <c r="BF1184" s="283"/>
      <c r="BG1184" s="283"/>
      <c r="BH1184" s="283"/>
      <c r="BI1184" s="283"/>
      <c r="BJ1184" s="283"/>
      <c r="BK1184" s="283"/>
      <c r="BL1184" s="283"/>
      <c r="BM1184" s="283"/>
      <c r="BN1184" s="283"/>
      <c r="BO1184" s="283"/>
      <c r="BP1184" s="283"/>
    </row>
    <row r="1185" spans="1:68" ht="20.100000000000001" customHeight="1">
      <c r="A1185" s="1229" t="s">
        <v>4536</v>
      </c>
      <c r="B1185" s="1229" t="s">
        <v>4722</v>
      </c>
      <c r="C1185" s="1229" t="s">
        <v>4734</v>
      </c>
      <c r="D1185" s="195">
        <f>D79+475+25</f>
        <v>1275</v>
      </c>
      <c r="E1185" s="195">
        <f>E79+750+50</f>
        <v>2250</v>
      </c>
      <c r="F1185" s="195">
        <f>F79+750+50</f>
        <v>2300</v>
      </c>
      <c r="G1185" s="12" t="s">
        <v>4542</v>
      </c>
      <c r="H1185" s="69" t="s">
        <v>4541</v>
      </c>
      <c r="I1185" s="38" t="s">
        <v>4540</v>
      </c>
      <c r="J1185" s="140"/>
      <c r="K1185" s="38"/>
      <c r="L1185" s="116" t="s">
        <v>4539</v>
      </c>
      <c r="M1185" s="15">
        <v>43084</v>
      </c>
      <c r="N1185" s="15">
        <v>43100</v>
      </c>
      <c r="O1185" s="61" t="s">
        <v>4538</v>
      </c>
      <c r="P1185" s="61"/>
      <c r="Q1185" s="61"/>
      <c r="R1185" s="239"/>
      <c r="S1185" s="326" t="s">
        <v>4537</v>
      </c>
      <c r="T1185" s="722"/>
      <c r="U1185" s="42"/>
      <c r="AE1185" s="115"/>
      <c r="AF1185" s="115"/>
      <c r="AG1185" s="115"/>
      <c r="AH1185" s="115"/>
      <c r="AI1185" s="115"/>
      <c r="AJ1185" s="115"/>
      <c r="AK1185" s="115"/>
      <c r="AL1185" s="115"/>
      <c r="AM1185" s="115"/>
      <c r="AN1185" s="115"/>
      <c r="AO1185" s="115"/>
      <c r="AP1185" s="115"/>
      <c r="AQ1185" s="115"/>
      <c r="AR1185" s="115"/>
      <c r="AS1185" s="115"/>
      <c r="AT1185" s="115"/>
      <c r="AU1185" s="115"/>
      <c r="AV1185" s="115"/>
      <c r="AW1185" s="115"/>
      <c r="AX1185" s="115"/>
      <c r="AY1185" s="115"/>
      <c r="AZ1185" s="115"/>
      <c r="BA1185" s="115"/>
      <c r="BB1185" s="115"/>
      <c r="BC1185" s="115"/>
      <c r="BD1185" s="115"/>
      <c r="BE1185" s="115"/>
      <c r="BF1185" s="115"/>
      <c r="BG1185" s="115"/>
      <c r="BH1185" s="115"/>
      <c r="BI1185" s="115"/>
      <c r="BJ1185" s="115"/>
      <c r="BK1185" s="115"/>
      <c r="BL1185" s="115"/>
      <c r="BM1185" s="115"/>
      <c r="BN1185" s="115"/>
      <c r="BO1185" s="115"/>
      <c r="BP1185" s="115"/>
    </row>
    <row r="1186" spans="1:68" ht="20.100000000000001" customHeight="1">
      <c r="A1186" s="1229" t="s">
        <v>4536</v>
      </c>
      <c r="B1186" s="1229" t="s">
        <v>4722</v>
      </c>
      <c r="C1186" s="1229" t="s">
        <v>4734</v>
      </c>
      <c r="D1186" s="195">
        <f>D65+350</f>
        <v>1150</v>
      </c>
      <c r="E1186" s="195">
        <f>E65+620</f>
        <v>2120</v>
      </c>
      <c r="F1186" s="195">
        <f>F65+620</f>
        <v>2170</v>
      </c>
      <c r="G1186" s="12" t="s">
        <v>4645</v>
      </c>
      <c r="H1186" s="48" t="s">
        <v>4556</v>
      </c>
      <c r="I1186" s="38" t="s">
        <v>4540</v>
      </c>
      <c r="J1186" s="30"/>
      <c r="K1186" s="38" t="s">
        <v>4733</v>
      </c>
      <c r="L1186" s="116" t="s">
        <v>4539</v>
      </c>
      <c r="M1186" s="6">
        <v>43084</v>
      </c>
      <c r="N1186" s="6">
        <v>43100</v>
      </c>
      <c r="O1186" s="61" t="s">
        <v>4643</v>
      </c>
      <c r="P1186" s="61"/>
      <c r="Q1186" s="61"/>
      <c r="R1186" s="239"/>
      <c r="S1186" s="326" t="s">
        <v>4641</v>
      </c>
      <c r="T1186" s="722"/>
      <c r="U1186" s="42"/>
      <c r="AE1186" s="233"/>
      <c r="AF1186" s="233"/>
      <c r="AG1186" s="233"/>
      <c r="AH1186" s="233"/>
      <c r="AI1186" s="233"/>
      <c r="AJ1186" s="233"/>
      <c r="AK1186" s="233"/>
      <c r="AL1186" s="233"/>
      <c r="AM1186" s="233"/>
      <c r="AN1186" s="233"/>
      <c r="AO1186" s="233"/>
      <c r="AP1186" s="233"/>
      <c r="AQ1186" s="233"/>
      <c r="AR1186" s="233"/>
      <c r="AS1186" s="233"/>
      <c r="AT1186" s="233"/>
      <c r="AU1186" s="233"/>
      <c r="AV1186" s="233"/>
      <c r="AW1186" s="233"/>
      <c r="AX1186" s="233"/>
      <c r="AY1186" s="233"/>
      <c r="AZ1186" s="233"/>
      <c r="BA1186" s="233"/>
      <c r="BB1186" s="233"/>
      <c r="BC1186" s="233"/>
      <c r="BD1186" s="233"/>
      <c r="BE1186" s="233"/>
      <c r="BF1186" s="233"/>
      <c r="BG1186" s="233"/>
      <c r="BH1186" s="233"/>
      <c r="BI1186" s="233"/>
      <c r="BJ1186" s="233"/>
      <c r="BK1186" s="233"/>
      <c r="BL1186" s="233"/>
      <c r="BM1186" s="233"/>
      <c r="BN1186" s="233"/>
      <c r="BO1186" s="233"/>
      <c r="BP1186" s="233"/>
    </row>
    <row r="1187" spans="1:68" ht="20.100000000000001" customHeight="1">
      <c r="A1187" s="908" t="s">
        <v>4536</v>
      </c>
      <c r="B1187" s="908" t="s">
        <v>4722</v>
      </c>
      <c r="C1187" s="908" t="s">
        <v>4732</v>
      </c>
      <c r="D1187" s="365">
        <v>850</v>
      </c>
      <c r="E1187" s="365">
        <v>1700</v>
      </c>
      <c r="F1187" s="365">
        <v>1750</v>
      </c>
      <c r="G1187" s="23" t="s">
        <v>4553</v>
      </c>
      <c r="H1187" s="55" t="s">
        <v>4552</v>
      </c>
      <c r="I1187" s="38" t="s">
        <v>4551</v>
      </c>
      <c r="J1187" s="37"/>
      <c r="K1187" s="38">
        <v>30</v>
      </c>
      <c r="L1187" s="116" t="s">
        <v>4539</v>
      </c>
      <c r="M1187" s="6">
        <v>43085</v>
      </c>
      <c r="N1187" s="6">
        <v>43100</v>
      </c>
      <c r="O1187" s="61" t="s">
        <v>4545</v>
      </c>
      <c r="P1187" s="61"/>
      <c r="Q1187" s="167"/>
      <c r="R1187" s="239" t="s">
        <v>4550</v>
      </c>
      <c r="S1187" s="328" t="s">
        <v>4543</v>
      </c>
      <c r="T1187" s="722"/>
      <c r="U1187" s="42"/>
      <c r="AE1187" s="115"/>
      <c r="AF1187" s="115"/>
      <c r="AG1187" s="115"/>
      <c r="AH1187" s="115"/>
      <c r="AI1187" s="115"/>
      <c r="AJ1187" s="115"/>
      <c r="AK1187" s="115"/>
      <c r="AL1187" s="115"/>
      <c r="AM1187" s="115"/>
      <c r="AN1187" s="115"/>
      <c r="AO1187" s="115"/>
      <c r="AP1187" s="115"/>
      <c r="AQ1187" s="115"/>
      <c r="AR1187" s="115"/>
      <c r="AS1187" s="115"/>
      <c r="AT1187" s="115"/>
      <c r="AU1187" s="115"/>
      <c r="AV1187" s="115"/>
      <c r="AW1187" s="115"/>
      <c r="AX1187" s="115"/>
      <c r="AY1187" s="115"/>
      <c r="AZ1187" s="115"/>
      <c r="BA1187" s="115"/>
      <c r="BB1187" s="115"/>
      <c r="BC1187" s="115"/>
      <c r="BD1187" s="115"/>
      <c r="BE1187" s="115"/>
      <c r="BF1187" s="115"/>
      <c r="BG1187" s="115"/>
      <c r="BH1187" s="115"/>
      <c r="BI1187" s="115"/>
      <c r="BJ1187" s="115"/>
      <c r="BK1187" s="115"/>
      <c r="BL1187" s="115"/>
      <c r="BM1187" s="115"/>
      <c r="BN1187" s="115"/>
      <c r="BO1187" s="115"/>
      <c r="BP1187" s="115"/>
    </row>
    <row r="1188" spans="1:68" ht="20.100000000000001" customHeight="1">
      <c r="A1188" s="908" t="s">
        <v>4536</v>
      </c>
      <c r="B1188" s="908" t="s">
        <v>4722</v>
      </c>
      <c r="C1188" s="908" t="s">
        <v>4731</v>
      </c>
      <c r="D1188" s="365">
        <v>850</v>
      </c>
      <c r="E1188" s="365">
        <v>1700</v>
      </c>
      <c r="F1188" s="365">
        <v>1750</v>
      </c>
      <c r="G1188" s="23" t="s">
        <v>4553</v>
      </c>
      <c r="H1188" s="55" t="s">
        <v>4552</v>
      </c>
      <c r="I1188" s="38" t="s">
        <v>4551</v>
      </c>
      <c r="J1188" s="37"/>
      <c r="K1188" s="38">
        <v>30</v>
      </c>
      <c r="L1188" s="116" t="s">
        <v>4539</v>
      </c>
      <c r="M1188" s="6">
        <v>43085</v>
      </c>
      <c r="N1188" s="6">
        <v>43100</v>
      </c>
      <c r="O1188" s="61" t="s">
        <v>4545</v>
      </c>
      <c r="P1188" s="61"/>
      <c r="Q1188" s="167"/>
      <c r="R1188" s="239" t="s">
        <v>4550</v>
      </c>
      <c r="S1188" s="328" t="s">
        <v>4543</v>
      </c>
      <c r="T1188" s="722"/>
      <c r="U1188" s="42"/>
      <c r="AE1188" s="115"/>
      <c r="AF1188" s="115"/>
      <c r="AG1188" s="115"/>
      <c r="AH1188" s="115"/>
      <c r="AI1188" s="115"/>
      <c r="AJ1188" s="115"/>
      <c r="AK1188" s="115"/>
      <c r="AL1188" s="115"/>
      <c r="AM1188" s="115"/>
      <c r="AN1188" s="115"/>
      <c r="AO1188" s="115"/>
      <c r="AP1188" s="115"/>
      <c r="AQ1188" s="115"/>
      <c r="AR1188" s="115"/>
      <c r="AS1188" s="115"/>
      <c r="AT1188" s="115"/>
      <c r="AU1188" s="115"/>
      <c r="AV1188" s="115"/>
      <c r="AW1188" s="115"/>
      <c r="AX1188" s="115"/>
      <c r="AY1188" s="115"/>
      <c r="AZ1188" s="115"/>
      <c r="BA1188" s="115"/>
      <c r="BB1188" s="115"/>
      <c r="BC1188" s="115"/>
      <c r="BD1188" s="115"/>
      <c r="BE1188" s="115"/>
      <c r="BF1188" s="115"/>
      <c r="BG1188" s="115"/>
      <c r="BH1188" s="115"/>
      <c r="BI1188" s="115"/>
      <c r="BJ1188" s="115"/>
      <c r="BK1188" s="115"/>
      <c r="BL1188" s="115"/>
      <c r="BM1188" s="115"/>
      <c r="BN1188" s="115"/>
      <c r="BO1188" s="115"/>
      <c r="BP1188" s="115"/>
    </row>
    <row r="1189" spans="1:68" ht="20.100000000000001" customHeight="1">
      <c r="A1189" s="908" t="s">
        <v>4536</v>
      </c>
      <c r="B1189" s="908" t="s">
        <v>4722</v>
      </c>
      <c r="C1189" s="908" t="s">
        <v>4730</v>
      </c>
      <c r="D1189" s="365">
        <v>850</v>
      </c>
      <c r="E1189" s="365">
        <v>1700</v>
      </c>
      <c r="F1189" s="365">
        <v>1750</v>
      </c>
      <c r="G1189" s="23" t="s">
        <v>4553</v>
      </c>
      <c r="H1189" s="55" t="s">
        <v>4552</v>
      </c>
      <c r="I1189" s="38" t="s">
        <v>4551</v>
      </c>
      <c r="J1189" s="37"/>
      <c r="K1189" s="38">
        <v>30</v>
      </c>
      <c r="L1189" s="116" t="s">
        <v>4539</v>
      </c>
      <c r="M1189" s="6">
        <v>43085</v>
      </c>
      <c r="N1189" s="6">
        <v>43100</v>
      </c>
      <c r="O1189" s="61" t="s">
        <v>4545</v>
      </c>
      <c r="P1189" s="61"/>
      <c r="Q1189" s="167"/>
      <c r="R1189" s="239" t="s">
        <v>4550</v>
      </c>
      <c r="S1189" s="328" t="s">
        <v>4543</v>
      </c>
      <c r="T1189" s="722"/>
      <c r="U1189" s="42"/>
      <c r="AE1189" s="115"/>
      <c r="AF1189" s="115"/>
      <c r="AG1189" s="115"/>
      <c r="AH1189" s="115"/>
      <c r="AI1189" s="115"/>
      <c r="AJ1189" s="115"/>
      <c r="AK1189" s="115"/>
      <c r="AL1189" s="115"/>
      <c r="AM1189" s="115"/>
      <c r="AN1189" s="115"/>
      <c r="AO1189" s="115"/>
      <c r="AP1189" s="115"/>
      <c r="AQ1189" s="115"/>
      <c r="AR1189" s="115"/>
      <c r="AS1189" s="115"/>
      <c r="AT1189" s="115"/>
      <c r="AU1189" s="115"/>
      <c r="AV1189" s="115"/>
      <c r="AW1189" s="115"/>
      <c r="AX1189" s="115"/>
      <c r="AY1189" s="115"/>
      <c r="AZ1189" s="115"/>
      <c r="BA1189" s="115"/>
      <c r="BB1189" s="115"/>
      <c r="BC1189" s="115"/>
      <c r="BD1189" s="115"/>
      <c r="BE1189" s="115"/>
      <c r="BF1189" s="115"/>
      <c r="BG1189" s="115"/>
      <c r="BH1189" s="115"/>
      <c r="BI1189" s="115"/>
      <c r="BJ1189" s="115"/>
      <c r="BK1189" s="115"/>
      <c r="BL1189" s="115"/>
      <c r="BM1189" s="115"/>
      <c r="BN1189" s="115"/>
      <c r="BO1189" s="115"/>
      <c r="BP1189" s="115"/>
    </row>
    <row r="1190" spans="1:68" ht="20.100000000000001" customHeight="1">
      <c r="A1190" s="908" t="s">
        <v>4536</v>
      </c>
      <c r="B1190" s="908" t="s">
        <v>4722</v>
      </c>
      <c r="C1190" s="908" t="s">
        <v>4729</v>
      </c>
      <c r="D1190" s="273">
        <f>D226+1500+25</f>
        <v>2050</v>
      </c>
      <c r="E1190" s="273">
        <f>E226+2400+50</f>
        <v>3400</v>
      </c>
      <c r="F1190" s="273">
        <f>F226+2400+50</f>
        <v>3450</v>
      </c>
      <c r="G1190" s="110" t="s">
        <v>4566</v>
      </c>
      <c r="H1190" s="69" t="s">
        <v>4580</v>
      </c>
      <c r="I1190" s="38" t="s">
        <v>4564</v>
      </c>
      <c r="J1190" s="38"/>
      <c r="K1190" s="38"/>
      <c r="L1190" s="116" t="s">
        <v>4539</v>
      </c>
      <c r="M1190" s="15">
        <v>43073</v>
      </c>
      <c r="N1190" s="15">
        <v>43100</v>
      </c>
      <c r="O1190" s="59" t="s">
        <v>4563</v>
      </c>
      <c r="P1190" s="61"/>
      <c r="Q1190" s="167"/>
      <c r="R1190" s="239" t="s">
        <v>4578</v>
      </c>
      <c r="S1190" s="327" t="s">
        <v>4561</v>
      </c>
      <c r="T1190" s="722"/>
      <c r="U1190" s="42"/>
      <c r="AE1190" s="115"/>
      <c r="AF1190" s="115"/>
      <c r="AG1190" s="115"/>
      <c r="AH1190" s="115"/>
      <c r="AI1190" s="115"/>
      <c r="AJ1190" s="115"/>
      <c r="AK1190" s="115"/>
      <c r="AL1190" s="115"/>
      <c r="AM1190" s="115"/>
      <c r="AN1190" s="115"/>
      <c r="AO1190" s="115"/>
      <c r="AP1190" s="115"/>
      <c r="AQ1190" s="115"/>
      <c r="AR1190" s="115"/>
      <c r="AS1190" s="115"/>
      <c r="AT1190" s="115"/>
      <c r="AU1190" s="115"/>
      <c r="AV1190" s="115"/>
      <c r="AW1190" s="115"/>
      <c r="AX1190" s="115"/>
      <c r="AY1190" s="115"/>
      <c r="AZ1190" s="115"/>
      <c r="BA1190" s="115"/>
      <c r="BB1190" s="115"/>
      <c r="BC1190" s="115"/>
      <c r="BD1190" s="115"/>
      <c r="BE1190" s="115"/>
      <c r="BF1190" s="115"/>
      <c r="BG1190" s="115"/>
      <c r="BH1190" s="115"/>
      <c r="BI1190" s="115"/>
      <c r="BJ1190" s="115"/>
      <c r="BK1190" s="115"/>
      <c r="BL1190" s="115"/>
      <c r="BM1190" s="115"/>
      <c r="BN1190" s="115"/>
      <c r="BO1190" s="115"/>
      <c r="BP1190" s="115"/>
    </row>
    <row r="1191" spans="1:68" ht="20.100000000000001" customHeight="1">
      <c r="A1191" s="1229" t="s">
        <v>4536</v>
      </c>
      <c r="B1191" s="1229" t="s">
        <v>4722</v>
      </c>
      <c r="C1191" s="1229" t="s">
        <v>4727</v>
      </c>
      <c r="D1191" s="348">
        <f>D77+100+25</f>
        <v>975</v>
      </c>
      <c r="E1191" s="348">
        <f>E77+200+50</f>
        <v>1850</v>
      </c>
      <c r="F1191" s="348">
        <f>F77+200+50</f>
        <v>1900</v>
      </c>
      <c r="G1191" s="217" t="s">
        <v>4572</v>
      </c>
      <c r="H1191" s="56" t="s">
        <v>4541</v>
      </c>
      <c r="I1191" s="20" t="s">
        <v>4540</v>
      </c>
      <c r="J1191" s="37"/>
      <c r="K1191" s="38"/>
      <c r="L1191" s="116" t="s">
        <v>4539</v>
      </c>
      <c r="M1191" s="15">
        <v>43070</v>
      </c>
      <c r="N1191" s="15">
        <v>43100</v>
      </c>
      <c r="O1191" s="61" t="s">
        <v>4728</v>
      </c>
      <c r="P1191" s="904"/>
      <c r="Q1191" s="7"/>
      <c r="R1191" s="239"/>
      <c r="S1191" s="327" t="s">
        <v>4570</v>
      </c>
      <c r="T1191" s="722"/>
      <c r="U1191" s="42"/>
      <c r="AE1191" s="115"/>
      <c r="AF1191" s="115"/>
      <c r="AG1191" s="115"/>
      <c r="AH1191" s="115"/>
      <c r="AI1191" s="115"/>
      <c r="AJ1191" s="115"/>
      <c r="AK1191" s="115"/>
      <c r="AL1191" s="115"/>
      <c r="AM1191" s="115"/>
      <c r="AN1191" s="115"/>
      <c r="AO1191" s="115"/>
      <c r="AP1191" s="115"/>
      <c r="AQ1191" s="115"/>
      <c r="AR1191" s="115"/>
      <c r="AS1191" s="115"/>
      <c r="AT1191" s="115"/>
      <c r="AU1191" s="115"/>
      <c r="AV1191" s="115"/>
      <c r="AW1191" s="115"/>
      <c r="AX1191" s="115"/>
      <c r="AY1191" s="115"/>
      <c r="AZ1191" s="115"/>
      <c r="BA1191" s="115"/>
      <c r="BB1191" s="115"/>
      <c r="BC1191" s="115"/>
      <c r="BD1191" s="115"/>
      <c r="BE1191" s="115"/>
      <c r="BF1191" s="115"/>
      <c r="BG1191" s="115"/>
      <c r="BH1191" s="115"/>
      <c r="BI1191" s="115"/>
      <c r="BJ1191" s="115"/>
      <c r="BK1191" s="115"/>
      <c r="BL1191" s="115"/>
      <c r="BM1191" s="115"/>
      <c r="BN1191" s="115"/>
      <c r="BO1191" s="115"/>
      <c r="BP1191" s="115"/>
    </row>
    <row r="1192" spans="1:68" ht="20.100000000000001" customHeight="1">
      <c r="A1192" s="1229" t="s">
        <v>4536</v>
      </c>
      <c r="B1192" s="1229" t="s">
        <v>4722</v>
      </c>
      <c r="C1192" s="1229" t="s">
        <v>4727</v>
      </c>
      <c r="D1192" s="365">
        <v>850</v>
      </c>
      <c r="E1192" s="365">
        <v>1700</v>
      </c>
      <c r="F1192" s="365">
        <v>1750</v>
      </c>
      <c r="G1192" s="23" t="s">
        <v>4553</v>
      </c>
      <c r="H1192" s="55" t="s">
        <v>4552</v>
      </c>
      <c r="I1192" s="38" t="s">
        <v>4551</v>
      </c>
      <c r="J1192" s="37"/>
      <c r="K1192" s="38">
        <v>30</v>
      </c>
      <c r="L1192" s="116" t="s">
        <v>4539</v>
      </c>
      <c r="M1192" s="6">
        <v>43085</v>
      </c>
      <c r="N1192" s="6">
        <v>43100</v>
      </c>
      <c r="O1192" s="61" t="s">
        <v>4545</v>
      </c>
      <c r="P1192" s="61"/>
      <c r="Q1192" s="167"/>
      <c r="R1192" s="239" t="s">
        <v>4550</v>
      </c>
      <c r="S1192" s="328" t="s">
        <v>4543</v>
      </c>
      <c r="T1192" s="722"/>
      <c r="U1192" s="42"/>
      <c r="AE1192" s="115"/>
      <c r="AF1192" s="115"/>
      <c r="AG1192" s="115"/>
      <c r="AH1192" s="115"/>
      <c r="AI1192" s="115"/>
      <c r="AJ1192" s="115"/>
      <c r="AK1192" s="115"/>
      <c r="AL1192" s="115"/>
      <c r="AM1192" s="115"/>
      <c r="AN1192" s="115"/>
      <c r="AO1192" s="115"/>
      <c r="AP1192" s="115"/>
      <c r="AQ1192" s="115"/>
      <c r="AR1192" s="115"/>
      <c r="AS1192" s="115"/>
      <c r="AT1192" s="115"/>
      <c r="AU1192" s="115"/>
      <c r="AV1192" s="115"/>
      <c r="AW1192" s="115"/>
      <c r="AX1192" s="115"/>
      <c r="AY1192" s="115"/>
      <c r="AZ1192" s="115"/>
      <c r="BA1192" s="115"/>
      <c r="BB1192" s="115"/>
      <c r="BC1192" s="115"/>
      <c r="BD1192" s="115"/>
      <c r="BE1192" s="115"/>
      <c r="BF1192" s="115"/>
      <c r="BG1192" s="115"/>
      <c r="BH1192" s="115"/>
      <c r="BI1192" s="115"/>
      <c r="BJ1192" s="115"/>
      <c r="BK1192" s="115"/>
      <c r="BL1192" s="115"/>
      <c r="BM1192" s="115"/>
      <c r="BN1192" s="115"/>
      <c r="BO1192" s="115"/>
      <c r="BP1192" s="115"/>
    </row>
    <row r="1193" spans="1:68" ht="20.100000000000001" customHeight="1">
      <c r="A1193" s="1229" t="s">
        <v>4536</v>
      </c>
      <c r="B1193" s="1229" t="s">
        <v>4722</v>
      </c>
      <c r="C1193" s="1229" t="s">
        <v>4726</v>
      </c>
      <c r="D1193" s="273">
        <f>D226+300+25</f>
        <v>850</v>
      </c>
      <c r="E1193" s="273">
        <f>E226+550+50</f>
        <v>1550</v>
      </c>
      <c r="F1193" s="273">
        <f>F226+550+50</f>
        <v>1600</v>
      </c>
      <c r="G1193" s="110" t="s">
        <v>4566</v>
      </c>
      <c r="H1193" s="69" t="s">
        <v>4580</v>
      </c>
      <c r="I1193" s="38" t="s">
        <v>4564</v>
      </c>
      <c r="J1193" s="38"/>
      <c r="K1193" s="38"/>
      <c r="L1193" s="116" t="s">
        <v>4539</v>
      </c>
      <c r="M1193" s="15">
        <v>43073</v>
      </c>
      <c r="N1193" s="15">
        <v>43100</v>
      </c>
      <c r="O1193" s="59" t="s">
        <v>4563</v>
      </c>
      <c r="P1193" s="61"/>
      <c r="Q1193" s="167"/>
      <c r="R1193" s="239" t="s">
        <v>4578</v>
      </c>
      <c r="S1193" s="327" t="s">
        <v>4561</v>
      </c>
      <c r="T1193" s="722"/>
      <c r="U1193" s="42"/>
      <c r="AE1193" s="115"/>
      <c r="AF1193" s="115"/>
      <c r="AG1193" s="115"/>
      <c r="AH1193" s="115"/>
      <c r="AI1193" s="115"/>
      <c r="AJ1193" s="115"/>
      <c r="AK1193" s="115"/>
      <c r="AL1193" s="115"/>
      <c r="AM1193" s="115"/>
      <c r="AN1193" s="115"/>
      <c r="AO1193" s="115"/>
      <c r="AP1193" s="115"/>
      <c r="AQ1193" s="115"/>
      <c r="AR1193" s="115"/>
      <c r="AS1193" s="115"/>
      <c r="AT1193" s="115"/>
      <c r="AU1193" s="115"/>
      <c r="AV1193" s="115"/>
      <c r="AW1193" s="115"/>
      <c r="AX1193" s="115"/>
      <c r="AY1193" s="115"/>
      <c r="AZ1193" s="115"/>
      <c r="BA1193" s="115"/>
      <c r="BB1193" s="115"/>
      <c r="BC1193" s="115"/>
      <c r="BD1193" s="115"/>
      <c r="BE1193" s="115"/>
      <c r="BF1193" s="115"/>
      <c r="BG1193" s="115"/>
      <c r="BH1193" s="115"/>
      <c r="BI1193" s="115"/>
      <c r="BJ1193" s="115"/>
      <c r="BK1193" s="115"/>
      <c r="BL1193" s="115"/>
      <c r="BM1193" s="115"/>
      <c r="BN1193" s="115"/>
      <c r="BO1193" s="115"/>
      <c r="BP1193" s="115"/>
    </row>
    <row r="1194" spans="1:68" ht="20.100000000000001" customHeight="1">
      <c r="A1194" s="1229" t="s">
        <v>4536</v>
      </c>
      <c r="B1194" s="1229" t="s">
        <v>4722</v>
      </c>
      <c r="C1194" s="1229" t="s">
        <v>4726</v>
      </c>
      <c r="D1194" s="318"/>
      <c r="E1194" s="318"/>
      <c r="F1194" s="318"/>
      <c r="G1194" s="228" t="s">
        <v>4569</v>
      </c>
      <c r="H1194" s="55" t="s">
        <v>4552</v>
      </c>
      <c r="I1194" s="20" t="s">
        <v>4725</v>
      </c>
      <c r="J1194" s="30"/>
      <c r="K1194" s="51" t="s">
        <v>4724</v>
      </c>
      <c r="L1194" s="116" t="s">
        <v>4539</v>
      </c>
      <c r="M1194" s="6">
        <v>43074</v>
      </c>
      <c r="N1194" s="6">
        <v>43084</v>
      </c>
      <c r="O1194" s="61" t="s">
        <v>4567</v>
      </c>
      <c r="P1194" s="61"/>
      <c r="Q1194" s="167"/>
      <c r="R1194" s="239" t="s">
        <v>1765</v>
      </c>
      <c r="S1194" s="328" t="s">
        <v>4543</v>
      </c>
      <c r="T1194" s="722"/>
      <c r="U1194" s="42"/>
      <c r="AE1194" s="283"/>
      <c r="AF1194" s="283"/>
      <c r="AG1194" s="283"/>
      <c r="AH1194" s="283"/>
      <c r="AI1194" s="283"/>
      <c r="AJ1194" s="283"/>
      <c r="AK1194" s="283"/>
      <c r="AL1194" s="283"/>
      <c r="AM1194" s="283"/>
      <c r="AN1194" s="283"/>
      <c r="AO1194" s="283"/>
      <c r="AP1194" s="283"/>
      <c r="AQ1194" s="283"/>
      <c r="AR1194" s="283"/>
      <c r="AS1194" s="283"/>
      <c r="AT1194" s="283"/>
      <c r="AU1194" s="283"/>
      <c r="AV1194" s="283"/>
      <c r="AW1194" s="283"/>
      <c r="AX1194" s="283"/>
      <c r="AY1194" s="283"/>
      <c r="AZ1194" s="283"/>
      <c r="BA1194" s="283"/>
      <c r="BB1194" s="283"/>
      <c r="BC1194" s="283"/>
      <c r="BD1194" s="283"/>
      <c r="BE1194" s="283"/>
      <c r="BF1194" s="283"/>
      <c r="BG1194" s="283"/>
      <c r="BH1194" s="283"/>
      <c r="BI1194" s="283"/>
      <c r="BJ1194" s="283"/>
      <c r="BK1194" s="283"/>
      <c r="BL1194" s="283"/>
      <c r="BM1194" s="283"/>
      <c r="BN1194" s="283"/>
      <c r="BO1194" s="283"/>
      <c r="BP1194" s="283"/>
    </row>
    <row r="1195" spans="1:68" ht="20.100000000000001" customHeight="1">
      <c r="A1195" s="1229" t="s">
        <v>4536</v>
      </c>
      <c r="B1195" s="1229" t="s">
        <v>4722</v>
      </c>
      <c r="C1195" s="1229" t="s">
        <v>4726</v>
      </c>
      <c r="D1195" s="365">
        <v>850</v>
      </c>
      <c r="E1195" s="365">
        <v>1700</v>
      </c>
      <c r="F1195" s="365">
        <v>1750</v>
      </c>
      <c r="G1195" s="3" t="s">
        <v>4553</v>
      </c>
      <c r="H1195" s="55" t="s">
        <v>4552</v>
      </c>
      <c r="I1195" s="20" t="s">
        <v>4725</v>
      </c>
      <c r="J1195" s="30"/>
      <c r="K1195" s="51" t="s">
        <v>4724</v>
      </c>
      <c r="L1195" s="116" t="s">
        <v>4539</v>
      </c>
      <c r="M1195" s="6">
        <v>43085</v>
      </c>
      <c r="N1195" s="6">
        <v>43100</v>
      </c>
      <c r="O1195" s="61" t="s">
        <v>4545</v>
      </c>
      <c r="P1195" s="61"/>
      <c r="Q1195" s="167"/>
      <c r="R1195" s="239" t="s">
        <v>4550</v>
      </c>
      <c r="S1195" s="328" t="s">
        <v>4543</v>
      </c>
      <c r="T1195" s="722"/>
      <c r="U1195" s="42"/>
      <c r="AE1195" s="115"/>
      <c r="AF1195" s="115"/>
      <c r="AG1195" s="115"/>
      <c r="AH1195" s="115"/>
      <c r="AI1195" s="115"/>
      <c r="AJ1195" s="115"/>
      <c r="AK1195" s="115"/>
      <c r="AL1195" s="115"/>
      <c r="AM1195" s="115"/>
      <c r="AN1195" s="115"/>
      <c r="AO1195" s="115"/>
      <c r="AP1195" s="115"/>
      <c r="AQ1195" s="115"/>
      <c r="AR1195" s="115"/>
      <c r="AS1195" s="115"/>
      <c r="AT1195" s="115"/>
      <c r="AU1195" s="115"/>
      <c r="AV1195" s="115"/>
      <c r="AW1195" s="115"/>
      <c r="AX1195" s="115"/>
      <c r="AY1195" s="115"/>
      <c r="AZ1195" s="115"/>
      <c r="BA1195" s="115"/>
      <c r="BB1195" s="115"/>
      <c r="BC1195" s="115"/>
      <c r="BD1195" s="115"/>
      <c r="BE1195" s="115"/>
      <c r="BF1195" s="115"/>
      <c r="BG1195" s="115"/>
      <c r="BH1195" s="115"/>
      <c r="BI1195" s="115"/>
      <c r="BJ1195" s="115"/>
      <c r="BK1195" s="115"/>
      <c r="BL1195" s="115"/>
      <c r="BM1195" s="115"/>
      <c r="BN1195" s="115"/>
      <c r="BO1195" s="115"/>
      <c r="BP1195" s="115"/>
    </row>
    <row r="1196" spans="1:68" ht="20.100000000000001" customHeight="1">
      <c r="A1196" s="1229" t="s">
        <v>4536</v>
      </c>
      <c r="B1196" s="1229" t="s">
        <v>4722</v>
      </c>
      <c r="C1196" s="1229" t="s">
        <v>4726</v>
      </c>
      <c r="D1196" s="885">
        <v>975</v>
      </c>
      <c r="E1196" s="885">
        <v>1850</v>
      </c>
      <c r="F1196" s="885">
        <v>1900</v>
      </c>
      <c r="G1196" s="70" t="s">
        <v>4549</v>
      </c>
      <c r="H1196" s="55" t="s">
        <v>4552</v>
      </c>
      <c r="I1196" s="20" t="s">
        <v>4725</v>
      </c>
      <c r="J1196" s="30"/>
      <c r="K1196" s="51" t="s">
        <v>4724</v>
      </c>
      <c r="L1196" s="116" t="s">
        <v>4539</v>
      </c>
      <c r="M1196" s="6">
        <v>43085</v>
      </c>
      <c r="N1196" s="6">
        <v>43100</v>
      </c>
      <c r="O1196" s="61" t="s">
        <v>4545</v>
      </c>
      <c r="P1196" s="61"/>
      <c r="Q1196" s="167"/>
      <c r="R1196" s="239" t="s">
        <v>4723</v>
      </c>
      <c r="S1196" s="328" t="s">
        <v>4543</v>
      </c>
      <c r="T1196" s="722"/>
      <c r="U1196" s="42"/>
      <c r="AE1196" s="115"/>
      <c r="AF1196" s="115"/>
      <c r="AG1196" s="115"/>
      <c r="AH1196" s="115"/>
      <c r="AI1196" s="115"/>
      <c r="AJ1196" s="115"/>
      <c r="AK1196" s="115"/>
      <c r="AL1196" s="115"/>
      <c r="AM1196" s="115"/>
      <c r="AN1196" s="115"/>
      <c r="AO1196" s="115"/>
      <c r="AP1196" s="115"/>
      <c r="AQ1196" s="115"/>
      <c r="AR1196" s="115"/>
      <c r="AS1196" s="115"/>
      <c r="AT1196" s="115"/>
      <c r="AU1196" s="115"/>
      <c r="AV1196" s="115"/>
      <c r="AW1196" s="115"/>
      <c r="AX1196" s="115"/>
      <c r="AY1196" s="115"/>
      <c r="AZ1196" s="115"/>
      <c r="BA1196" s="115"/>
      <c r="BB1196" s="115"/>
      <c r="BC1196" s="115"/>
      <c r="BD1196" s="115"/>
      <c r="BE1196" s="115"/>
      <c r="BF1196" s="115"/>
      <c r="BG1196" s="115"/>
      <c r="BH1196" s="115"/>
      <c r="BI1196" s="115"/>
      <c r="BJ1196" s="115"/>
      <c r="BK1196" s="115"/>
      <c r="BL1196" s="115"/>
      <c r="BM1196" s="115"/>
      <c r="BN1196" s="115"/>
      <c r="BO1196" s="115"/>
      <c r="BP1196" s="115"/>
    </row>
    <row r="1197" spans="1:68" ht="20.100000000000001" customHeight="1">
      <c r="A1197" s="908" t="s">
        <v>4536</v>
      </c>
      <c r="B1197" s="908" t="s">
        <v>4722</v>
      </c>
      <c r="C1197" s="908" t="s">
        <v>4721</v>
      </c>
      <c r="D1197" s="365">
        <v>850</v>
      </c>
      <c r="E1197" s="365">
        <v>1700</v>
      </c>
      <c r="F1197" s="365">
        <v>1750</v>
      </c>
      <c r="G1197" s="23" t="s">
        <v>4553</v>
      </c>
      <c r="H1197" s="55" t="s">
        <v>4552</v>
      </c>
      <c r="I1197" s="38" t="s">
        <v>4551</v>
      </c>
      <c r="J1197" s="37"/>
      <c r="K1197" s="38">
        <v>30</v>
      </c>
      <c r="L1197" s="116" t="s">
        <v>4539</v>
      </c>
      <c r="M1197" s="6">
        <v>43085</v>
      </c>
      <c r="N1197" s="6">
        <v>43100</v>
      </c>
      <c r="O1197" s="61" t="s">
        <v>4545</v>
      </c>
      <c r="P1197" s="61"/>
      <c r="Q1197" s="167"/>
      <c r="R1197" s="239" t="s">
        <v>4550</v>
      </c>
      <c r="S1197" s="328" t="s">
        <v>4543</v>
      </c>
      <c r="T1197" s="722"/>
      <c r="U1197" s="42"/>
      <c r="AE1197" s="233"/>
      <c r="AF1197" s="233"/>
      <c r="AG1197" s="233"/>
      <c r="AH1197" s="233"/>
      <c r="AI1197" s="233"/>
      <c r="AJ1197" s="233"/>
      <c r="AK1197" s="233"/>
      <c r="AL1197" s="233"/>
      <c r="AM1197" s="233"/>
      <c r="AN1197" s="233"/>
      <c r="AO1197" s="233"/>
      <c r="AP1197" s="233"/>
      <c r="AQ1197" s="233"/>
      <c r="AR1197" s="233"/>
      <c r="AS1197" s="233"/>
      <c r="AT1197" s="233"/>
      <c r="AU1197" s="233"/>
      <c r="AV1197" s="233"/>
      <c r="AW1197" s="233"/>
      <c r="AX1197" s="233"/>
      <c r="AY1197" s="233"/>
      <c r="AZ1197" s="233"/>
      <c r="BA1197" s="233"/>
      <c r="BB1197" s="233"/>
      <c r="BC1197" s="233"/>
      <c r="BD1197" s="233"/>
      <c r="BE1197" s="233"/>
      <c r="BF1197" s="233"/>
      <c r="BG1197" s="233"/>
      <c r="BH1197" s="233"/>
      <c r="BI1197" s="233"/>
      <c r="BJ1197" s="233"/>
      <c r="BK1197" s="233"/>
      <c r="BL1197" s="233"/>
      <c r="BM1197" s="233"/>
      <c r="BN1197" s="233"/>
      <c r="BO1197" s="233"/>
      <c r="BP1197" s="233"/>
    </row>
    <row r="1198" spans="1:68" ht="20.100000000000001" customHeight="1">
      <c r="A1198" s="907" t="s">
        <v>4582</v>
      </c>
      <c r="B1198" s="907" t="s">
        <v>4685</v>
      </c>
      <c r="C1198" s="907" t="s">
        <v>4720</v>
      </c>
      <c r="D1198" s="195"/>
      <c r="E1198" s="195"/>
      <c r="F1198" s="195"/>
      <c r="G1198" s="110" t="s">
        <v>4553</v>
      </c>
      <c r="H1198" s="56" t="s">
        <v>4552</v>
      </c>
      <c r="I1198" s="38" t="s">
        <v>4639</v>
      </c>
      <c r="J1198" s="140"/>
      <c r="K1198" s="38">
        <v>34</v>
      </c>
      <c r="L1198" s="116" t="s">
        <v>4539</v>
      </c>
      <c r="M1198" s="6">
        <v>43085</v>
      </c>
      <c r="N1198" s="6">
        <v>43100</v>
      </c>
      <c r="O1198" s="14" t="s">
        <v>4714</v>
      </c>
      <c r="P1198" s="14"/>
      <c r="Q1198" s="61"/>
      <c r="R1198" s="239"/>
      <c r="S1198" s="328" t="s">
        <v>4543</v>
      </c>
      <c r="T1198" s="722"/>
      <c r="U1198" s="42"/>
      <c r="AE1198" s="115"/>
      <c r="AF1198" s="115"/>
      <c r="AG1198" s="115"/>
      <c r="AH1198" s="115"/>
      <c r="AI1198" s="115"/>
      <c r="AJ1198" s="115"/>
      <c r="AK1198" s="115"/>
      <c r="AL1198" s="115"/>
      <c r="AM1198" s="115"/>
      <c r="AN1198" s="115"/>
      <c r="AO1198" s="115"/>
      <c r="AP1198" s="115"/>
      <c r="AQ1198" s="115"/>
      <c r="AR1198" s="115"/>
      <c r="AS1198" s="115"/>
      <c r="AT1198" s="115"/>
      <c r="AU1198" s="115"/>
      <c r="AV1198" s="115"/>
      <c r="AW1198" s="115"/>
      <c r="AX1198" s="115"/>
      <c r="AY1198" s="115"/>
      <c r="AZ1198" s="115"/>
      <c r="BA1198" s="115"/>
      <c r="BB1198" s="115"/>
      <c r="BC1198" s="115"/>
      <c r="BD1198" s="115"/>
      <c r="BE1198" s="115"/>
      <c r="BF1198" s="115"/>
      <c r="BG1198" s="115"/>
      <c r="BH1198" s="115"/>
      <c r="BI1198" s="115"/>
      <c r="BJ1198" s="115"/>
      <c r="BK1198" s="115"/>
      <c r="BL1198" s="115"/>
      <c r="BM1198" s="115"/>
      <c r="BN1198" s="115"/>
      <c r="BO1198" s="115"/>
      <c r="BP1198" s="115"/>
    </row>
    <row r="1199" spans="1:68" ht="20.100000000000001" customHeight="1">
      <c r="A1199" s="1228" t="s">
        <v>4582</v>
      </c>
      <c r="B1199" s="1228" t="s">
        <v>4685</v>
      </c>
      <c r="C1199" s="1228" t="s">
        <v>4719</v>
      </c>
      <c r="D1199" s="345">
        <f>D20+75+25</f>
        <v>950</v>
      </c>
      <c r="E1199" s="345">
        <f>E20+175+50</f>
        <v>1825</v>
      </c>
      <c r="F1199" s="345">
        <f>F20+175+50</f>
        <v>1875</v>
      </c>
      <c r="G1199" s="217" t="s">
        <v>4572</v>
      </c>
      <c r="H1199" s="56" t="s">
        <v>4541</v>
      </c>
      <c r="I1199" s="20" t="s">
        <v>4595</v>
      </c>
      <c r="J1199" s="30"/>
      <c r="K1199" s="38"/>
      <c r="L1199" s="116" t="s">
        <v>4539</v>
      </c>
      <c r="M1199" s="15">
        <v>43070</v>
      </c>
      <c r="N1199" s="15">
        <v>43100</v>
      </c>
      <c r="O1199" s="61" t="s">
        <v>4687</v>
      </c>
      <c r="P1199" s="61"/>
      <c r="Q1199" s="7"/>
      <c r="R1199" s="239"/>
      <c r="S1199" s="327" t="s">
        <v>4570</v>
      </c>
      <c r="T1199" s="722"/>
      <c r="U1199" s="42"/>
      <c r="AE1199" s="115"/>
      <c r="AF1199" s="115"/>
      <c r="AG1199" s="115"/>
      <c r="AH1199" s="115"/>
      <c r="AI1199" s="115"/>
      <c r="AJ1199" s="115"/>
      <c r="AK1199" s="115"/>
      <c r="AL1199" s="115"/>
      <c r="AM1199" s="115"/>
      <c r="AN1199" s="115"/>
      <c r="AO1199" s="115"/>
      <c r="AP1199" s="115"/>
      <c r="AQ1199" s="115"/>
      <c r="AR1199" s="115"/>
      <c r="AS1199" s="115"/>
      <c r="AT1199" s="115"/>
      <c r="AU1199" s="115"/>
      <c r="AV1199" s="115"/>
      <c r="AW1199" s="115"/>
      <c r="AX1199" s="115"/>
      <c r="AY1199" s="115"/>
      <c r="AZ1199" s="115"/>
      <c r="BA1199" s="115"/>
      <c r="BB1199" s="115"/>
      <c r="BC1199" s="115"/>
      <c r="BD1199" s="115"/>
      <c r="BE1199" s="115"/>
      <c r="BF1199" s="115"/>
      <c r="BG1199" s="115"/>
      <c r="BH1199" s="115"/>
      <c r="BI1199" s="115"/>
      <c r="BJ1199" s="115"/>
      <c r="BK1199" s="115"/>
      <c r="BL1199" s="115"/>
      <c r="BM1199" s="115"/>
      <c r="BN1199" s="115"/>
      <c r="BO1199" s="115"/>
      <c r="BP1199" s="115"/>
    </row>
    <row r="1200" spans="1:68" ht="20.100000000000001" customHeight="1">
      <c r="A1200" s="1228" t="s">
        <v>4582</v>
      </c>
      <c r="B1200" s="1228" t="s">
        <v>4685</v>
      </c>
      <c r="C1200" s="1228" t="s">
        <v>4719</v>
      </c>
      <c r="D1200" s="263">
        <f>D97+50</f>
        <v>925</v>
      </c>
      <c r="E1200" s="263">
        <f>E97+0</f>
        <v>1550</v>
      </c>
      <c r="F1200" s="263">
        <f>F97+0</f>
        <v>1600</v>
      </c>
      <c r="G1200" s="217" t="s">
        <v>4575</v>
      </c>
      <c r="H1200" s="48" t="s">
        <v>4574</v>
      </c>
      <c r="I1200" s="38" t="s">
        <v>4540</v>
      </c>
      <c r="J1200" s="30"/>
      <c r="K1200" s="38"/>
      <c r="L1200" s="116" t="s">
        <v>4539</v>
      </c>
      <c r="M1200" s="15">
        <v>43084</v>
      </c>
      <c r="N1200" s="15">
        <v>43100</v>
      </c>
      <c r="O1200" s="72" t="s">
        <v>4698</v>
      </c>
      <c r="P1200" s="14"/>
      <c r="Q1200" s="61"/>
      <c r="R1200" s="239"/>
      <c r="S1200" s="328" t="s">
        <v>4543</v>
      </c>
      <c r="T1200" s="722"/>
      <c r="U1200" s="42"/>
      <c r="AE1200" s="283"/>
      <c r="AF1200" s="283"/>
      <c r="AG1200" s="283"/>
      <c r="AH1200" s="283"/>
      <c r="AI1200" s="283"/>
      <c r="AJ1200" s="283"/>
      <c r="AK1200" s="283"/>
      <c r="AL1200" s="283"/>
      <c r="AM1200" s="283"/>
      <c r="AN1200" s="283"/>
      <c r="AO1200" s="283"/>
      <c r="AP1200" s="283"/>
      <c r="AQ1200" s="283"/>
      <c r="AR1200" s="283"/>
      <c r="AS1200" s="283"/>
      <c r="AT1200" s="283"/>
      <c r="AU1200" s="283"/>
      <c r="AV1200" s="283"/>
      <c r="AW1200" s="283"/>
      <c r="AX1200" s="283"/>
      <c r="AY1200" s="283"/>
      <c r="AZ1200" s="283"/>
      <c r="BA1200" s="283"/>
      <c r="BB1200" s="283"/>
      <c r="BC1200" s="283"/>
      <c r="BD1200" s="283"/>
      <c r="BE1200" s="283"/>
      <c r="BF1200" s="283"/>
      <c r="BG1200" s="283"/>
      <c r="BH1200" s="283"/>
      <c r="BI1200" s="283"/>
      <c r="BJ1200" s="283"/>
      <c r="BK1200" s="283"/>
      <c r="BL1200" s="283"/>
      <c r="BM1200" s="283"/>
      <c r="BN1200" s="283"/>
      <c r="BO1200" s="283"/>
      <c r="BP1200" s="283"/>
    </row>
    <row r="1201" spans="1:68" ht="20.100000000000001" customHeight="1">
      <c r="A1201" s="1228" t="s">
        <v>4582</v>
      </c>
      <c r="B1201" s="1228" t="s">
        <v>4685</v>
      </c>
      <c r="C1201" s="1228" t="s">
        <v>4718</v>
      </c>
      <c r="D1201" s="196">
        <f>D1219+3250</f>
        <v>4175</v>
      </c>
      <c r="E1201" s="196">
        <f>E1219+3250</f>
        <v>4800</v>
      </c>
      <c r="F1201" s="196">
        <f>F1219+3250</f>
        <v>4850</v>
      </c>
      <c r="G1201" s="217" t="s">
        <v>4575</v>
      </c>
      <c r="H1201" s="48" t="s">
        <v>4574</v>
      </c>
      <c r="I1201" s="38" t="s">
        <v>4705</v>
      </c>
      <c r="J1201" s="30"/>
      <c r="K1201" s="38"/>
      <c r="L1201" s="116" t="s">
        <v>4539</v>
      </c>
      <c r="M1201" s="15">
        <v>43084</v>
      </c>
      <c r="N1201" s="15">
        <v>43100</v>
      </c>
      <c r="O1201" s="72" t="s">
        <v>4698</v>
      </c>
      <c r="P1201" s="14" t="s">
        <v>4704</v>
      </c>
      <c r="Q1201" s="61" t="s">
        <v>4708</v>
      </c>
      <c r="R1201" s="239"/>
      <c r="S1201" s="329" t="s">
        <v>4707</v>
      </c>
      <c r="T1201" s="722"/>
      <c r="U1201" s="42"/>
      <c r="AE1201" s="115"/>
      <c r="AF1201" s="115"/>
      <c r="AG1201" s="115"/>
      <c r="AH1201" s="115"/>
      <c r="AI1201" s="115"/>
      <c r="AJ1201" s="115"/>
      <c r="AK1201" s="115"/>
      <c r="AL1201" s="115"/>
      <c r="AM1201" s="115"/>
      <c r="AN1201" s="115"/>
      <c r="AO1201" s="115"/>
      <c r="AP1201" s="115"/>
      <c r="AQ1201" s="115"/>
      <c r="AR1201" s="115"/>
      <c r="AS1201" s="115"/>
      <c r="AT1201" s="115"/>
      <c r="AU1201" s="115"/>
      <c r="AV1201" s="115"/>
      <c r="AW1201" s="115"/>
      <c r="AX1201" s="115"/>
      <c r="AY1201" s="115"/>
      <c r="AZ1201" s="115"/>
      <c r="BA1201" s="115"/>
      <c r="BB1201" s="115"/>
      <c r="BC1201" s="115"/>
      <c r="BD1201" s="115"/>
      <c r="BE1201" s="115"/>
      <c r="BF1201" s="115"/>
      <c r="BG1201" s="115"/>
      <c r="BH1201" s="115"/>
      <c r="BI1201" s="115"/>
      <c r="BJ1201" s="115"/>
      <c r="BK1201" s="115"/>
      <c r="BL1201" s="115"/>
      <c r="BM1201" s="115"/>
      <c r="BN1201" s="115"/>
      <c r="BO1201" s="115"/>
      <c r="BP1201" s="115"/>
    </row>
    <row r="1202" spans="1:68" ht="20.100000000000001" customHeight="1">
      <c r="A1202" s="1228" t="s">
        <v>4582</v>
      </c>
      <c r="B1202" s="1228" t="s">
        <v>4685</v>
      </c>
      <c r="C1202" s="1228" t="s">
        <v>4718</v>
      </c>
      <c r="D1202" s="196">
        <f>D1219+3600</f>
        <v>4525</v>
      </c>
      <c r="E1202" s="196">
        <f>E1219+3600</f>
        <v>5150</v>
      </c>
      <c r="F1202" s="196">
        <f>F1219+3600</f>
        <v>5200</v>
      </c>
      <c r="G1202" s="217" t="s">
        <v>4575</v>
      </c>
      <c r="H1202" s="48" t="s">
        <v>4574</v>
      </c>
      <c r="I1202" s="38" t="s">
        <v>4705</v>
      </c>
      <c r="J1202" s="30"/>
      <c r="K1202" s="38"/>
      <c r="L1202" s="116" t="s">
        <v>4539</v>
      </c>
      <c r="M1202" s="15">
        <v>43084</v>
      </c>
      <c r="N1202" s="15">
        <v>43100</v>
      </c>
      <c r="O1202" s="72" t="s">
        <v>4698</v>
      </c>
      <c r="P1202" s="14" t="s">
        <v>4704</v>
      </c>
      <c r="Q1202" s="61" t="s">
        <v>4703</v>
      </c>
      <c r="R1202" s="239"/>
      <c r="S1202" s="329" t="s">
        <v>4702</v>
      </c>
      <c r="T1202" s="722"/>
      <c r="U1202" s="42"/>
      <c r="AE1202" s="115"/>
      <c r="AF1202" s="115"/>
      <c r="AG1202" s="115"/>
      <c r="AH1202" s="115"/>
      <c r="AI1202" s="115"/>
      <c r="AJ1202" s="115"/>
      <c r="AK1202" s="115"/>
      <c r="AL1202" s="115"/>
      <c r="AM1202" s="115"/>
      <c r="AN1202" s="115"/>
      <c r="AO1202" s="115"/>
      <c r="AP1202" s="115"/>
      <c r="AQ1202" s="115"/>
      <c r="AR1202" s="115"/>
      <c r="AS1202" s="115"/>
      <c r="AT1202" s="115"/>
      <c r="AU1202" s="115"/>
      <c r="AV1202" s="115"/>
      <c r="AW1202" s="115"/>
      <c r="AX1202" s="115"/>
      <c r="AY1202" s="115"/>
      <c r="AZ1202" s="115"/>
      <c r="BA1202" s="115"/>
      <c r="BB1202" s="115"/>
      <c r="BC1202" s="115"/>
      <c r="BD1202" s="115"/>
      <c r="BE1202" s="115"/>
      <c r="BF1202" s="115"/>
      <c r="BG1202" s="115"/>
      <c r="BH1202" s="115"/>
      <c r="BI1202" s="115"/>
      <c r="BJ1202" s="115"/>
      <c r="BK1202" s="115"/>
      <c r="BL1202" s="115"/>
      <c r="BM1202" s="115"/>
      <c r="BN1202" s="115"/>
      <c r="BO1202" s="115"/>
      <c r="BP1202" s="115"/>
    </row>
    <row r="1203" spans="1:68" ht="20.100000000000001" customHeight="1">
      <c r="A1203" s="1228" t="s">
        <v>4582</v>
      </c>
      <c r="B1203" s="1228" t="s">
        <v>4685</v>
      </c>
      <c r="C1203" s="1228" t="s">
        <v>4715</v>
      </c>
      <c r="D1203" s="346">
        <f>D20+100</f>
        <v>950</v>
      </c>
      <c r="E1203" s="346">
        <f>E20+200</f>
        <v>1800</v>
      </c>
      <c r="F1203" s="346">
        <f>F20+200</f>
        <v>1850</v>
      </c>
      <c r="G1203" s="217" t="s">
        <v>4572</v>
      </c>
      <c r="H1203" s="56" t="s">
        <v>4541</v>
      </c>
      <c r="I1203" s="20" t="s">
        <v>4595</v>
      </c>
      <c r="J1203" s="30"/>
      <c r="K1203" s="38"/>
      <c r="L1203" s="116" t="s">
        <v>4539</v>
      </c>
      <c r="M1203" s="15">
        <v>43070</v>
      </c>
      <c r="N1203" s="15">
        <v>43100</v>
      </c>
      <c r="O1203" s="61" t="s">
        <v>4655</v>
      </c>
      <c r="P1203" s="61"/>
      <c r="Q1203" s="7"/>
      <c r="R1203" s="239"/>
      <c r="S1203" s="327" t="s">
        <v>4570</v>
      </c>
      <c r="T1203" s="722"/>
      <c r="U1203" s="42"/>
      <c r="AE1203" s="283"/>
      <c r="AF1203" s="283"/>
      <c r="AG1203" s="283"/>
      <c r="AH1203" s="283"/>
      <c r="AI1203" s="283"/>
      <c r="AJ1203" s="283"/>
      <c r="AK1203" s="283"/>
      <c r="AL1203" s="283"/>
      <c r="AM1203" s="283"/>
      <c r="AN1203" s="283"/>
      <c r="AO1203" s="283"/>
      <c r="AP1203" s="283"/>
      <c r="AQ1203" s="283"/>
      <c r="AR1203" s="283"/>
      <c r="AS1203" s="283"/>
      <c r="AT1203" s="283"/>
      <c r="AU1203" s="283"/>
      <c r="AV1203" s="283"/>
      <c r="AW1203" s="283"/>
      <c r="AX1203" s="283"/>
      <c r="AY1203" s="283"/>
      <c r="AZ1203" s="283"/>
      <c r="BA1203" s="283"/>
      <c r="BB1203" s="283"/>
      <c r="BC1203" s="283"/>
      <c r="BD1203" s="283"/>
      <c r="BE1203" s="283"/>
      <c r="BF1203" s="283"/>
      <c r="BG1203" s="283"/>
      <c r="BH1203" s="283"/>
      <c r="BI1203" s="283"/>
      <c r="BJ1203" s="283"/>
      <c r="BK1203" s="283"/>
      <c r="BL1203" s="283"/>
      <c r="BM1203" s="283"/>
      <c r="BN1203" s="283"/>
      <c r="BO1203" s="283"/>
      <c r="BP1203" s="283"/>
    </row>
    <row r="1204" spans="1:68" ht="20.100000000000001" customHeight="1">
      <c r="A1204" s="1228" t="s">
        <v>4582</v>
      </c>
      <c r="B1204" s="1228" t="s">
        <v>4685</v>
      </c>
      <c r="C1204" s="1228" t="s">
        <v>4715</v>
      </c>
      <c r="D1204" s="196">
        <f>D36+600</f>
        <v>1475</v>
      </c>
      <c r="E1204" s="196">
        <f>E36+1100</f>
        <v>2650</v>
      </c>
      <c r="F1204" s="196">
        <f>F36+1100</f>
        <v>2700</v>
      </c>
      <c r="G1204" s="217" t="s">
        <v>4575</v>
      </c>
      <c r="H1204" s="48" t="s">
        <v>4717</v>
      </c>
      <c r="I1204" s="38" t="s">
        <v>4595</v>
      </c>
      <c r="J1204" s="30"/>
      <c r="K1204" s="38"/>
      <c r="L1204" s="116" t="s">
        <v>4539</v>
      </c>
      <c r="M1204" s="15">
        <v>43084</v>
      </c>
      <c r="N1204" s="15">
        <v>43100</v>
      </c>
      <c r="O1204" s="61" t="s">
        <v>4573</v>
      </c>
      <c r="P1204" s="61"/>
      <c r="Q1204" s="61"/>
      <c r="R1204" s="239"/>
      <c r="S1204" s="328" t="s">
        <v>4543</v>
      </c>
      <c r="T1204" s="722"/>
      <c r="U1204" s="42"/>
      <c r="AE1204" s="283"/>
      <c r="AF1204" s="283"/>
      <c r="AG1204" s="283"/>
      <c r="AH1204" s="283"/>
      <c r="AI1204" s="283"/>
      <c r="AJ1204" s="283"/>
      <c r="AK1204" s="283"/>
      <c r="AL1204" s="283"/>
      <c r="AM1204" s="283"/>
      <c r="AN1204" s="283"/>
      <c r="AO1204" s="283"/>
      <c r="AP1204" s="283"/>
      <c r="AQ1204" s="283"/>
      <c r="AR1204" s="283"/>
      <c r="AS1204" s="283"/>
      <c r="AT1204" s="283"/>
      <c r="AU1204" s="283"/>
      <c r="AV1204" s="283"/>
      <c r="AW1204" s="283"/>
      <c r="AX1204" s="283"/>
      <c r="AY1204" s="283"/>
      <c r="AZ1204" s="283"/>
      <c r="BA1204" s="283"/>
      <c r="BB1204" s="283"/>
      <c r="BC1204" s="283"/>
      <c r="BD1204" s="283"/>
      <c r="BE1204" s="283"/>
      <c r="BF1204" s="283"/>
      <c r="BG1204" s="283"/>
      <c r="BH1204" s="283"/>
      <c r="BI1204" s="283"/>
      <c r="BJ1204" s="283"/>
      <c r="BK1204" s="283"/>
      <c r="BL1204" s="283"/>
      <c r="BM1204" s="283"/>
      <c r="BN1204" s="283"/>
      <c r="BO1204" s="283"/>
      <c r="BP1204" s="283"/>
    </row>
    <row r="1205" spans="1:68" ht="20.100000000000001" customHeight="1">
      <c r="A1205" s="1228" t="s">
        <v>4582</v>
      </c>
      <c r="B1205" s="1228" t="s">
        <v>4685</v>
      </c>
      <c r="C1205" s="1228" t="s">
        <v>4715</v>
      </c>
      <c r="D1205" s="196">
        <f>D211+450+25</f>
        <v>1200</v>
      </c>
      <c r="E1205" s="196">
        <f>E211+800+50</f>
        <v>2200</v>
      </c>
      <c r="F1205" s="196">
        <f>F211+800+50</f>
        <v>2250</v>
      </c>
      <c r="G1205" s="12" t="s">
        <v>4566</v>
      </c>
      <c r="H1205" s="69" t="s">
        <v>4556</v>
      </c>
      <c r="I1205" s="38" t="s">
        <v>4595</v>
      </c>
      <c r="J1205" s="30"/>
      <c r="K1205" s="38"/>
      <c r="L1205" s="116" t="s">
        <v>4539</v>
      </c>
      <c r="M1205" s="15">
        <v>43084</v>
      </c>
      <c r="N1205" s="15">
        <v>43100</v>
      </c>
      <c r="O1205" s="59" t="s">
        <v>4674</v>
      </c>
      <c r="P1205" s="61" t="s">
        <v>4716</v>
      </c>
      <c r="Q1205" s="61"/>
      <c r="R1205" s="239"/>
      <c r="S1205" s="327" t="s">
        <v>4561</v>
      </c>
      <c r="T1205" s="722"/>
      <c r="U1205" s="42"/>
      <c r="AE1205" s="283"/>
      <c r="AF1205" s="283"/>
      <c r="AG1205" s="283"/>
      <c r="AH1205" s="283"/>
      <c r="AI1205" s="283"/>
      <c r="AJ1205" s="283"/>
      <c r="AK1205" s="283"/>
      <c r="AL1205" s="283"/>
      <c r="AM1205" s="283"/>
      <c r="AN1205" s="283"/>
      <c r="AO1205" s="283"/>
      <c r="AP1205" s="283"/>
      <c r="AQ1205" s="283"/>
      <c r="AR1205" s="283"/>
      <c r="AS1205" s="283"/>
      <c r="AT1205" s="283"/>
      <c r="AU1205" s="283"/>
      <c r="AV1205" s="283"/>
      <c r="AW1205" s="283"/>
      <c r="AX1205" s="283"/>
      <c r="AY1205" s="283"/>
      <c r="AZ1205" s="283"/>
      <c r="BA1205" s="283"/>
      <c r="BB1205" s="283"/>
      <c r="BC1205" s="283"/>
      <c r="BD1205" s="283"/>
      <c r="BE1205" s="283"/>
      <c r="BF1205" s="283"/>
      <c r="BG1205" s="283"/>
      <c r="BH1205" s="283"/>
      <c r="BI1205" s="283"/>
      <c r="BJ1205" s="283"/>
      <c r="BK1205" s="283"/>
      <c r="BL1205" s="283"/>
      <c r="BM1205" s="283"/>
      <c r="BN1205" s="283"/>
      <c r="BO1205" s="283"/>
      <c r="BP1205" s="283"/>
    </row>
    <row r="1206" spans="1:68" ht="20.100000000000001" customHeight="1">
      <c r="A1206" s="1228" t="s">
        <v>4582</v>
      </c>
      <c r="B1206" s="1228" t="s">
        <v>4685</v>
      </c>
      <c r="C1206" s="1228" t="s">
        <v>4715</v>
      </c>
      <c r="D1206" s="196">
        <f>D120+75</f>
        <v>975</v>
      </c>
      <c r="E1206" s="196">
        <f>E120+125</f>
        <v>1725</v>
      </c>
      <c r="F1206" s="196">
        <f>F120+125</f>
        <v>1775</v>
      </c>
      <c r="G1206" s="110" t="s">
        <v>4553</v>
      </c>
      <c r="H1206" s="56" t="s">
        <v>4552</v>
      </c>
      <c r="I1206" s="38" t="s">
        <v>4639</v>
      </c>
      <c r="J1206" s="30"/>
      <c r="K1206" s="38">
        <v>44</v>
      </c>
      <c r="L1206" s="116" t="s">
        <v>4539</v>
      </c>
      <c r="M1206" s="6">
        <v>43085</v>
      </c>
      <c r="N1206" s="6">
        <v>43100</v>
      </c>
      <c r="O1206" s="14" t="s">
        <v>4714</v>
      </c>
      <c r="P1206" s="14"/>
      <c r="Q1206" s="60"/>
      <c r="R1206" s="239"/>
      <c r="S1206" s="328" t="s">
        <v>4543</v>
      </c>
      <c r="T1206" s="722"/>
      <c r="U1206" s="42"/>
      <c r="AE1206" s="115"/>
      <c r="AF1206" s="115"/>
      <c r="AG1206" s="115"/>
      <c r="AH1206" s="115"/>
      <c r="AI1206" s="115"/>
      <c r="AJ1206" s="115"/>
      <c r="AK1206" s="115"/>
      <c r="AL1206" s="115"/>
      <c r="AM1206" s="115"/>
      <c r="AN1206" s="115"/>
      <c r="AO1206" s="115"/>
      <c r="AP1206" s="115"/>
      <c r="AQ1206" s="115"/>
      <c r="AR1206" s="115"/>
      <c r="AS1206" s="115"/>
      <c r="AT1206" s="115"/>
      <c r="AU1206" s="115"/>
      <c r="AV1206" s="115"/>
      <c r="AW1206" s="115"/>
      <c r="AX1206" s="115"/>
      <c r="AY1206" s="115"/>
      <c r="AZ1206" s="115"/>
      <c r="BA1206" s="115"/>
      <c r="BB1206" s="115"/>
      <c r="BC1206" s="115"/>
      <c r="BD1206" s="115"/>
      <c r="BE1206" s="115"/>
      <c r="BF1206" s="115"/>
      <c r="BG1206" s="115"/>
      <c r="BH1206" s="115"/>
      <c r="BI1206" s="115"/>
      <c r="BJ1206" s="115"/>
      <c r="BK1206" s="115"/>
      <c r="BL1206" s="115"/>
      <c r="BM1206" s="115"/>
      <c r="BN1206" s="115"/>
      <c r="BO1206" s="115"/>
      <c r="BP1206" s="115"/>
    </row>
    <row r="1207" spans="1:68" ht="20.100000000000001" customHeight="1">
      <c r="A1207" s="1228" t="s">
        <v>4582</v>
      </c>
      <c r="B1207" s="1228" t="s">
        <v>4685</v>
      </c>
      <c r="C1207" s="1228" t="s">
        <v>4713</v>
      </c>
      <c r="D1207" s="196">
        <f>D1219+1100</f>
        <v>2025</v>
      </c>
      <c r="E1207" s="196">
        <f>E1219+1100</f>
        <v>2650</v>
      </c>
      <c r="F1207" s="196">
        <f>F1219+1100</f>
        <v>2700</v>
      </c>
      <c r="G1207" s="217" t="s">
        <v>4575</v>
      </c>
      <c r="H1207" s="48" t="s">
        <v>4574</v>
      </c>
      <c r="I1207" s="38" t="s">
        <v>4705</v>
      </c>
      <c r="J1207" s="30"/>
      <c r="K1207" s="38"/>
      <c r="L1207" s="116" t="s">
        <v>4539</v>
      </c>
      <c r="M1207" s="15">
        <v>43084</v>
      </c>
      <c r="N1207" s="15">
        <v>43100</v>
      </c>
      <c r="O1207" s="72" t="s">
        <v>4698</v>
      </c>
      <c r="P1207" s="14" t="s">
        <v>4704</v>
      </c>
      <c r="Q1207" s="61" t="s">
        <v>4708</v>
      </c>
      <c r="R1207" s="239"/>
      <c r="S1207" s="329" t="s">
        <v>4707</v>
      </c>
      <c r="T1207" s="722"/>
      <c r="U1207" s="42"/>
      <c r="AE1207" s="283"/>
      <c r="AF1207" s="283"/>
      <c r="AG1207" s="283"/>
      <c r="AH1207" s="283"/>
      <c r="AI1207" s="283"/>
      <c r="AJ1207" s="283"/>
      <c r="AK1207" s="283"/>
      <c r="AL1207" s="283"/>
      <c r="AM1207" s="283"/>
      <c r="AN1207" s="283"/>
      <c r="AO1207" s="283"/>
      <c r="AP1207" s="283"/>
      <c r="AQ1207" s="283"/>
      <c r="AR1207" s="283"/>
      <c r="AS1207" s="283"/>
      <c r="AT1207" s="283"/>
      <c r="AU1207" s="283"/>
      <c r="AV1207" s="283"/>
      <c r="AW1207" s="283"/>
      <c r="AX1207" s="283"/>
      <c r="AY1207" s="283"/>
      <c r="AZ1207" s="283"/>
      <c r="BA1207" s="283"/>
      <c r="BB1207" s="283"/>
      <c r="BC1207" s="283"/>
      <c r="BD1207" s="283"/>
      <c r="BE1207" s="283"/>
      <c r="BF1207" s="283"/>
      <c r="BG1207" s="283"/>
      <c r="BH1207" s="283"/>
      <c r="BI1207" s="283"/>
      <c r="BJ1207" s="283"/>
      <c r="BK1207" s="283"/>
      <c r="BL1207" s="283"/>
      <c r="BM1207" s="283"/>
      <c r="BN1207" s="283"/>
      <c r="BO1207" s="283"/>
      <c r="BP1207" s="283"/>
    </row>
    <row r="1208" spans="1:68" ht="20.100000000000001" customHeight="1">
      <c r="A1208" s="1228" t="s">
        <v>4582</v>
      </c>
      <c r="B1208" s="1228" t="s">
        <v>4685</v>
      </c>
      <c r="C1208" s="1228" t="s">
        <v>4713</v>
      </c>
      <c r="D1208" s="196">
        <f>D1219+1450</f>
        <v>2375</v>
      </c>
      <c r="E1208" s="196">
        <f>E1219+1450</f>
        <v>3000</v>
      </c>
      <c r="F1208" s="196">
        <f>F1219+1450</f>
        <v>3050</v>
      </c>
      <c r="G1208" s="217" t="s">
        <v>4575</v>
      </c>
      <c r="H1208" s="48" t="s">
        <v>4574</v>
      </c>
      <c r="I1208" s="38" t="s">
        <v>4705</v>
      </c>
      <c r="J1208" s="30"/>
      <c r="K1208" s="38"/>
      <c r="L1208" s="116" t="s">
        <v>4539</v>
      </c>
      <c r="M1208" s="15">
        <v>43084</v>
      </c>
      <c r="N1208" s="15">
        <v>43100</v>
      </c>
      <c r="O1208" s="72" t="s">
        <v>4698</v>
      </c>
      <c r="P1208" s="14" t="s">
        <v>4704</v>
      </c>
      <c r="Q1208" s="61" t="s">
        <v>4703</v>
      </c>
      <c r="R1208" s="239"/>
      <c r="S1208" s="329" t="s">
        <v>4702</v>
      </c>
      <c r="T1208" s="722"/>
      <c r="U1208" s="42"/>
      <c r="AE1208" s="115"/>
      <c r="AF1208" s="115"/>
      <c r="AG1208" s="115"/>
      <c r="AH1208" s="115"/>
      <c r="AI1208" s="115"/>
      <c r="AJ1208" s="115"/>
      <c r="AK1208" s="115"/>
      <c r="AL1208" s="115"/>
      <c r="AM1208" s="115"/>
      <c r="AN1208" s="115"/>
      <c r="AO1208" s="115"/>
      <c r="AP1208" s="115"/>
      <c r="AQ1208" s="115"/>
      <c r="AR1208" s="115"/>
      <c r="AS1208" s="115"/>
      <c r="AT1208" s="115"/>
      <c r="AU1208" s="115"/>
      <c r="AV1208" s="115"/>
      <c r="AW1208" s="115"/>
      <c r="AX1208" s="115"/>
      <c r="AY1208" s="115"/>
      <c r="AZ1208" s="115"/>
      <c r="BA1208" s="115"/>
      <c r="BB1208" s="115"/>
      <c r="BC1208" s="115"/>
      <c r="BD1208" s="115"/>
      <c r="BE1208" s="115"/>
      <c r="BF1208" s="115"/>
      <c r="BG1208" s="115"/>
      <c r="BH1208" s="115"/>
      <c r="BI1208" s="115"/>
      <c r="BJ1208" s="115"/>
      <c r="BK1208" s="115"/>
      <c r="BL1208" s="115"/>
      <c r="BM1208" s="115"/>
      <c r="BN1208" s="115"/>
      <c r="BO1208" s="115"/>
      <c r="BP1208" s="115"/>
    </row>
    <row r="1209" spans="1:68" ht="20.100000000000001" customHeight="1">
      <c r="A1209" s="907" t="s">
        <v>4582</v>
      </c>
      <c r="B1209" s="907" t="s">
        <v>4685</v>
      </c>
      <c r="C1209" s="907" t="s">
        <v>4712</v>
      </c>
      <c r="D1209" s="201"/>
      <c r="E1209" s="201"/>
      <c r="F1209" s="201"/>
      <c r="G1209" s="12"/>
      <c r="H1209" s="56"/>
      <c r="I1209" s="20"/>
      <c r="J1209" s="34"/>
      <c r="K1209" s="51"/>
      <c r="L1209" s="118"/>
      <c r="M1209" s="118"/>
      <c r="N1209" s="15"/>
      <c r="O1209" s="59"/>
      <c r="P1209" s="72"/>
      <c r="Q1209" s="52"/>
      <c r="R1209" s="21"/>
      <c r="S1209" s="328"/>
      <c r="T1209" s="722"/>
      <c r="U1209" s="42"/>
      <c r="AE1209" s="283"/>
      <c r="AF1209" s="283"/>
      <c r="AG1209" s="283"/>
      <c r="AH1209" s="283"/>
      <c r="AI1209" s="283"/>
      <c r="AJ1209" s="283"/>
      <c r="AK1209" s="283"/>
      <c r="AL1209" s="283"/>
      <c r="AM1209" s="283"/>
      <c r="AN1209" s="283"/>
      <c r="AO1209" s="283"/>
      <c r="AP1209" s="283"/>
      <c r="AQ1209" s="283"/>
      <c r="AR1209" s="283"/>
      <c r="AS1209" s="283"/>
      <c r="AT1209" s="283"/>
      <c r="AU1209" s="283"/>
      <c r="AV1209" s="283"/>
      <c r="AW1209" s="283"/>
      <c r="AX1209" s="283"/>
      <c r="AY1209" s="283"/>
      <c r="AZ1209" s="283"/>
      <c r="BA1209" s="283"/>
      <c r="BB1209" s="283"/>
      <c r="BC1209" s="283"/>
      <c r="BD1209" s="283"/>
      <c r="BE1209" s="283"/>
      <c r="BF1209" s="283"/>
      <c r="BG1209" s="283"/>
      <c r="BH1209" s="283"/>
      <c r="BI1209" s="283"/>
      <c r="BJ1209" s="283"/>
      <c r="BK1209" s="283"/>
      <c r="BL1209" s="283"/>
      <c r="BM1209" s="283"/>
      <c r="BN1209" s="283"/>
      <c r="BO1209" s="283"/>
      <c r="BP1209" s="283"/>
    </row>
    <row r="1210" spans="1:68" ht="20.100000000000001" customHeight="1">
      <c r="A1210" s="1228" t="s">
        <v>4582</v>
      </c>
      <c r="B1210" s="1228" t="s">
        <v>4685</v>
      </c>
      <c r="C1210" s="1228" t="s">
        <v>4711</v>
      </c>
      <c r="D1210" s="196">
        <f>D1219+1400</f>
        <v>2325</v>
      </c>
      <c r="E1210" s="196">
        <f>E1219+1400</f>
        <v>2950</v>
      </c>
      <c r="F1210" s="196">
        <f>F1219+1400</f>
        <v>3000</v>
      </c>
      <c r="G1210" s="217" t="s">
        <v>4575</v>
      </c>
      <c r="H1210" s="48" t="s">
        <v>4574</v>
      </c>
      <c r="I1210" s="38" t="s">
        <v>4705</v>
      </c>
      <c r="J1210" s="30"/>
      <c r="K1210" s="38"/>
      <c r="L1210" s="116" t="s">
        <v>4539</v>
      </c>
      <c r="M1210" s="15">
        <v>43084</v>
      </c>
      <c r="N1210" s="15">
        <v>43100</v>
      </c>
      <c r="O1210" s="72" t="s">
        <v>4698</v>
      </c>
      <c r="P1210" s="14" t="s">
        <v>4704</v>
      </c>
      <c r="Q1210" s="61" t="s">
        <v>4708</v>
      </c>
      <c r="R1210" s="239"/>
      <c r="S1210" s="329" t="s">
        <v>4707</v>
      </c>
      <c r="T1210" s="722"/>
      <c r="U1210" s="42"/>
      <c r="AE1210" s="115"/>
      <c r="AF1210" s="115"/>
      <c r="AG1210" s="115"/>
      <c r="AH1210" s="115"/>
      <c r="AI1210" s="115"/>
      <c r="AJ1210" s="115"/>
      <c r="AK1210" s="115"/>
      <c r="AL1210" s="115"/>
      <c r="AM1210" s="115"/>
      <c r="AN1210" s="115"/>
      <c r="AO1210" s="115"/>
      <c r="AP1210" s="115"/>
      <c r="AQ1210" s="115"/>
      <c r="AR1210" s="115"/>
      <c r="AS1210" s="115"/>
      <c r="AT1210" s="115"/>
      <c r="AU1210" s="115"/>
      <c r="AV1210" s="115"/>
      <c r="AW1210" s="115"/>
      <c r="AX1210" s="115"/>
      <c r="AY1210" s="115"/>
      <c r="AZ1210" s="115"/>
      <c r="BA1210" s="115"/>
      <c r="BB1210" s="115"/>
      <c r="BC1210" s="115"/>
      <c r="BD1210" s="115"/>
      <c r="BE1210" s="115"/>
      <c r="BF1210" s="115"/>
      <c r="BG1210" s="115"/>
      <c r="BH1210" s="115"/>
      <c r="BI1210" s="115"/>
      <c r="BJ1210" s="115"/>
      <c r="BK1210" s="115"/>
      <c r="BL1210" s="115"/>
      <c r="BM1210" s="115"/>
      <c r="BN1210" s="115"/>
      <c r="BO1210" s="115"/>
      <c r="BP1210" s="115"/>
    </row>
    <row r="1211" spans="1:68" ht="20.100000000000001" customHeight="1">
      <c r="A1211" s="1228" t="s">
        <v>4582</v>
      </c>
      <c r="B1211" s="1228" t="s">
        <v>4685</v>
      </c>
      <c r="C1211" s="1228" t="s">
        <v>4711</v>
      </c>
      <c r="D1211" s="196">
        <f>D1219+1700</f>
        <v>2625</v>
      </c>
      <c r="E1211" s="196">
        <f>E1219+1700</f>
        <v>3250</v>
      </c>
      <c r="F1211" s="196">
        <f>F1219+1700</f>
        <v>3300</v>
      </c>
      <c r="G1211" s="217" t="s">
        <v>4575</v>
      </c>
      <c r="H1211" s="48" t="s">
        <v>4574</v>
      </c>
      <c r="I1211" s="38" t="s">
        <v>4705</v>
      </c>
      <c r="J1211" s="30"/>
      <c r="K1211" s="38"/>
      <c r="L1211" s="116" t="s">
        <v>4539</v>
      </c>
      <c r="M1211" s="15">
        <v>43084</v>
      </c>
      <c r="N1211" s="15">
        <v>43100</v>
      </c>
      <c r="O1211" s="72" t="s">
        <v>4698</v>
      </c>
      <c r="P1211" s="14" t="s">
        <v>4704</v>
      </c>
      <c r="Q1211" s="61" t="s">
        <v>4703</v>
      </c>
      <c r="R1211" s="239"/>
      <c r="S1211" s="329" t="s">
        <v>4702</v>
      </c>
      <c r="T1211" s="722"/>
      <c r="U1211" s="42"/>
      <c r="AE1211" s="115"/>
      <c r="AF1211" s="115"/>
      <c r="AG1211" s="115"/>
      <c r="AH1211" s="115"/>
      <c r="AI1211" s="115"/>
      <c r="AJ1211" s="115"/>
      <c r="AK1211" s="115"/>
      <c r="AL1211" s="115"/>
      <c r="AM1211" s="115"/>
      <c r="AN1211" s="115"/>
      <c r="AO1211" s="115"/>
      <c r="AP1211" s="115"/>
      <c r="AQ1211" s="115"/>
      <c r="AR1211" s="115"/>
      <c r="AS1211" s="115"/>
      <c r="AT1211" s="115"/>
      <c r="AU1211" s="115"/>
      <c r="AV1211" s="115"/>
      <c r="AW1211" s="115"/>
      <c r="AX1211" s="115"/>
      <c r="AY1211" s="115"/>
      <c r="AZ1211" s="115"/>
      <c r="BA1211" s="115"/>
      <c r="BB1211" s="115"/>
      <c r="BC1211" s="115"/>
      <c r="BD1211" s="115"/>
      <c r="BE1211" s="115"/>
      <c r="BF1211" s="115"/>
      <c r="BG1211" s="115"/>
      <c r="BH1211" s="115"/>
      <c r="BI1211" s="115"/>
      <c r="BJ1211" s="115"/>
      <c r="BK1211" s="115"/>
      <c r="BL1211" s="115"/>
      <c r="BM1211" s="115"/>
      <c r="BN1211" s="115"/>
      <c r="BO1211" s="115"/>
      <c r="BP1211" s="115"/>
    </row>
    <row r="1212" spans="1:68" ht="20.100000000000001" customHeight="1">
      <c r="A1212" s="1228" t="s">
        <v>4582</v>
      </c>
      <c r="B1212" s="1228" t="s">
        <v>4685</v>
      </c>
      <c r="C1212" s="1228" t="s">
        <v>4710</v>
      </c>
      <c r="D1212" s="196">
        <f>D1219+950</f>
        <v>1875</v>
      </c>
      <c r="E1212" s="196">
        <f>E1219+950</f>
        <v>2500</v>
      </c>
      <c r="F1212" s="196">
        <f>F1219+950</f>
        <v>2550</v>
      </c>
      <c r="G1212" s="217" t="s">
        <v>4575</v>
      </c>
      <c r="H1212" s="48" t="s">
        <v>4574</v>
      </c>
      <c r="I1212" s="38" t="s">
        <v>4705</v>
      </c>
      <c r="J1212" s="30"/>
      <c r="K1212" s="38"/>
      <c r="L1212" s="116" t="s">
        <v>4539</v>
      </c>
      <c r="M1212" s="15">
        <v>43084</v>
      </c>
      <c r="N1212" s="15">
        <v>43100</v>
      </c>
      <c r="O1212" s="72" t="s">
        <v>4698</v>
      </c>
      <c r="P1212" s="14" t="s">
        <v>4704</v>
      </c>
      <c r="Q1212" s="61" t="s">
        <v>4708</v>
      </c>
      <c r="R1212" s="239"/>
      <c r="S1212" s="329" t="s">
        <v>4707</v>
      </c>
      <c r="T1212" s="722"/>
      <c r="U1212" s="42"/>
      <c r="AE1212" s="115"/>
      <c r="AF1212" s="115"/>
      <c r="AG1212" s="115"/>
      <c r="AH1212" s="115"/>
      <c r="AI1212" s="115"/>
      <c r="AJ1212" s="115"/>
      <c r="AK1212" s="115"/>
      <c r="AL1212" s="115"/>
      <c r="AM1212" s="115"/>
      <c r="AN1212" s="115"/>
      <c r="AO1212" s="115"/>
      <c r="AP1212" s="115"/>
      <c r="AQ1212" s="115"/>
      <c r="AR1212" s="115"/>
      <c r="AS1212" s="115"/>
      <c r="AT1212" s="115"/>
      <c r="AU1212" s="115"/>
      <c r="AV1212" s="115"/>
      <c r="AW1212" s="115"/>
      <c r="AX1212" s="115"/>
      <c r="AY1212" s="115"/>
      <c r="AZ1212" s="115"/>
      <c r="BA1212" s="115"/>
      <c r="BB1212" s="115"/>
      <c r="BC1212" s="115"/>
      <c r="BD1212" s="115"/>
      <c r="BE1212" s="115"/>
      <c r="BF1212" s="115"/>
      <c r="BG1212" s="115"/>
      <c r="BH1212" s="115"/>
      <c r="BI1212" s="115"/>
      <c r="BJ1212" s="115"/>
      <c r="BK1212" s="115"/>
      <c r="BL1212" s="115"/>
      <c r="BM1212" s="115"/>
      <c r="BN1212" s="115"/>
      <c r="BO1212" s="115"/>
      <c r="BP1212" s="115"/>
    </row>
    <row r="1213" spans="1:68" ht="20.100000000000001" customHeight="1">
      <c r="A1213" s="1228" t="s">
        <v>4582</v>
      </c>
      <c r="B1213" s="1228" t="s">
        <v>4685</v>
      </c>
      <c r="C1213" s="1228" t="s">
        <v>4710</v>
      </c>
      <c r="D1213" s="196">
        <f>D1219+1300</f>
        <v>2225</v>
      </c>
      <c r="E1213" s="196">
        <f>E1219+1300</f>
        <v>2850</v>
      </c>
      <c r="F1213" s="196">
        <f>F1219+1300</f>
        <v>2900</v>
      </c>
      <c r="G1213" s="217" t="s">
        <v>4575</v>
      </c>
      <c r="H1213" s="48" t="s">
        <v>4574</v>
      </c>
      <c r="I1213" s="38" t="s">
        <v>4705</v>
      </c>
      <c r="J1213" s="30"/>
      <c r="K1213" s="38"/>
      <c r="L1213" s="116" t="s">
        <v>4539</v>
      </c>
      <c r="M1213" s="15">
        <v>43084</v>
      </c>
      <c r="N1213" s="15">
        <v>43100</v>
      </c>
      <c r="O1213" s="72" t="s">
        <v>4698</v>
      </c>
      <c r="P1213" s="14" t="s">
        <v>4704</v>
      </c>
      <c r="Q1213" s="61" t="s">
        <v>4703</v>
      </c>
      <c r="R1213" s="239"/>
      <c r="S1213" s="329" t="s">
        <v>4702</v>
      </c>
      <c r="T1213" s="722"/>
      <c r="U1213" s="42"/>
      <c r="AE1213" s="115"/>
      <c r="AF1213" s="115"/>
      <c r="AG1213" s="115"/>
      <c r="AH1213" s="115"/>
      <c r="AI1213" s="115"/>
      <c r="AJ1213" s="115"/>
      <c r="AK1213" s="115"/>
      <c r="AL1213" s="115"/>
      <c r="AM1213" s="115"/>
      <c r="AN1213" s="115"/>
      <c r="AO1213" s="115"/>
      <c r="AP1213" s="115"/>
      <c r="AQ1213" s="115"/>
      <c r="AR1213" s="115"/>
      <c r="AS1213" s="115"/>
      <c r="AT1213" s="115"/>
      <c r="AU1213" s="115"/>
      <c r="AV1213" s="115"/>
      <c r="AW1213" s="115"/>
      <c r="AX1213" s="115"/>
      <c r="AY1213" s="115"/>
      <c r="AZ1213" s="115"/>
      <c r="BA1213" s="115"/>
      <c r="BB1213" s="115"/>
      <c r="BC1213" s="115"/>
      <c r="BD1213" s="115"/>
      <c r="BE1213" s="115"/>
      <c r="BF1213" s="115"/>
      <c r="BG1213" s="115"/>
      <c r="BH1213" s="115"/>
      <c r="BI1213" s="115"/>
      <c r="BJ1213" s="115"/>
      <c r="BK1213" s="115"/>
      <c r="BL1213" s="115"/>
      <c r="BM1213" s="115"/>
      <c r="BN1213" s="115"/>
      <c r="BO1213" s="115"/>
      <c r="BP1213" s="115"/>
    </row>
    <row r="1214" spans="1:68" ht="20.100000000000001" customHeight="1">
      <c r="A1214" s="1228" t="s">
        <v>4582</v>
      </c>
      <c r="B1214" s="1228" t="s">
        <v>4685</v>
      </c>
      <c r="C1214" s="1228" t="s">
        <v>4709</v>
      </c>
      <c r="D1214" s="196">
        <f>D1219+1100</f>
        <v>2025</v>
      </c>
      <c r="E1214" s="196">
        <f>E1219+1100</f>
        <v>2650</v>
      </c>
      <c r="F1214" s="196">
        <f>F1219+1100</f>
        <v>2700</v>
      </c>
      <c r="G1214" s="217" t="s">
        <v>4575</v>
      </c>
      <c r="H1214" s="48" t="s">
        <v>4574</v>
      </c>
      <c r="I1214" s="38" t="s">
        <v>4705</v>
      </c>
      <c r="J1214" s="30"/>
      <c r="K1214" s="38"/>
      <c r="L1214" s="116" t="s">
        <v>4539</v>
      </c>
      <c r="M1214" s="15">
        <v>43084</v>
      </c>
      <c r="N1214" s="15">
        <v>43100</v>
      </c>
      <c r="O1214" s="72" t="s">
        <v>4698</v>
      </c>
      <c r="P1214" s="14" t="s">
        <v>4704</v>
      </c>
      <c r="Q1214" s="61" t="s">
        <v>4708</v>
      </c>
      <c r="R1214" s="239"/>
      <c r="S1214" s="329" t="s">
        <v>4707</v>
      </c>
      <c r="T1214" s="722"/>
      <c r="U1214" s="42"/>
      <c r="AE1214" s="115"/>
      <c r="AF1214" s="115"/>
      <c r="AG1214" s="115"/>
      <c r="AH1214" s="115"/>
      <c r="AI1214" s="115"/>
      <c r="AJ1214" s="115"/>
      <c r="AK1214" s="115"/>
      <c r="AL1214" s="115"/>
      <c r="AM1214" s="115"/>
      <c r="AN1214" s="115"/>
      <c r="AO1214" s="115"/>
      <c r="AP1214" s="115"/>
      <c r="AQ1214" s="115"/>
      <c r="AR1214" s="115"/>
      <c r="AS1214" s="115"/>
      <c r="AT1214" s="115"/>
      <c r="AU1214" s="115"/>
      <c r="AV1214" s="115"/>
      <c r="AW1214" s="115"/>
      <c r="AX1214" s="115"/>
      <c r="AY1214" s="115"/>
      <c r="AZ1214" s="115"/>
      <c r="BA1214" s="115"/>
      <c r="BB1214" s="115"/>
      <c r="BC1214" s="115"/>
      <c r="BD1214" s="115"/>
      <c r="BE1214" s="115"/>
      <c r="BF1214" s="115"/>
      <c r="BG1214" s="115"/>
      <c r="BH1214" s="115"/>
      <c r="BI1214" s="115"/>
      <c r="BJ1214" s="115"/>
      <c r="BK1214" s="115"/>
      <c r="BL1214" s="115"/>
      <c r="BM1214" s="115"/>
      <c r="BN1214" s="115"/>
      <c r="BO1214" s="115"/>
      <c r="BP1214" s="115"/>
    </row>
    <row r="1215" spans="1:68" ht="20.100000000000001" customHeight="1">
      <c r="A1215" s="1228" t="s">
        <v>4582</v>
      </c>
      <c r="B1215" s="1228" t="s">
        <v>4685</v>
      </c>
      <c r="C1215" s="1228" t="s">
        <v>4709</v>
      </c>
      <c r="D1215" s="196">
        <f>D1219+1450</f>
        <v>2375</v>
      </c>
      <c r="E1215" s="196">
        <f>E1219+1450</f>
        <v>3000</v>
      </c>
      <c r="F1215" s="196">
        <f>F1219+1450</f>
        <v>3050</v>
      </c>
      <c r="G1215" s="217" t="s">
        <v>4575</v>
      </c>
      <c r="H1215" s="48" t="s">
        <v>4574</v>
      </c>
      <c r="I1215" s="38" t="s">
        <v>4705</v>
      </c>
      <c r="J1215" s="30"/>
      <c r="K1215" s="38"/>
      <c r="L1215" s="116" t="s">
        <v>4539</v>
      </c>
      <c r="M1215" s="15">
        <v>43084</v>
      </c>
      <c r="N1215" s="15">
        <v>43100</v>
      </c>
      <c r="O1215" s="72" t="s">
        <v>4698</v>
      </c>
      <c r="P1215" s="14" t="s">
        <v>4704</v>
      </c>
      <c r="Q1215" s="61" t="s">
        <v>4703</v>
      </c>
      <c r="R1215" s="239"/>
      <c r="S1215" s="329" t="s">
        <v>4702</v>
      </c>
      <c r="T1215" s="722"/>
      <c r="U1215" s="42"/>
      <c r="AE1215" s="115"/>
      <c r="AF1215" s="115"/>
      <c r="AG1215" s="115"/>
      <c r="AH1215" s="115"/>
      <c r="AI1215" s="115"/>
      <c r="AJ1215" s="115"/>
      <c r="AK1215" s="115"/>
      <c r="AL1215" s="115"/>
      <c r="AM1215" s="115"/>
      <c r="AN1215" s="115"/>
      <c r="AO1215" s="115"/>
      <c r="AP1215" s="115"/>
      <c r="AQ1215" s="115"/>
      <c r="AR1215" s="115"/>
      <c r="AS1215" s="115"/>
      <c r="AT1215" s="115"/>
      <c r="AU1215" s="115"/>
      <c r="AV1215" s="115"/>
      <c r="AW1215" s="115"/>
      <c r="AX1215" s="115"/>
      <c r="AY1215" s="115"/>
      <c r="AZ1215" s="115"/>
      <c r="BA1215" s="115"/>
      <c r="BB1215" s="115"/>
      <c r="BC1215" s="115"/>
      <c r="BD1215" s="115"/>
      <c r="BE1215" s="115"/>
      <c r="BF1215" s="115"/>
      <c r="BG1215" s="115"/>
      <c r="BH1215" s="115"/>
      <c r="BI1215" s="115"/>
      <c r="BJ1215" s="115"/>
      <c r="BK1215" s="115"/>
      <c r="BL1215" s="115"/>
      <c r="BM1215" s="115"/>
      <c r="BN1215" s="115"/>
      <c r="BO1215" s="115"/>
      <c r="BP1215" s="115"/>
    </row>
    <row r="1216" spans="1:68" ht="20.100000000000001" customHeight="1">
      <c r="A1216" s="1228" t="s">
        <v>4582</v>
      </c>
      <c r="B1216" s="1228" t="s">
        <v>4685</v>
      </c>
      <c r="C1216" s="1228" t="s">
        <v>4706</v>
      </c>
      <c r="D1216" s="196">
        <f>D1219+2100</f>
        <v>3025</v>
      </c>
      <c r="E1216" s="196">
        <f>E1219+2100</f>
        <v>3650</v>
      </c>
      <c r="F1216" s="196">
        <f>F1219+2100</f>
        <v>3700</v>
      </c>
      <c r="G1216" s="217" t="s">
        <v>4575</v>
      </c>
      <c r="H1216" s="48" t="s">
        <v>4574</v>
      </c>
      <c r="I1216" s="38" t="s">
        <v>4705</v>
      </c>
      <c r="J1216" s="30"/>
      <c r="K1216" s="38"/>
      <c r="L1216" s="116" t="s">
        <v>4539</v>
      </c>
      <c r="M1216" s="15">
        <v>43084</v>
      </c>
      <c r="N1216" s="15">
        <v>43100</v>
      </c>
      <c r="O1216" s="72" t="s">
        <v>4698</v>
      </c>
      <c r="P1216" s="14" t="s">
        <v>4704</v>
      </c>
      <c r="Q1216" s="61" t="s">
        <v>4708</v>
      </c>
      <c r="R1216" s="239"/>
      <c r="S1216" s="329" t="s">
        <v>4707</v>
      </c>
      <c r="T1216" s="722"/>
      <c r="U1216" s="42"/>
      <c r="AE1216" s="115"/>
      <c r="AF1216" s="115"/>
      <c r="AG1216" s="115"/>
      <c r="AH1216" s="115"/>
      <c r="AI1216" s="115"/>
      <c r="AJ1216" s="115"/>
      <c r="AK1216" s="115"/>
      <c r="AL1216" s="115"/>
      <c r="AM1216" s="115"/>
      <c r="AN1216" s="115"/>
      <c r="AO1216" s="115"/>
      <c r="AP1216" s="115"/>
      <c r="AQ1216" s="115"/>
      <c r="AR1216" s="115"/>
      <c r="AS1216" s="115"/>
      <c r="AT1216" s="115"/>
      <c r="AU1216" s="115"/>
      <c r="AV1216" s="115"/>
      <c r="AW1216" s="115"/>
      <c r="AX1216" s="115"/>
      <c r="AY1216" s="115"/>
      <c r="AZ1216" s="115"/>
      <c r="BA1216" s="115"/>
      <c r="BB1216" s="115"/>
      <c r="BC1216" s="115"/>
      <c r="BD1216" s="115"/>
      <c r="BE1216" s="115"/>
      <c r="BF1216" s="115"/>
      <c r="BG1216" s="115"/>
      <c r="BH1216" s="115"/>
      <c r="BI1216" s="115"/>
      <c r="BJ1216" s="115"/>
      <c r="BK1216" s="115"/>
      <c r="BL1216" s="115"/>
      <c r="BM1216" s="115"/>
      <c r="BN1216" s="115"/>
      <c r="BO1216" s="115"/>
      <c r="BP1216" s="115"/>
    </row>
    <row r="1217" spans="1:68" ht="20.100000000000001" customHeight="1">
      <c r="A1217" s="1228" t="s">
        <v>4582</v>
      </c>
      <c r="B1217" s="1228" t="s">
        <v>4685</v>
      </c>
      <c r="C1217" s="1228" t="s">
        <v>4706</v>
      </c>
      <c r="D1217" s="196">
        <f>D1219+2450</f>
        <v>3375</v>
      </c>
      <c r="E1217" s="196">
        <f>E1219+2450</f>
        <v>4000</v>
      </c>
      <c r="F1217" s="196">
        <f>F1219+2450</f>
        <v>4050</v>
      </c>
      <c r="G1217" s="217" t="s">
        <v>4575</v>
      </c>
      <c r="H1217" s="48" t="s">
        <v>4574</v>
      </c>
      <c r="I1217" s="38" t="s">
        <v>4705</v>
      </c>
      <c r="J1217" s="30"/>
      <c r="K1217" s="38"/>
      <c r="L1217" s="116" t="s">
        <v>4539</v>
      </c>
      <c r="M1217" s="15">
        <v>43084</v>
      </c>
      <c r="N1217" s="15">
        <v>43100</v>
      </c>
      <c r="O1217" s="72" t="s">
        <v>4698</v>
      </c>
      <c r="P1217" s="14" t="s">
        <v>4704</v>
      </c>
      <c r="Q1217" s="61" t="s">
        <v>4703</v>
      </c>
      <c r="R1217" s="239"/>
      <c r="S1217" s="329" t="s">
        <v>4702</v>
      </c>
      <c r="T1217" s="722"/>
      <c r="U1217" s="42"/>
      <c r="AE1217" s="115"/>
      <c r="AF1217" s="115"/>
      <c r="AG1217" s="115"/>
      <c r="AH1217" s="115"/>
      <c r="AI1217" s="115"/>
      <c r="AJ1217" s="115"/>
      <c r="AK1217" s="115"/>
      <c r="AL1217" s="115"/>
      <c r="AM1217" s="115"/>
      <c r="AN1217" s="115"/>
      <c r="AO1217" s="115"/>
      <c r="AP1217" s="115"/>
      <c r="AQ1217" s="115"/>
      <c r="AR1217" s="115"/>
      <c r="AS1217" s="115"/>
      <c r="AT1217" s="115"/>
      <c r="AU1217" s="115"/>
      <c r="AV1217" s="115"/>
      <c r="AW1217" s="115"/>
      <c r="AX1217" s="115"/>
      <c r="AY1217" s="115"/>
      <c r="AZ1217" s="115"/>
      <c r="BA1217" s="115"/>
      <c r="BB1217" s="115"/>
      <c r="BC1217" s="115"/>
      <c r="BD1217" s="115"/>
      <c r="BE1217" s="115"/>
      <c r="BF1217" s="115"/>
      <c r="BG1217" s="115"/>
      <c r="BH1217" s="115"/>
      <c r="BI1217" s="115"/>
      <c r="BJ1217" s="115"/>
      <c r="BK1217" s="115"/>
      <c r="BL1217" s="115"/>
      <c r="BM1217" s="115"/>
      <c r="BN1217" s="115"/>
      <c r="BO1217" s="115"/>
      <c r="BP1217" s="115"/>
    </row>
    <row r="1218" spans="1:68" ht="20.100000000000001" customHeight="1">
      <c r="A1218" s="1228" t="s">
        <v>4582</v>
      </c>
      <c r="B1218" s="1228" t="s">
        <v>4685</v>
      </c>
      <c r="C1218" s="1228" t="s">
        <v>4690</v>
      </c>
      <c r="D1218" s="346">
        <f>D20+100</f>
        <v>950</v>
      </c>
      <c r="E1218" s="346">
        <f>E20+200</f>
        <v>1800</v>
      </c>
      <c r="F1218" s="346">
        <f>F20+200</f>
        <v>1850</v>
      </c>
      <c r="G1218" s="217" t="s">
        <v>4572</v>
      </c>
      <c r="H1218" s="56" t="s">
        <v>4541</v>
      </c>
      <c r="I1218" s="20" t="s">
        <v>4595</v>
      </c>
      <c r="J1218" s="30" t="s">
        <v>4699</v>
      </c>
      <c r="K1218" s="38"/>
      <c r="L1218" s="116" t="s">
        <v>4539</v>
      </c>
      <c r="M1218" s="15">
        <v>43070</v>
      </c>
      <c r="N1218" s="15">
        <v>43100</v>
      </c>
      <c r="O1218" s="61" t="s">
        <v>4687</v>
      </c>
      <c r="P1218" s="14"/>
      <c r="Q1218" s="7" t="s">
        <v>4701</v>
      </c>
      <c r="R1218" s="239"/>
      <c r="S1218" s="327" t="s">
        <v>4570</v>
      </c>
      <c r="T1218" s="722"/>
      <c r="U1218" s="42"/>
      <c r="AE1218" s="115"/>
      <c r="AF1218" s="115"/>
      <c r="AG1218" s="115"/>
      <c r="AH1218" s="115"/>
      <c r="AI1218" s="115"/>
      <c r="AJ1218" s="115"/>
      <c r="AK1218" s="115"/>
      <c r="AL1218" s="115"/>
      <c r="AM1218" s="115"/>
      <c r="AN1218" s="115"/>
      <c r="AO1218" s="115"/>
      <c r="AP1218" s="115"/>
      <c r="AQ1218" s="115"/>
      <c r="AR1218" s="115"/>
      <c r="AS1218" s="115"/>
      <c r="AT1218" s="115"/>
      <c r="AU1218" s="115"/>
      <c r="AV1218" s="115"/>
      <c r="AW1218" s="115"/>
      <c r="AX1218" s="115"/>
      <c r="AY1218" s="115"/>
      <c r="AZ1218" s="115"/>
      <c r="BA1218" s="115"/>
      <c r="BB1218" s="115"/>
      <c r="BC1218" s="115"/>
      <c r="BD1218" s="115"/>
      <c r="BE1218" s="115"/>
      <c r="BF1218" s="115"/>
      <c r="BG1218" s="115"/>
      <c r="BH1218" s="115"/>
      <c r="BI1218" s="115"/>
      <c r="BJ1218" s="115"/>
      <c r="BK1218" s="115"/>
      <c r="BL1218" s="115"/>
      <c r="BM1218" s="115"/>
      <c r="BN1218" s="115"/>
      <c r="BO1218" s="115"/>
      <c r="BP1218" s="115"/>
    </row>
    <row r="1219" spans="1:68" ht="20.100000000000001" customHeight="1">
      <c r="A1219" s="1228" t="s">
        <v>4582</v>
      </c>
      <c r="B1219" s="1228" t="s">
        <v>4685</v>
      </c>
      <c r="C1219" s="1228" t="s">
        <v>4690</v>
      </c>
      <c r="D1219" s="344">
        <f>D97+50+0</f>
        <v>925</v>
      </c>
      <c r="E1219" s="344">
        <f>E97+0+0</f>
        <v>1550</v>
      </c>
      <c r="F1219" s="344">
        <f>F97+0+0</f>
        <v>1600</v>
      </c>
      <c r="G1219" s="217" t="s">
        <v>4575</v>
      </c>
      <c r="H1219" s="48" t="s">
        <v>4574</v>
      </c>
      <c r="I1219" s="38" t="s">
        <v>4700</v>
      </c>
      <c r="J1219" s="30" t="s">
        <v>4699</v>
      </c>
      <c r="K1219" s="38"/>
      <c r="L1219" s="116" t="s">
        <v>4539</v>
      </c>
      <c r="M1219" s="15">
        <v>43084</v>
      </c>
      <c r="N1219" s="15">
        <v>43100</v>
      </c>
      <c r="O1219" s="72" t="s">
        <v>4698</v>
      </c>
      <c r="P1219" s="14"/>
      <c r="Q1219" s="61"/>
      <c r="R1219" s="239"/>
      <c r="S1219" s="328" t="s">
        <v>4543</v>
      </c>
      <c r="T1219" s="722"/>
      <c r="U1219" s="42"/>
      <c r="AE1219" s="115"/>
      <c r="AF1219" s="115"/>
      <c r="AG1219" s="115"/>
      <c r="AH1219" s="115"/>
      <c r="AI1219" s="115"/>
      <c r="AJ1219" s="115"/>
      <c r="AK1219" s="115"/>
      <c r="AL1219" s="115"/>
      <c r="AM1219" s="115"/>
      <c r="AN1219" s="115"/>
      <c r="AO1219" s="115"/>
      <c r="AP1219" s="115"/>
      <c r="AQ1219" s="115"/>
      <c r="AR1219" s="115"/>
      <c r="AS1219" s="115"/>
      <c r="AT1219" s="115"/>
      <c r="AU1219" s="115"/>
      <c r="AV1219" s="115"/>
      <c r="AW1219" s="115"/>
      <c r="AX1219" s="115"/>
      <c r="AY1219" s="115"/>
      <c r="AZ1219" s="115"/>
      <c r="BA1219" s="115"/>
      <c r="BB1219" s="115"/>
      <c r="BC1219" s="115"/>
      <c r="BD1219" s="115"/>
      <c r="BE1219" s="115"/>
      <c r="BF1219" s="115"/>
      <c r="BG1219" s="115"/>
      <c r="BH1219" s="115"/>
      <c r="BI1219" s="115"/>
      <c r="BJ1219" s="115"/>
      <c r="BK1219" s="115"/>
      <c r="BL1219" s="115"/>
      <c r="BM1219" s="115"/>
      <c r="BN1219" s="115"/>
      <c r="BO1219" s="115"/>
      <c r="BP1219" s="115"/>
    </row>
    <row r="1220" spans="1:68" ht="20.100000000000001" customHeight="1">
      <c r="A1220" s="1228" t="s">
        <v>4582</v>
      </c>
      <c r="B1220" s="1228" t="s">
        <v>4685</v>
      </c>
      <c r="C1220" s="1228" t="s">
        <v>4690</v>
      </c>
      <c r="D1220" s="196">
        <f>D14+150</f>
        <v>930</v>
      </c>
      <c r="E1220" s="196">
        <f>E14+200</f>
        <v>1657</v>
      </c>
      <c r="F1220" s="196">
        <f>F14+200</f>
        <v>1657</v>
      </c>
      <c r="G1220" s="225" t="s">
        <v>4569</v>
      </c>
      <c r="H1220" s="69" t="s">
        <v>4602</v>
      </c>
      <c r="I1220" s="38" t="s">
        <v>4595</v>
      </c>
      <c r="J1220" s="30"/>
      <c r="K1220" s="38" t="s">
        <v>4546</v>
      </c>
      <c r="L1220" s="116" t="s">
        <v>4539</v>
      </c>
      <c r="M1220" s="6">
        <v>43074</v>
      </c>
      <c r="N1220" s="6">
        <v>43084</v>
      </c>
      <c r="O1220" s="14" t="s">
        <v>4697</v>
      </c>
      <c r="P1220" s="14"/>
      <c r="Q1220" s="61"/>
      <c r="R1220" s="239"/>
      <c r="S1220" s="328" t="s">
        <v>4543</v>
      </c>
      <c r="T1220" s="722"/>
      <c r="U1220" s="42"/>
      <c r="AE1220" s="115"/>
      <c r="AF1220" s="115"/>
      <c r="AG1220" s="115"/>
      <c r="AH1220" s="115"/>
      <c r="AI1220" s="115"/>
      <c r="AJ1220" s="115"/>
      <c r="AK1220" s="115"/>
      <c r="AL1220" s="115"/>
      <c r="AM1220" s="115"/>
      <c r="AN1220" s="115"/>
      <c r="AO1220" s="115"/>
      <c r="AP1220" s="115"/>
      <c r="AQ1220" s="115"/>
      <c r="AR1220" s="115"/>
      <c r="AS1220" s="115"/>
      <c r="AT1220" s="115"/>
      <c r="AU1220" s="115"/>
      <c r="AV1220" s="115"/>
      <c r="AW1220" s="115"/>
      <c r="AX1220" s="115"/>
      <c r="AY1220" s="115"/>
      <c r="AZ1220" s="115"/>
      <c r="BA1220" s="115"/>
      <c r="BB1220" s="115"/>
      <c r="BC1220" s="115"/>
      <c r="BD1220" s="115"/>
      <c r="BE1220" s="115"/>
      <c r="BF1220" s="115"/>
      <c r="BG1220" s="115"/>
      <c r="BH1220" s="115"/>
      <c r="BI1220" s="115"/>
      <c r="BJ1220" s="115"/>
      <c r="BK1220" s="115"/>
      <c r="BL1220" s="115"/>
      <c r="BM1220" s="115"/>
      <c r="BN1220" s="115"/>
      <c r="BO1220" s="115"/>
      <c r="BP1220" s="115"/>
    </row>
    <row r="1221" spans="1:68" ht="20.100000000000001" customHeight="1">
      <c r="A1221" s="1228" t="s">
        <v>4582</v>
      </c>
      <c r="B1221" s="1228" t="s">
        <v>4685</v>
      </c>
      <c r="C1221" s="1228" t="s">
        <v>4690</v>
      </c>
      <c r="D1221" s="195">
        <f>D71+350+25</f>
        <v>1125</v>
      </c>
      <c r="E1221" s="195">
        <f>E71+450+50</f>
        <v>1900</v>
      </c>
      <c r="F1221" s="195">
        <f>F71+450+50</f>
        <v>1950</v>
      </c>
      <c r="G1221" s="110" t="s">
        <v>4636</v>
      </c>
      <c r="H1221" s="36" t="s">
        <v>4696</v>
      </c>
      <c r="I1221" s="38" t="s">
        <v>4540</v>
      </c>
      <c r="J1221" s="30" t="s">
        <v>4695</v>
      </c>
      <c r="K1221" s="38"/>
      <c r="L1221" s="116" t="s">
        <v>4539</v>
      </c>
      <c r="M1221" s="6">
        <v>43084</v>
      </c>
      <c r="N1221" s="6">
        <v>43100</v>
      </c>
      <c r="O1221" s="72" t="s">
        <v>4694</v>
      </c>
      <c r="P1221" s="14"/>
      <c r="Q1221" s="61"/>
      <c r="R1221" s="239"/>
      <c r="S1221" s="327" t="s">
        <v>4632</v>
      </c>
      <c r="T1221" s="722"/>
      <c r="U1221" s="42"/>
      <c r="AE1221" s="115"/>
      <c r="AF1221" s="115"/>
      <c r="AG1221" s="115"/>
      <c r="AH1221" s="115"/>
      <c r="AI1221" s="115"/>
      <c r="AJ1221" s="115"/>
      <c r="AK1221" s="115"/>
      <c r="AL1221" s="115"/>
      <c r="AM1221" s="115"/>
      <c r="AN1221" s="115"/>
      <c r="AO1221" s="115"/>
      <c r="AP1221" s="115"/>
      <c r="AQ1221" s="115"/>
      <c r="AR1221" s="115"/>
      <c r="AS1221" s="115"/>
      <c r="AT1221" s="115"/>
      <c r="AU1221" s="115"/>
      <c r="AV1221" s="115"/>
      <c r="AW1221" s="115"/>
      <c r="AX1221" s="115"/>
      <c r="AY1221" s="115"/>
      <c r="AZ1221" s="115"/>
      <c r="BA1221" s="115"/>
      <c r="BB1221" s="115"/>
      <c r="BC1221" s="115"/>
      <c r="BD1221" s="115"/>
      <c r="BE1221" s="115"/>
      <c r="BF1221" s="115"/>
      <c r="BG1221" s="115"/>
      <c r="BH1221" s="115"/>
      <c r="BI1221" s="115"/>
      <c r="BJ1221" s="115"/>
      <c r="BK1221" s="115"/>
      <c r="BL1221" s="115"/>
      <c r="BM1221" s="115"/>
      <c r="BN1221" s="115"/>
      <c r="BO1221" s="115"/>
      <c r="BP1221" s="115"/>
    </row>
    <row r="1222" spans="1:68" ht="20.100000000000001" customHeight="1">
      <c r="A1222" s="1228" t="s">
        <v>4582</v>
      </c>
      <c r="B1222" s="1228" t="s">
        <v>4685</v>
      </c>
      <c r="C1222" s="1228" t="s">
        <v>4690</v>
      </c>
      <c r="D1222" s="195">
        <f>D90+1200</f>
        <v>1965</v>
      </c>
      <c r="E1222" s="195">
        <f>E90+1900</f>
        <v>3330</v>
      </c>
      <c r="F1222" s="195">
        <f>F90+1900</f>
        <v>3380</v>
      </c>
      <c r="G1222" s="110" t="s">
        <v>4560</v>
      </c>
      <c r="H1222" s="48" t="s">
        <v>4556</v>
      </c>
      <c r="I1222" s="38" t="s">
        <v>4540</v>
      </c>
      <c r="J1222" s="30"/>
      <c r="K1222" s="38">
        <v>34</v>
      </c>
      <c r="L1222" s="116" t="s">
        <v>4539</v>
      </c>
      <c r="M1222" s="15">
        <v>43084</v>
      </c>
      <c r="N1222" s="15">
        <v>43100</v>
      </c>
      <c r="O1222" s="59" t="s">
        <v>4559</v>
      </c>
      <c r="P1222" s="61"/>
      <c r="Q1222" s="61"/>
      <c r="R1222" s="239"/>
      <c r="S1222" s="336" t="s">
        <v>4558</v>
      </c>
      <c r="T1222" s="722"/>
      <c r="U1222" s="42"/>
      <c r="AE1222" s="115"/>
      <c r="AF1222" s="115"/>
      <c r="AG1222" s="115"/>
      <c r="AH1222" s="115"/>
      <c r="AI1222" s="115"/>
      <c r="AJ1222" s="115"/>
      <c r="AK1222" s="115"/>
      <c r="AL1222" s="115"/>
      <c r="AM1222" s="115"/>
      <c r="AN1222" s="115"/>
      <c r="AO1222" s="115"/>
      <c r="AP1222" s="115"/>
      <c r="AQ1222" s="115"/>
      <c r="AR1222" s="115"/>
      <c r="AS1222" s="115"/>
      <c r="AT1222" s="115"/>
      <c r="AU1222" s="115"/>
      <c r="AV1222" s="115"/>
      <c r="AW1222" s="115"/>
      <c r="AX1222" s="115"/>
      <c r="AY1222" s="115"/>
      <c r="AZ1222" s="115"/>
      <c r="BA1222" s="115"/>
      <c r="BB1222" s="115"/>
      <c r="BC1222" s="115"/>
      <c r="BD1222" s="115"/>
      <c r="BE1222" s="115"/>
      <c r="BF1222" s="115"/>
      <c r="BG1222" s="115"/>
      <c r="BH1222" s="115"/>
      <c r="BI1222" s="115"/>
      <c r="BJ1222" s="115"/>
      <c r="BK1222" s="115"/>
      <c r="BL1222" s="115"/>
      <c r="BM1222" s="115"/>
      <c r="BN1222" s="115"/>
      <c r="BO1222" s="115"/>
      <c r="BP1222" s="115"/>
    </row>
    <row r="1223" spans="1:68" ht="20.100000000000001" customHeight="1">
      <c r="A1223" s="1228" t="s">
        <v>4582</v>
      </c>
      <c r="B1223" s="1228" t="s">
        <v>4685</v>
      </c>
      <c r="C1223" s="1228" t="s">
        <v>4690</v>
      </c>
      <c r="D1223" s="195">
        <f>D211+225+25</f>
        <v>975</v>
      </c>
      <c r="E1223" s="195">
        <f>E211+450+50</f>
        <v>1850</v>
      </c>
      <c r="F1223" s="195">
        <f>F211+450+50</f>
        <v>1900</v>
      </c>
      <c r="G1223" s="110" t="s">
        <v>4566</v>
      </c>
      <c r="H1223" s="69" t="s">
        <v>4556</v>
      </c>
      <c r="I1223" s="38" t="s">
        <v>4595</v>
      </c>
      <c r="J1223" s="30"/>
      <c r="K1223" s="38"/>
      <c r="L1223" s="116" t="s">
        <v>4539</v>
      </c>
      <c r="M1223" s="15">
        <v>43084</v>
      </c>
      <c r="N1223" s="15">
        <v>43100</v>
      </c>
      <c r="O1223" s="59" t="s">
        <v>4686</v>
      </c>
      <c r="P1223" s="61"/>
      <c r="Q1223" s="61"/>
      <c r="R1223" s="239"/>
      <c r="S1223" s="327" t="s">
        <v>4561</v>
      </c>
      <c r="T1223" s="722"/>
      <c r="U1223" s="42"/>
      <c r="AE1223" s="115"/>
      <c r="AF1223" s="115"/>
      <c r="AG1223" s="115"/>
      <c r="AH1223" s="115"/>
      <c r="AI1223" s="115"/>
      <c r="AJ1223" s="115"/>
      <c r="AK1223" s="115"/>
      <c r="AL1223" s="115"/>
      <c r="AM1223" s="115"/>
      <c r="AN1223" s="115"/>
      <c r="AO1223" s="115"/>
      <c r="AP1223" s="115"/>
      <c r="AQ1223" s="115"/>
      <c r="AR1223" s="115"/>
      <c r="AS1223" s="115"/>
      <c r="AT1223" s="115"/>
      <c r="AU1223" s="115"/>
      <c r="AV1223" s="115"/>
      <c r="AW1223" s="115"/>
      <c r="AX1223" s="115"/>
      <c r="AY1223" s="115"/>
      <c r="AZ1223" s="115"/>
      <c r="BA1223" s="115"/>
      <c r="BB1223" s="115"/>
      <c r="BC1223" s="115"/>
      <c r="BD1223" s="115"/>
      <c r="BE1223" s="115"/>
      <c r="BF1223" s="115"/>
      <c r="BG1223" s="115"/>
      <c r="BH1223" s="115"/>
      <c r="BI1223" s="115"/>
      <c r="BJ1223" s="115"/>
      <c r="BK1223" s="115"/>
      <c r="BL1223" s="115"/>
      <c r="BM1223" s="115"/>
      <c r="BN1223" s="115"/>
      <c r="BO1223" s="115"/>
      <c r="BP1223" s="115"/>
    </row>
    <row r="1224" spans="1:68" ht="20.100000000000001" customHeight="1">
      <c r="A1224" s="1228" t="s">
        <v>4582</v>
      </c>
      <c r="B1224" s="1228" t="s">
        <v>4685</v>
      </c>
      <c r="C1224" s="1228" t="s">
        <v>4690</v>
      </c>
      <c r="D1224" s="195">
        <f>D64+700</f>
        <v>1450</v>
      </c>
      <c r="E1224" s="195">
        <f>E64+1200</f>
        <v>2600</v>
      </c>
      <c r="F1224" s="195">
        <f>F64+1200</f>
        <v>2600</v>
      </c>
      <c r="G1224" s="217" t="s">
        <v>4557</v>
      </c>
      <c r="H1224" s="69" t="s">
        <v>4556</v>
      </c>
      <c r="I1224" s="38" t="s">
        <v>4540</v>
      </c>
      <c r="J1224" s="30"/>
      <c r="K1224" s="38"/>
      <c r="L1224" s="116" t="s">
        <v>4539</v>
      </c>
      <c r="M1224" s="6">
        <v>43084</v>
      </c>
      <c r="N1224" s="6">
        <v>43100</v>
      </c>
      <c r="O1224" s="61" t="s">
        <v>4555</v>
      </c>
      <c r="P1224" s="61"/>
      <c r="Q1224" s="7"/>
      <c r="R1224" s="239" t="s">
        <v>4554</v>
      </c>
      <c r="S1224" s="326" t="s">
        <v>4543</v>
      </c>
      <c r="T1224" s="722"/>
      <c r="U1224" s="42"/>
      <c r="AE1224" s="115"/>
      <c r="AF1224" s="115"/>
      <c r="AG1224" s="115"/>
      <c r="AH1224" s="115"/>
      <c r="AI1224" s="115"/>
      <c r="AJ1224" s="115"/>
      <c r="AK1224" s="115"/>
      <c r="AL1224" s="115"/>
      <c r="AM1224" s="115"/>
      <c r="AN1224" s="115"/>
      <c r="AO1224" s="115"/>
      <c r="AP1224" s="115"/>
      <c r="AQ1224" s="115"/>
      <c r="AR1224" s="115"/>
      <c r="AS1224" s="115"/>
      <c r="AT1224" s="115"/>
      <c r="AU1224" s="115"/>
      <c r="AV1224" s="115"/>
      <c r="AW1224" s="115"/>
      <c r="AX1224" s="115"/>
      <c r="AY1224" s="115"/>
      <c r="AZ1224" s="115"/>
      <c r="BA1224" s="115"/>
      <c r="BB1224" s="115"/>
      <c r="BC1224" s="115"/>
      <c r="BD1224" s="115"/>
      <c r="BE1224" s="115"/>
      <c r="BF1224" s="115"/>
      <c r="BG1224" s="115"/>
      <c r="BH1224" s="115"/>
      <c r="BI1224" s="115"/>
      <c r="BJ1224" s="115"/>
      <c r="BK1224" s="115"/>
      <c r="BL1224" s="115"/>
      <c r="BM1224" s="115"/>
      <c r="BN1224" s="115"/>
      <c r="BO1224" s="115"/>
      <c r="BP1224" s="115"/>
    </row>
    <row r="1225" spans="1:68" ht="20.100000000000001" customHeight="1">
      <c r="A1225" s="1228" t="s">
        <v>4582</v>
      </c>
      <c r="B1225" s="1228" t="s">
        <v>4685</v>
      </c>
      <c r="C1225" s="1228" t="s">
        <v>4690</v>
      </c>
      <c r="D1225" s="195">
        <f>D120+100</f>
        <v>1000</v>
      </c>
      <c r="E1225" s="195">
        <f>E120+125</f>
        <v>1725</v>
      </c>
      <c r="F1225" s="195">
        <f>F120+125</f>
        <v>1775</v>
      </c>
      <c r="G1225" s="110" t="s">
        <v>4553</v>
      </c>
      <c r="H1225" s="56" t="s">
        <v>4552</v>
      </c>
      <c r="I1225" s="38" t="s">
        <v>4639</v>
      </c>
      <c r="J1225" s="30"/>
      <c r="K1225" s="38">
        <v>36</v>
      </c>
      <c r="L1225" s="116" t="s">
        <v>4539</v>
      </c>
      <c r="M1225" s="6">
        <v>43085</v>
      </c>
      <c r="N1225" s="6">
        <v>43100</v>
      </c>
      <c r="O1225" s="72" t="s">
        <v>4693</v>
      </c>
      <c r="P1225" s="14"/>
      <c r="Q1225" s="60"/>
      <c r="R1225" s="239"/>
      <c r="S1225" s="328" t="s">
        <v>4543</v>
      </c>
      <c r="T1225" s="722"/>
      <c r="U1225" s="42"/>
      <c r="AE1225" s="115"/>
      <c r="AF1225" s="115"/>
      <c r="AG1225" s="115"/>
      <c r="AH1225" s="115"/>
      <c r="AI1225" s="115"/>
      <c r="AJ1225" s="115"/>
      <c r="AK1225" s="115"/>
      <c r="AL1225" s="115"/>
      <c r="AM1225" s="115"/>
      <c r="AN1225" s="115"/>
      <c r="AO1225" s="115"/>
      <c r="AP1225" s="115"/>
      <c r="AQ1225" s="115"/>
      <c r="AR1225" s="115"/>
      <c r="AS1225" s="115"/>
      <c r="AT1225" s="115"/>
      <c r="AU1225" s="115"/>
      <c r="AV1225" s="115"/>
      <c r="AW1225" s="115"/>
      <c r="AX1225" s="115"/>
      <c r="AY1225" s="115"/>
      <c r="AZ1225" s="115"/>
      <c r="BA1225" s="115"/>
      <c r="BB1225" s="115"/>
      <c r="BC1225" s="115"/>
      <c r="BD1225" s="115"/>
      <c r="BE1225" s="115"/>
      <c r="BF1225" s="115"/>
      <c r="BG1225" s="115"/>
      <c r="BH1225" s="115"/>
      <c r="BI1225" s="115"/>
      <c r="BJ1225" s="115"/>
      <c r="BK1225" s="115"/>
      <c r="BL1225" s="115"/>
      <c r="BM1225" s="115"/>
      <c r="BN1225" s="115"/>
      <c r="BO1225" s="115"/>
      <c r="BP1225" s="115"/>
    </row>
    <row r="1226" spans="1:68" ht="20.100000000000001" customHeight="1">
      <c r="A1226" s="1228" t="s">
        <v>4582</v>
      </c>
      <c r="B1226" s="1228" t="s">
        <v>4685</v>
      </c>
      <c r="C1226" s="1228" t="s">
        <v>4690</v>
      </c>
      <c r="D1226" s="263">
        <v>1350</v>
      </c>
      <c r="E1226" s="263">
        <v>1900</v>
      </c>
      <c r="F1226" s="263">
        <v>1950</v>
      </c>
      <c r="G1226" s="3" t="s">
        <v>4542</v>
      </c>
      <c r="H1226" s="69" t="s">
        <v>4541</v>
      </c>
      <c r="I1226" s="38" t="s">
        <v>4540</v>
      </c>
      <c r="J1226" s="30" t="s">
        <v>4692</v>
      </c>
      <c r="K1226" s="38"/>
      <c r="L1226" s="116" t="s">
        <v>4539</v>
      </c>
      <c r="M1226" s="15">
        <v>43084</v>
      </c>
      <c r="N1226" s="15">
        <v>43100</v>
      </c>
      <c r="O1226" s="59" t="s">
        <v>4688</v>
      </c>
      <c r="P1226" s="14"/>
      <c r="Q1226" s="7"/>
      <c r="R1226" s="239"/>
      <c r="S1226" s="326" t="s">
        <v>4537</v>
      </c>
      <c r="T1226" s="722"/>
      <c r="U1226" s="42"/>
      <c r="AE1226" s="233"/>
      <c r="AF1226" s="233"/>
      <c r="AG1226" s="233"/>
      <c r="AH1226" s="233"/>
      <c r="AI1226" s="233"/>
      <c r="AJ1226" s="233"/>
      <c r="AK1226" s="233"/>
      <c r="AL1226" s="233"/>
      <c r="AM1226" s="233"/>
      <c r="AN1226" s="233"/>
      <c r="AO1226" s="233"/>
      <c r="AP1226" s="233"/>
      <c r="AQ1226" s="233"/>
      <c r="AR1226" s="233"/>
      <c r="AS1226" s="233"/>
      <c r="AT1226" s="233"/>
      <c r="AU1226" s="233"/>
      <c r="AV1226" s="233"/>
      <c r="AW1226" s="233"/>
      <c r="AX1226" s="233"/>
      <c r="AY1226" s="233"/>
      <c r="AZ1226" s="233"/>
      <c r="BA1226" s="233"/>
      <c r="BB1226" s="233"/>
      <c r="BC1226" s="233"/>
      <c r="BD1226" s="233"/>
      <c r="BE1226" s="233"/>
      <c r="BF1226" s="233"/>
      <c r="BG1226" s="233"/>
      <c r="BH1226" s="233"/>
      <c r="BI1226" s="233"/>
      <c r="BJ1226" s="233"/>
      <c r="BK1226" s="233"/>
      <c r="BL1226" s="233"/>
      <c r="BM1226" s="233"/>
      <c r="BN1226" s="233"/>
      <c r="BO1226" s="233"/>
      <c r="BP1226" s="233"/>
    </row>
    <row r="1227" spans="1:68" ht="20.100000000000001" customHeight="1">
      <c r="A1227" s="1228" t="s">
        <v>4582</v>
      </c>
      <c r="B1227" s="1228" t="s">
        <v>4685</v>
      </c>
      <c r="C1227" s="1228" t="s">
        <v>4690</v>
      </c>
      <c r="D1227" s="195">
        <f>D65+400+100+25</f>
        <v>1325</v>
      </c>
      <c r="E1227" s="195">
        <f>E65+450+200+25</f>
        <v>2175</v>
      </c>
      <c r="F1227" s="195">
        <f>F65+450+200+25</f>
        <v>2225</v>
      </c>
      <c r="G1227" s="12" t="s">
        <v>4645</v>
      </c>
      <c r="H1227" s="48" t="s">
        <v>4556</v>
      </c>
      <c r="I1227" s="38" t="s">
        <v>4595</v>
      </c>
      <c r="J1227" s="30" t="s">
        <v>4691</v>
      </c>
      <c r="K1227" s="38"/>
      <c r="L1227" s="116" t="s">
        <v>4539</v>
      </c>
      <c r="M1227" s="6">
        <v>43084</v>
      </c>
      <c r="N1227" s="6">
        <v>43100</v>
      </c>
      <c r="O1227" s="72" t="s">
        <v>4643</v>
      </c>
      <c r="P1227" s="14"/>
      <c r="Q1227" s="7"/>
      <c r="R1227" s="239"/>
      <c r="S1227" s="326" t="s">
        <v>4641</v>
      </c>
      <c r="T1227" s="722"/>
      <c r="U1227" s="42"/>
      <c r="AE1227" s="115"/>
      <c r="AF1227" s="115"/>
      <c r="AG1227" s="115"/>
      <c r="AH1227" s="115"/>
      <c r="AI1227" s="115"/>
      <c r="AJ1227" s="115"/>
      <c r="AK1227" s="115"/>
      <c r="AL1227" s="115"/>
      <c r="AM1227" s="115"/>
      <c r="AN1227" s="115"/>
      <c r="AO1227" s="115"/>
      <c r="AP1227" s="115"/>
      <c r="AQ1227" s="115"/>
      <c r="AR1227" s="115"/>
      <c r="AS1227" s="115"/>
      <c r="AT1227" s="115"/>
      <c r="AU1227" s="115"/>
      <c r="AV1227" s="115"/>
      <c r="AW1227" s="115"/>
      <c r="AX1227" s="115"/>
      <c r="AY1227" s="115"/>
      <c r="AZ1227" s="115"/>
      <c r="BA1227" s="115"/>
      <c r="BB1227" s="115"/>
      <c r="BC1227" s="115"/>
      <c r="BD1227" s="115"/>
      <c r="BE1227" s="115"/>
      <c r="BF1227" s="115"/>
      <c r="BG1227" s="115"/>
      <c r="BH1227" s="115"/>
      <c r="BI1227" s="115"/>
      <c r="BJ1227" s="115"/>
      <c r="BK1227" s="115"/>
      <c r="BL1227" s="115"/>
      <c r="BM1227" s="115"/>
      <c r="BN1227" s="115"/>
      <c r="BO1227" s="115"/>
      <c r="BP1227" s="115"/>
    </row>
    <row r="1228" spans="1:68" ht="20.100000000000001" customHeight="1">
      <c r="A1228" s="1228" t="s">
        <v>4582</v>
      </c>
      <c r="B1228" s="1228" t="s">
        <v>4685</v>
      </c>
      <c r="C1228" s="1228" t="s">
        <v>4690</v>
      </c>
      <c r="D1228" s="195">
        <f>D65+600+100+25</f>
        <v>1525</v>
      </c>
      <c r="E1228" s="195">
        <f>E65+800+200+25</f>
        <v>2525</v>
      </c>
      <c r="F1228" s="195">
        <f>F65+800+200+25</f>
        <v>2575</v>
      </c>
      <c r="G1228" s="12" t="s">
        <v>4645</v>
      </c>
      <c r="H1228" s="48" t="s">
        <v>4556</v>
      </c>
      <c r="I1228" s="38" t="s">
        <v>4540</v>
      </c>
      <c r="J1228" s="30" t="s">
        <v>4689</v>
      </c>
      <c r="K1228" s="38"/>
      <c r="L1228" s="116" t="s">
        <v>4539</v>
      </c>
      <c r="M1228" s="6">
        <v>43084</v>
      </c>
      <c r="N1228" s="6">
        <v>43100</v>
      </c>
      <c r="O1228" s="72" t="s">
        <v>4643</v>
      </c>
      <c r="P1228" s="14"/>
      <c r="Q1228" s="7"/>
      <c r="R1228" s="239"/>
      <c r="S1228" s="326" t="s">
        <v>4641</v>
      </c>
      <c r="T1228" s="722"/>
      <c r="U1228" s="42"/>
      <c r="AE1228" s="115"/>
      <c r="AF1228" s="115"/>
      <c r="AG1228" s="115"/>
      <c r="AH1228" s="115"/>
      <c r="AI1228" s="115"/>
      <c r="AJ1228" s="115"/>
      <c r="AK1228" s="115"/>
      <c r="AL1228" s="115"/>
      <c r="AM1228" s="115"/>
      <c r="AN1228" s="115"/>
      <c r="AO1228" s="115"/>
      <c r="AP1228" s="115"/>
      <c r="AQ1228" s="115"/>
      <c r="AR1228" s="115"/>
      <c r="AS1228" s="115"/>
      <c r="AT1228" s="115"/>
      <c r="AU1228" s="115"/>
      <c r="AV1228" s="115"/>
      <c r="AW1228" s="115"/>
      <c r="AX1228" s="115"/>
      <c r="AY1228" s="115"/>
      <c r="AZ1228" s="115"/>
      <c r="BA1228" s="115"/>
      <c r="BB1228" s="115"/>
      <c r="BC1228" s="115"/>
      <c r="BD1228" s="115"/>
      <c r="BE1228" s="115"/>
      <c r="BF1228" s="115"/>
      <c r="BG1228" s="115"/>
      <c r="BH1228" s="115"/>
      <c r="BI1228" s="115"/>
      <c r="BJ1228" s="115"/>
      <c r="BK1228" s="115"/>
      <c r="BL1228" s="115"/>
      <c r="BM1228" s="115"/>
      <c r="BN1228" s="115"/>
      <c r="BO1228" s="115"/>
      <c r="BP1228" s="115"/>
    </row>
    <row r="1229" spans="1:68" ht="20.100000000000001" customHeight="1">
      <c r="A1229" s="1228" t="s">
        <v>4582</v>
      </c>
      <c r="B1229" s="1228" t="s">
        <v>4685</v>
      </c>
      <c r="C1229" s="1228" t="s">
        <v>4684</v>
      </c>
      <c r="D1229" s="195">
        <f>D97+350</f>
        <v>1225</v>
      </c>
      <c r="E1229" s="195">
        <f>E97+400</f>
        <v>1950</v>
      </c>
      <c r="F1229" s="195">
        <f>F97+400</f>
        <v>2000</v>
      </c>
      <c r="G1229" s="217" t="s">
        <v>4575</v>
      </c>
      <c r="H1229" s="48" t="s">
        <v>4541</v>
      </c>
      <c r="I1229" s="38" t="s">
        <v>4540</v>
      </c>
      <c r="J1229" s="30"/>
      <c r="K1229" s="38"/>
      <c r="L1229" s="116" t="s">
        <v>4539</v>
      </c>
      <c r="M1229" s="15">
        <v>43084</v>
      </c>
      <c r="N1229" s="15">
        <v>43100</v>
      </c>
      <c r="O1229" s="72" t="s">
        <v>4573</v>
      </c>
      <c r="P1229" s="14"/>
      <c r="Q1229" s="7"/>
      <c r="R1229" s="239"/>
      <c r="S1229" s="328" t="s">
        <v>4543</v>
      </c>
      <c r="T1229" s="722"/>
      <c r="U1229" s="42"/>
      <c r="AE1229" s="115"/>
      <c r="AF1229" s="115"/>
      <c r="AG1229" s="115"/>
      <c r="AH1229" s="115"/>
      <c r="AI1229" s="115"/>
      <c r="AJ1229" s="115"/>
      <c r="AK1229" s="115"/>
      <c r="AL1229" s="115"/>
      <c r="AM1229" s="115"/>
      <c r="AN1229" s="115"/>
      <c r="AO1229" s="115"/>
      <c r="AP1229" s="115"/>
      <c r="AQ1229" s="115"/>
      <c r="AR1229" s="115"/>
      <c r="AS1229" s="115"/>
      <c r="AT1229" s="115"/>
      <c r="AU1229" s="115"/>
      <c r="AV1229" s="115"/>
      <c r="AW1229" s="115"/>
      <c r="AX1229" s="115"/>
      <c r="AY1229" s="115"/>
      <c r="AZ1229" s="115"/>
      <c r="BA1229" s="115"/>
      <c r="BB1229" s="115"/>
      <c r="BC1229" s="115"/>
      <c r="BD1229" s="115"/>
      <c r="BE1229" s="115"/>
      <c r="BF1229" s="115"/>
      <c r="BG1229" s="115"/>
      <c r="BH1229" s="115"/>
      <c r="BI1229" s="115"/>
      <c r="BJ1229" s="115"/>
      <c r="BK1229" s="115"/>
      <c r="BL1229" s="115"/>
      <c r="BM1229" s="115"/>
      <c r="BN1229" s="115"/>
      <c r="BO1229" s="115"/>
      <c r="BP1229" s="115"/>
    </row>
    <row r="1230" spans="1:68" ht="20.100000000000001" customHeight="1">
      <c r="A1230" s="1228" t="s">
        <v>4582</v>
      </c>
      <c r="B1230" s="1228" t="s">
        <v>4685</v>
      </c>
      <c r="C1230" s="1228" t="s">
        <v>4684</v>
      </c>
      <c r="D1230" s="263">
        <v>1350</v>
      </c>
      <c r="E1230" s="263">
        <v>1900</v>
      </c>
      <c r="F1230" s="263">
        <v>1950</v>
      </c>
      <c r="G1230" s="3" t="s">
        <v>4542</v>
      </c>
      <c r="H1230" s="69" t="s">
        <v>4541</v>
      </c>
      <c r="I1230" s="38" t="s">
        <v>4595</v>
      </c>
      <c r="J1230" s="30"/>
      <c r="K1230" s="38"/>
      <c r="L1230" s="116" t="s">
        <v>4539</v>
      </c>
      <c r="M1230" s="15">
        <v>43084</v>
      </c>
      <c r="N1230" s="15">
        <v>43100</v>
      </c>
      <c r="O1230" s="59" t="s">
        <v>4688</v>
      </c>
      <c r="P1230" s="14"/>
      <c r="Q1230" s="7"/>
      <c r="R1230" s="239"/>
      <c r="S1230" s="326" t="s">
        <v>4537</v>
      </c>
      <c r="T1230" s="722"/>
      <c r="U1230" s="42"/>
      <c r="AE1230" s="115"/>
      <c r="AF1230" s="115"/>
      <c r="AG1230" s="115"/>
      <c r="AH1230" s="115"/>
      <c r="AI1230" s="115"/>
      <c r="AJ1230" s="115"/>
      <c r="AK1230" s="115"/>
      <c r="AL1230" s="115"/>
      <c r="AM1230" s="115"/>
      <c r="AN1230" s="115"/>
      <c r="AO1230" s="115"/>
      <c r="AP1230" s="115"/>
      <c r="AQ1230" s="115"/>
      <c r="AR1230" s="115"/>
      <c r="AS1230" s="115"/>
      <c r="AT1230" s="115"/>
      <c r="AU1230" s="115"/>
      <c r="AV1230" s="115"/>
      <c r="AW1230" s="115"/>
      <c r="AX1230" s="115"/>
      <c r="AY1230" s="115"/>
      <c r="AZ1230" s="115"/>
      <c r="BA1230" s="115"/>
      <c r="BB1230" s="115"/>
      <c r="BC1230" s="115"/>
      <c r="BD1230" s="115"/>
      <c r="BE1230" s="115"/>
      <c r="BF1230" s="115"/>
      <c r="BG1230" s="115"/>
      <c r="BH1230" s="115"/>
      <c r="BI1230" s="115"/>
      <c r="BJ1230" s="115"/>
      <c r="BK1230" s="115"/>
      <c r="BL1230" s="115"/>
      <c r="BM1230" s="115"/>
      <c r="BN1230" s="115"/>
      <c r="BO1230" s="115"/>
      <c r="BP1230" s="115"/>
    </row>
    <row r="1231" spans="1:68" ht="20.100000000000001" customHeight="1">
      <c r="A1231" s="1228" t="s">
        <v>4582</v>
      </c>
      <c r="B1231" s="1228" t="s">
        <v>4685</v>
      </c>
      <c r="C1231" s="1228" t="s">
        <v>4684</v>
      </c>
      <c r="D1231" s="346">
        <f>D20+100</f>
        <v>950</v>
      </c>
      <c r="E1231" s="346">
        <f>E20+200</f>
        <v>1800</v>
      </c>
      <c r="F1231" s="346">
        <f>F20+200</f>
        <v>1850</v>
      </c>
      <c r="G1231" s="217" t="s">
        <v>4572</v>
      </c>
      <c r="H1231" s="56" t="s">
        <v>4541</v>
      </c>
      <c r="I1231" s="20" t="s">
        <v>4595</v>
      </c>
      <c r="J1231" s="30"/>
      <c r="K1231" s="38"/>
      <c r="L1231" s="116" t="s">
        <v>4539</v>
      </c>
      <c r="M1231" s="15">
        <v>43070</v>
      </c>
      <c r="N1231" s="15">
        <v>43100</v>
      </c>
      <c r="O1231" s="61" t="s">
        <v>4687</v>
      </c>
      <c r="P1231" s="14"/>
      <c r="Q1231" s="7"/>
      <c r="R1231" s="239"/>
      <c r="S1231" s="327" t="s">
        <v>4570</v>
      </c>
      <c r="T1231" s="722"/>
      <c r="U1231" s="42"/>
      <c r="AE1231" s="115"/>
      <c r="AF1231" s="115"/>
      <c r="AG1231" s="115"/>
      <c r="AH1231" s="115"/>
      <c r="AI1231" s="115"/>
      <c r="AJ1231" s="115"/>
      <c r="AK1231" s="115"/>
      <c r="AL1231" s="115"/>
      <c r="AM1231" s="115"/>
      <c r="AN1231" s="115"/>
      <c r="AO1231" s="115"/>
      <c r="AP1231" s="115"/>
      <c r="AQ1231" s="115"/>
      <c r="AR1231" s="115"/>
      <c r="AS1231" s="115"/>
      <c r="AT1231" s="115"/>
      <c r="AU1231" s="115"/>
      <c r="AV1231" s="115"/>
      <c r="AW1231" s="115"/>
      <c r="AX1231" s="115"/>
      <c r="AY1231" s="115"/>
      <c r="AZ1231" s="115"/>
      <c r="BA1231" s="115"/>
      <c r="BB1231" s="115"/>
      <c r="BC1231" s="115"/>
      <c r="BD1231" s="115"/>
      <c r="BE1231" s="115"/>
      <c r="BF1231" s="115"/>
      <c r="BG1231" s="115"/>
      <c r="BH1231" s="115"/>
      <c r="BI1231" s="115"/>
      <c r="BJ1231" s="115"/>
      <c r="BK1231" s="115"/>
      <c r="BL1231" s="115"/>
      <c r="BM1231" s="115"/>
      <c r="BN1231" s="115"/>
      <c r="BO1231" s="115"/>
      <c r="BP1231" s="115"/>
    </row>
    <row r="1232" spans="1:68" ht="20.100000000000001" customHeight="1">
      <c r="A1232" s="1228" t="s">
        <v>4582</v>
      </c>
      <c r="B1232" s="1228" t="s">
        <v>4685</v>
      </c>
      <c r="C1232" s="1228" t="s">
        <v>4684</v>
      </c>
      <c r="D1232" s="259">
        <f>D211+250+25</f>
        <v>1000</v>
      </c>
      <c r="E1232" s="259">
        <f>E211+450+50</f>
        <v>1850</v>
      </c>
      <c r="F1232" s="259">
        <f>F211+450+50</f>
        <v>1900</v>
      </c>
      <c r="G1232" s="110" t="s">
        <v>4566</v>
      </c>
      <c r="H1232" s="69" t="s">
        <v>4556</v>
      </c>
      <c r="I1232" s="38" t="s">
        <v>4595</v>
      </c>
      <c r="J1232" s="30"/>
      <c r="K1232" s="38"/>
      <c r="L1232" s="116" t="s">
        <v>4539</v>
      </c>
      <c r="M1232" s="15">
        <v>43084</v>
      </c>
      <c r="N1232" s="15">
        <v>43100</v>
      </c>
      <c r="O1232" s="59" t="s">
        <v>4686</v>
      </c>
      <c r="P1232" s="14"/>
      <c r="Q1232" s="7"/>
      <c r="R1232" s="239"/>
      <c r="S1232" s="327" t="s">
        <v>4561</v>
      </c>
      <c r="T1232" s="722"/>
      <c r="U1232" s="42"/>
      <c r="AE1232" s="115"/>
      <c r="AF1232" s="115"/>
      <c r="AG1232" s="115"/>
      <c r="AH1232" s="115"/>
      <c r="AI1232" s="115"/>
      <c r="AJ1232" s="115"/>
      <c r="AK1232" s="115"/>
      <c r="AL1232" s="115"/>
      <c r="AM1232" s="115"/>
      <c r="AN1232" s="115"/>
      <c r="AO1232" s="115"/>
      <c r="AP1232" s="115"/>
      <c r="AQ1232" s="115"/>
      <c r="AR1232" s="115"/>
      <c r="AS1232" s="115"/>
      <c r="AT1232" s="115"/>
      <c r="AU1232" s="115"/>
      <c r="AV1232" s="115"/>
      <c r="AW1232" s="115"/>
      <c r="AX1232" s="115"/>
      <c r="AY1232" s="115"/>
      <c r="AZ1232" s="115"/>
      <c r="BA1232" s="115"/>
      <c r="BB1232" s="115"/>
      <c r="BC1232" s="115"/>
      <c r="BD1232" s="115"/>
      <c r="BE1232" s="115"/>
      <c r="BF1232" s="115"/>
      <c r="BG1232" s="115"/>
      <c r="BH1232" s="115"/>
      <c r="BI1232" s="115"/>
      <c r="BJ1232" s="115"/>
      <c r="BK1232" s="115"/>
      <c r="BL1232" s="115"/>
      <c r="BM1232" s="115"/>
      <c r="BN1232" s="115"/>
      <c r="BO1232" s="115"/>
      <c r="BP1232" s="115"/>
    </row>
    <row r="1233" spans="1:68" ht="20.100000000000001" customHeight="1">
      <c r="A1233" s="1228" t="s">
        <v>4582</v>
      </c>
      <c r="B1233" s="1228" t="s">
        <v>4685</v>
      </c>
      <c r="C1233" s="1228" t="s">
        <v>4684</v>
      </c>
      <c r="D1233" s="259">
        <f>D11+700</f>
        <v>1450</v>
      </c>
      <c r="E1233" s="259">
        <f>E11+1200</f>
        <v>2600</v>
      </c>
      <c r="F1233" s="259">
        <f>F11+1200</f>
        <v>2600</v>
      </c>
      <c r="G1233" s="217" t="s">
        <v>4557</v>
      </c>
      <c r="H1233" s="69" t="s">
        <v>4556</v>
      </c>
      <c r="I1233" s="38" t="s">
        <v>4595</v>
      </c>
      <c r="J1233" s="30"/>
      <c r="K1233" s="38"/>
      <c r="L1233" s="116" t="s">
        <v>4539</v>
      </c>
      <c r="M1233" s="6">
        <v>43084</v>
      </c>
      <c r="N1233" s="6">
        <v>43100</v>
      </c>
      <c r="O1233" s="61" t="s">
        <v>4555</v>
      </c>
      <c r="P1233" s="61"/>
      <c r="Q1233" s="7"/>
      <c r="R1233" s="239" t="s">
        <v>4554</v>
      </c>
      <c r="S1233" s="326" t="s">
        <v>4543</v>
      </c>
      <c r="T1233" s="722"/>
      <c r="U1233" s="42"/>
      <c r="AE1233" s="115"/>
      <c r="AF1233" s="115"/>
      <c r="AG1233" s="115"/>
      <c r="AH1233" s="115"/>
      <c r="AI1233" s="115"/>
      <c r="AJ1233" s="115"/>
      <c r="AK1233" s="115"/>
      <c r="AL1233" s="115"/>
      <c r="AM1233" s="115"/>
      <c r="AN1233" s="115"/>
      <c r="AO1233" s="115"/>
      <c r="AP1233" s="115"/>
      <c r="AQ1233" s="115"/>
      <c r="AR1233" s="115"/>
      <c r="AS1233" s="115"/>
      <c r="AT1233" s="115"/>
      <c r="AU1233" s="115"/>
      <c r="AV1233" s="115"/>
      <c r="AW1233" s="115"/>
      <c r="AX1233" s="115"/>
      <c r="AY1233" s="115"/>
      <c r="AZ1233" s="115"/>
      <c r="BA1233" s="115"/>
      <c r="BB1233" s="115"/>
      <c r="BC1233" s="115"/>
      <c r="BD1233" s="115"/>
      <c r="BE1233" s="115"/>
      <c r="BF1233" s="115"/>
      <c r="BG1233" s="115"/>
      <c r="BH1233" s="115"/>
      <c r="BI1233" s="115"/>
      <c r="BJ1233" s="115"/>
      <c r="BK1233" s="115"/>
      <c r="BL1233" s="115"/>
      <c r="BM1233" s="115"/>
      <c r="BN1233" s="115"/>
      <c r="BO1233" s="115"/>
      <c r="BP1233" s="115"/>
    </row>
    <row r="1234" spans="1:68" ht="20.100000000000001" customHeight="1">
      <c r="A1234" s="1228" t="s">
        <v>4582</v>
      </c>
      <c r="B1234" s="1228" t="s">
        <v>4685</v>
      </c>
      <c r="C1234" s="1228" t="s">
        <v>4684</v>
      </c>
      <c r="D1234" s="195">
        <f>D65+600+100</f>
        <v>1500</v>
      </c>
      <c r="E1234" s="195">
        <f>E65+800+200</f>
        <v>2500</v>
      </c>
      <c r="F1234" s="195">
        <f>F65+800+200</f>
        <v>2550</v>
      </c>
      <c r="G1234" s="12" t="s">
        <v>4645</v>
      </c>
      <c r="H1234" s="48" t="s">
        <v>4556</v>
      </c>
      <c r="I1234" s="38" t="s">
        <v>4595</v>
      </c>
      <c r="J1234" s="30"/>
      <c r="K1234" s="38"/>
      <c r="L1234" s="116" t="s">
        <v>4539</v>
      </c>
      <c r="M1234" s="6">
        <v>43084</v>
      </c>
      <c r="N1234" s="6">
        <v>43100</v>
      </c>
      <c r="O1234" s="72" t="s">
        <v>4643</v>
      </c>
      <c r="P1234" s="14"/>
      <c r="Q1234" s="7"/>
      <c r="R1234" s="239"/>
      <c r="S1234" s="326" t="s">
        <v>4641</v>
      </c>
      <c r="T1234" s="722"/>
      <c r="U1234" s="42"/>
      <c r="AE1234" s="115"/>
      <c r="AF1234" s="115"/>
      <c r="AG1234" s="115"/>
      <c r="AH1234" s="115"/>
      <c r="AI1234" s="115"/>
      <c r="AJ1234" s="115"/>
      <c r="AK1234" s="115"/>
      <c r="AL1234" s="115"/>
      <c r="AM1234" s="115"/>
      <c r="AN1234" s="115"/>
      <c r="AO1234" s="115"/>
      <c r="AP1234" s="115"/>
      <c r="AQ1234" s="115"/>
      <c r="AR1234" s="115"/>
      <c r="AS1234" s="115"/>
      <c r="AT1234" s="115"/>
      <c r="AU1234" s="115"/>
      <c r="AV1234" s="115"/>
      <c r="AW1234" s="115"/>
      <c r="AX1234" s="115"/>
      <c r="AY1234" s="115"/>
      <c r="AZ1234" s="115"/>
      <c r="BA1234" s="115"/>
      <c r="BB1234" s="115"/>
      <c r="BC1234" s="115"/>
      <c r="BD1234" s="115"/>
      <c r="BE1234" s="115"/>
      <c r="BF1234" s="115"/>
      <c r="BG1234" s="115"/>
      <c r="BH1234" s="115"/>
      <c r="BI1234" s="115"/>
      <c r="BJ1234" s="115"/>
      <c r="BK1234" s="115"/>
      <c r="BL1234" s="115"/>
      <c r="BM1234" s="115"/>
      <c r="BN1234" s="115"/>
      <c r="BO1234" s="115"/>
      <c r="BP1234" s="115"/>
    </row>
    <row r="1235" spans="1:68" ht="20.100000000000001" customHeight="1">
      <c r="A1235" s="1229" t="s">
        <v>4536</v>
      </c>
      <c r="B1235" s="1229" t="s">
        <v>4683</v>
      </c>
      <c r="C1235" s="1229" t="s">
        <v>4682</v>
      </c>
      <c r="D1235" s="346">
        <f>D20+100</f>
        <v>950</v>
      </c>
      <c r="E1235" s="346">
        <f>E20+200</f>
        <v>1800</v>
      </c>
      <c r="F1235" s="346">
        <f>F20+200</f>
        <v>1850</v>
      </c>
      <c r="G1235" s="217" t="s">
        <v>4572</v>
      </c>
      <c r="H1235" s="56" t="s">
        <v>4541</v>
      </c>
      <c r="I1235" s="20" t="s">
        <v>4595</v>
      </c>
      <c r="J1235" s="30"/>
      <c r="K1235" s="38"/>
      <c r="L1235" s="116" t="s">
        <v>4539</v>
      </c>
      <c r="M1235" s="15">
        <v>43070</v>
      </c>
      <c r="N1235" s="15">
        <v>43100</v>
      </c>
      <c r="O1235" s="61" t="s">
        <v>4655</v>
      </c>
      <c r="P1235" s="904"/>
      <c r="Q1235" s="7"/>
      <c r="R1235" s="239"/>
      <c r="S1235" s="327" t="s">
        <v>4570</v>
      </c>
      <c r="T1235" s="722"/>
      <c r="U1235" s="42"/>
      <c r="AE1235" s="115"/>
      <c r="AF1235" s="115"/>
      <c r="AG1235" s="115"/>
      <c r="AH1235" s="115"/>
      <c r="AI1235" s="115"/>
      <c r="AJ1235" s="115"/>
      <c r="AK1235" s="115"/>
      <c r="AL1235" s="115"/>
      <c r="AM1235" s="115"/>
      <c r="AN1235" s="115"/>
      <c r="AO1235" s="115"/>
      <c r="AP1235" s="115"/>
      <c r="AQ1235" s="115"/>
      <c r="AR1235" s="115"/>
      <c r="AS1235" s="115"/>
      <c r="AT1235" s="115"/>
      <c r="AU1235" s="115"/>
      <c r="AV1235" s="115"/>
      <c r="AW1235" s="115"/>
      <c r="AX1235" s="115"/>
      <c r="AY1235" s="115"/>
      <c r="AZ1235" s="115"/>
      <c r="BA1235" s="115"/>
      <c r="BB1235" s="115"/>
      <c r="BC1235" s="115"/>
      <c r="BD1235" s="115"/>
      <c r="BE1235" s="115"/>
      <c r="BF1235" s="115"/>
      <c r="BG1235" s="115"/>
      <c r="BH1235" s="115"/>
      <c r="BI1235" s="115"/>
      <c r="BJ1235" s="115"/>
      <c r="BK1235" s="115"/>
      <c r="BL1235" s="115"/>
      <c r="BM1235" s="115"/>
      <c r="BN1235" s="115"/>
      <c r="BO1235" s="115"/>
      <c r="BP1235" s="115"/>
    </row>
    <row r="1236" spans="1:68" ht="20.100000000000001" customHeight="1">
      <c r="A1236" s="1229" t="s">
        <v>4536</v>
      </c>
      <c r="B1236" s="1229" t="s">
        <v>4683</v>
      </c>
      <c r="C1236" s="1229" t="s">
        <v>4682</v>
      </c>
      <c r="D1236" s="196">
        <f>D97+250</f>
        <v>1125</v>
      </c>
      <c r="E1236" s="196">
        <f>E97+300</f>
        <v>1850</v>
      </c>
      <c r="F1236" s="196">
        <f>F97+250</f>
        <v>1850</v>
      </c>
      <c r="G1236" s="217" t="s">
        <v>4575</v>
      </c>
      <c r="H1236" s="48" t="s">
        <v>4541</v>
      </c>
      <c r="I1236" s="38" t="s">
        <v>4540</v>
      </c>
      <c r="J1236" s="30"/>
      <c r="K1236" s="38"/>
      <c r="L1236" s="116" t="s">
        <v>4539</v>
      </c>
      <c r="M1236" s="15">
        <v>43084</v>
      </c>
      <c r="N1236" s="15">
        <v>43100</v>
      </c>
      <c r="O1236" s="61" t="s">
        <v>4573</v>
      </c>
      <c r="P1236" s="904"/>
      <c r="Q1236" s="61" t="s">
        <v>4680</v>
      </c>
      <c r="R1236" s="239"/>
      <c r="S1236" s="328" t="s">
        <v>4543</v>
      </c>
      <c r="T1236" s="722"/>
      <c r="U1236" s="42"/>
      <c r="AE1236" s="276"/>
      <c r="AF1236" s="276"/>
      <c r="AG1236" s="276"/>
      <c r="AH1236" s="276"/>
      <c r="AI1236" s="276"/>
      <c r="AJ1236" s="276"/>
      <c r="AK1236" s="276"/>
      <c r="AL1236" s="276"/>
      <c r="AM1236" s="276"/>
      <c r="AN1236" s="276"/>
      <c r="AO1236" s="276"/>
      <c r="AP1236" s="276"/>
      <c r="AQ1236" s="276"/>
      <c r="AR1236" s="276"/>
      <c r="AS1236" s="276"/>
      <c r="AT1236" s="276"/>
      <c r="AU1236" s="276"/>
      <c r="AV1236" s="276"/>
      <c r="AW1236" s="276"/>
      <c r="AX1236" s="276"/>
      <c r="AY1236" s="276"/>
      <c r="AZ1236" s="276"/>
      <c r="BA1236" s="276"/>
      <c r="BB1236" s="276"/>
      <c r="BC1236" s="276"/>
      <c r="BD1236" s="276"/>
      <c r="BE1236" s="276"/>
      <c r="BF1236" s="276"/>
      <c r="BG1236" s="276"/>
      <c r="BH1236" s="276"/>
      <c r="BI1236" s="276"/>
      <c r="BJ1236" s="276"/>
      <c r="BK1236" s="276"/>
      <c r="BL1236" s="276"/>
      <c r="BM1236" s="276"/>
      <c r="BN1236" s="276"/>
      <c r="BO1236" s="276"/>
      <c r="BP1236" s="276"/>
    </row>
    <row r="1237" spans="1:68" ht="20.100000000000001" customHeight="1">
      <c r="A1237" s="1229" t="s">
        <v>4536</v>
      </c>
      <c r="B1237" s="1229" t="s">
        <v>4683</v>
      </c>
      <c r="C1237" s="1229" t="s">
        <v>4682</v>
      </c>
      <c r="D1237" s="273">
        <f>D211+200+25</f>
        <v>950</v>
      </c>
      <c r="E1237" s="273">
        <f>E211+400+50</f>
        <v>1800</v>
      </c>
      <c r="F1237" s="273">
        <f>F211+400+50</f>
        <v>1850</v>
      </c>
      <c r="G1237" s="110" t="s">
        <v>4566</v>
      </c>
      <c r="H1237" s="69" t="s">
        <v>4556</v>
      </c>
      <c r="I1237" s="38" t="s">
        <v>4595</v>
      </c>
      <c r="J1237" s="30"/>
      <c r="K1237" s="38"/>
      <c r="L1237" s="116" t="s">
        <v>4539</v>
      </c>
      <c r="M1237" s="15">
        <v>43084</v>
      </c>
      <c r="N1237" s="15">
        <v>43100</v>
      </c>
      <c r="O1237" s="59" t="s">
        <v>4674</v>
      </c>
      <c r="P1237" s="61" t="s">
        <v>4679</v>
      </c>
      <c r="Q1237" s="61"/>
      <c r="R1237" s="239"/>
      <c r="S1237" s="327" t="s">
        <v>4561</v>
      </c>
      <c r="T1237" s="722"/>
      <c r="U1237" s="42"/>
      <c r="AE1237" s="115"/>
      <c r="AF1237" s="115"/>
      <c r="AG1237" s="115"/>
      <c r="AH1237" s="115"/>
      <c r="AI1237" s="115"/>
      <c r="AJ1237" s="115"/>
      <c r="AK1237" s="115"/>
      <c r="AL1237" s="115"/>
      <c r="AM1237" s="115"/>
      <c r="AN1237" s="115"/>
      <c r="AO1237" s="115"/>
      <c r="AP1237" s="115"/>
      <c r="AQ1237" s="115"/>
      <c r="AR1237" s="115"/>
      <c r="AS1237" s="115"/>
      <c r="AT1237" s="115"/>
      <c r="AU1237" s="115"/>
      <c r="AV1237" s="115"/>
      <c r="AW1237" s="115"/>
      <c r="AX1237" s="115"/>
      <c r="AY1237" s="115"/>
      <c r="AZ1237" s="115"/>
      <c r="BA1237" s="115"/>
      <c r="BB1237" s="115"/>
      <c r="BC1237" s="115"/>
      <c r="BD1237" s="115"/>
      <c r="BE1237" s="115"/>
      <c r="BF1237" s="115"/>
      <c r="BG1237" s="115"/>
      <c r="BH1237" s="115"/>
      <c r="BI1237" s="115"/>
      <c r="BJ1237" s="115"/>
      <c r="BK1237" s="115"/>
      <c r="BL1237" s="115"/>
      <c r="BM1237" s="115"/>
      <c r="BN1237" s="115"/>
      <c r="BO1237" s="115"/>
      <c r="BP1237" s="115"/>
    </row>
    <row r="1238" spans="1:68" ht="20.100000000000001" customHeight="1">
      <c r="A1238" s="1229" t="s">
        <v>4536</v>
      </c>
      <c r="B1238" s="1229" t="s">
        <v>4683</v>
      </c>
      <c r="C1238" s="1229" t="s">
        <v>4682</v>
      </c>
      <c r="D1238" s="195">
        <f>D43+450+25</f>
        <v>1225</v>
      </c>
      <c r="E1238" s="195">
        <f>E43+600+50</f>
        <v>2050</v>
      </c>
      <c r="F1238" s="195">
        <f>F43+600+50</f>
        <v>2100</v>
      </c>
      <c r="G1238" s="110" t="s">
        <v>4636</v>
      </c>
      <c r="H1238" s="36" t="s">
        <v>4667</v>
      </c>
      <c r="I1238" s="38" t="s">
        <v>4666</v>
      </c>
      <c r="J1238" s="30"/>
      <c r="K1238" s="38"/>
      <c r="L1238" s="116" t="s">
        <v>4539</v>
      </c>
      <c r="M1238" s="6">
        <v>43084</v>
      </c>
      <c r="N1238" s="6">
        <v>43100</v>
      </c>
      <c r="O1238" s="61" t="s">
        <v>4633</v>
      </c>
      <c r="P1238" s="61"/>
      <c r="Q1238" s="61"/>
      <c r="R1238" s="239"/>
      <c r="S1238" s="327" t="s">
        <v>4632</v>
      </c>
      <c r="T1238" s="722"/>
      <c r="U1238" s="42"/>
      <c r="AE1238" s="276"/>
      <c r="AF1238" s="276"/>
      <c r="AG1238" s="276"/>
      <c r="AH1238" s="276"/>
      <c r="AI1238" s="276"/>
      <c r="AJ1238" s="276"/>
      <c r="AK1238" s="276"/>
      <c r="AL1238" s="276"/>
      <c r="AM1238" s="276"/>
      <c r="AN1238" s="276"/>
      <c r="AO1238" s="276"/>
      <c r="AP1238" s="276"/>
      <c r="AQ1238" s="276"/>
      <c r="AR1238" s="276"/>
      <c r="AS1238" s="276"/>
      <c r="AT1238" s="276"/>
      <c r="AU1238" s="276"/>
      <c r="AV1238" s="276"/>
      <c r="AW1238" s="276"/>
      <c r="AX1238" s="276"/>
      <c r="AY1238" s="276"/>
      <c r="AZ1238" s="276"/>
      <c r="BA1238" s="276"/>
      <c r="BB1238" s="276"/>
      <c r="BC1238" s="276"/>
      <c r="BD1238" s="276"/>
      <c r="BE1238" s="276"/>
      <c r="BF1238" s="276"/>
      <c r="BG1238" s="276"/>
      <c r="BH1238" s="276"/>
      <c r="BI1238" s="276"/>
      <c r="BJ1238" s="276"/>
      <c r="BK1238" s="276"/>
      <c r="BL1238" s="276"/>
      <c r="BM1238" s="276"/>
      <c r="BN1238" s="276"/>
      <c r="BO1238" s="276"/>
      <c r="BP1238" s="276"/>
    </row>
    <row r="1239" spans="1:68" ht="20.100000000000001" customHeight="1">
      <c r="A1239" s="1229" t="s">
        <v>4536</v>
      </c>
      <c r="B1239" s="1229" t="s">
        <v>4683</v>
      </c>
      <c r="C1239" s="1229" t="s">
        <v>4682</v>
      </c>
      <c r="D1239" s="195">
        <f>D14+500</f>
        <v>1280</v>
      </c>
      <c r="E1239" s="195">
        <f>E14+400</f>
        <v>1857</v>
      </c>
      <c r="F1239" s="195">
        <f>F14+400</f>
        <v>1857</v>
      </c>
      <c r="G1239" s="225" t="s">
        <v>4569</v>
      </c>
      <c r="H1239" s="69" t="s">
        <v>4602</v>
      </c>
      <c r="I1239" s="38" t="s">
        <v>4595</v>
      </c>
      <c r="J1239" s="30"/>
      <c r="K1239" s="38" t="s">
        <v>4546</v>
      </c>
      <c r="L1239" s="116" t="s">
        <v>4539</v>
      </c>
      <c r="M1239" s="6">
        <v>43074</v>
      </c>
      <c r="N1239" s="6">
        <v>43084</v>
      </c>
      <c r="O1239" s="61" t="s">
        <v>4664</v>
      </c>
      <c r="P1239" s="61"/>
      <c r="Q1239" s="61"/>
      <c r="R1239" s="239"/>
      <c r="S1239" s="328" t="s">
        <v>4543</v>
      </c>
      <c r="T1239" s="722"/>
      <c r="U1239" s="42"/>
      <c r="AE1239" s="276"/>
      <c r="AF1239" s="276"/>
      <c r="AG1239" s="276"/>
      <c r="AH1239" s="276"/>
      <c r="AI1239" s="276"/>
      <c r="AJ1239" s="276"/>
      <c r="AK1239" s="276"/>
      <c r="AL1239" s="276"/>
      <c r="AM1239" s="276"/>
      <c r="AN1239" s="276"/>
      <c r="AO1239" s="276"/>
      <c r="AP1239" s="276"/>
      <c r="AQ1239" s="276"/>
      <c r="AR1239" s="276"/>
      <c r="AS1239" s="276"/>
      <c r="AT1239" s="276"/>
      <c r="AU1239" s="276"/>
      <c r="AV1239" s="276"/>
      <c r="AW1239" s="276"/>
      <c r="AX1239" s="276"/>
      <c r="AY1239" s="276"/>
      <c r="AZ1239" s="276"/>
      <c r="BA1239" s="276"/>
      <c r="BB1239" s="276"/>
      <c r="BC1239" s="276"/>
      <c r="BD1239" s="276"/>
      <c r="BE1239" s="276"/>
      <c r="BF1239" s="276"/>
      <c r="BG1239" s="276"/>
      <c r="BH1239" s="276"/>
      <c r="BI1239" s="276"/>
      <c r="BJ1239" s="276"/>
      <c r="BK1239" s="276"/>
      <c r="BL1239" s="276"/>
      <c r="BM1239" s="276"/>
      <c r="BN1239" s="276"/>
      <c r="BO1239" s="276"/>
      <c r="BP1239" s="276"/>
    </row>
    <row r="1240" spans="1:68" ht="20.100000000000001" customHeight="1">
      <c r="A1240" s="1229" t="s">
        <v>4536</v>
      </c>
      <c r="B1240" s="1229" t="s">
        <v>4683</v>
      </c>
      <c r="C1240" s="1229" t="s">
        <v>4682</v>
      </c>
      <c r="D1240" s="195">
        <f>D11+650</f>
        <v>1400</v>
      </c>
      <c r="E1240" s="195">
        <f>E11+850</f>
        <v>2250</v>
      </c>
      <c r="F1240" s="195">
        <f>F11+850</f>
        <v>2250</v>
      </c>
      <c r="G1240" s="225" t="s">
        <v>4557</v>
      </c>
      <c r="H1240" s="69" t="s">
        <v>4556</v>
      </c>
      <c r="I1240" s="38" t="s">
        <v>4595</v>
      </c>
      <c r="J1240" s="30"/>
      <c r="K1240" s="38"/>
      <c r="L1240" s="116" t="s">
        <v>4539</v>
      </c>
      <c r="M1240" s="6">
        <v>43084</v>
      </c>
      <c r="N1240" s="6">
        <v>43100</v>
      </c>
      <c r="O1240" s="61" t="s">
        <v>4555</v>
      </c>
      <c r="P1240" s="61"/>
      <c r="Q1240" s="7"/>
      <c r="R1240" s="239" t="s">
        <v>4554</v>
      </c>
      <c r="S1240" s="326" t="s">
        <v>4543</v>
      </c>
      <c r="T1240" s="722"/>
      <c r="U1240" s="42"/>
      <c r="AE1240" s="115"/>
      <c r="AF1240" s="115"/>
      <c r="AG1240" s="115"/>
      <c r="AH1240" s="115"/>
      <c r="AI1240" s="115"/>
      <c r="AJ1240" s="115"/>
      <c r="AK1240" s="115"/>
      <c r="AL1240" s="115"/>
      <c r="AM1240" s="115"/>
      <c r="AN1240" s="115"/>
      <c r="AO1240" s="115"/>
      <c r="AP1240" s="115"/>
      <c r="AQ1240" s="115"/>
      <c r="AR1240" s="115"/>
      <c r="AS1240" s="115"/>
      <c r="AT1240" s="115"/>
      <c r="AU1240" s="115"/>
      <c r="AV1240" s="115"/>
      <c r="AW1240" s="115"/>
      <c r="AX1240" s="115"/>
      <c r="AY1240" s="115"/>
      <c r="AZ1240" s="115"/>
      <c r="BA1240" s="115"/>
      <c r="BB1240" s="115"/>
      <c r="BC1240" s="115"/>
      <c r="BD1240" s="115"/>
      <c r="BE1240" s="115"/>
      <c r="BF1240" s="115"/>
      <c r="BG1240" s="115"/>
      <c r="BH1240" s="115"/>
      <c r="BI1240" s="115"/>
      <c r="BJ1240" s="115"/>
      <c r="BK1240" s="115"/>
      <c r="BL1240" s="115"/>
      <c r="BM1240" s="115"/>
      <c r="BN1240" s="115"/>
      <c r="BO1240" s="115"/>
      <c r="BP1240" s="115"/>
    </row>
    <row r="1241" spans="1:68" ht="20.100000000000001" customHeight="1">
      <c r="A1241" s="1229" t="s">
        <v>4536</v>
      </c>
      <c r="B1241" s="1229" t="s">
        <v>4683</v>
      </c>
      <c r="C1241" s="1229" t="s">
        <v>4682</v>
      </c>
      <c r="D1241" s="195">
        <f>D120+75</f>
        <v>975</v>
      </c>
      <c r="E1241" s="195">
        <f>E120+125</f>
        <v>1725</v>
      </c>
      <c r="F1241" s="195">
        <f>F120+125</f>
        <v>1775</v>
      </c>
      <c r="G1241" s="110" t="s">
        <v>4553</v>
      </c>
      <c r="H1241" s="56" t="s">
        <v>4552</v>
      </c>
      <c r="I1241" s="38" t="s">
        <v>4639</v>
      </c>
      <c r="J1241" s="30"/>
      <c r="K1241" s="38">
        <v>46</v>
      </c>
      <c r="L1241" s="116" t="s">
        <v>4539</v>
      </c>
      <c r="M1241" s="6">
        <v>43085</v>
      </c>
      <c r="N1241" s="6">
        <v>43100</v>
      </c>
      <c r="O1241" s="61" t="s">
        <v>4673</v>
      </c>
      <c r="P1241" s="61"/>
      <c r="Q1241" s="61"/>
      <c r="R1241" s="239"/>
      <c r="S1241" s="328" t="s">
        <v>4543</v>
      </c>
      <c r="T1241" s="722"/>
      <c r="U1241" s="42"/>
      <c r="AE1241" s="115"/>
      <c r="AF1241" s="115"/>
      <c r="AG1241" s="115"/>
      <c r="AH1241" s="115"/>
      <c r="AI1241" s="115"/>
      <c r="AJ1241" s="115"/>
      <c r="AK1241" s="115"/>
      <c r="AL1241" s="115"/>
      <c r="AM1241" s="115"/>
      <c r="AN1241" s="115"/>
      <c r="AO1241" s="115"/>
      <c r="AP1241" s="115"/>
      <c r="AQ1241" s="115"/>
      <c r="AR1241" s="115"/>
      <c r="AS1241" s="115"/>
      <c r="AT1241" s="115"/>
      <c r="AU1241" s="115"/>
      <c r="AV1241" s="115"/>
      <c r="AW1241" s="115"/>
      <c r="AX1241" s="115"/>
      <c r="AY1241" s="115"/>
      <c r="AZ1241" s="115"/>
      <c r="BA1241" s="115"/>
      <c r="BB1241" s="115"/>
      <c r="BC1241" s="115"/>
      <c r="BD1241" s="115"/>
      <c r="BE1241" s="115"/>
      <c r="BF1241" s="115"/>
      <c r="BG1241" s="115"/>
      <c r="BH1241" s="115"/>
      <c r="BI1241" s="115"/>
      <c r="BJ1241" s="115"/>
      <c r="BK1241" s="115"/>
      <c r="BL1241" s="115"/>
      <c r="BM1241" s="115"/>
      <c r="BN1241" s="115"/>
      <c r="BO1241" s="115"/>
      <c r="BP1241" s="115"/>
    </row>
    <row r="1242" spans="1:68" ht="20.100000000000001" customHeight="1">
      <c r="A1242" s="1229" t="s">
        <v>4536</v>
      </c>
      <c r="B1242" s="1229" t="s">
        <v>4683</v>
      </c>
      <c r="C1242" s="1229" t="s">
        <v>4682</v>
      </c>
      <c r="D1242" s="195">
        <f>D19+575+25</f>
        <v>1375</v>
      </c>
      <c r="E1242" s="195">
        <f>E19+950+50</f>
        <v>2450</v>
      </c>
      <c r="F1242" s="195">
        <f>F19+950+50</f>
        <v>2500</v>
      </c>
      <c r="G1242" s="12" t="s">
        <v>4542</v>
      </c>
      <c r="H1242" s="69" t="s">
        <v>4541</v>
      </c>
      <c r="I1242" s="38" t="s">
        <v>4595</v>
      </c>
      <c r="J1242" s="30"/>
      <c r="K1242" s="38"/>
      <c r="L1242" s="116" t="s">
        <v>4539</v>
      </c>
      <c r="M1242" s="15">
        <v>43084</v>
      </c>
      <c r="N1242" s="15">
        <v>43100</v>
      </c>
      <c r="O1242" s="61" t="s">
        <v>4538</v>
      </c>
      <c r="P1242" s="61"/>
      <c r="Q1242" s="61"/>
      <c r="R1242" s="239"/>
      <c r="S1242" s="326" t="s">
        <v>4537</v>
      </c>
      <c r="T1242" s="722"/>
      <c r="U1242" s="42"/>
      <c r="AE1242" s="115"/>
      <c r="AF1242" s="115"/>
      <c r="AG1242" s="115"/>
      <c r="AH1242" s="115"/>
      <c r="AI1242" s="115"/>
      <c r="AJ1242" s="115"/>
      <c r="AK1242" s="115"/>
      <c r="AL1242" s="115"/>
      <c r="AM1242" s="115"/>
      <c r="AN1242" s="115"/>
      <c r="AO1242" s="115"/>
      <c r="AP1242" s="115"/>
      <c r="AQ1242" s="115"/>
      <c r="AR1242" s="115"/>
      <c r="AS1242" s="115"/>
      <c r="AT1242" s="115"/>
      <c r="AU1242" s="115"/>
      <c r="AV1242" s="115"/>
      <c r="AW1242" s="115"/>
      <c r="AX1242" s="115"/>
      <c r="AY1242" s="115"/>
      <c r="AZ1242" s="115"/>
      <c r="BA1242" s="115"/>
      <c r="BB1242" s="115"/>
      <c r="BC1242" s="115"/>
      <c r="BD1242" s="115"/>
      <c r="BE1242" s="115"/>
      <c r="BF1242" s="115"/>
      <c r="BG1242" s="115"/>
      <c r="BH1242" s="115"/>
      <c r="BI1242" s="115"/>
      <c r="BJ1242" s="115"/>
      <c r="BK1242" s="115"/>
      <c r="BL1242" s="115"/>
      <c r="BM1242" s="115"/>
      <c r="BN1242" s="115"/>
      <c r="BO1242" s="115"/>
      <c r="BP1242" s="115"/>
    </row>
    <row r="1243" spans="1:68" ht="20.100000000000001" customHeight="1">
      <c r="A1243" s="1229" t="s">
        <v>4536</v>
      </c>
      <c r="B1243" s="1229" t="s">
        <v>4683</v>
      </c>
      <c r="C1243" s="1229" t="s">
        <v>4682</v>
      </c>
      <c r="D1243" s="195">
        <f>D65+500</f>
        <v>1300</v>
      </c>
      <c r="E1243" s="195">
        <f>E65+700</f>
        <v>2200</v>
      </c>
      <c r="F1243" s="195">
        <f>F65+700</f>
        <v>2250</v>
      </c>
      <c r="G1243" s="12" t="s">
        <v>4645</v>
      </c>
      <c r="H1243" s="48" t="s">
        <v>4556</v>
      </c>
      <c r="I1243" s="38" t="s">
        <v>4540</v>
      </c>
      <c r="J1243" s="30"/>
      <c r="K1243" s="38" t="s">
        <v>4681</v>
      </c>
      <c r="L1243" s="116" t="s">
        <v>4539</v>
      </c>
      <c r="M1243" s="6">
        <v>43084</v>
      </c>
      <c r="N1243" s="6">
        <v>43100</v>
      </c>
      <c r="O1243" s="61" t="s">
        <v>4643</v>
      </c>
      <c r="P1243" s="61"/>
      <c r="Q1243" s="61"/>
      <c r="R1243" s="239"/>
      <c r="S1243" s="326" t="s">
        <v>4641</v>
      </c>
      <c r="T1243" s="722"/>
      <c r="U1243" s="42"/>
      <c r="AE1243" s="115"/>
      <c r="AF1243" s="115"/>
      <c r="AG1243" s="115"/>
      <c r="AH1243" s="115"/>
      <c r="AI1243" s="115"/>
      <c r="AJ1243" s="115"/>
      <c r="AK1243" s="115"/>
      <c r="AL1243" s="115"/>
      <c r="AM1243" s="115"/>
      <c r="AN1243" s="115"/>
      <c r="AO1243" s="115"/>
      <c r="AP1243" s="115"/>
      <c r="AQ1243" s="115"/>
      <c r="AR1243" s="115"/>
      <c r="AS1243" s="115"/>
      <c r="AT1243" s="115"/>
      <c r="AU1243" s="115"/>
      <c r="AV1243" s="115"/>
      <c r="AW1243" s="115"/>
      <c r="AX1243" s="115"/>
      <c r="AY1243" s="115"/>
      <c r="AZ1243" s="115"/>
      <c r="BA1243" s="115"/>
      <c r="BB1243" s="115"/>
      <c r="BC1243" s="115"/>
      <c r="BD1243" s="115"/>
      <c r="BE1243" s="115"/>
      <c r="BF1243" s="115"/>
      <c r="BG1243" s="115"/>
      <c r="BH1243" s="115"/>
      <c r="BI1243" s="115"/>
      <c r="BJ1243" s="115"/>
      <c r="BK1243" s="115"/>
      <c r="BL1243" s="115"/>
      <c r="BM1243" s="115"/>
      <c r="BN1243" s="115"/>
      <c r="BO1243" s="115"/>
      <c r="BP1243" s="115"/>
    </row>
    <row r="1244" spans="1:68" ht="20.100000000000001" customHeight="1">
      <c r="A1244" s="1229" t="s">
        <v>4536</v>
      </c>
      <c r="B1244" s="1229" t="s">
        <v>4678</v>
      </c>
      <c r="C1244" s="1229" t="s">
        <v>4677</v>
      </c>
      <c r="D1244" s="346">
        <f>D20+100</f>
        <v>950</v>
      </c>
      <c r="E1244" s="346">
        <f>E20+200</f>
        <v>1800</v>
      </c>
      <c r="F1244" s="346">
        <f>F20+200</f>
        <v>1850</v>
      </c>
      <c r="G1244" s="217" t="s">
        <v>4572</v>
      </c>
      <c r="H1244" s="56" t="s">
        <v>4541</v>
      </c>
      <c r="I1244" s="20" t="s">
        <v>4595</v>
      </c>
      <c r="J1244" s="30"/>
      <c r="K1244" s="38"/>
      <c r="L1244" s="116" t="s">
        <v>4539</v>
      </c>
      <c r="M1244" s="15">
        <v>43070</v>
      </c>
      <c r="N1244" s="15">
        <v>43100</v>
      </c>
      <c r="O1244" s="61" t="s">
        <v>4655</v>
      </c>
      <c r="P1244" s="61"/>
      <c r="Q1244" s="7"/>
      <c r="R1244" s="239"/>
      <c r="S1244" s="327" t="s">
        <v>4570</v>
      </c>
      <c r="T1244" s="722"/>
      <c r="U1244" s="42"/>
      <c r="AE1244" s="115"/>
      <c r="AF1244" s="115"/>
      <c r="AG1244" s="115"/>
      <c r="AH1244" s="115"/>
      <c r="AI1244" s="115"/>
      <c r="AJ1244" s="115"/>
      <c r="AK1244" s="115"/>
      <c r="AL1244" s="115"/>
      <c r="AM1244" s="115"/>
      <c r="AN1244" s="115"/>
      <c r="AO1244" s="115"/>
      <c r="AP1244" s="115"/>
      <c r="AQ1244" s="115"/>
      <c r="AR1244" s="115"/>
      <c r="AS1244" s="115"/>
      <c r="AT1244" s="115"/>
      <c r="AU1244" s="115"/>
      <c r="AV1244" s="115"/>
      <c r="AW1244" s="115"/>
      <c r="AX1244" s="115"/>
      <c r="AY1244" s="115"/>
      <c r="AZ1244" s="115"/>
      <c r="BA1244" s="115"/>
      <c r="BB1244" s="115"/>
      <c r="BC1244" s="115"/>
      <c r="BD1244" s="115"/>
      <c r="BE1244" s="115"/>
      <c r="BF1244" s="115"/>
      <c r="BG1244" s="115"/>
      <c r="BH1244" s="115"/>
      <c r="BI1244" s="115"/>
      <c r="BJ1244" s="115"/>
      <c r="BK1244" s="115"/>
      <c r="BL1244" s="115"/>
      <c r="BM1244" s="115"/>
      <c r="BN1244" s="115"/>
      <c r="BO1244" s="115"/>
      <c r="BP1244" s="115"/>
    </row>
    <row r="1245" spans="1:68" ht="20.100000000000001" customHeight="1">
      <c r="A1245" s="1229" t="s">
        <v>4536</v>
      </c>
      <c r="B1245" s="1229" t="s">
        <v>4678</v>
      </c>
      <c r="C1245" s="1229" t="s">
        <v>4677</v>
      </c>
      <c r="D1245" s="366">
        <f>D97+100</f>
        <v>975</v>
      </c>
      <c r="E1245" s="366">
        <f>E97+50</f>
        <v>1600</v>
      </c>
      <c r="F1245" s="366">
        <f>F97+0</f>
        <v>1600</v>
      </c>
      <c r="G1245" s="217" t="s">
        <v>4575</v>
      </c>
      <c r="H1245" s="48" t="s">
        <v>4541</v>
      </c>
      <c r="I1245" s="38" t="s">
        <v>4540</v>
      </c>
      <c r="J1245" s="30"/>
      <c r="K1245" s="38"/>
      <c r="L1245" s="116" t="s">
        <v>4539</v>
      </c>
      <c r="M1245" s="15">
        <v>43084</v>
      </c>
      <c r="N1245" s="15">
        <v>43100</v>
      </c>
      <c r="O1245" s="61" t="s">
        <v>4573</v>
      </c>
      <c r="P1245" s="61"/>
      <c r="Q1245" s="61" t="s">
        <v>4680</v>
      </c>
      <c r="R1245" s="239"/>
      <c r="S1245" s="328" t="s">
        <v>4543</v>
      </c>
      <c r="T1245" s="722"/>
      <c r="U1245" s="42"/>
      <c r="AE1245" s="115"/>
      <c r="AF1245" s="115"/>
      <c r="AG1245" s="115"/>
      <c r="AH1245" s="115"/>
      <c r="AI1245" s="115"/>
      <c r="AJ1245" s="115"/>
      <c r="AK1245" s="115"/>
      <c r="AL1245" s="115"/>
      <c r="AM1245" s="115"/>
      <c r="AN1245" s="115"/>
      <c r="AO1245" s="115"/>
      <c r="AP1245" s="115"/>
      <c r="AQ1245" s="115"/>
      <c r="AR1245" s="115"/>
      <c r="AS1245" s="115"/>
      <c r="AT1245" s="115"/>
      <c r="AU1245" s="115"/>
      <c r="AV1245" s="115"/>
      <c r="AW1245" s="115"/>
      <c r="AX1245" s="115"/>
      <c r="AY1245" s="115"/>
      <c r="AZ1245" s="115"/>
      <c r="BA1245" s="115"/>
      <c r="BB1245" s="115"/>
      <c r="BC1245" s="115"/>
      <c r="BD1245" s="115"/>
      <c r="BE1245" s="115"/>
      <c r="BF1245" s="115"/>
      <c r="BG1245" s="115"/>
      <c r="BH1245" s="115"/>
      <c r="BI1245" s="115"/>
      <c r="BJ1245" s="115"/>
      <c r="BK1245" s="115"/>
      <c r="BL1245" s="115"/>
      <c r="BM1245" s="115"/>
      <c r="BN1245" s="115"/>
      <c r="BO1245" s="115"/>
      <c r="BP1245" s="115"/>
    </row>
    <row r="1246" spans="1:68" ht="20.100000000000001" customHeight="1">
      <c r="A1246" s="1229" t="s">
        <v>4536</v>
      </c>
      <c r="B1246" s="1229" t="s">
        <v>4678</v>
      </c>
      <c r="C1246" s="1229" t="s">
        <v>4677</v>
      </c>
      <c r="D1246" s="273">
        <f>D211+400+25</f>
        <v>1150</v>
      </c>
      <c r="E1246" s="273">
        <f>E211+700+50</f>
        <v>2100</v>
      </c>
      <c r="F1246" s="273">
        <f>F211+700+50</f>
        <v>2150</v>
      </c>
      <c r="G1246" s="110" t="s">
        <v>4566</v>
      </c>
      <c r="H1246" s="69" t="s">
        <v>4556</v>
      </c>
      <c r="I1246" s="38" t="s">
        <v>4595</v>
      </c>
      <c r="J1246" s="30"/>
      <c r="K1246" s="38"/>
      <c r="L1246" s="116" t="s">
        <v>4539</v>
      </c>
      <c r="M1246" s="15">
        <v>43084</v>
      </c>
      <c r="N1246" s="15">
        <v>43100</v>
      </c>
      <c r="O1246" s="59" t="s">
        <v>4674</v>
      </c>
      <c r="P1246" s="61" t="s">
        <v>4679</v>
      </c>
      <c r="Q1246" s="61"/>
      <c r="R1246" s="239"/>
      <c r="S1246" s="327" t="s">
        <v>4561</v>
      </c>
      <c r="T1246" s="722"/>
      <c r="U1246" s="42"/>
      <c r="AE1246" s="115"/>
      <c r="AF1246" s="115"/>
      <c r="AG1246" s="115"/>
      <c r="AH1246" s="115"/>
      <c r="AI1246" s="115"/>
      <c r="AJ1246" s="115"/>
      <c r="AK1246" s="115"/>
      <c r="AL1246" s="115"/>
      <c r="AM1246" s="115"/>
      <c r="AN1246" s="115"/>
      <c r="AO1246" s="115"/>
      <c r="AP1246" s="115"/>
      <c r="AQ1246" s="115"/>
      <c r="AR1246" s="115"/>
      <c r="AS1246" s="115"/>
      <c r="AT1246" s="115"/>
      <c r="AU1246" s="115"/>
      <c r="AV1246" s="115"/>
      <c r="AW1246" s="115"/>
      <c r="AX1246" s="115"/>
      <c r="AY1246" s="115"/>
      <c r="AZ1246" s="115"/>
      <c r="BA1246" s="115"/>
      <c r="BB1246" s="115"/>
      <c r="BC1246" s="115"/>
      <c r="BD1246" s="115"/>
      <c r="BE1246" s="115"/>
      <c r="BF1246" s="115"/>
      <c r="BG1246" s="115"/>
      <c r="BH1246" s="115"/>
      <c r="BI1246" s="115"/>
      <c r="BJ1246" s="115"/>
      <c r="BK1246" s="115"/>
      <c r="BL1246" s="115"/>
      <c r="BM1246" s="115"/>
      <c r="BN1246" s="115"/>
      <c r="BO1246" s="115"/>
      <c r="BP1246" s="115"/>
    </row>
    <row r="1247" spans="1:68" ht="20.100000000000001" customHeight="1">
      <c r="A1247" s="1229" t="s">
        <v>4536</v>
      </c>
      <c r="B1247" s="1229" t="s">
        <v>4678</v>
      </c>
      <c r="C1247" s="1229" t="s">
        <v>4677</v>
      </c>
      <c r="D1247" s="195">
        <f>D43+450+25</f>
        <v>1225</v>
      </c>
      <c r="E1247" s="195">
        <f>E43+600+50</f>
        <v>2050</v>
      </c>
      <c r="F1247" s="195">
        <f>F43+600+50</f>
        <v>2100</v>
      </c>
      <c r="G1247" s="110" t="s">
        <v>4636</v>
      </c>
      <c r="H1247" s="36" t="s">
        <v>4667</v>
      </c>
      <c r="I1247" s="38" t="s">
        <v>4666</v>
      </c>
      <c r="J1247" s="30"/>
      <c r="K1247" s="38"/>
      <c r="L1247" s="116" t="s">
        <v>4539</v>
      </c>
      <c r="M1247" s="6">
        <v>43084</v>
      </c>
      <c r="N1247" s="6">
        <v>43100</v>
      </c>
      <c r="O1247" s="61" t="s">
        <v>4633</v>
      </c>
      <c r="P1247" s="61"/>
      <c r="Q1247" s="61"/>
      <c r="R1247" s="239"/>
      <c r="S1247" s="327" t="s">
        <v>4632</v>
      </c>
      <c r="T1247" s="722"/>
      <c r="U1247" s="42"/>
      <c r="AE1247" s="115"/>
      <c r="AF1247" s="115"/>
      <c r="AG1247" s="115"/>
      <c r="AH1247" s="115"/>
      <c r="AI1247" s="115"/>
      <c r="AJ1247" s="115"/>
      <c r="AK1247" s="115"/>
      <c r="AL1247" s="115"/>
      <c r="AM1247" s="115"/>
      <c r="AN1247" s="115"/>
      <c r="AO1247" s="115"/>
      <c r="AP1247" s="115"/>
      <c r="AQ1247" s="115"/>
      <c r="AR1247" s="115"/>
      <c r="AS1247" s="115"/>
      <c r="AT1247" s="115"/>
      <c r="AU1247" s="115"/>
      <c r="AV1247" s="115"/>
      <c r="AW1247" s="115"/>
      <c r="AX1247" s="115"/>
      <c r="AY1247" s="115"/>
      <c r="AZ1247" s="115"/>
      <c r="BA1247" s="115"/>
      <c r="BB1247" s="115"/>
      <c r="BC1247" s="115"/>
      <c r="BD1247" s="115"/>
      <c r="BE1247" s="115"/>
      <c r="BF1247" s="115"/>
      <c r="BG1247" s="115"/>
      <c r="BH1247" s="115"/>
      <c r="BI1247" s="115"/>
      <c r="BJ1247" s="115"/>
      <c r="BK1247" s="115"/>
      <c r="BL1247" s="115"/>
      <c r="BM1247" s="115"/>
      <c r="BN1247" s="115"/>
      <c r="BO1247" s="115"/>
      <c r="BP1247" s="115"/>
    </row>
    <row r="1248" spans="1:68" ht="20.100000000000001" customHeight="1">
      <c r="A1248" s="1229" t="s">
        <v>4536</v>
      </c>
      <c r="B1248" s="1229" t="s">
        <v>4678</v>
      </c>
      <c r="C1248" s="1229" t="s">
        <v>4677</v>
      </c>
      <c r="D1248" s="195">
        <f>D14+500</f>
        <v>1280</v>
      </c>
      <c r="E1248" s="195">
        <f>E14+600</f>
        <v>2057</v>
      </c>
      <c r="F1248" s="195">
        <f>F14+600</f>
        <v>2057</v>
      </c>
      <c r="G1248" s="225" t="s">
        <v>4569</v>
      </c>
      <c r="H1248" s="69" t="s">
        <v>4602</v>
      </c>
      <c r="I1248" s="38" t="s">
        <v>4595</v>
      </c>
      <c r="J1248" s="30"/>
      <c r="K1248" s="38" t="s">
        <v>4546</v>
      </c>
      <c r="L1248" s="116" t="s">
        <v>4539</v>
      </c>
      <c r="M1248" s="6">
        <v>43074</v>
      </c>
      <c r="N1248" s="6">
        <v>43084</v>
      </c>
      <c r="O1248" s="61" t="s">
        <v>4664</v>
      </c>
      <c r="P1248" s="61"/>
      <c r="Q1248" s="61"/>
      <c r="R1248" s="239"/>
      <c r="S1248" s="328" t="s">
        <v>4543</v>
      </c>
      <c r="T1248" s="722"/>
      <c r="U1248" s="42"/>
      <c r="AE1248" s="115"/>
      <c r="AF1248" s="115"/>
      <c r="AG1248" s="115"/>
      <c r="AH1248" s="115"/>
      <c r="AI1248" s="115"/>
      <c r="AJ1248" s="115"/>
      <c r="AK1248" s="115"/>
      <c r="AL1248" s="115"/>
      <c r="AM1248" s="115"/>
      <c r="AN1248" s="115"/>
      <c r="AO1248" s="115"/>
      <c r="AP1248" s="115"/>
      <c r="AQ1248" s="115"/>
      <c r="AR1248" s="115"/>
      <c r="AS1248" s="115"/>
      <c r="AT1248" s="115"/>
      <c r="AU1248" s="115"/>
      <c r="AV1248" s="115"/>
      <c r="AW1248" s="115"/>
      <c r="AX1248" s="115"/>
      <c r="AY1248" s="115"/>
      <c r="AZ1248" s="115"/>
      <c r="BA1248" s="115"/>
      <c r="BB1248" s="115"/>
      <c r="BC1248" s="115"/>
      <c r="BD1248" s="115"/>
      <c r="BE1248" s="115"/>
      <c r="BF1248" s="115"/>
      <c r="BG1248" s="115"/>
      <c r="BH1248" s="115"/>
      <c r="BI1248" s="115"/>
      <c r="BJ1248" s="115"/>
      <c r="BK1248" s="115"/>
      <c r="BL1248" s="115"/>
      <c r="BM1248" s="115"/>
      <c r="BN1248" s="115"/>
      <c r="BO1248" s="115"/>
      <c r="BP1248" s="115"/>
    </row>
    <row r="1249" spans="1:68" ht="20.100000000000001" customHeight="1">
      <c r="A1249" s="1229" t="s">
        <v>4536</v>
      </c>
      <c r="B1249" s="1229" t="s">
        <v>4678</v>
      </c>
      <c r="C1249" s="1229" t="s">
        <v>4677</v>
      </c>
      <c r="D1249" s="195">
        <f>D11+550</f>
        <v>1300</v>
      </c>
      <c r="E1249" s="195">
        <f>E11+900</f>
        <v>2300</v>
      </c>
      <c r="F1249" s="195">
        <f>F11+900</f>
        <v>2300</v>
      </c>
      <c r="G1249" s="225" t="s">
        <v>4557</v>
      </c>
      <c r="H1249" s="69" t="s">
        <v>4556</v>
      </c>
      <c r="I1249" s="38" t="s">
        <v>4595</v>
      </c>
      <c r="J1249" s="30"/>
      <c r="K1249" s="38"/>
      <c r="L1249" s="116" t="s">
        <v>4539</v>
      </c>
      <c r="M1249" s="6">
        <v>43084</v>
      </c>
      <c r="N1249" s="6">
        <v>43100</v>
      </c>
      <c r="O1249" s="61" t="s">
        <v>4555</v>
      </c>
      <c r="P1249" s="61"/>
      <c r="Q1249" s="7"/>
      <c r="R1249" s="239" t="s">
        <v>4554</v>
      </c>
      <c r="S1249" s="326" t="s">
        <v>4543</v>
      </c>
      <c r="T1249" s="722"/>
      <c r="U1249" s="42"/>
      <c r="AE1249" s="115"/>
      <c r="AF1249" s="115"/>
      <c r="AG1249" s="115"/>
      <c r="AH1249" s="115"/>
      <c r="AI1249" s="115"/>
      <c r="AJ1249" s="115"/>
      <c r="AK1249" s="115"/>
      <c r="AL1249" s="115"/>
      <c r="AM1249" s="115"/>
      <c r="AN1249" s="115"/>
      <c r="AO1249" s="115"/>
      <c r="AP1249" s="115"/>
      <c r="AQ1249" s="115"/>
      <c r="AR1249" s="115"/>
      <c r="AS1249" s="115"/>
      <c r="AT1249" s="115"/>
      <c r="AU1249" s="115"/>
      <c r="AV1249" s="115"/>
      <c r="AW1249" s="115"/>
      <c r="AX1249" s="115"/>
      <c r="AY1249" s="115"/>
      <c r="AZ1249" s="115"/>
      <c r="BA1249" s="115"/>
      <c r="BB1249" s="115"/>
      <c r="BC1249" s="115"/>
      <c r="BD1249" s="115"/>
      <c r="BE1249" s="115"/>
      <c r="BF1249" s="115"/>
      <c r="BG1249" s="115"/>
      <c r="BH1249" s="115"/>
      <c r="BI1249" s="115"/>
      <c r="BJ1249" s="115"/>
      <c r="BK1249" s="115"/>
      <c r="BL1249" s="115"/>
      <c r="BM1249" s="115"/>
      <c r="BN1249" s="115"/>
      <c r="BO1249" s="115"/>
      <c r="BP1249" s="115"/>
    </row>
    <row r="1250" spans="1:68" ht="20.100000000000001" customHeight="1">
      <c r="A1250" s="1229" t="s">
        <v>4536</v>
      </c>
      <c r="B1250" s="1229" t="s">
        <v>4678</v>
      </c>
      <c r="C1250" s="1229" t="s">
        <v>4677</v>
      </c>
      <c r="D1250" s="195">
        <f>D120+75</f>
        <v>975</v>
      </c>
      <c r="E1250" s="195">
        <f>E120+125</f>
        <v>1725</v>
      </c>
      <c r="F1250" s="195">
        <f>F120+125</f>
        <v>1775</v>
      </c>
      <c r="G1250" s="110" t="s">
        <v>4553</v>
      </c>
      <c r="H1250" s="56" t="s">
        <v>4552</v>
      </c>
      <c r="I1250" s="38" t="s">
        <v>4639</v>
      </c>
      <c r="J1250" s="30"/>
      <c r="K1250" s="38">
        <v>43</v>
      </c>
      <c r="L1250" s="116" t="s">
        <v>4539</v>
      </c>
      <c r="M1250" s="6">
        <v>43085</v>
      </c>
      <c r="N1250" s="6">
        <v>43100</v>
      </c>
      <c r="O1250" s="61" t="s">
        <v>4673</v>
      </c>
      <c r="P1250" s="60"/>
      <c r="Q1250" s="60"/>
      <c r="R1250" s="239"/>
      <c r="S1250" s="328" t="s">
        <v>4543</v>
      </c>
      <c r="T1250" s="722"/>
      <c r="U1250" s="42"/>
      <c r="AE1250" s="115"/>
      <c r="AF1250" s="115"/>
      <c r="AG1250" s="115"/>
      <c r="AH1250" s="115"/>
      <c r="AI1250" s="115"/>
      <c r="AJ1250" s="115"/>
      <c r="AK1250" s="115"/>
      <c r="AL1250" s="115"/>
      <c r="AM1250" s="115"/>
      <c r="AN1250" s="115"/>
      <c r="AO1250" s="115"/>
      <c r="AP1250" s="115"/>
      <c r="AQ1250" s="115"/>
      <c r="AR1250" s="115"/>
      <c r="AS1250" s="115"/>
      <c r="AT1250" s="115"/>
      <c r="AU1250" s="115"/>
      <c r="AV1250" s="115"/>
      <c r="AW1250" s="115"/>
      <c r="AX1250" s="115"/>
      <c r="AY1250" s="115"/>
      <c r="AZ1250" s="115"/>
      <c r="BA1250" s="115"/>
      <c r="BB1250" s="115"/>
      <c r="BC1250" s="115"/>
      <c r="BD1250" s="115"/>
      <c r="BE1250" s="115"/>
      <c r="BF1250" s="115"/>
      <c r="BG1250" s="115"/>
      <c r="BH1250" s="115"/>
      <c r="BI1250" s="115"/>
      <c r="BJ1250" s="115"/>
      <c r="BK1250" s="115"/>
      <c r="BL1250" s="115"/>
      <c r="BM1250" s="115"/>
      <c r="BN1250" s="115"/>
      <c r="BO1250" s="115"/>
      <c r="BP1250" s="115"/>
    </row>
    <row r="1251" spans="1:68" ht="20.100000000000001" customHeight="1">
      <c r="A1251" s="1229" t="s">
        <v>4536</v>
      </c>
      <c r="B1251" s="1229" t="s">
        <v>4678</v>
      </c>
      <c r="C1251" s="1229" t="s">
        <v>4677</v>
      </c>
      <c r="D1251" s="195">
        <f>D19+575+25</f>
        <v>1375</v>
      </c>
      <c r="E1251" s="195">
        <f>E19+900+50</f>
        <v>2400</v>
      </c>
      <c r="F1251" s="195">
        <f>F19+900+50</f>
        <v>2450</v>
      </c>
      <c r="G1251" s="12" t="s">
        <v>4542</v>
      </c>
      <c r="H1251" s="69" t="s">
        <v>4541</v>
      </c>
      <c r="I1251" s="38" t="s">
        <v>4595</v>
      </c>
      <c r="J1251" s="30"/>
      <c r="K1251" s="38"/>
      <c r="L1251" s="116" t="s">
        <v>4539</v>
      </c>
      <c r="M1251" s="15">
        <v>43084</v>
      </c>
      <c r="N1251" s="15">
        <v>43100</v>
      </c>
      <c r="O1251" s="61" t="s">
        <v>4538</v>
      </c>
      <c r="P1251" s="60"/>
      <c r="Q1251" s="60"/>
      <c r="R1251" s="239"/>
      <c r="S1251" s="326" t="s">
        <v>4537</v>
      </c>
      <c r="T1251" s="722"/>
      <c r="U1251" s="42"/>
      <c r="AE1251" s="115"/>
      <c r="AF1251" s="115"/>
      <c r="AG1251" s="115"/>
      <c r="AH1251" s="115"/>
      <c r="AI1251" s="115"/>
      <c r="AJ1251" s="115"/>
      <c r="AK1251" s="115"/>
      <c r="AL1251" s="115"/>
      <c r="AM1251" s="115"/>
      <c r="AN1251" s="115"/>
      <c r="AO1251" s="115"/>
      <c r="AP1251" s="115"/>
      <c r="AQ1251" s="115"/>
      <c r="AR1251" s="115"/>
      <c r="AS1251" s="115"/>
      <c r="AT1251" s="115"/>
      <c r="AU1251" s="115"/>
      <c r="AV1251" s="115"/>
      <c r="AW1251" s="115"/>
      <c r="AX1251" s="115"/>
      <c r="AY1251" s="115"/>
      <c r="AZ1251" s="115"/>
      <c r="BA1251" s="115"/>
      <c r="BB1251" s="115"/>
      <c r="BC1251" s="115"/>
      <c r="BD1251" s="115"/>
      <c r="BE1251" s="115"/>
      <c r="BF1251" s="115"/>
      <c r="BG1251" s="115"/>
      <c r="BH1251" s="115"/>
      <c r="BI1251" s="115"/>
      <c r="BJ1251" s="115"/>
      <c r="BK1251" s="115"/>
      <c r="BL1251" s="115"/>
      <c r="BM1251" s="115"/>
      <c r="BN1251" s="115"/>
      <c r="BO1251" s="115"/>
      <c r="BP1251" s="115"/>
    </row>
    <row r="1252" spans="1:68" ht="20.100000000000001" customHeight="1">
      <c r="A1252" s="1229" t="s">
        <v>4536</v>
      </c>
      <c r="B1252" s="1229" t="s">
        <v>4678</v>
      </c>
      <c r="C1252" s="1229" t="s">
        <v>4677</v>
      </c>
      <c r="D1252" s="195">
        <f>D65+500</f>
        <v>1300</v>
      </c>
      <c r="E1252" s="195">
        <f>E65+700</f>
        <v>2200</v>
      </c>
      <c r="F1252" s="195">
        <f>F65+700</f>
        <v>2250</v>
      </c>
      <c r="G1252" s="12" t="s">
        <v>4645</v>
      </c>
      <c r="H1252" s="48" t="s">
        <v>4556</v>
      </c>
      <c r="I1252" s="38" t="s">
        <v>4540</v>
      </c>
      <c r="J1252" s="30"/>
      <c r="K1252" s="38" t="s">
        <v>4676</v>
      </c>
      <c r="L1252" s="116" t="s">
        <v>4539</v>
      </c>
      <c r="M1252" s="6">
        <v>43084</v>
      </c>
      <c r="N1252" s="6">
        <v>43100</v>
      </c>
      <c r="O1252" s="61" t="s">
        <v>4643</v>
      </c>
      <c r="P1252" s="61"/>
      <c r="Q1252" s="61"/>
      <c r="R1252" s="239"/>
      <c r="S1252" s="326" t="s">
        <v>4641</v>
      </c>
      <c r="T1252" s="722"/>
      <c r="U1252" s="42"/>
      <c r="AE1252" s="276"/>
      <c r="AF1252" s="276"/>
      <c r="AG1252" s="276"/>
      <c r="AH1252" s="276"/>
      <c r="AI1252" s="276"/>
      <c r="AJ1252" s="276"/>
      <c r="AK1252" s="276"/>
      <c r="AL1252" s="276"/>
      <c r="AM1252" s="276"/>
      <c r="AN1252" s="276"/>
      <c r="AO1252" s="276"/>
      <c r="AP1252" s="276"/>
      <c r="AQ1252" s="276"/>
      <c r="AR1252" s="276"/>
      <c r="AS1252" s="276"/>
      <c r="AT1252" s="276"/>
      <c r="AU1252" s="276"/>
      <c r="AV1252" s="276"/>
      <c r="AW1252" s="276"/>
      <c r="AX1252" s="276"/>
      <c r="AY1252" s="276"/>
      <c r="AZ1252" s="276"/>
      <c r="BA1252" s="276"/>
      <c r="BB1252" s="276"/>
      <c r="BC1252" s="276"/>
      <c r="BD1252" s="276"/>
      <c r="BE1252" s="276"/>
      <c r="BF1252" s="276"/>
      <c r="BG1252" s="276"/>
      <c r="BH1252" s="276"/>
      <c r="BI1252" s="276"/>
      <c r="BJ1252" s="276"/>
      <c r="BK1252" s="276"/>
      <c r="BL1252" s="276"/>
      <c r="BM1252" s="276"/>
      <c r="BN1252" s="276"/>
      <c r="BO1252" s="276"/>
      <c r="BP1252" s="276"/>
    </row>
    <row r="1253" spans="1:68" ht="20.100000000000001" customHeight="1">
      <c r="A1253" s="1229" t="s">
        <v>4536</v>
      </c>
      <c r="B1253" s="1229" t="s">
        <v>4672</v>
      </c>
      <c r="C1253" s="1229" t="s">
        <v>4671</v>
      </c>
      <c r="D1253" s="346">
        <f>D20+100</f>
        <v>950</v>
      </c>
      <c r="E1253" s="346">
        <f>E20+200</f>
        <v>1800</v>
      </c>
      <c r="F1253" s="346">
        <f>F20+200</f>
        <v>1850</v>
      </c>
      <c r="G1253" s="217" t="s">
        <v>4572</v>
      </c>
      <c r="H1253" s="56" t="s">
        <v>4541</v>
      </c>
      <c r="I1253" s="20" t="s">
        <v>4595</v>
      </c>
      <c r="J1253" s="30"/>
      <c r="K1253" s="38"/>
      <c r="L1253" s="116" t="s">
        <v>4539</v>
      </c>
      <c r="M1253" s="15">
        <v>43070</v>
      </c>
      <c r="N1253" s="15">
        <v>43100</v>
      </c>
      <c r="O1253" s="61" t="s">
        <v>4655</v>
      </c>
      <c r="P1253" s="61"/>
      <c r="Q1253" s="7"/>
      <c r="R1253" s="239"/>
      <c r="S1253" s="327" t="s">
        <v>4570</v>
      </c>
      <c r="T1253" s="722"/>
      <c r="U1253" s="42"/>
      <c r="AE1253" s="115"/>
      <c r="AF1253" s="115"/>
      <c r="AG1253" s="115"/>
      <c r="AH1253" s="115"/>
      <c r="AI1253" s="115"/>
      <c r="AJ1253" s="115"/>
      <c r="AK1253" s="115"/>
      <c r="AL1253" s="115"/>
      <c r="AM1253" s="115"/>
      <c r="AN1253" s="115"/>
      <c r="AO1253" s="115"/>
      <c r="AP1253" s="115"/>
      <c r="AQ1253" s="115"/>
      <c r="AR1253" s="115"/>
      <c r="AS1253" s="115"/>
      <c r="AT1253" s="115"/>
      <c r="AU1253" s="115"/>
      <c r="AV1253" s="115"/>
      <c r="AW1253" s="115"/>
      <c r="AX1253" s="115"/>
      <c r="AY1253" s="115"/>
      <c r="AZ1253" s="115"/>
      <c r="BA1253" s="115"/>
      <c r="BB1253" s="115"/>
      <c r="BC1253" s="115"/>
      <c r="BD1253" s="115"/>
      <c r="BE1253" s="115"/>
      <c r="BF1253" s="115"/>
      <c r="BG1253" s="115"/>
      <c r="BH1253" s="115"/>
      <c r="BI1253" s="115"/>
      <c r="BJ1253" s="115"/>
      <c r="BK1253" s="115"/>
      <c r="BL1253" s="115"/>
      <c r="BM1253" s="115"/>
      <c r="BN1253" s="115"/>
      <c r="BO1253" s="115"/>
      <c r="BP1253" s="115"/>
    </row>
    <row r="1254" spans="1:68" ht="20.100000000000001" customHeight="1">
      <c r="A1254" s="1229" t="s">
        <v>4536</v>
      </c>
      <c r="B1254" s="1229" t="s">
        <v>4672</v>
      </c>
      <c r="C1254" s="1229" t="s">
        <v>4671</v>
      </c>
      <c r="D1254" s="344">
        <f>D36+50+50</f>
        <v>975</v>
      </c>
      <c r="E1254" s="344">
        <f>E36+100+-50</f>
        <v>1600</v>
      </c>
      <c r="F1254" s="344">
        <f>F36+100+-100</f>
        <v>1600</v>
      </c>
      <c r="G1254" s="217" t="s">
        <v>4575</v>
      </c>
      <c r="H1254" s="48" t="s">
        <v>4675</v>
      </c>
      <c r="I1254" s="38" t="s">
        <v>4595</v>
      </c>
      <c r="J1254" s="30"/>
      <c r="K1254" s="38"/>
      <c r="L1254" s="116" t="s">
        <v>4539</v>
      </c>
      <c r="M1254" s="15">
        <v>43084</v>
      </c>
      <c r="N1254" s="15">
        <v>43100</v>
      </c>
      <c r="O1254" s="61" t="s">
        <v>4573</v>
      </c>
      <c r="P1254" s="61"/>
      <c r="Q1254" s="61"/>
      <c r="R1254" s="239"/>
      <c r="S1254" s="328" t="s">
        <v>4543</v>
      </c>
      <c r="T1254" s="722"/>
      <c r="U1254" s="42"/>
      <c r="AE1254" s="115"/>
      <c r="AF1254" s="115"/>
      <c r="AG1254" s="115"/>
      <c r="AH1254" s="115"/>
      <c r="AI1254" s="115"/>
      <c r="AJ1254" s="115"/>
      <c r="AK1254" s="115"/>
      <c r="AL1254" s="115"/>
      <c r="AM1254" s="115"/>
      <c r="AN1254" s="115"/>
      <c r="AO1254" s="115"/>
      <c r="AP1254" s="115"/>
      <c r="AQ1254" s="115"/>
      <c r="AR1254" s="115"/>
      <c r="AS1254" s="115"/>
      <c r="AT1254" s="115"/>
      <c r="AU1254" s="115"/>
      <c r="AV1254" s="115"/>
      <c r="AW1254" s="115"/>
      <c r="AX1254" s="115"/>
      <c r="AY1254" s="115"/>
      <c r="AZ1254" s="115"/>
      <c r="BA1254" s="115"/>
      <c r="BB1254" s="115"/>
      <c r="BC1254" s="115"/>
      <c r="BD1254" s="115"/>
      <c r="BE1254" s="115"/>
      <c r="BF1254" s="115"/>
      <c r="BG1254" s="115"/>
      <c r="BH1254" s="115"/>
      <c r="BI1254" s="115"/>
      <c r="BJ1254" s="115"/>
      <c r="BK1254" s="115"/>
      <c r="BL1254" s="115"/>
      <c r="BM1254" s="115"/>
      <c r="BN1254" s="115"/>
      <c r="BO1254" s="115"/>
      <c r="BP1254" s="115"/>
    </row>
    <row r="1255" spans="1:68" ht="20.100000000000001" customHeight="1">
      <c r="A1255" s="1229" t="s">
        <v>4536</v>
      </c>
      <c r="B1255" s="1229" t="s">
        <v>4672</v>
      </c>
      <c r="C1255" s="1229" t="s">
        <v>4671</v>
      </c>
      <c r="D1255" s="195">
        <f>D43+400+25</f>
        <v>1175</v>
      </c>
      <c r="E1255" s="195">
        <f>E43+600+50</f>
        <v>2050</v>
      </c>
      <c r="F1255" s="195">
        <f>F43+600+50</f>
        <v>2100</v>
      </c>
      <c r="G1255" s="110" t="s">
        <v>4636</v>
      </c>
      <c r="H1255" s="36" t="s">
        <v>4667</v>
      </c>
      <c r="I1255" s="38" t="s">
        <v>4666</v>
      </c>
      <c r="J1255" s="30"/>
      <c r="K1255" s="38"/>
      <c r="L1255" s="116" t="s">
        <v>4539</v>
      </c>
      <c r="M1255" s="6">
        <v>43084</v>
      </c>
      <c r="N1255" s="6">
        <v>43100</v>
      </c>
      <c r="O1255" s="61" t="s">
        <v>4633</v>
      </c>
      <c r="P1255" s="61"/>
      <c r="Q1255" s="61"/>
      <c r="R1255" s="239"/>
      <c r="S1255" s="327" t="s">
        <v>4632</v>
      </c>
      <c r="T1255" s="722"/>
      <c r="U1255" s="42"/>
      <c r="AE1255" s="115"/>
      <c r="AF1255" s="115"/>
      <c r="AG1255" s="115"/>
      <c r="AH1255" s="115"/>
      <c r="AI1255" s="115"/>
      <c r="AJ1255" s="115"/>
      <c r="AK1255" s="115"/>
      <c r="AL1255" s="115"/>
      <c r="AM1255" s="115"/>
      <c r="AN1255" s="115"/>
      <c r="AO1255" s="115"/>
      <c r="AP1255" s="115"/>
      <c r="AQ1255" s="115"/>
      <c r="AR1255" s="115"/>
      <c r="AS1255" s="115"/>
      <c r="AT1255" s="115"/>
      <c r="AU1255" s="115"/>
      <c r="AV1255" s="115"/>
      <c r="AW1255" s="115"/>
      <c r="AX1255" s="115"/>
      <c r="AY1255" s="115"/>
      <c r="AZ1255" s="115"/>
      <c r="BA1255" s="115"/>
      <c r="BB1255" s="115"/>
      <c r="BC1255" s="115"/>
      <c r="BD1255" s="115"/>
      <c r="BE1255" s="115"/>
      <c r="BF1255" s="115"/>
      <c r="BG1255" s="115"/>
      <c r="BH1255" s="115"/>
      <c r="BI1255" s="115"/>
      <c r="BJ1255" s="115"/>
      <c r="BK1255" s="115"/>
      <c r="BL1255" s="115"/>
      <c r="BM1255" s="115"/>
      <c r="BN1255" s="115"/>
      <c r="BO1255" s="115"/>
      <c r="BP1255" s="115"/>
    </row>
    <row r="1256" spans="1:68" ht="20.100000000000001" customHeight="1">
      <c r="A1256" s="1229" t="s">
        <v>4536</v>
      </c>
      <c r="B1256" s="1229" t="s">
        <v>4672</v>
      </c>
      <c r="C1256" s="1229" t="s">
        <v>4671</v>
      </c>
      <c r="D1256" s="273">
        <f>D211+600+25</f>
        <v>1350</v>
      </c>
      <c r="E1256" s="273">
        <f>E211+800+50</f>
        <v>2200</v>
      </c>
      <c r="F1256" s="273">
        <f>F211+800+50</f>
        <v>2250</v>
      </c>
      <c r="G1256" s="110" t="s">
        <v>4566</v>
      </c>
      <c r="H1256" s="69" t="s">
        <v>4556</v>
      </c>
      <c r="I1256" s="38" t="s">
        <v>4595</v>
      </c>
      <c r="J1256" s="30"/>
      <c r="K1256" s="38"/>
      <c r="L1256" s="116" t="s">
        <v>4539</v>
      </c>
      <c r="M1256" s="15">
        <v>43084</v>
      </c>
      <c r="N1256" s="15">
        <v>43100</v>
      </c>
      <c r="O1256" s="59" t="s">
        <v>4674</v>
      </c>
      <c r="P1256" s="61"/>
      <c r="Q1256" s="61"/>
      <c r="R1256" s="239"/>
      <c r="S1256" s="327" t="s">
        <v>4561</v>
      </c>
      <c r="T1256" s="722"/>
      <c r="U1256" s="42"/>
      <c r="AE1256" s="276"/>
      <c r="AF1256" s="276"/>
      <c r="AG1256" s="276"/>
      <c r="AH1256" s="276"/>
      <c r="AI1256" s="276"/>
      <c r="AJ1256" s="276"/>
      <c r="AK1256" s="276"/>
      <c r="AL1256" s="276"/>
      <c r="AM1256" s="276"/>
      <c r="AN1256" s="276"/>
      <c r="AO1256" s="276"/>
      <c r="AP1256" s="276"/>
      <c r="AQ1256" s="276"/>
      <c r="AR1256" s="276"/>
      <c r="AS1256" s="276"/>
      <c r="AT1256" s="276"/>
      <c r="AU1256" s="276"/>
      <c r="AV1256" s="276"/>
      <c r="AW1256" s="276"/>
      <c r="AX1256" s="276"/>
      <c r="AY1256" s="276"/>
      <c r="AZ1256" s="276"/>
      <c r="BA1256" s="276"/>
      <c r="BB1256" s="276"/>
      <c r="BC1256" s="276"/>
      <c r="BD1256" s="276"/>
      <c r="BE1256" s="276"/>
      <c r="BF1256" s="276"/>
      <c r="BG1256" s="276"/>
      <c r="BH1256" s="276"/>
      <c r="BI1256" s="276"/>
      <c r="BJ1256" s="276"/>
      <c r="BK1256" s="276"/>
      <c r="BL1256" s="276"/>
      <c r="BM1256" s="276"/>
      <c r="BN1256" s="276"/>
      <c r="BO1256" s="276"/>
      <c r="BP1256" s="276"/>
    </row>
    <row r="1257" spans="1:68" ht="20.100000000000001" customHeight="1">
      <c r="A1257" s="1229" t="s">
        <v>4536</v>
      </c>
      <c r="B1257" s="1229" t="s">
        <v>4672</v>
      </c>
      <c r="C1257" s="1229" t="s">
        <v>4671</v>
      </c>
      <c r="D1257" s="195">
        <f>D14+200</f>
        <v>980</v>
      </c>
      <c r="E1257" s="195">
        <f>E14+575</f>
        <v>2032</v>
      </c>
      <c r="F1257" s="195">
        <f>F14+575</f>
        <v>2032</v>
      </c>
      <c r="G1257" s="225" t="s">
        <v>4569</v>
      </c>
      <c r="H1257" s="69" t="s">
        <v>4602</v>
      </c>
      <c r="I1257" s="38" t="s">
        <v>4595</v>
      </c>
      <c r="J1257" s="30"/>
      <c r="K1257" s="38" t="s">
        <v>4546</v>
      </c>
      <c r="L1257" s="116" t="s">
        <v>4539</v>
      </c>
      <c r="M1257" s="6">
        <v>43074</v>
      </c>
      <c r="N1257" s="6">
        <v>43084</v>
      </c>
      <c r="O1257" s="61" t="s">
        <v>4664</v>
      </c>
      <c r="P1257" s="61"/>
      <c r="Q1257" s="61"/>
      <c r="R1257" s="239"/>
      <c r="S1257" s="328" t="s">
        <v>4543</v>
      </c>
      <c r="T1257" s="722"/>
      <c r="U1257" s="42"/>
      <c r="AE1257" s="115"/>
      <c r="AF1257" s="115"/>
      <c r="AG1257" s="115"/>
      <c r="AH1257" s="115"/>
      <c r="AI1257" s="115"/>
      <c r="AJ1257" s="115"/>
      <c r="AK1257" s="115"/>
      <c r="AL1257" s="115"/>
      <c r="AM1257" s="115"/>
      <c r="AN1257" s="115"/>
      <c r="AO1257" s="115"/>
      <c r="AP1257" s="115"/>
      <c r="AQ1257" s="115"/>
      <c r="AR1257" s="115"/>
      <c r="AS1257" s="115"/>
      <c r="AT1257" s="115"/>
      <c r="AU1257" s="115"/>
      <c r="AV1257" s="115"/>
      <c r="AW1257" s="115"/>
      <c r="AX1257" s="115"/>
      <c r="AY1257" s="115"/>
      <c r="AZ1257" s="115"/>
      <c r="BA1257" s="115"/>
      <c r="BB1257" s="115"/>
      <c r="BC1257" s="115"/>
      <c r="BD1257" s="115"/>
      <c r="BE1257" s="115"/>
      <c r="BF1257" s="115"/>
      <c r="BG1257" s="115"/>
      <c r="BH1257" s="115"/>
      <c r="BI1257" s="115"/>
      <c r="BJ1257" s="115"/>
      <c r="BK1257" s="115"/>
      <c r="BL1257" s="115"/>
      <c r="BM1257" s="115"/>
      <c r="BN1257" s="115"/>
      <c r="BO1257" s="115"/>
      <c r="BP1257" s="115"/>
    </row>
    <row r="1258" spans="1:68" ht="20.100000000000001" customHeight="1">
      <c r="A1258" s="1229" t="s">
        <v>4536</v>
      </c>
      <c r="B1258" s="1229" t="s">
        <v>4672</v>
      </c>
      <c r="C1258" s="1229" t="s">
        <v>4671</v>
      </c>
      <c r="D1258" s="195">
        <f>D11+500</f>
        <v>1250</v>
      </c>
      <c r="E1258" s="195">
        <f>E11+600</f>
        <v>2000</v>
      </c>
      <c r="F1258" s="195">
        <f>F11+600</f>
        <v>2000</v>
      </c>
      <c r="G1258" s="225" t="s">
        <v>4557</v>
      </c>
      <c r="H1258" s="69" t="s">
        <v>4556</v>
      </c>
      <c r="I1258" s="38" t="s">
        <v>4595</v>
      </c>
      <c r="J1258" s="30"/>
      <c r="K1258" s="38"/>
      <c r="L1258" s="116" t="s">
        <v>4539</v>
      </c>
      <c r="M1258" s="6">
        <v>43084</v>
      </c>
      <c r="N1258" s="6">
        <v>43100</v>
      </c>
      <c r="O1258" s="61" t="s">
        <v>4555</v>
      </c>
      <c r="P1258" s="61"/>
      <c r="Q1258" s="7"/>
      <c r="R1258" s="239" t="s">
        <v>4554</v>
      </c>
      <c r="S1258" s="326" t="s">
        <v>4543</v>
      </c>
      <c r="T1258" s="722"/>
      <c r="U1258" s="42"/>
      <c r="AE1258" s="213"/>
      <c r="AF1258" s="213"/>
      <c r="AG1258" s="213"/>
      <c r="AH1258" s="213"/>
      <c r="AI1258" s="213"/>
      <c r="AJ1258" s="213"/>
      <c r="AK1258" s="213"/>
      <c r="AL1258" s="213"/>
      <c r="AM1258" s="213"/>
      <c r="AN1258" s="213"/>
      <c r="AO1258" s="213"/>
      <c r="AP1258" s="213"/>
      <c r="AQ1258" s="213"/>
      <c r="AR1258" s="213"/>
      <c r="AS1258" s="213"/>
      <c r="AT1258" s="213"/>
      <c r="AU1258" s="213"/>
      <c r="AV1258" s="213"/>
      <c r="AW1258" s="213"/>
      <c r="AX1258" s="213"/>
      <c r="AY1258" s="213"/>
      <c r="AZ1258" s="213"/>
      <c r="BA1258" s="213"/>
      <c r="BB1258" s="213"/>
      <c r="BC1258" s="213"/>
      <c r="BD1258" s="213"/>
      <c r="BE1258" s="213"/>
      <c r="BF1258" s="213"/>
      <c r="BG1258" s="213"/>
      <c r="BH1258" s="213"/>
      <c r="BI1258" s="213"/>
      <c r="BJ1258" s="213"/>
      <c r="BK1258" s="213"/>
      <c r="BL1258" s="213"/>
      <c r="BM1258" s="213"/>
      <c r="BN1258" s="213"/>
      <c r="BO1258" s="213"/>
      <c r="BP1258" s="213"/>
    </row>
    <row r="1259" spans="1:68" ht="20.100000000000001" customHeight="1">
      <c r="A1259" s="1229" t="s">
        <v>4536</v>
      </c>
      <c r="B1259" s="1229" t="s">
        <v>4672</v>
      </c>
      <c r="C1259" s="1229" t="s">
        <v>4671</v>
      </c>
      <c r="D1259" s="195">
        <f>D120+75</f>
        <v>975</v>
      </c>
      <c r="E1259" s="195">
        <f>E120+125</f>
        <v>1725</v>
      </c>
      <c r="F1259" s="195">
        <f>F120+125</f>
        <v>1775</v>
      </c>
      <c r="G1259" s="110" t="s">
        <v>4553</v>
      </c>
      <c r="H1259" s="56" t="s">
        <v>4552</v>
      </c>
      <c r="I1259" s="38" t="s">
        <v>4639</v>
      </c>
      <c r="J1259" s="30"/>
      <c r="K1259" s="38">
        <v>37</v>
      </c>
      <c r="L1259" s="116" t="s">
        <v>4539</v>
      </c>
      <c r="M1259" s="6">
        <v>43085</v>
      </c>
      <c r="N1259" s="6">
        <v>43100</v>
      </c>
      <c r="O1259" s="61" t="s">
        <v>4673</v>
      </c>
      <c r="P1259" s="60"/>
      <c r="Q1259" s="60"/>
      <c r="R1259" s="239"/>
      <c r="S1259" s="328" t="s">
        <v>4543</v>
      </c>
      <c r="T1259" s="722"/>
      <c r="U1259" s="42"/>
      <c r="AE1259" s="115"/>
      <c r="AF1259" s="115"/>
      <c r="AG1259" s="115"/>
      <c r="AH1259" s="115"/>
      <c r="AI1259" s="115"/>
      <c r="AJ1259" s="115"/>
      <c r="AK1259" s="115"/>
      <c r="AL1259" s="115"/>
      <c r="AM1259" s="115"/>
      <c r="AN1259" s="115"/>
      <c r="AO1259" s="115"/>
      <c r="AP1259" s="115"/>
      <c r="AQ1259" s="115"/>
      <c r="AR1259" s="115"/>
      <c r="AS1259" s="115"/>
      <c r="AT1259" s="115"/>
      <c r="AU1259" s="115"/>
      <c r="AV1259" s="115"/>
      <c r="AW1259" s="115"/>
      <c r="AX1259" s="115"/>
      <c r="AY1259" s="115"/>
      <c r="AZ1259" s="115"/>
      <c r="BA1259" s="115"/>
      <c r="BB1259" s="115"/>
      <c r="BC1259" s="115"/>
      <c r="BD1259" s="115"/>
      <c r="BE1259" s="115"/>
      <c r="BF1259" s="115"/>
      <c r="BG1259" s="115"/>
      <c r="BH1259" s="115"/>
      <c r="BI1259" s="115"/>
      <c r="BJ1259" s="115"/>
      <c r="BK1259" s="115"/>
      <c r="BL1259" s="115"/>
      <c r="BM1259" s="115"/>
      <c r="BN1259" s="115"/>
      <c r="BO1259" s="115"/>
      <c r="BP1259" s="115"/>
    </row>
    <row r="1260" spans="1:68" ht="20.100000000000001" customHeight="1">
      <c r="A1260" s="1229" t="s">
        <v>4536</v>
      </c>
      <c r="B1260" s="1229" t="s">
        <v>4672</v>
      </c>
      <c r="C1260" s="1229" t="s">
        <v>4671</v>
      </c>
      <c r="D1260" s="195">
        <f>D19+400+25</f>
        <v>1200</v>
      </c>
      <c r="E1260" s="195">
        <f>E19+500+50</f>
        <v>2000</v>
      </c>
      <c r="F1260" s="195">
        <f>F19+500+50</f>
        <v>2050</v>
      </c>
      <c r="G1260" s="12" t="s">
        <v>4542</v>
      </c>
      <c r="H1260" s="69" t="s">
        <v>4541</v>
      </c>
      <c r="I1260" s="38" t="s">
        <v>4595</v>
      </c>
      <c r="J1260" s="140"/>
      <c r="K1260" s="38"/>
      <c r="L1260" s="116" t="s">
        <v>4539</v>
      </c>
      <c r="M1260" s="15">
        <v>43084</v>
      </c>
      <c r="N1260" s="15">
        <v>43100</v>
      </c>
      <c r="O1260" s="61" t="s">
        <v>4538</v>
      </c>
      <c r="P1260" s="60"/>
      <c r="Q1260" s="60"/>
      <c r="R1260" s="239"/>
      <c r="S1260" s="326" t="s">
        <v>4537</v>
      </c>
      <c r="T1260" s="722"/>
      <c r="U1260" s="42"/>
      <c r="AE1260" s="276"/>
      <c r="AF1260" s="276"/>
      <c r="AG1260" s="276"/>
      <c r="AH1260" s="276"/>
      <c r="AI1260" s="276"/>
      <c r="AJ1260" s="276"/>
      <c r="AK1260" s="276"/>
      <c r="AL1260" s="276"/>
      <c r="AM1260" s="276"/>
      <c r="AN1260" s="276"/>
      <c r="AO1260" s="276"/>
      <c r="AP1260" s="276"/>
      <c r="AQ1260" s="276"/>
      <c r="AR1260" s="276"/>
      <c r="AS1260" s="276"/>
      <c r="AT1260" s="276"/>
      <c r="AU1260" s="276"/>
      <c r="AV1260" s="276"/>
      <c r="AW1260" s="276"/>
      <c r="AX1260" s="276"/>
      <c r="AY1260" s="276"/>
      <c r="AZ1260" s="276"/>
      <c r="BA1260" s="276"/>
      <c r="BB1260" s="276"/>
      <c r="BC1260" s="276"/>
      <c r="BD1260" s="276"/>
      <c r="BE1260" s="276"/>
      <c r="BF1260" s="276"/>
      <c r="BG1260" s="276"/>
      <c r="BH1260" s="276"/>
      <c r="BI1260" s="276"/>
      <c r="BJ1260" s="276"/>
      <c r="BK1260" s="276"/>
      <c r="BL1260" s="276"/>
      <c r="BM1260" s="276"/>
      <c r="BN1260" s="276"/>
      <c r="BO1260" s="276"/>
      <c r="BP1260" s="276"/>
    </row>
    <row r="1261" spans="1:68" ht="20.100000000000001" customHeight="1">
      <c r="A1261" s="1229" t="s">
        <v>4536</v>
      </c>
      <c r="B1261" s="1229" t="s">
        <v>4672</v>
      </c>
      <c r="C1261" s="1229" t="s">
        <v>4671</v>
      </c>
      <c r="D1261" s="195">
        <f>D65+350</f>
        <v>1150</v>
      </c>
      <c r="E1261" s="195">
        <f>E65+350</f>
        <v>1850</v>
      </c>
      <c r="F1261" s="195">
        <f>F65+350</f>
        <v>1900</v>
      </c>
      <c r="G1261" s="12" t="s">
        <v>4645</v>
      </c>
      <c r="H1261" s="48" t="s">
        <v>4556</v>
      </c>
      <c r="I1261" s="38" t="s">
        <v>4540</v>
      </c>
      <c r="J1261" s="30"/>
      <c r="K1261" s="38" t="s">
        <v>4670</v>
      </c>
      <c r="L1261" s="116" t="s">
        <v>4539</v>
      </c>
      <c r="M1261" s="6">
        <v>43084</v>
      </c>
      <c r="N1261" s="6">
        <v>43100</v>
      </c>
      <c r="O1261" s="61" t="s">
        <v>4643</v>
      </c>
      <c r="P1261" s="61"/>
      <c r="Q1261" s="61"/>
      <c r="R1261" s="239"/>
      <c r="S1261" s="326" t="s">
        <v>4641</v>
      </c>
      <c r="T1261" s="722"/>
      <c r="U1261" s="42"/>
      <c r="AE1261" s="115"/>
      <c r="AF1261" s="115"/>
      <c r="AG1261" s="115"/>
      <c r="AH1261" s="115"/>
      <c r="AI1261" s="115"/>
      <c r="AJ1261" s="115"/>
      <c r="AK1261" s="115"/>
      <c r="AL1261" s="115"/>
      <c r="AM1261" s="115"/>
      <c r="AN1261" s="115"/>
      <c r="AO1261" s="115"/>
      <c r="AP1261" s="115"/>
      <c r="AQ1261" s="115"/>
      <c r="AR1261" s="115"/>
      <c r="AS1261" s="115"/>
      <c r="AT1261" s="115"/>
      <c r="AU1261" s="115"/>
      <c r="AV1261" s="115"/>
      <c r="AW1261" s="115"/>
      <c r="AX1261" s="115"/>
      <c r="AY1261" s="115"/>
      <c r="AZ1261" s="115"/>
      <c r="BA1261" s="115"/>
      <c r="BB1261" s="115"/>
      <c r="BC1261" s="115"/>
      <c r="BD1261" s="115"/>
      <c r="BE1261" s="115"/>
      <c r="BF1261" s="115"/>
      <c r="BG1261" s="115"/>
      <c r="BH1261" s="115"/>
      <c r="BI1261" s="115"/>
      <c r="BJ1261" s="115"/>
      <c r="BK1261" s="115"/>
      <c r="BL1261" s="115"/>
      <c r="BM1261" s="115"/>
      <c r="BN1261" s="115"/>
      <c r="BO1261" s="115"/>
      <c r="BP1261" s="115"/>
    </row>
    <row r="1262" spans="1:68" ht="20.100000000000001" customHeight="1">
      <c r="A1262" s="1229" t="s">
        <v>4536</v>
      </c>
      <c r="B1262" s="1229" t="s">
        <v>4657</v>
      </c>
      <c r="C1262" s="1229" t="s">
        <v>4669</v>
      </c>
      <c r="D1262" s="195"/>
      <c r="E1262" s="195"/>
      <c r="F1262" s="195"/>
      <c r="G1262" s="110" t="s">
        <v>4560</v>
      </c>
      <c r="H1262" s="48" t="s">
        <v>4556</v>
      </c>
      <c r="I1262" s="38" t="s">
        <v>4540</v>
      </c>
      <c r="J1262" s="30"/>
      <c r="K1262" s="38">
        <v>36</v>
      </c>
      <c r="L1262" s="116" t="s">
        <v>4539</v>
      </c>
      <c r="M1262" s="15">
        <v>43084</v>
      </c>
      <c r="N1262" s="15">
        <v>43100</v>
      </c>
      <c r="O1262" s="59" t="s">
        <v>4559</v>
      </c>
      <c r="P1262" s="61"/>
      <c r="Q1262" s="61"/>
      <c r="R1262" s="239"/>
      <c r="S1262" s="336" t="s">
        <v>4558</v>
      </c>
      <c r="T1262" s="722"/>
      <c r="U1262" s="42"/>
      <c r="AE1262" s="115"/>
      <c r="AF1262" s="115"/>
      <c r="AG1262" s="115"/>
      <c r="AH1262" s="115"/>
      <c r="AI1262" s="115"/>
      <c r="AJ1262" s="115"/>
      <c r="AK1262" s="115"/>
      <c r="AL1262" s="115"/>
      <c r="AM1262" s="115"/>
      <c r="AN1262" s="115"/>
      <c r="AO1262" s="115"/>
      <c r="AP1262" s="115"/>
      <c r="AQ1262" s="115"/>
      <c r="AR1262" s="115"/>
      <c r="AS1262" s="115"/>
      <c r="AT1262" s="115"/>
      <c r="AU1262" s="115"/>
      <c r="AV1262" s="115"/>
      <c r="AW1262" s="115"/>
      <c r="AX1262" s="115"/>
      <c r="AY1262" s="115"/>
      <c r="AZ1262" s="115"/>
      <c r="BA1262" s="115"/>
      <c r="BB1262" s="115"/>
      <c r="BC1262" s="115"/>
      <c r="BD1262" s="115"/>
      <c r="BE1262" s="115"/>
      <c r="BF1262" s="115"/>
      <c r="BG1262" s="115"/>
      <c r="BH1262" s="115"/>
      <c r="BI1262" s="115"/>
      <c r="BJ1262" s="115"/>
      <c r="BK1262" s="115"/>
      <c r="BL1262" s="115"/>
      <c r="BM1262" s="115"/>
      <c r="BN1262" s="115"/>
      <c r="BO1262" s="115"/>
      <c r="BP1262" s="115"/>
    </row>
    <row r="1263" spans="1:68" ht="20.100000000000001" customHeight="1">
      <c r="A1263" s="1229" t="s">
        <v>4536</v>
      </c>
      <c r="B1263" s="1229" t="s">
        <v>4657</v>
      </c>
      <c r="C1263" s="1229" t="s">
        <v>4669</v>
      </c>
      <c r="D1263" s="195">
        <f>D65+550</f>
        <v>1350</v>
      </c>
      <c r="E1263" s="195">
        <f>E65+700</f>
        <v>2200</v>
      </c>
      <c r="F1263" s="195">
        <f>F65+700</f>
        <v>2250</v>
      </c>
      <c r="G1263" s="12" t="s">
        <v>4645</v>
      </c>
      <c r="H1263" s="48" t="s">
        <v>4556</v>
      </c>
      <c r="I1263" s="38" t="s">
        <v>4540</v>
      </c>
      <c r="J1263" s="30"/>
      <c r="K1263" s="38" t="s">
        <v>4668</v>
      </c>
      <c r="L1263" s="116" t="s">
        <v>4539</v>
      </c>
      <c r="M1263" s="6">
        <v>43084</v>
      </c>
      <c r="N1263" s="6">
        <v>43100</v>
      </c>
      <c r="O1263" s="61" t="s">
        <v>4643</v>
      </c>
      <c r="P1263" s="61"/>
      <c r="Q1263" s="61"/>
      <c r="R1263" s="239"/>
      <c r="S1263" s="326" t="s">
        <v>4641</v>
      </c>
      <c r="T1263" s="722"/>
      <c r="U1263" s="42"/>
      <c r="AE1263" s="115"/>
      <c r="AF1263" s="115"/>
      <c r="AG1263" s="115"/>
      <c r="AH1263" s="115"/>
      <c r="AI1263" s="115"/>
      <c r="AJ1263" s="115"/>
      <c r="AK1263" s="115"/>
      <c r="AL1263" s="115"/>
      <c r="AM1263" s="115"/>
      <c r="AN1263" s="115"/>
      <c r="AO1263" s="115"/>
      <c r="AP1263" s="115"/>
      <c r="AQ1263" s="115"/>
      <c r="AR1263" s="115"/>
      <c r="AS1263" s="115"/>
      <c r="AT1263" s="115"/>
      <c r="AU1263" s="115"/>
      <c r="AV1263" s="115"/>
      <c r="AW1263" s="115"/>
      <c r="AX1263" s="115"/>
      <c r="AY1263" s="115"/>
      <c r="AZ1263" s="115"/>
      <c r="BA1263" s="115"/>
      <c r="BB1263" s="115"/>
      <c r="BC1263" s="115"/>
      <c r="BD1263" s="115"/>
      <c r="BE1263" s="115"/>
      <c r="BF1263" s="115"/>
      <c r="BG1263" s="115"/>
      <c r="BH1263" s="115"/>
      <c r="BI1263" s="115"/>
      <c r="BJ1263" s="115"/>
      <c r="BK1263" s="115"/>
      <c r="BL1263" s="115"/>
      <c r="BM1263" s="115"/>
      <c r="BN1263" s="115"/>
      <c r="BO1263" s="115"/>
      <c r="BP1263" s="115"/>
    </row>
    <row r="1264" spans="1:68" ht="20.100000000000001" customHeight="1">
      <c r="A1264" s="1229" t="s">
        <v>4536</v>
      </c>
      <c r="B1264" s="1229" t="s">
        <v>4657</v>
      </c>
      <c r="C1264" s="1229" t="s">
        <v>4662</v>
      </c>
      <c r="D1264" s="345">
        <f>D20+175+25</f>
        <v>1050</v>
      </c>
      <c r="E1264" s="345">
        <f>E20+200+50</f>
        <v>1850</v>
      </c>
      <c r="F1264" s="345">
        <f>F20+200+50</f>
        <v>1900</v>
      </c>
      <c r="G1264" s="217" t="s">
        <v>4572</v>
      </c>
      <c r="H1264" s="56" t="s">
        <v>4541</v>
      </c>
      <c r="I1264" s="20" t="s">
        <v>4595</v>
      </c>
      <c r="J1264" s="30"/>
      <c r="K1264" s="38"/>
      <c r="L1264" s="116" t="s">
        <v>4539</v>
      </c>
      <c r="M1264" s="15">
        <v>43070</v>
      </c>
      <c r="N1264" s="15">
        <v>43100</v>
      </c>
      <c r="O1264" s="61" t="s">
        <v>4655</v>
      </c>
      <c r="P1264" s="61"/>
      <c r="Q1264" s="7"/>
      <c r="R1264" s="239"/>
      <c r="S1264" s="327" t="s">
        <v>4570</v>
      </c>
      <c r="T1264" s="722"/>
      <c r="U1264" s="42"/>
      <c r="AE1264" s="115"/>
      <c r="AF1264" s="115"/>
      <c r="AG1264" s="115"/>
      <c r="AH1264" s="115"/>
      <c r="AI1264" s="115"/>
      <c r="AJ1264" s="115"/>
      <c r="AK1264" s="115"/>
      <c r="AL1264" s="115"/>
      <c r="AM1264" s="115"/>
      <c r="AN1264" s="115"/>
      <c r="AO1264" s="115"/>
      <c r="AP1264" s="115"/>
      <c r="AQ1264" s="115"/>
      <c r="AR1264" s="115"/>
      <c r="AS1264" s="115"/>
      <c r="AT1264" s="115"/>
      <c r="AU1264" s="115"/>
      <c r="AV1264" s="115"/>
      <c r="AW1264" s="115"/>
      <c r="AX1264" s="115"/>
      <c r="AY1264" s="115"/>
      <c r="AZ1264" s="115"/>
      <c r="BA1264" s="115"/>
      <c r="BB1264" s="115"/>
      <c r="BC1264" s="115"/>
      <c r="BD1264" s="115"/>
      <c r="BE1264" s="115"/>
      <c r="BF1264" s="115"/>
      <c r="BG1264" s="115"/>
      <c r="BH1264" s="115"/>
      <c r="BI1264" s="115"/>
      <c r="BJ1264" s="115"/>
      <c r="BK1264" s="115"/>
      <c r="BL1264" s="115"/>
      <c r="BM1264" s="115"/>
      <c r="BN1264" s="115"/>
      <c r="BO1264" s="115"/>
      <c r="BP1264" s="115"/>
    </row>
    <row r="1265" spans="1:68" ht="20.100000000000001" customHeight="1">
      <c r="A1265" s="1229" t="s">
        <v>4536</v>
      </c>
      <c r="B1265" s="1229" t="s">
        <v>4657</v>
      </c>
      <c r="C1265" s="1229" t="s">
        <v>4662</v>
      </c>
      <c r="D1265" s="344">
        <f>D36+100+0</f>
        <v>975</v>
      </c>
      <c r="E1265" s="344">
        <f>E36+200+0</f>
        <v>1750</v>
      </c>
      <c r="F1265" s="344">
        <f>F36+200+0</f>
        <v>1800</v>
      </c>
      <c r="G1265" s="217" t="s">
        <v>4575</v>
      </c>
      <c r="H1265" s="48" t="s">
        <v>4574</v>
      </c>
      <c r="I1265" s="38" t="s">
        <v>4595</v>
      </c>
      <c r="J1265" s="30"/>
      <c r="K1265" s="38"/>
      <c r="L1265" s="116" t="s">
        <v>4539</v>
      </c>
      <c r="M1265" s="15">
        <v>43084</v>
      </c>
      <c r="N1265" s="15">
        <v>43100</v>
      </c>
      <c r="O1265" s="61" t="s">
        <v>4573</v>
      </c>
      <c r="P1265" s="61"/>
      <c r="Q1265" s="61"/>
      <c r="R1265" s="239"/>
      <c r="S1265" s="328" t="s">
        <v>4543</v>
      </c>
      <c r="T1265" s="722"/>
      <c r="U1265" s="42"/>
      <c r="AE1265" s="115"/>
      <c r="AF1265" s="115"/>
      <c r="AG1265" s="115"/>
      <c r="AH1265" s="115"/>
      <c r="AI1265" s="115"/>
      <c r="AJ1265" s="115"/>
      <c r="AK1265" s="115"/>
      <c r="AL1265" s="115"/>
      <c r="AM1265" s="115"/>
      <c r="AN1265" s="115"/>
      <c r="AO1265" s="115"/>
      <c r="AP1265" s="115"/>
      <c r="AQ1265" s="115"/>
      <c r="AR1265" s="115"/>
      <c r="AS1265" s="115"/>
      <c r="AT1265" s="115"/>
      <c r="AU1265" s="115"/>
      <c r="AV1265" s="115"/>
      <c r="AW1265" s="115"/>
      <c r="AX1265" s="115"/>
      <c r="AY1265" s="115"/>
      <c r="AZ1265" s="115"/>
      <c r="BA1265" s="115"/>
      <c r="BB1265" s="115"/>
      <c r="BC1265" s="115"/>
      <c r="BD1265" s="115"/>
      <c r="BE1265" s="115"/>
      <c r="BF1265" s="115"/>
      <c r="BG1265" s="115"/>
      <c r="BH1265" s="115"/>
      <c r="BI1265" s="115"/>
      <c r="BJ1265" s="115"/>
      <c r="BK1265" s="115"/>
      <c r="BL1265" s="115"/>
      <c r="BM1265" s="115"/>
      <c r="BN1265" s="115"/>
      <c r="BO1265" s="115"/>
      <c r="BP1265" s="115"/>
    </row>
    <row r="1266" spans="1:68" ht="20.100000000000001" customHeight="1">
      <c r="A1266" s="1229" t="s">
        <v>4536</v>
      </c>
      <c r="B1266" s="1229" t="s">
        <v>4657</v>
      </c>
      <c r="C1266" s="1229" t="s">
        <v>4662</v>
      </c>
      <c r="D1266" s="195">
        <f>D43+310+25</f>
        <v>1085</v>
      </c>
      <c r="E1266" s="195">
        <f>E43+310+50</f>
        <v>1760</v>
      </c>
      <c r="F1266" s="195">
        <f>F43+310+50</f>
        <v>1810</v>
      </c>
      <c r="G1266" s="110" t="s">
        <v>4636</v>
      </c>
      <c r="H1266" s="36" t="s">
        <v>4667</v>
      </c>
      <c r="I1266" s="38" t="s">
        <v>4666</v>
      </c>
      <c r="J1266" s="30"/>
      <c r="K1266" s="38"/>
      <c r="L1266" s="116" t="s">
        <v>4539</v>
      </c>
      <c r="M1266" s="6">
        <v>43084</v>
      </c>
      <c r="N1266" s="6">
        <v>43100</v>
      </c>
      <c r="O1266" s="61" t="s">
        <v>4633</v>
      </c>
      <c r="P1266" s="61"/>
      <c r="Q1266" s="61"/>
      <c r="R1266" s="239"/>
      <c r="S1266" s="327" t="s">
        <v>4632</v>
      </c>
      <c r="T1266" s="722"/>
      <c r="U1266" s="42"/>
      <c r="AE1266" s="115"/>
      <c r="AF1266" s="115"/>
      <c r="AG1266" s="115"/>
      <c r="AH1266" s="115"/>
      <c r="AI1266" s="115"/>
      <c r="AJ1266" s="115"/>
      <c r="AK1266" s="115"/>
      <c r="AL1266" s="115"/>
      <c r="AM1266" s="115"/>
      <c r="AN1266" s="115"/>
      <c r="AO1266" s="115"/>
      <c r="AP1266" s="115"/>
      <c r="AQ1266" s="115"/>
      <c r="AR1266" s="115"/>
      <c r="AS1266" s="115"/>
      <c r="AT1266" s="115"/>
      <c r="AU1266" s="115"/>
      <c r="AV1266" s="115"/>
      <c r="AW1266" s="115"/>
      <c r="AX1266" s="115"/>
      <c r="AY1266" s="115"/>
      <c r="AZ1266" s="115"/>
      <c r="BA1266" s="115"/>
      <c r="BB1266" s="115"/>
      <c r="BC1266" s="115"/>
      <c r="BD1266" s="115"/>
      <c r="BE1266" s="115"/>
      <c r="BF1266" s="115"/>
      <c r="BG1266" s="115"/>
      <c r="BH1266" s="115"/>
      <c r="BI1266" s="115"/>
      <c r="BJ1266" s="115"/>
      <c r="BK1266" s="115"/>
      <c r="BL1266" s="115"/>
      <c r="BM1266" s="115"/>
      <c r="BN1266" s="115"/>
      <c r="BO1266" s="115"/>
      <c r="BP1266" s="115"/>
    </row>
    <row r="1267" spans="1:68" ht="20.100000000000001" customHeight="1">
      <c r="A1267" s="1229" t="s">
        <v>4536</v>
      </c>
      <c r="B1267" s="1229" t="s">
        <v>4657</v>
      </c>
      <c r="C1267" s="1229" t="s">
        <v>4662</v>
      </c>
      <c r="D1267" s="273">
        <f>D211+0+25</f>
        <v>750</v>
      </c>
      <c r="E1267" s="273">
        <f>E211+0+50</f>
        <v>1400</v>
      </c>
      <c r="F1267" s="273">
        <f>F211+0+50</f>
        <v>1450</v>
      </c>
      <c r="G1267" s="110" t="s">
        <v>4566</v>
      </c>
      <c r="H1267" s="69" t="s">
        <v>4556</v>
      </c>
      <c r="I1267" s="38" t="s">
        <v>4595</v>
      </c>
      <c r="J1267" s="30"/>
      <c r="K1267" s="38"/>
      <c r="L1267" s="116" t="s">
        <v>4539</v>
      </c>
      <c r="M1267" s="15">
        <v>43084</v>
      </c>
      <c r="N1267" s="15">
        <v>43100</v>
      </c>
      <c r="O1267" s="59" t="s">
        <v>4638</v>
      </c>
      <c r="P1267" s="61"/>
      <c r="Q1267" s="61"/>
      <c r="R1267" s="239"/>
      <c r="S1267" s="327" t="s">
        <v>4561</v>
      </c>
      <c r="T1267" s="722"/>
      <c r="U1267" s="42"/>
      <c r="AE1267" s="115"/>
      <c r="AF1267" s="115"/>
      <c r="AG1267" s="115"/>
      <c r="AH1267" s="115"/>
      <c r="AI1267" s="115"/>
      <c r="AJ1267" s="115"/>
      <c r="AK1267" s="115"/>
      <c r="AL1267" s="115"/>
      <c r="AM1267" s="115"/>
      <c r="AN1267" s="115"/>
      <c r="AO1267" s="115"/>
      <c r="AP1267" s="115"/>
      <c r="AQ1267" s="115"/>
      <c r="AR1267" s="115"/>
      <c r="AS1267" s="115"/>
      <c r="AT1267" s="115"/>
      <c r="AU1267" s="115"/>
      <c r="AV1267" s="115"/>
      <c r="AW1267" s="115"/>
      <c r="AX1267" s="115"/>
      <c r="AY1267" s="115"/>
      <c r="AZ1267" s="115"/>
      <c r="BA1267" s="115"/>
      <c r="BB1267" s="115"/>
      <c r="BC1267" s="115"/>
      <c r="BD1267" s="115"/>
      <c r="BE1267" s="115"/>
      <c r="BF1267" s="115"/>
      <c r="BG1267" s="115"/>
      <c r="BH1267" s="115"/>
      <c r="BI1267" s="115"/>
      <c r="BJ1267" s="115"/>
      <c r="BK1267" s="115"/>
      <c r="BL1267" s="115"/>
      <c r="BM1267" s="115"/>
      <c r="BN1267" s="115"/>
      <c r="BO1267" s="115"/>
      <c r="BP1267" s="115"/>
    </row>
    <row r="1268" spans="1:68" ht="20.100000000000001" customHeight="1">
      <c r="A1268" s="1229" t="s">
        <v>4536</v>
      </c>
      <c r="B1268" s="1229" t="s">
        <v>4657</v>
      </c>
      <c r="C1268" s="1229" t="s">
        <v>4662</v>
      </c>
      <c r="D1268" s="195">
        <f>D14+300</f>
        <v>1080</v>
      </c>
      <c r="E1268" s="195">
        <f>E14+500</f>
        <v>1957</v>
      </c>
      <c r="F1268" s="195">
        <f>F14+500</f>
        <v>1957</v>
      </c>
      <c r="G1268" s="225" t="s">
        <v>4569</v>
      </c>
      <c r="H1268" s="69" t="s">
        <v>4602</v>
      </c>
      <c r="I1268" s="38" t="s">
        <v>4595</v>
      </c>
      <c r="J1268" s="30"/>
      <c r="K1268" s="38" t="s">
        <v>4665</v>
      </c>
      <c r="L1268" s="116" t="s">
        <v>4539</v>
      </c>
      <c r="M1268" s="6">
        <v>43074</v>
      </c>
      <c r="N1268" s="6">
        <v>43084</v>
      </c>
      <c r="O1268" s="61" t="s">
        <v>4664</v>
      </c>
      <c r="P1268" s="61"/>
      <c r="Q1268" s="61"/>
      <c r="R1268" s="239"/>
      <c r="S1268" s="328" t="s">
        <v>4543</v>
      </c>
      <c r="T1268" s="722"/>
      <c r="U1268" s="42"/>
      <c r="AE1268" s="115"/>
      <c r="AF1268" s="115"/>
      <c r="AG1268" s="115"/>
      <c r="AH1268" s="115"/>
      <c r="AI1268" s="115"/>
      <c r="AJ1268" s="115"/>
      <c r="AK1268" s="115"/>
      <c r="AL1268" s="115"/>
      <c r="AM1268" s="115"/>
      <c r="AN1268" s="115"/>
      <c r="AO1268" s="115"/>
      <c r="AP1268" s="115"/>
      <c r="AQ1268" s="115"/>
      <c r="AR1268" s="115"/>
      <c r="AS1268" s="115"/>
      <c r="AT1268" s="115"/>
      <c r="AU1268" s="115"/>
      <c r="AV1268" s="115"/>
      <c r="AW1268" s="115"/>
      <c r="AX1268" s="115"/>
      <c r="AY1268" s="115"/>
      <c r="AZ1268" s="115"/>
      <c r="BA1268" s="115"/>
      <c r="BB1268" s="115"/>
      <c r="BC1268" s="115"/>
      <c r="BD1268" s="115"/>
      <c r="BE1268" s="115"/>
      <c r="BF1268" s="115"/>
      <c r="BG1268" s="115"/>
      <c r="BH1268" s="115"/>
      <c r="BI1268" s="115"/>
      <c r="BJ1268" s="115"/>
      <c r="BK1268" s="115"/>
      <c r="BL1268" s="115"/>
      <c r="BM1268" s="115"/>
      <c r="BN1268" s="115"/>
      <c r="BO1268" s="115"/>
      <c r="BP1268" s="115"/>
    </row>
    <row r="1269" spans="1:68" ht="20.100000000000001" customHeight="1">
      <c r="A1269" s="1229" t="s">
        <v>4536</v>
      </c>
      <c r="B1269" s="1229" t="s">
        <v>4657</v>
      </c>
      <c r="C1269" s="1229" t="s">
        <v>4662</v>
      </c>
      <c r="D1269" s="195">
        <f>D90+800</f>
        <v>1565</v>
      </c>
      <c r="E1269" s="195">
        <f>E90+1200</f>
        <v>2630</v>
      </c>
      <c r="F1269" s="195">
        <f>F90+1200</f>
        <v>2680</v>
      </c>
      <c r="G1269" s="110" t="s">
        <v>4560</v>
      </c>
      <c r="H1269" s="48" t="s">
        <v>4556</v>
      </c>
      <c r="I1269" s="38" t="s">
        <v>4540</v>
      </c>
      <c r="J1269" s="30"/>
      <c r="K1269" s="38">
        <v>36</v>
      </c>
      <c r="L1269" s="116" t="s">
        <v>4539</v>
      </c>
      <c r="M1269" s="15">
        <v>43084</v>
      </c>
      <c r="N1269" s="15">
        <v>43100</v>
      </c>
      <c r="O1269" s="59" t="s">
        <v>4559</v>
      </c>
      <c r="P1269" s="61"/>
      <c r="Q1269" s="61"/>
      <c r="R1269" s="239"/>
      <c r="S1269" s="336" t="s">
        <v>4558</v>
      </c>
      <c r="T1269" s="722"/>
      <c r="U1269" s="42"/>
      <c r="AE1269" s="115"/>
      <c r="AF1269" s="115"/>
      <c r="AG1269" s="115"/>
      <c r="AH1269" s="115"/>
      <c r="AI1269" s="115"/>
      <c r="AJ1269" s="115"/>
      <c r="AK1269" s="115"/>
      <c r="AL1269" s="115"/>
      <c r="AM1269" s="115"/>
      <c r="AN1269" s="115"/>
      <c r="AO1269" s="115"/>
      <c r="AP1269" s="115"/>
      <c r="AQ1269" s="115"/>
      <c r="AR1269" s="115"/>
      <c r="AS1269" s="115"/>
      <c r="AT1269" s="115"/>
      <c r="AU1269" s="115"/>
      <c r="AV1269" s="115"/>
      <c r="AW1269" s="115"/>
      <c r="AX1269" s="115"/>
      <c r="AY1269" s="115"/>
      <c r="AZ1269" s="115"/>
      <c r="BA1269" s="115"/>
      <c r="BB1269" s="115"/>
      <c r="BC1269" s="115"/>
      <c r="BD1269" s="115"/>
      <c r="BE1269" s="115"/>
      <c r="BF1269" s="115"/>
      <c r="BG1269" s="115"/>
      <c r="BH1269" s="115"/>
      <c r="BI1269" s="115"/>
      <c r="BJ1269" s="115"/>
      <c r="BK1269" s="115"/>
      <c r="BL1269" s="115"/>
      <c r="BM1269" s="115"/>
      <c r="BN1269" s="115"/>
      <c r="BO1269" s="115"/>
      <c r="BP1269" s="115"/>
    </row>
    <row r="1270" spans="1:68" ht="20.100000000000001" customHeight="1">
      <c r="A1270" s="1229" t="s">
        <v>4536</v>
      </c>
      <c r="B1270" s="1229" t="s">
        <v>4657</v>
      </c>
      <c r="C1270" s="1229" t="s">
        <v>4662</v>
      </c>
      <c r="D1270" s="195">
        <f>D64+550</f>
        <v>1300</v>
      </c>
      <c r="E1270" s="195">
        <f>E64+600</f>
        <v>2000</v>
      </c>
      <c r="F1270" s="195">
        <f>F64+600</f>
        <v>2000</v>
      </c>
      <c r="G1270" s="217" t="s">
        <v>4557</v>
      </c>
      <c r="H1270" s="69" t="s">
        <v>4556</v>
      </c>
      <c r="I1270" s="38" t="s">
        <v>4540</v>
      </c>
      <c r="J1270" s="30"/>
      <c r="K1270" s="38"/>
      <c r="L1270" s="116" t="s">
        <v>4539</v>
      </c>
      <c r="M1270" s="6">
        <v>43084</v>
      </c>
      <c r="N1270" s="6">
        <v>43100</v>
      </c>
      <c r="O1270" s="61" t="s">
        <v>4555</v>
      </c>
      <c r="P1270" s="61"/>
      <c r="Q1270" s="7"/>
      <c r="R1270" s="239" t="s">
        <v>4554</v>
      </c>
      <c r="S1270" s="326" t="s">
        <v>4543</v>
      </c>
      <c r="T1270" s="722"/>
      <c r="U1270" s="42"/>
      <c r="AE1270" s="115"/>
      <c r="AF1270" s="115"/>
      <c r="AG1270" s="115"/>
      <c r="AH1270" s="115"/>
      <c r="AI1270" s="115"/>
      <c r="AJ1270" s="115"/>
      <c r="AK1270" s="115"/>
      <c r="AL1270" s="115"/>
      <c r="AM1270" s="115"/>
      <c r="AN1270" s="115"/>
      <c r="AO1270" s="115"/>
      <c r="AP1270" s="115"/>
      <c r="AQ1270" s="115"/>
      <c r="AR1270" s="115"/>
      <c r="AS1270" s="115"/>
      <c r="AT1270" s="115"/>
      <c r="AU1270" s="115"/>
      <c r="AV1270" s="115"/>
      <c r="AW1270" s="115"/>
      <c r="AX1270" s="115"/>
      <c r="AY1270" s="115"/>
      <c r="AZ1270" s="115"/>
      <c r="BA1270" s="115"/>
      <c r="BB1270" s="115"/>
      <c r="BC1270" s="115"/>
      <c r="BD1270" s="115"/>
      <c r="BE1270" s="115"/>
      <c r="BF1270" s="115"/>
      <c r="BG1270" s="115"/>
      <c r="BH1270" s="115"/>
      <c r="BI1270" s="115"/>
      <c r="BJ1270" s="115"/>
      <c r="BK1270" s="115"/>
      <c r="BL1270" s="115"/>
      <c r="BM1270" s="115"/>
      <c r="BN1270" s="115"/>
      <c r="BO1270" s="115"/>
      <c r="BP1270" s="115"/>
    </row>
    <row r="1271" spans="1:68" ht="20.100000000000001" customHeight="1">
      <c r="A1271" s="1229" t="s">
        <v>4536</v>
      </c>
      <c r="B1271" s="1229" t="s">
        <v>4657</v>
      </c>
      <c r="C1271" s="1229" t="s">
        <v>4662</v>
      </c>
      <c r="D1271" s="195">
        <f>D120+100</f>
        <v>1000</v>
      </c>
      <c r="E1271" s="195">
        <f>E120+150</f>
        <v>1750</v>
      </c>
      <c r="F1271" s="195">
        <f>F120+150</f>
        <v>1800</v>
      </c>
      <c r="G1271" s="110" t="s">
        <v>4553</v>
      </c>
      <c r="H1271" s="56" t="s">
        <v>4552</v>
      </c>
      <c r="I1271" s="38" t="s">
        <v>4639</v>
      </c>
      <c r="J1271" s="30"/>
      <c r="K1271" s="38">
        <v>41</v>
      </c>
      <c r="L1271" s="116" t="s">
        <v>4539</v>
      </c>
      <c r="M1271" s="6">
        <v>43085</v>
      </c>
      <c r="N1271" s="6">
        <v>43100</v>
      </c>
      <c r="O1271" s="61" t="s">
        <v>4663</v>
      </c>
      <c r="P1271" s="61"/>
      <c r="Q1271" s="61"/>
      <c r="R1271" s="239"/>
      <c r="S1271" s="328" t="s">
        <v>4543</v>
      </c>
      <c r="T1271" s="722"/>
      <c r="U1271" s="42"/>
      <c r="AE1271" s="115"/>
      <c r="AF1271" s="115"/>
      <c r="AG1271" s="115"/>
      <c r="AH1271" s="115"/>
      <c r="AI1271" s="115"/>
      <c r="AJ1271" s="115"/>
      <c r="AK1271" s="115"/>
      <c r="AL1271" s="115"/>
      <c r="AM1271" s="115"/>
      <c r="AN1271" s="115"/>
      <c r="AO1271" s="115"/>
      <c r="AP1271" s="115"/>
      <c r="AQ1271" s="115"/>
      <c r="AR1271" s="115"/>
      <c r="AS1271" s="115"/>
      <c r="AT1271" s="115"/>
      <c r="AU1271" s="115"/>
      <c r="AV1271" s="115"/>
      <c r="AW1271" s="115"/>
      <c r="AX1271" s="115"/>
      <c r="AY1271" s="115"/>
      <c r="AZ1271" s="115"/>
      <c r="BA1271" s="115"/>
      <c r="BB1271" s="115"/>
      <c r="BC1271" s="115"/>
      <c r="BD1271" s="115"/>
      <c r="BE1271" s="115"/>
      <c r="BF1271" s="115"/>
      <c r="BG1271" s="115"/>
      <c r="BH1271" s="115"/>
      <c r="BI1271" s="115"/>
      <c r="BJ1271" s="115"/>
      <c r="BK1271" s="115"/>
      <c r="BL1271" s="115"/>
      <c r="BM1271" s="115"/>
      <c r="BN1271" s="115"/>
      <c r="BO1271" s="115"/>
      <c r="BP1271" s="115"/>
    </row>
    <row r="1272" spans="1:68" ht="20.100000000000001" customHeight="1">
      <c r="A1272" s="1229" t="s">
        <v>4536</v>
      </c>
      <c r="B1272" s="1229" t="s">
        <v>4657</v>
      </c>
      <c r="C1272" s="1229" t="s">
        <v>4662</v>
      </c>
      <c r="D1272" s="195">
        <f>D19+400+25</f>
        <v>1200</v>
      </c>
      <c r="E1272" s="195">
        <f>E19+500+50</f>
        <v>2000</v>
      </c>
      <c r="F1272" s="195">
        <f>F19+500+50</f>
        <v>2050</v>
      </c>
      <c r="G1272" s="12" t="s">
        <v>4542</v>
      </c>
      <c r="H1272" s="69" t="s">
        <v>4541</v>
      </c>
      <c r="I1272" s="38" t="s">
        <v>4595</v>
      </c>
      <c r="J1272" s="140"/>
      <c r="K1272" s="38"/>
      <c r="L1272" s="116" t="s">
        <v>4539</v>
      </c>
      <c r="M1272" s="15">
        <v>43084</v>
      </c>
      <c r="N1272" s="15">
        <v>43100</v>
      </c>
      <c r="O1272" s="61" t="s">
        <v>4538</v>
      </c>
      <c r="P1272" s="61"/>
      <c r="Q1272" s="61"/>
      <c r="R1272" s="239"/>
      <c r="S1272" s="326" t="s">
        <v>4537</v>
      </c>
      <c r="T1272" s="722"/>
      <c r="U1272" s="42"/>
      <c r="AE1272" s="115"/>
      <c r="AF1272" s="115"/>
      <c r="AG1272" s="115"/>
      <c r="AH1272" s="115"/>
      <c r="AI1272" s="115"/>
      <c r="AJ1272" s="115"/>
      <c r="AK1272" s="115"/>
      <c r="AL1272" s="115"/>
      <c r="AM1272" s="115"/>
      <c r="AN1272" s="115"/>
      <c r="AO1272" s="115"/>
      <c r="AP1272" s="115"/>
      <c r="AQ1272" s="115"/>
      <c r="AR1272" s="115"/>
      <c r="AS1272" s="115"/>
      <c r="AT1272" s="115"/>
      <c r="AU1272" s="115"/>
      <c r="AV1272" s="115"/>
      <c r="AW1272" s="115"/>
      <c r="AX1272" s="115"/>
      <c r="AY1272" s="115"/>
      <c r="AZ1272" s="115"/>
      <c r="BA1272" s="115"/>
      <c r="BB1272" s="115"/>
      <c r="BC1272" s="115"/>
      <c r="BD1272" s="115"/>
      <c r="BE1272" s="115"/>
      <c r="BF1272" s="115"/>
      <c r="BG1272" s="115"/>
      <c r="BH1272" s="115"/>
      <c r="BI1272" s="115"/>
      <c r="BJ1272" s="115"/>
      <c r="BK1272" s="115"/>
      <c r="BL1272" s="115"/>
      <c r="BM1272" s="115"/>
      <c r="BN1272" s="115"/>
      <c r="BO1272" s="115"/>
      <c r="BP1272" s="115"/>
    </row>
    <row r="1273" spans="1:68" ht="20.100000000000001" customHeight="1">
      <c r="A1273" s="1229" t="s">
        <v>4536</v>
      </c>
      <c r="B1273" s="1229" t="s">
        <v>4657</v>
      </c>
      <c r="C1273" s="1229" t="s">
        <v>4662</v>
      </c>
      <c r="D1273" s="195">
        <f>D65+200</f>
        <v>1000</v>
      </c>
      <c r="E1273" s="195">
        <f>E65+200</f>
        <v>1700</v>
      </c>
      <c r="F1273" s="195">
        <f>F65+200</f>
        <v>1750</v>
      </c>
      <c r="G1273" s="12" t="s">
        <v>4645</v>
      </c>
      <c r="H1273" s="48" t="s">
        <v>4556</v>
      </c>
      <c r="I1273" s="38" t="s">
        <v>4595</v>
      </c>
      <c r="J1273" s="30"/>
      <c r="K1273" s="38" t="s">
        <v>4661</v>
      </c>
      <c r="L1273" s="116" t="s">
        <v>4539</v>
      </c>
      <c r="M1273" s="6">
        <v>43084</v>
      </c>
      <c r="N1273" s="6">
        <v>43100</v>
      </c>
      <c r="O1273" s="61" t="s">
        <v>4643</v>
      </c>
      <c r="P1273" s="61"/>
      <c r="Q1273" s="61"/>
      <c r="R1273" s="239"/>
      <c r="S1273" s="326" t="s">
        <v>4641</v>
      </c>
      <c r="T1273" s="722"/>
      <c r="U1273" s="42"/>
      <c r="AE1273" s="115"/>
      <c r="AF1273" s="115"/>
      <c r="AG1273" s="115"/>
      <c r="AH1273" s="115"/>
      <c r="AI1273" s="115"/>
      <c r="AJ1273" s="115"/>
      <c r="AK1273" s="115"/>
      <c r="AL1273" s="115"/>
      <c r="AM1273" s="115"/>
      <c r="AN1273" s="115"/>
      <c r="AO1273" s="115"/>
      <c r="AP1273" s="115"/>
      <c r="AQ1273" s="115"/>
      <c r="AR1273" s="115"/>
      <c r="AS1273" s="115"/>
      <c r="AT1273" s="115"/>
      <c r="AU1273" s="115"/>
      <c r="AV1273" s="115"/>
      <c r="AW1273" s="115"/>
      <c r="AX1273" s="115"/>
      <c r="AY1273" s="115"/>
      <c r="AZ1273" s="115"/>
      <c r="BA1273" s="115"/>
      <c r="BB1273" s="115"/>
      <c r="BC1273" s="115"/>
      <c r="BD1273" s="115"/>
      <c r="BE1273" s="115"/>
      <c r="BF1273" s="115"/>
      <c r="BG1273" s="115"/>
      <c r="BH1273" s="115"/>
      <c r="BI1273" s="115"/>
      <c r="BJ1273" s="115"/>
      <c r="BK1273" s="115"/>
      <c r="BL1273" s="115"/>
      <c r="BM1273" s="115"/>
      <c r="BN1273" s="115"/>
      <c r="BO1273" s="115"/>
      <c r="BP1273" s="115"/>
    </row>
    <row r="1274" spans="1:68" ht="20.100000000000001" customHeight="1">
      <c r="A1274" s="1229" t="s">
        <v>4536</v>
      </c>
      <c r="B1274" s="1229" t="s">
        <v>4657</v>
      </c>
      <c r="C1274" s="1229" t="s">
        <v>4660</v>
      </c>
      <c r="D1274" s="345">
        <f>D20+175+25</f>
        <v>1050</v>
      </c>
      <c r="E1274" s="345">
        <f>E20+200+50</f>
        <v>1850</v>
      </c>
      <c r="F1274" s="345">
        <f>F20+200+50</f>
        <v>1900</v>
      </c>
      <c r="G1274" s="217" t="s">
        <v>4572</v>
      </c>
      <c r="H1274" s="56" t="s">
        <v>4541</v>
      </c>
      <c r="I1274" s="20" t="s">
        <v>4595</v>
      </c>
      <c r="J1274" s="30"/>
      <c r="K1274" s="38"/>
      <c r="L1274" s="116" t="s">
        <v>4539</v>
      </c>
      <c r="M1274" s="15">
        <v>43070</v>
      </c>
      <c r="N1274" s="15">
        <v>43100</v>
      </c>
      <c r="O1274" s="61" t="s">
        <v>4655</v>
      </c>
      <c r="P1274" s="61"/>
      <c r="Q1274" s="7"/>
      <c r="R1274" s="239"/>
      <c r="S1274" s="327" t="s">
        <v>4570</v>
      </c>
      <c r="T1274" s="722"/>
      <c r="U1274" s="42"/>
      <c r="AE1274" s="115"/>
      <c r="AF1274" s="115"/>
      <c r="AG1274" s="115"/>
      <c r="AH1274" s="115"/>
      <c r="AI1274" s="115"/>
      <c r="AJ1274" s="115"/>
      <c r="AK1274" s="115"/>
      <c r="AL1274" s="115"/>
      <c r="AM1274" s="115"/>
      <c r="AN1274" s="115"/>
      <c r="AO1274" s="115"/>
      <c r="AP1274" s="115"/>
      <c r="AQ1274" s="115"/>
      <c r="AR1274" s="115"/>
      <c r="AS1274" s="115"/>
      <c r="AT1274" s="115"/>
      <c r="AU1274" s="115"/>
      <c r="AV1274" s="115"/>
      <c r="AW1274" s="115"/>
      <c r="AX1274" s="115"/>
      <c r="AY1274" s="115"/>
      <c r="AZ1274" s="115"/>
      <c r="BA1274" s="115"/>
      <c r="BB1274" s="115"/>
      <c r="BC1274" s="115"/>
      <c r="BD1274" s="115"/>
      <c r="BE1274" s="115"/>
      <c r="BF1274" s="115"/>
      <c r="BG1274" s="115"/>
      <c r="BH1274" s="115"/>
      <c r="BI1274" s="115"/>
      <c r="BJ1274" s="115"/>
      <c r="BK1274" s="115"/>
      <c r="BL1274" s="115"/>
      <c r="BM1274" s="115"/>
      <c r="BN1274" s="115"/>
      <c r="BO1274" s="115"/>
      <c r="BP1274" s="115"/>
    </row>
    <row r="1275" spans="1:68" ht="20.100000000000001" customHeight="1">
      <c r="A1275" s="1229" t="s">
        <v>4536</v>
      </c>
      <c r="B1275" s="1229" t="s">
        <v>4657</v>
      </c>
      <c r="C1275" s="1229" t="s">
        <v>4660</v>
      </c>
      <c r="D1275" s="196">
        <f>D36+450</f>
        <v>1325</v>
      </c>
      <c r="E1275" s="196">
        <f>E36+600</f>
        <v>2150</v>
      </c>
      <c r="F1275" s="196">
        <f>F36+600</f>
        <v>2200</v>
      </c>
      <c r="G1275" s="217" t="s">
        <v>4575</v>
      </c>
      <c r="H1275" s="48" t="s">
        <v>4541</v>
      </c>
      <c r="I1275" s="38" t="s">
        <v>4595</v>
      </c>
      <c r="J1275" s="30"/>
      <c r="K1275" s="38"/>
      <c r="L1275" s="116" t="s">
        <v>4539</v>
      </c>
      <c r="M1275" s="15">
        <v>43084</v>
      </c>
      <c r="N1275" s="15">
        <v>43100</v>
      </c>
      <c r="O1275" s="61" t="s">
        <v>4573</v>
      </c>
      <c r="P1275" s="61"/>
      <c r="Q1275" s="61"/>
      <c r="R1275" s="239"/>
      <c r="S1275" s="328" t="s">
        <v>4543</v>
      </c>
      <c r="T1275" s="722"/>
      <c r="U1275" s="42"/>
      <c r="AE1275" s="115"/>
      <c r="AF1275" s="115"/>
      <c r="AG1275" s="115"/>
      <c r="AH1275" s="115"/>
      <c r="AI1275" s="115"/>
      <c r="AJ1275" s="115"/>
      <c r="AK1275" s="115"/>
      <c r="AL1275" s="115"/>
      <c r="AM1275" s="115"/>
      <c r="AN1275" s="115"/>
      <c r="AO1275" s="115"/>
      <c r="AP1275" s="115"/>
      <c r="AQ1275" s="115"/>
      <c r="AR1275" s="115"/>
      <c r="AS1275" s="115"/>
      <c r="AT1275" s="115"/>
      <c r="AU1275" s="115"/>
      <c r="AV1275" s="115"/>
      <c r="AW1275" s="115"/>
      <c r="AX1275" s="115"/>
      <c r="AY1275" s="115"/>
      <c r="AZ1275" s="115"/>
      <c r="BA1275" s="115"/>
      <c r="BB1275" s="115"/>
      <c r="BC1275" s="115"/>
      <c r="BD1275" s="115"/>
      <c r="BE1275" s="115"/>
      <c r="BF1275" s="115"/>
      <c r="BG1275" s="115"/>
      <c r="BH1275" s="115"/>
      <c r="BI1275" s="115"/>
      <c r="BJ1275" s="115"/>
      <c r="BK1275" s="115"/>
      <c r="BL1275" s="115"/>
      <c r="BM1275" s="115"/>
      <c r="BN1275" s="115"/>
      <c r="BO1275" s="115"/>
      <c r="BP1275" s="115"/>
    </row>
    <row r="1276" spans="1:68" ht="20.100000000000001" customHeight="1">
      <c r="A1276" s="1229" t="s">
        <v>4536</v>
      </c>
      <c r="B1276" s="1229" t="s">
        <v>4657</v>
      </c>
      <c r="C1276" s="1229" t="s">
        <v>4660</v>
      </c>
      <c r="D1276" s="196">
        <f>D11+650</f>
        <v>1400</v>
      </c>
      <c r="E1276" s="196">
        <f>E11+700</f>
        <v>2100</v>
      </c>
      <c r="F1276" s="196">
        <f>F11+700</f>
        <v>2100</v>
      </c>
      <c r="G1276" s="217" t="s">
        <v>4557</v>
      </c>
      <c r="H1276" s="69" t="s">
        <v>4556</v>
      </c>
      <c r="I1276" s="38" t="s">
        <v>4595</v>
      </c>
      <c r="J1276" s="30"/>
      <c r="K1276" s="38"/>
      <c r="L1276" s="116" t="s">
        <v>4539</v>
      </c>
      <c r="M1276" s="6">
        <v>43084</v>
      </c>
      <c r="N1276" s="6">
        <v>43100</v>
      </c>
      <c r="O1276" s="61" t="s">
        <v>4555</v>
      </c>
      <c r="P1276" s="61"/>
      <c r="Q1276" s="7"/>
      <c r="R1276" s="239" t="s">
        <v>4554</v>
      </c>
      <c r="S1276" s="326" t="s">
        <v>4543</v>
      </c>
      <c r="T1276" s="722"/>
      <c r="U1276" s="42"/>
      <c r="AE1276" s="115"/>
      <c r="AF1276" s="115"/>
      <c r="AG1276" s="115"/>
      <c r="AH1276" s="115"/>
      <c r="AI1276" s="115"/>
      <c r="AJ1276" s="115"/>
      <c r="AK1276" s="115"/>
      <c r="AL1276" s="115"/>
      <c r="AM1276" s="115"/>
      <c r="AN1276" s="115"/>
      <c r="AO1276" s="115"/>
      <c r="AP1276" s="115"/>
      <c r="AQ1276" s="115"/>
      <c r="AR1276" s="115"/>
      <c r="AS1276" s="115"/>
      <c r="AT1276" s="115"/>
      <c r="AU1276" s="115"/>
      <c r="AV1276" s="115"/>
      <c r="AW1276" s="115"/>
      <c r="AX1276" s="115"/>
      <c r="AY1276" s="115"/>
      <c r="AZ1276" s="115"/>
      <c r="BA1276" s="115"/>
      <c r="BB1276" s="115"/>
      <c r="BC1276" s="115"/>
      <c r="BD1276" s="115"/>
      <c r="BE1276" s="115"/>
      <c r="BF1276" s="115"/>
      <c r="BG1276" s="115"/>
      <c r="BH1276" s="115"/>
      <c r="BI1276" s="115"/>
      <c r="BJ1276" s="115"/>
      <c r="BK1276" s="115"/>
      <c r="BL1276" s="115"/>
      <c r="BM1276" s="115"/>
      <c r="BN1276" s="115"/>
      <c r="BO1276" s="115"/>
      <c r="BP1276" s="115"/>
    </row>
    <row r="1277" spans="1:68" ht="20.100000000000001" customHeight="1">
      <c r="A1277" s="1229" t="s">
        <v>4536</v>
      </c>
      <c r="B1277" s="1229" t="s">
        <v>4657</v>
      </c>
      <c r="C1277" s="1229" t="s">
        <v>4660</v>
      </c>
      <c r="D1277" s="196">
        <f>D19+510+25</f>
        <v>1310</v>
      </c>
      <c r="E1277" s="196">
        <f>E19+775+50</f>
        <v>2275</v>
      </c>
      <c r="F1277" s="196">
        <f>F19+775+50</f>
        <v>2325</v>
      </c>
      <c r="G1277" s="12" t="s">
        <v>4542</v>
      </c>
      <c r="H1277" s="69" t="s">
        <v>4541</v>
      </c>
      <c r="I1277" s="38" t="s">
        <v>4595</v>
      </c>
      <c r="J1277" s="140"/>
      <c r="K1277" s="38"/>
      <c r="L1277" s="116" t="s">
        <v>4539</v>
      </c>
      <c r="M1277" s="15">
        <v>43084</v>
      </c>
      <c r="N1277" s="15">
        <v>43100</v>
      </c>
      <c r="O1277" s="61" t="s">
        <v>4538</v>
      </c>
      <c r="P1277" s="61"/>
      <c r="Q1277" s="61"/>
      <c r="R1277" s="239"/>
      <c r="S1277" s="326" t="s">
        <v>4537</v>
      </c>
      <c r="T1277" s="722"/>
      <c r="U1277" s="42"/>
      <c r="AE1277" s="276"/>
      <c r="AF1277" s="276"/>
      <c r="AG1277" s="276"/>
      <c r="AH1277" s="276"/>
      <c r="AI1277" s="276"/>
      <c r="AJ1277" s="276"/>
      <c r="AK1277" s="276"/>
      <c r="AL1277" s="276"/>
      <c r="AM1277" s="276"/>
      <c r="AN1277" s="276"/>
      <c r="AO1277" s="276"/>
      <c r="AP1277" s="276"/>
      <c r="AQ1277" s="276"/>
      <c r="AR1277" s="276"/>
      <c r="AS1277" s="276"/>
      <c r="AT1277" s="276"/>
      <c r="AU1277" s="276"/>
      <c r="AV1277" s="276"/>
      <c r="AW1277" s="276"/>
      <c r="AX1277" s="276"/>
      <c r="AY1277" s="276"/>
      <c r="AZ1277" s="276"/>
      <c r="BA1277" s="276"/>
      <c r="BB1277" s="276"/>
      <c r="BC1277" s="276"/>
      <c r="BD1277" s="276"/>
      <c r="BE1277" s="276"/>
      <c r="BF1277" s="276"/>
      <c r="BG1277" s="276"/>
      <c r="BH1277" s="276"/>
      <c r="BI1277" s="276"/>
      <c r="BJ1277" s="276"/>
      <c r="BK1277" s="276"/>
      <c r="BL1277" s="276"/>
      <c r="BM1277" s="276"/>
      <c r="BN1277" s="276"/>
      <c r="BO1277" s="276"/>
      <c r="BP1277" s="276"/>
    </row>
    <row r="1278" spans="1:68" ht="20.100000000000001" customHeight="1">
      <c r="A1278" s="1229" t="s">
        <v>4536</v>
      </c>
      <c r="B1278" s="1229" t="s">
        <v>4657</v>
      </c>
      <c r="C1278" s="1229" t="s">
        <v>4660</v>
      </c>
      <c r="D1278" s="274">
        <f>D211+250+25</f>
        <v>1000</v>
      </c>
      <c r="E1278" s="274">
        <f>E211+400+50</f>
        <v>1800</v>
      </c>
      <c r="F1278" s="274">
        <f>F211+400+50</f>
        <v>1850</v>
      </c>
      <c r="G1278" s="110" t="s">
        <v>4566</v>
      </c>
      <c r="H1278" s="69" t="s">
        <v>4556</v>
      </c>
      <c r="I1278" s="38" t="s">
        <v>4595</v>
      </c>
      <c r="J1278" s="30"/>
      <c r="K1278" s="38"/>
      <c r="L1278" s="116" t="s">
        <v>4539</v>
      </c>
      <c r="M1278" s="15">
        <v>43084</v>
      </c>
      <c r="N1278" s="15">
        <v>43100</v>
      </c>
      <c r="O1278" s="59" t="s">
        <v>4638</v>
      </c>
      <c r="P1278" s="61"/>
      <c r="Q1278" s="61"/>
      <c r="R1278" s="239"/>
      <c r="S1278" s="327" t="s">
        <v>4561</v>
      </c>
      <c r="T1278" s="722"/>
      <c r="U1278" s="42"/>
      <c r="AE1278" s="115"/>
      <c r="AF1278" s="115"/>
      <c r="AG1278" s="115"/>
      <c r="AH1278" s="115"/>
      <c r="AI1278" s="115"/>
      <c r="AJ1278" s="115"/>
      <c r="AK1278" s="115"/>
      <c r="AL1278" s="115"/>
      <c r="AM1278" s="115"/>
      <c r="AN1278" s="115"/>
      <c r="AO1278" s="115"/>
      <c r="AP1278" s="115"/>
      <c r="AQ1278" s="115"/>
      <c r="AR1278" s="115"/>
      <c r="AS1278" s="115"/>
      <c r="AT1278" s="115"/>
      <c r="AU1278" s="115"/>
      <c r="AV1278" s="115"/>
      <c r="AW1278" s="115"/>
      <c r="AX1278" s="115"/>
      <c r="AY1278" s="115"/>
      <c r="AZ1278" s="115"/>
      <c r="BA1278" s="115"/>
      <c r="BB1278" s="115"/>
      <c r="BC1278" s="115"/>
      <c r="BD1278" s="115"/>
      <c r="BE1278" s="115"/>
      <c r="BF1278" s="115"/>
      <c r="BG1278" s="115"/>
      <c r="BH1278" s="115"/>
      <c r="BI1278" s="115"/>
      <c r="BJ1278" s="115"/>
      <c r="BK1278" s="115"/>
      <c r="BL1278" s="115"/>
      <c r="BM1278" s="115"/>
      <c r="BN1278" s="115"/>
      <c r="BO1278" s="115"/>
      <c r="BP1278" s="115"/>
    </row>
    <row r="1279" spans="1:68" ht="20.100000000000001" customHeight="1">
      <c r="A1279" s="908" t="s">
        <v>4536</v>
      </c>
      <c r="B1279" s="908" t="s">
        <v>4657</v>
      </c>
      <c r="C1279" s="908" t="s">
        <v>4659</v>
      </c>
      <c r="D1279" s="196">
        <f>D20+(487+220)*1.2</f>
        <v>1698.4</v>
      </c>
      <c r="E1279" s="196">
        <f>E20+(640+220)*1.2</f>
        <v>2632</v>
      </c>
      <c r="F1279" s="196">
        <f>F20+(640+220)*1.2</f>
        <v>2682</v>
      </c>
      <c r="G1279" s="217" t="s">
        <v>4572</v>
      </c>
      <c r="H1279" s="56" t="s">
        <v>4541</v>
      </c>
      <c r="I1279" s="10" t="s">
        <v>4595</v>
      </c>
      <c r="J1279" s="30"/>
      <c r="K1279" s="38"/>
      <c r="L1279" s="116" t="s">
        <v>4539</v>
      </c>
      <c r="M1279" s="15">
        <v>43070</v>
      </c>
      <c r="N1279" s="15">
        <v>43100</v>
      </c>
      <c r="O1279" s="61" t="s">
        <v>4655</v>
      </c>
      <c r="P1279" s="61" t="s">
        <v>4598</v>
      </c>
      <c r="Q1279" s="7" t="s">
        <v>4654</v>
      </c>
      <c r="R1279" s="239"/>
      <c r="S1279" s="327" t="s">
        <v>4570</v>
      </c>
      <c r="T1279" s="722"/>
      <c r="U1279" s="42"/>
      <c r="AE1279" s="115"/>
      <c r="AF1279" s="115"/>
      <c r="AG1279" s="115"/>
      <c r="AH1279" s="115"/>
      <c r="AI1279" s="115"/>
      <c r="AJ1279" s="115"/>
      <c r="AK1279" s="115"/>
      <c r="AL1279" s="115"/>
      <c r="AM1279" s="115"/>
      <c r="AN1279" s="115"/>
      <c r="AO1279" s="115"/>
      <c r="AP1279" s="115"/>
      <c r="AQ1279" s="115"/>
      <c r="AR1279" s="115"/>
      <c r="AS1279" s="115"/>
      <c r="AT1279" s="115"/>
      <c r="AU1279" s="115"/>
      <c r="AV1279" s="115"/>
      <c r="AW1279" s="115"/>
      <c r="AX1279" s="115"/>
      <c r="AY1279" s="115"/>
      <c r="AZ1279" s="115"/>
      <c r="BA1279" s="115"/>
      <c r="BB1279" s="115"/>
      <c r="BC1279" s="115"/>
      <c r="BD1279" s="115"/>
      <c r="BE1279" s="115"/>
      <c r="BF1279" s="115"/>
      <c r="BG1279" s="115"/>
      <c r="BH1279" s="115"/>
      <c r="BI1279" s="115"/>
      <c r="BJ1279" s="115"/>
      <c r="BK1279" s="115"/>
      <c r="BL1279" s="115"/>
      <c r="BM1279" s="115"/>
      <c r="BN1279" s="115"/>
      <c r="BO1279" s="115"/>
      <c r="BP1279" s="115"/>
    </row>
    <row r="1280" spans="1:68" ht="20.100000000000001" customHeight="1">
      <c r="A1280" s="908" t="s">
        <v>4536</v>
      </c>
      <c r="B1280" s="908" t="s">
        <v>4657</v>
      </c>
      <c r="C1280" s="907" t="s">
        <v>4658</v>
      </c>
      <c r="D1280" s="196">
        <f>D20+(614+220)*1.2</f>
        <v>1850.8</v>
      </c>
      <c r="E1280" s="196">
        <f>E20+(878+220)*1.2</f>
        <v>2917.6</v>
      </c>
      <c r="F1280" s="196">
        <f>F20+(878+220)*1.2</f>
        <v>2967.6</v>
      </c>
      <c r="G1280" s="217" t="s">
        <v>4572</v>
      </c>
      <c r="H1280" s="56" t="s">
        <v>4541</v>
      </c>
      <c r="I1280" s="10" t="s">
        <v>4595</v>
      </c>
      <c r="J1280" s="30"/>
      <c r="K1280" s="38"/>
      <c r="L1280" s="116" t="s">
        <v>4539</v>
      </c>
      <c r="M1280" s="15">
        <v>43070</v>
      </c>
      <c r="N1280" s="15">
        <v>43100</v>
      </c>
      <c r="O1280" s="61" t="s">
        <v>4655</v>
      </c>
      <c r="P1280" s="61" t="s">
        <v>4598</v>
      </c>
      <c r="Q1280" s="7" t="s">
        <v>4654</v>
      </c>
      <c r="R1280" s="21"/>
      <c r="S1280" s="327" t="s">
        <v>4570</v>
      </c>
      <c r="T1280" s="722"/>
      <c r="U1280" s="42"/>
      <c r="AE1280" s="283"/>
      <c r="AF1280" s="283"/>
      <c r="AG1280" s="283"/>
      <c r="AH1280" s="283"/>
      <c r="AI1280" s="283"/>
      <c r="AJ1280" s="283"/>
      <c r="AK1280" s="283"/>
      <c r="AL1280" s="283"/>
      <c r="AM1280" s="283"/>
      <c r="AN1280" s="283"/>
      <c r="AO1280" s="283"/>
      <c r="AP1280" s="283"/>
      <c r="AQ1280" s="283"/>
      <c r="AR1280" s="283"/>
      <c r="AS1280" s="283"/>
      <c r="AT1280" s="283"/>
      <c r="AU1280" s="283"/>
      <c r="AV1280" s="283"/>
      <c r="AW1280" s="283"/>
      <c r="AX1280" s="283"/>
      <c r="AY1280" s="283"/>
      <c r="AZ1280" s="283"/>
      <c r="BA1280" s="283"/>
      <c r="BB1280" s="283"/>
      <c r="BC1280" s="283"/>
      <c r="BD1280" s="283"/>
      <c r="BE1280" s="283"/>
      <c r="BF1280" s="283"/>
      <c r="BG1280" s="283"/>
      <c r="BH1280" s="283"/>
      <c r="BI1280" s="283"/>
      <c r="BJ1280" s="283"/>
      <c r="BK1280" s="283"/>
      <c r="BL1280" s="283"/>
      <c r="BM1280" s="283"/>
      <c r="BN1280" s="283"/>
      <c r="BO1280" s="283"/>
      <c r="BP1280" s="283"/>
    </row>
    <row r="1281" spans="1:68" ht="20.100000000000001" customHeight="1">
      <c r="A1281" s="908" t="s">
        <v>4536</v>
      </c>
      <c r="B1281" s="908" t="s">
        <v>4657</v>
      </c>
      <c r="C1281" s="907" t="s">
        <v>4656</v>
      </c>
      <c r="D1281" s="196">
        <f>D20+(576+220)*1.2</f>
        <v>1805.1999999999998</v>
      </c>
      <c r="E1281" s="196">
        <f>E20+(779+220)*1.2</f>
        <v>2798.8</v>
      </c>
      <c r="F1281" s="196">
        <f>F20+(779+220)*1.2</f>
        <v>2848.8</v>
      </c>
      <c r="G1281" s="217" t="s">
        <v>4572</v>
      </c>
      <c r="H1281" s="56" t="s">
        <v>4541</v>
      </c>
      <c r="I1281" s="10" t="s">
        <v>4595</v>
      </c>
      <c r="J1281" s="30"/>
      <c r="K1281" s="38"/>
      <c r="L1281" s="116" t="s">
        <v>4539</v>
      </c>
      <c r="M1281" s="15">
        <v>43070</v>
      </c>
      <c r="N1281" s="15">
        <v>43100</v>
      </c>
      <c r="O1281" s="61" t="s">
        <v>4655</v>
      </c>
      <c r="P1281" s="61" t="s">
        <v>4598</v>
      </c>
      <c r="Q1281" s="7" t="s">
        <v>4654</v>
      </c>
      <c r="R1281" s="21"/>
      <c r="S1281" s="327" t="s">
        <v>4570</v>
      </c>
      <c r="T1281" s="722"/>
      <c r="U1281" s="42"/>
      <c r="AE1281" s="115"/>
      <c r="AF1281" s="115"/>
      <c r="AG1281" s="115"/>
      <c r="AH1281" s="115"/>
      <c r="AI1281" s="115"/>
      <c r="AJ1281" s="115"/>
      <c r="AK1281" s="115"/>
      <c r="AL1281" s="115"/>
      <c r="AM1281" s="115"/>
      <c r="AN1281" s="115"/>
      <c r="AO1281" s="115"/>
      <c r="AP1281" s="115"/>
      <c r="AQ1281" s="115"/>
      <c r="AR1281" s="115"/>
      <c r="AS1281" s="115"/>
      <c r="AT1281" s="115"/>
      <c r="AU1281" s="115"/>
      <c r="AV1281" s="115"/>
      <c r="AW1281" s="115"/>
      <c r="AX1281" s="115"/>
      <c r="AY1281" s="115"/>
      <c r="AZ1281" s="115"/>
      <c r="BA1281" s="115"/>
      <c r="BB1281" s="115"/>
      <c r="BC1281" s="115"/>
      <c r="BD1281" s="115"/>
      <c r="BE1281" s="115"/>
      <c r="BF1281" s="115"/>
      <c r="BG1281" s="115"/>
      <c r="BH1281" s="115"/>
      <c r="BI1281" s="115"/>
      <c r="BJ1281" s="115"/>
      <c r="BK1281" s="115"/>
      <c r="BL1281" s="115"/>
      <c r="BM1281" s="115"/>
      <c r="BN1281" s="115"/>
      <c r="BO1281" s="115"/>
      <c r="BP1281" s="115"/>
    </row>
    <row r="1282" spans="1:68" ht="20.100000000000001" customHeight="1">
      <c r="A1282" s="1228" t="s">
        <v>4582</v>
      </c>
      <c r="B1282" s="1228" t="s">
        <v>4592</v>
      </c>
      <c r="C1282" s="1228" t="s">
        <v>4653</v>
      </c>
      <c r="D1282" s="195">
        <f>D20+(420+220)*1.2</f>
        <v>1618</v>
      </c>
      <c r="E1282" s="195">
        <f>E20+(416+220)*1.2</f>
        <v>2363.1999999999998</v>
      </c>
      <c r="F1282" s="195">
        <f>F20+(406+220)*1.2</f>
        <v>2401.1999999999998</v>
      </c>
      <c r="G1282" s="217" t="s">
        <v>4572</v>
      </c>
      <c r="H1282" s="56" t="s">
        <v>4541</v>
      </c>
      <c r="I1282" s="10" t="s">
        <v>4595</v>
      </c>
      <c r="J1282" s="30"/>
      <c r="K1282" s="38"/>
      <c r="L1282" s="116" t="s">
        <v>4539</v>
      </c>
      <c r="M1282" s="15">
        <v>43070</v>
      </c>
      <c r="N1282" s="15">
        <v>43100</v>
      </c>
      <c r="O1282" s="59" t="s">
        <v>4571</v>
      </c>
      <c r="P1282" s="61" t="s">
        <v>4598</v>
      </c>
      <c r="Q1282" s="7" t="s">
        <v>4605</v>
      </c>
      <c r="R1282" s="21"/>
      <c r="S1282" s="327" t="s">
        <v>4570</v>
      </c>
      <c r="T1282" s="722"/>
      <c r="U1282" s="42"/>
      <c r="AE1282" s="115"/>
      <c r="AF1282" s="115"/>
      <c r="AG1282" s="115"/>
      <c r="AH1282" s="115"/>
      <c r="AI1282" s="115"/>
      <c r="AJ1282" s="115"/>
      <c r="AK1282" s="115"/>
      <c r="AL1282" s="115"/>
      <c r="AM1282" s="115"/>
      <c r="AN1282" s="115"/>
      <c r="AO1282" s="115"/>
      <c r="AP1282" s="115"/>
      <c r="AQ1282" s="115"/>
      <c r="AR1282" s="115"/>
      <c r="AS1282" s="115"/>
      <c r="AT1282" s="115"/>
      <c r="AU1282" s="115"/>
      <c r="AV1282" s="115"/>
      <c r="AW1282" s="115"/>
      <c r="AX1282" s="115"/>
      <c r="AY1282" s="115"/>
      <c r="AZ1282" s="115"/>
      <c r="BA1282" s="115"/>
      <c r="BB1282" s="115"/>
      <c r="BC1282" s="115"/>
      <c r="BD1282" s="115"/>
      <c r="BE1282" s="115"/>
      <c r="BF1282" s="115"/>
      <c r="BG1282" s="115"/>
      <c r="BH1282" s="115"/>
      <c r="BI1282" s="115"/>
      <c r="BJ1282" s="115"/>
      <c r="BK1282" s="115"/>
      <c r="BL1282" s="115"/>
      <c r="BM1282" s="115"/>
      <c r="BN1282" s="115"/>
      <c r="BO1282" s="115"/>
      <c r="BP1282" s="115"/>
    </row>
    <row r="1283" spans="1:68" ht="20.100000000000001" customHeight="1">
      <c r="A1283" s="1228" t="s">
        <v>4582</v>
      </c>
      <c r="B1283" s="1228" t="s">
        <v>4592</v>
      </c>
      <c r="C1283" s="1228" t="s">
        <v>4653</v>
      </c>
      <c r="D1283" s="195">
        <f>D19+1100+25</f>
        <v>1900</v>
      </c>
      <c r="E1283" s="195">
        <f>E19+1100+50</f>
        <v>2600</v>
      </c>
      <c r="F1283" s="195">
        <f>F19+1100+50</f>
        <v>2650</v>
      </c>
      <c r="G1283" s="12" t="s">
        <v>4542</v>
      </c>
      <c r="H1283" s="69" t="s">
        <v>4541</v>
      </c>
      <c r="I1283" s="38" t="s">
        <v>4595</v>
      </c>
      <c r="J1283" s="140"/>
      <c r="K1283" s="38"/>
      <c r="L1283" s="116" t="s">
        <v>4539</v>
      </c>
      <c r="M1283" s="15">
        <v>43084</v>
      </c>
      <c r="N1283" s="15">
        <v>43100</v>
      </c>
      <c r="O1283" s="61" t="s">
        <v>4538</v>
      </c>
      <c r="P1283" s="61"/>
      <c r="Q1283" s="61"/>
      <c r="R1283" s="239"/>
      <c r="S1283" s="326" t="s">
        <v>4537</v>
      </c>
      <c r="T1283" s="722"/>
      <c r="U1283" s="42"/>
      <c r="AE1283" s="115"/>
      <c r="AF1283" s="115"/>
      <c r="AG1283" s="115"/>
      <c r="AH1283" s="115"/>
      <c r="AI1283" s="115"/>
      <c r="AJ1283" s="115"/>
      <c r="AK1283" s="115"/>
      <c r="AL1283" s="115"/>
      <c r="AM1283" s="115"/>
      <c r="AN1283" s="115"/>
      <c r="AO1283" s="115"/>
      <c r="AP1283" s="115"/>
      <c r="AQ1283" s="115"/>
      <c r="AR1283" s="115"/>
      <c r="AS1283" s="115"/>
      <c r="AT1283" s="115"/>
      <c r="AU1283" s="115"/>
      <c r="AV1283" s="115"/>
      <c r="AW1283" s="115"/>
      <c r="AX1283" s="115"/>
      <c r="AY1283" s="115"/>
      <c r="AZ1283" s="115"/>
      <c r="BA1283" s="115"/>
      <c r="BB1283" s="115"/>
      <c r="BC1283" s="115"/>
      <c r="BD1283" s="115"/>
      <c r="BE1283" s="115"/>
      <c r="BF1283" s="115"/>
      <c r="BG1283" s="115"/>
      <c r="BH1283" s="115"/>
      <c r="BI1283" s="115"/>
      <c r="BJ1283" s="115"/>
      <c r="BK1283" s="115"/>
      <c r="BL1283" s="115"/>
      <c r="BM1283" s="115"/>
      <c r="BN1283" s="115"/>
      <c r="BO1283" s="115"/>
      <c r="BP1283" s="115"/>
    </row>
    <row r="1284" spans="1:68" ht="20.100000000000001" customHeight="1">
      <c r="A1284" s="1228" t="s">
        <v>4582</v>
      </c>
      <c r="B1284" s="1228" t="s">
        <v>4592</v>
      </c>
      <c r="C1284" s="1228" t="s">
        <v>4653</v>
      </c>
      <c r="D1284" s="195">
        <f>D14+376*1.3</f>
        <v>1268.8</v>
      </c>
      <c r="E1284" s="195">
        <f>E14+431*1.3</f>
        <v>2017.3000000000002</v>
      </c>
      <c r="F1284" s="195">
        <f>F14+431*1.3</f>
        <v>2017.3000000000002</v>
      </c>
      <c r="G1284" s="225" t="s">
        <v>4569</v>
      </c>
      <c r="H1284" s="69" t="s">
        <v>4602</v>
      </c>
      <c r="I1284" s="38" t="s">
        <v>4595</v>
      </c>
      <c r="J1284" s="140"/>
      <c r="K1284" s="38" t="s">
        <v>4546</v>
      </c>
      <c r="L1284" s="116" t="s">
        <v>4539</v>
      </c>
      <c r="M1284" s="6">
        <v>43074</v>
      </c>
      <c r="N1284" s="6">
        <v>43084</v>
      </c>
      <c r="O1284" s="61" t="s">
        <v>4567</v>
      </c>
      <c r="P1284" s="61"/>
      <c r="Q1284" s="61" t="s">
        <v>4585</v>
      </c>
      <c r="R1284" s="239"/>
      <c r="S1284" s="328" t="s">
        <v>4543</v>
      </c>
      <c r="T1284" s="722"/>
      <c r="U1284" s="42"/>
      <c r="AE1284" s="276"/>
      <c r="AF1284" s="276"/>
      <c r="AG1284" s="276"/>
      <c r="AH1284" s="276"/>
      <c r="AI1284" s="276"/>
      <c r="AJ1284" s="276"/>
      <c r="AK1284" s="276"/>
      <c r="AL1284" s="276"/>
      <c r="AM1284" s="276"/>
      <c r="AN1284" s="276"/>
      <c r="AO1284" s="276"/>
      <c r="AP1284" s="276"/>
      <c r="AQ1284" s="276"/>
      <c r="AR1284" s="276"/>
      <c r="AS1284" s="276"/>
      <c r="AT1284" s="276"/>
      <c r="AU1284" s="276"/>
      <c r="AV1284" s="276"/>
      <c r="AW1284" s="276"/>
      <c r="AX1284" s="276"/>
      <c r="AY1284" s="276"/>
      <c r="AZ1284" s="276"/>
      <c r="BA1284" s="276"/>
      <c r="BB1284" s="276"/>
      <c r="BC1284" s="276"/>
      <c r="BD1284" s="276"/>
      <c r="BE1284" s="276"/>
      <c r="BF1284" s="276"/>
      <c r="BG1284" s="276"/>
      <c r="BH1284" s="276"/>
      <c r="BI1284" s="276"/>
      <c r="BJ1284" s="276"/>
      <c r="BK1284" s="276"/>
      <c r="BL1284" s="276"/>
      <c r="BM1284" s="276"/>
      <c r="BN1284" s="276"/>
      <c r="BO1284" s="276"/>
      <c r="BP1284" s="276"/>
    </row>
    <row r="1285" spans="1:68" ht="20.100000000000001" customHeight="1">
      <c r="A1285" s="907" t="s">
        <v>4582</v>
      </c>
      <c r="B1285" s="907" t="s">
        <v>4592</v>
      </c>
      <c r="C1285" s="907" t="s">
        <v>4652</v>
      </c>
      <c r="D1285" s="247"/>
      <c r="E1285" s="247"/>
      <c r="F1285" s="247"/>
      <c r="G1285" s="12"/>
      <c r="H1285" s="56"/>
      <c r="I1285" s="51"/>
      <c r="J1285" s="161"/>
      <c r="K1285" s="51"/>
      <c r="L1285" s="118"/>
      <c r="M1285" s="118"/>
      <c r="N1285" s="15"/>
      <c r="O1285" s="59"/>
      <c r="P1285" s="59"/>
      <c r="Q1285" s="59"/>
      <c r="R1285" s="21"/>
      <c r="S1285" s="328"/>
      <c r="T1285" s="722"/>
      <c r="U1285" s="42"/>
      <c r="AE1285" s="115"/>
      <c r="AF1285" s="115"/>
      <c r="AG1285" s="115"/>
      <c r="AH1285" s="115"/>
      <c r="AI1285" s="115"/>
      <c r="AJ1285" s="115"/>
      <c r="AK1285" s="115"/>
      <c r="AL1285" s="115"/>
      <c r="AM1285" s="115"/>
      <c r="AN1285" s="115"/>
      <c r="AO1285" s="115"/>
      <c r="AP1285" s="115"/>
      <c r="AQ1285" s="115"/>
      <c r="AR1285" s="115"/>
      <c r="AS1285" s="115"/>
      <c r="AT1285" s="115"/>
      <c r="AU1285" s="115"/>
      <c r="AV1285" s="115"/>
      <c r="AW1285" s="115"/>
      <c r="AX1285" s="115"/>
      <c r="AY1285" s="115"/>
      <c r="AZ1285" s="115"/>
      <c r="BA1285" s="115"/>
      <c r="BB1285" s="115"/>
      <c r="BC1285" s="115"/>
      <c r="BD1285" s="115"/>
      <c r="BE1285" s="115"/>
      <c r="BF1285" s="115"/>
      <c r="BG1285" s="115"/>
      <c r="BH1285" s="115"/>
      <c r="BI1285" s="115"/>
      <c r="BJ1285" s="115"/>
      <c r="BK1285" s="115"/>
      <c r="BL1285" s="115"/>
      <c r="BM1285" s="115"/>
      <c r="BN1285" s="115"/>
      <c r="BO1285" s="115"/>
      <c r="BP1285" s="115"/>
    </row>
    <row r="1286" spans="1:68" ht="20.100000000000001" customHeight="1">
      <c r="A1286" s="907" t="s">
        <v>4582</v>
      </c>
      <c r="B1286" s="907" t="s">
        <v>4592</v>
      </c>
      <c r="C1286" s="907" t="s">
        <v>4651</v>
      </c>
      <c r="D1286" s="195">
        <f>D72+326*1.3</f>
        <v>1203.8</v>
      </c>
      <c r="E1286" s="195">
        <f>E72+386*1.3</f>
        <v>1958.8</v>
      </c>
      <c r="F1286" s="195">
        <f>F72+386*1.3</f>
        <v>1958.8</v>
      </c>
      <c r="G1286" s="225" t="s">
        <v>4569</v>
      </c>
      <c r="H1286" s="69" t="s">
        <v>4568</v>
      </c>
      <c r="I1286" s="38" t="s">
        <v>4540</v>
      </c>
      <c r="J1286" s="95"/>
      <c r="K1286" s="38" t="s">
        <v>4601</v>
      </c>
      <c r="L1286" s="116" t="s">
        <v>4539</v>
      </c>
      <c r="M1286" s="6">
        <v>43074</v>
      </c>
      <c r="N1286" s="6">
        <v>43084</v>
      </c>
      <c r="O1286" s="61" t="s">
        <v>4567</v>
      </c>
      <c r="P1286" s="61"/>
      <c r="Q1286" s="61" t="s">
        <v>4585</v>
      </c>
      <c r="R1286" s="239"/>
      <c r="S1286" s="328" t="s">
        <v>4543</v>
      </c>
      <c r="T1286" s="722"/>
      <c r="U1286" s="42"/>
      <c r="AE1286" s="115"/>
      <c r="AF1286" s="115"/>
      <c r="AG1286" s="115"/>
      <c r="AH1286" s="115"/>
      <c r="AI1286" s="115"/>
      <c r="AJ1286" s="115"/>
      <c r="AK1286" s="115"/>
      <c r="AL1286" s="115"/>
      <c r="AM1286" s="115"/>
      <c r="AN1286" s="115"/>
      <c r="AO1286" s="115"/>
      <c r="AP1286" s="115"/>
      <c r="AQ1286" s="115"/>
      <c r="AR1286" s="115"/>
      <c r="AS1286" s="115"/>
      <c r="AT1286" s="115"/>
      <c r="AU1286" s="115"/>
      <c r="AV1286" s="115"/>
      <c r="AW1286" s="115"/>
      <c r="AX1286" s="115"/>
      <c r="AY1286" s="115"/>
      <c r="AZ1286" s="115"/>
      <c r="BA1286" s="115"/>
      <c r="BB1286" s="115"/>
      <c r="BC1286" s="115"/>
      <c r="BD1286" s="115"/>
      <c r="BE1286" s="115"/>
      <c r="BF1286" s="115"/>
      <c r="BG1286" s="115"/>
      <c r="BH1286" s="115"/>
      <c r="BI1286" s="115"/>
      <c r="BJ1286" s="115"/>
      <c r="BK1286" s="115"/>
      <c r="BL1286" s="115"/>
      <c r="BM1286" s="115"/>
      <c r="BN1286" s="115"/>
      <c r="BO1286" s="115"/>
      <c r="BP1286" s="115"/>
    </row>
    <row r="1287" spans="1:68" ht="20.100000000000001" customHeight="1">
      <c r="A1287" s="1229" t="s">
        <v>4536</v>
      </c>
      <c r="B1287" s="1229" t="s">
        <v>4592</v>
      </c>
      <c r="C1287" s="1229" t="s">
        <v>4646</v>
      </c>
      <c r="D1287" s="345">
        <f>D48+75+25</f>
        <v>950</v>
      </c>
      <c r="E1287" s="345">
        <f>E48+75+50</f>
        <v>1725</v>
      </c>
      <c r="F1287" s="345">
        <f>F48+75+50</f>
        <v>1775</v>
      </c>
      <c r="G1287" s="217" t="s">
        <v>4572</v>
      </c>
      <c r="H1287" s="56" t="s">
        <v>4649</v>
      </c>
      <c r="I1287" s="10" t="s">
        <v>4648</v>
      </c>
      <c r="J1287" s="30"/>
      <c r="K1287" s="38"/>
      <c r="L1287" s="116" t="s">
        <v>4539</v>
      </c>
      <c r="M1287" s="15">
        <v>43070</v>
      </c>
      <c r="N1287" s="15">
        <v>43100</v>
      </c>
      <c r="O1287" s="59" t="s">
        <v>4571</v>
      </c>
      <c r="P1287" s="61" t="s">
        <v>4650</v>
      </c>
      <c r="Q1287" s="14" t="s">
        <v>4594</v>
      </c>
      <c r="R1287" s="239"/>
      <c r="S1287" s="327" t="s">
        <v>4570</v>
      </c>
      <c r="T1287" s="722"/>
      <c r="U1287" s="42"/>
      <c r="AE1287" s="115"/>
      <c r="AF1287" s="115"/>
      <c r="AG1287" s="115"/>
      <c r="AH1287" s="115"/>
      <c r="AI1287" s="115"/>
      <c r="AJ1287" s="115"/>
      <c r="AK1287" s="115"/>
      <c r="AL1287" s="115"/>
      <c r="AM1287" s="115"/>
      <c r="AN1287" s="115"/>
      <c r="AO1287" s="115"/>
      <c r="AP1287" s="115"/>
      <c r="AQ1287" s="115"/>
      <c r="AR1287" s="115"/>
      <c r="AS1287" s="115"/>
      <c r="AT1287" s="115"/>
      <c r="AU1287" s="115"/>
      <c r="AV1287" s="115"/>
      <c r="AW1287" s="115"/>
      <c r="AX1287" s="115"/>
      <c r="AY1287" s="115"/>
      <c r="AZ1287" s="115"/>
      <c r="BA1287" s="115"/>
      <c r="BB1287" s="115"/>
      <c r="BC1287" s="115"/>
      <c r="BD1287" s="115"/>
      <c r="BE1287" s="115"/>
      <c r="BF1287" s="115"/>
      <c r="BG1287" s="115"/>
      <c r="BH1287" s="115"/>
      <c r="BI1287" s="115"/>
      <c r="BJ1287" s="115"/>
      <c r="BK1287" s="115"/>
      <c r="BL1287" s="115"/>
      <c r="BM1287" s="115"/>
      <c r="BN1287" s="115"/>
      <c r="BO1287" s="115"/>
      <c r="BP1287" s="115"/>
    </row>
    <row r="1288" spans="1:68" ht="20.100000000000001" customHeight="1">
      <c r="A1288" s="1229" t="s">
        <v>4536</v>
      </c>
      <c r="B1288" s="1229" t="s">
        <v>4592</v>
      </c>
      <c r="C1288" s="1229" t="s">
        <v>4646</v>
      </c>
      <c r="D1288" s="345">
        <f>D48+130+220*1.2</f>
        <v>1244</v>
      </c>
      <c r="E1288" s="345">
        <f>E48+130+220*1.2</f>
        <v>1994</v>
      </c>
      <c r="F1288" s="345">
        <f>F48+130+220*1.2</f>
        <v>2044</v>
      </c>
      <c r="G1288" s="217" t="s">
        <v>4572</v>
      </c>
      <c r="H1288" s="56" t="s">
        <v>4649</v>
      </c>
      <c r="I1288" s="10" t="s">
        <v>4648</v>
      </c>
      <c r="J1288" s="30"/>
      <c r="K1288" s="38"/>
      <c r="L1288" s="116" t="s">
        <v>4539</v>
      </c>
      <c r="M1288" s="15">
        <v>43070</v>
      </c>
      <c r="N1288" s="15">
        <v>43100</v>
      </c>
      <c r="O1288" s="59" t="s">
        <v>4571</v>
      </c>
      <c r="P1288" s="61" t="s">
        <v>4598</v>
      </c>
      <c r="Q1288" s="14" t="s">
        <v>4585</v>
      </c>
      <c r="R1288" s="239"/>
      <c r="S1288" s="327" t="s">
        <v>4570</v>
      </c>
      <c r="T1288" s="722"/>
      <c r="U1288" s="42"/>
      <c r="AE1288" s="283"/>
      <c r="AF1288" s="283"/>
      <c r="AG1288" s="283"/>
      <c r="AH1288" s="283"/>
      <c r="AI1288" s="283"/>
      <c r="AJ1288" s="283"/>
      <c r="AK1288" s="283"/>
      <c r="AL1288" s="283"/>
      <c r="AM1288" s="283"/>
      <c r="AN1288" s="283"/>
      <c r="AO1288" s="283"/>
      <c r="AP1288" s="283"/>
      <c r="AQ1288" s="283"/>
      <c r="AR1288" s="283"/>
      <c r="AS1288" s="283"/>
      <c r="AT1288" s="283"/>
      <c r="AU1288" s="283"/>
      <c r="AV1288" s="283"/>
      <c r="AW1288" s="283"/>
      <c r="AX1288" s="283"/>
      <c r="AY1288" s="283"/>
      <c r="AZ1288" s="283"/>
      <c r="BA1288" s="283"/>
      <c r="BB1288" s="283"/>
      <c r="BC1288" s="283"/>
      <c r="BD1288" s="283"/>
      <c r="BE1288" s="283"/>
      <c r="BF1288" s="283"/>
      <c r="BG1288" s="283"/>
      <c r="BH1288" s="283"/>
      <c r="BI1288" s="283"/>
      <c r="BJ1288" s="283"/>
      <c r="BK1288" s="283"/>
      <c r="BL1288" s="283"/>
      <c r="BM1288" s="283"/>
      <c r="BN1288" s="283"/>
      <c r="BO1288" s="283"/>
      <c r="BP1288" s="283"/>
    </row>
    <row r="1289" spans="1:68" ht="20.100000000000001" customHeight="1">
      <c r="A1289" s="1229" t="s">
        <v>4536</v>
      </c>
      <c r="B1289" s="1229" t="s">
        <v>4592</v>
      </c>
      <c r="C1289" s="1229" t="s">
        <v>4646</v>
      </c>
      <c r="D1289" s="345">
        <f>D20+150+220*1.2</f>
        <v>1264</v>
      </c>
      <c r="E1289" s="345">
        <f>E20+150+220*1.2</f>
        <v>2014</v>
      </c>
      <c r="F1289" s="345">
        <f>F20+150+220*1.2</f>
        <v>2064</v>
      </c>
      <c r="G1289" s="217" t="s">
        <v>4572</v>
      </c>
      <c r="H1289" s="56" t="s">
        <v>4541</v>
      </c>
      <c r="I1289" s="10" t="s">
        <v>4595</v>
      </c>
      <c r="J1289" s="30"/>
      <c r="K1289" s="38"/>
      <c r="L1289" s="116" t="s">
        <v>4539</v>
      </c>
      <c r="M1289" s="15">
        <v>43070</v>
      </c>
      <c r="N1289" s="15">
        <v>43100</v>
      </c>
      <c r="O1289" s="59" t="s">
        <v>4571</v>
      </c>
      <c r="P1289" s="61" t="s">
        <v>4598</v>
      </c>
      <c r="Q1289" s="14" t="s">
        <v>4585</v>
      </c>
      <c r="R1289" s="239"/>
      <c r="S1289" s="327" t="s">
        <v>4570</v>
      </c>
      <c r="T1289" s="722"/>
      <c r="U1289" s="42"/>
      <c r="AE1289" s="115"/>
      <c r="AF1289" s="115"/>
      <c r="AG1289" s="115"/>
      <c r="AH1289" s="115"/>
      <c r="AI1289" s="115"/>
      <c r="AJ1289" s="115"/>
      <c r="AK1289" s="115"/>
      <c r="AL1289" s="115"/>
      <c r="AM1289" s="115"/>
      <c r="AN1289" s="115"/>
      <c r="AO1289" s="115"/>
      <c r="AP1289" s="115"/>
      <c r="AQ1289" s="115"/>
      <c r="AR1289" s="115"/>
      <c r="AS1289" s="115"/>
      <c r="AT1289" s="115"/>
      <c r="AU1289" s="115"/>
      <c r="AV1289" s="115"/>
      <c r="AW1289" s="115"/>
      <c r="AX1289" s="115"/>
      <c r="AY1289" s="115"/>
      <c r="AZ1289" s="115"/>
      <c r="BA1289" s="115"/>
      <c r="BB1289" s="115"/>
      <c r="BC1289" s="115"/>
      <c r="BD1289" s="115"/>
      <c r="BE1289" s="115"/>
      <c r="BF1289" s="115"/>
      <c r="BG1289" s="115"/>
      <c r="BH1289" s="115"/>
      <c r="BI1289" s="115"/>
      <c r="BJ1289" s="115"/>
      <c r="BK1289" s="115"/>
      <c r="BL1289" s="115"/>
      <c r="BM1289" s="115"/>
      <c r="BN1289" s="115"/>
      <c r="BO1289" s="115"/>
      <c r="BP1289" s="115"/>
    </row>
    <row r="1290" spans="1:68" ht="20.100000000000001" customHeight="1">
      <c r="A1290" s="1229" t="s">
        <v>4536</v>
      </c>
      <c r="B1290" s="1229" t="s">
        <v>4592</v>
      </c>
      <c r="C1290" s="1229" t="s">
        <v>4646</v>
      </c>
      <c r="D1290" s="196">
        <f>D36+100</f>
        <v>975</v>
      </c>
      <c r="E1290" s="196">
        <f>E36+250</f>
        <v>1800</v>
      </c>
      <c r="F1290" s="196">
        <f>F36+250</f>
        <v>1850</v>
      </c>
      <c r="G1290" s="217" t="s">
        <v>4575</v>
      </c>
      <c r="H1290" s="48" t="s">
        <v>4541</v>
      </c>
      <c r="I1290" s="38" t="s">
        <v>4647</v>
      </c>
      <c r="J1290" s="30"/>
      <c r="K1290" s="38" t="s">
        <v>4546</v>
      </c>
      <c r="L1290" s="116" t="s">
        <v>4539</v>
      </c>
      <c r="M1290" s="15">
        <v>43084</v>
      </c>
      <c r="N1290" s="15">
        <v>43100</v>
      </c>
      <c r="O1290" s="61" t="s">
        <v>4573</v>
      </c>
      <c r="P1290" s="61"/>
      <c r="Q1290" s="61"/>
      <c r="R1290" s="239"/>
      <c r="S1290" s="328" t="s">
        <v>4543</v>
      </c>
      <c r="T1290" s="722"/>
      <c r="U1290" s="42"/>
      <c r="AE1290" s="115"/>
      <c r="AF1290" s="115"/>
      <c r="AG1290" s="115"/>
      <c r="AH1290" s="115"/>
      <c r="AI1290" s="115"/>
      <c r="AJ1290" s="115"/>
      <c r="AK1290" s="115"/>
      <c r="AL1290" s="115"/>
      <c r="AM1290" s="115"/>
      <c r="AN1290" s="115"/>
      <c r="AO1290" s="115"/>
      <c r="AP1290" s="115"/>
      <c r="AQ1290" s="115"/>
      <c r="AR1290" s="115"/>
      <c r="AS1290" s="115"/>
      <c r="AT1290" s="115"/>
      <c r="AU1290" s="115"/>
      <c r="AV1290" s="115"/>
      <c r="AW1290" s="115"/>
      <c r="AX1290" s="115"/>
      <c r="AY1290" s="115"/>
      <c r="AZ1290" s="115"/>
      <c r="BA1290" s="115"/>
      <c r="BB1290" s="115"/>
      <c r="BC1290" s="115"/>
      <c r="BD1290" s="115"/>
      <c r="BE1290" s="115"/>
      <c r="BF1290" s="115"/>
      <c r="BG1290" s="115"/>
      <c r="BH1290" s="115"/>
      <c r="BI1290" s="115"/>
      <c r="BJ1290" s="115"/>
      <c r="BK1290" s="115"/>
      <c r="BL1290" s="115"/>
      <c r="BM1290" s="115"/>
      <c r="BN1290" s="115"/>
      <c r="BO1290" s="115"/>
      <c r="BP1290" s="115"/>
    </row>
    <row r="1291" spans="1:68" ht="20.100000000000001" customHeight="1">
      <c r="A1291" s="1229" t="s">
        <v>4536</v>
      </c>
      <c r="B1291" s="1229" t="s">
        <v>4592</v>
      </c>
      <c r="C1291" s="1229" t="s">
        <v>4646</v>
      </c>
      <c r="D1291" s="201">
        <f>D13+200+25</f>
        <v>975</v>
      </c>
      <c r="E1291" s="201">
        <f>E13+200+50</f>
        <v>1650</v>
      </c>
      <c r="F1291" s="201">
        <f>F13+200+50</f>
        <v>1700</v>
      </c>
      <c r="G1291" s="110" t="s">
        <v>4636</v>
      </c>
      <c r="H1291" s="36" t="s">
        <v>4635</v>
      </c>
      <c r="I1291" s="38" t="s">
        <v>4595</v>
      </c>
      <c r="J1291" s="30"/>
      <c r="K1291" s="38" t="s">
        <v>4634</v>
      </c>
      <c r="L1291" s="116" t="s">
        <v>4539</v>
      </c>
      <c r="M1291" s="6">
        <v>43084</v>
      </c>
      <c r="N1291" s="6">
        <v>43100</v>
      </c>
      <c r="O1291" s="61" t="s">
        <v>4633</v>
      </c>
      <c r="P1291" s="61"/>
      <c r="Q1291" s="61"/>
      <c r="R1291" s="239"/>
      <c r="S1291" s="327" t="s">
        <v>4632</v>
      </c>
      <c r="T1291" s="722"/>
      <c r="U1291" s="42"/>
      <c r="AE1291" s="276"/>
      <c r="AF1291" s="276"/>
      <c r="AG1291" s="276"/>
      <c r="AH1291" s="276"/>
      <c r="AI1291" s="276"/>
      <c r="AJ1291" s="276"/>
      <c r="AK1291" s="276"/>
      <c r="AL1291" s="276"/>
      <c r="AM1291" s="276"/>
      <c r="AN1291" s="276"/>
      <c r="AO1291" s="276"/>
      <c r="AP1291" s="276"/>
      <c r="AQ1291" s="276"/>
      <c r="AR1291" s="276"/>
      <c r="AS1291" s="276"/>
      <c r="AT1291" s="276"/>
      <c r="AU1291" s="276"/>
      <c r="AV1291" s="276"/>
      <c r="AW1291" s="276"/>
      <c r="AX1291" s="276"/>
      <c r="AY1291" s="276"/>
      <c r="AZ1291" s="276"/>
      <c r="BA1291" s="276"/>
      <c r="BB1291" s="276"/>
      <c r="BC1291" s="276"/>
      <c r="BD1291" s="276"/>
      <c r="BE1291" s="276"/>
      <c r="BF1291" s="276"/>
      <c r="BG1291" s="276"/>
      <c r="BH1291" s="276"/>
      <c r="BI1291" s="276"/>
      <c r="BJ1291" s="276"/>
      <c r="BK1291" s="276"/>
      <c r="BL1291" s="276"/>
      <c r="BM1291" s="276"/>
      <c r="BN1291" s="276"/>
      <c r="BO1291" s="276"/>
      <c r="BP1291" s="276"/>
    </row>
    <row r="1292" spans="1:68" ht="20.100000000000001" customHeight="1">
      <c r="A1292" s="1229" t="s">
        <v>4536</v>
      </c>
      <c r="B1292" s="1229" t="s">
        <v>4592</v>
      </c>
      <c r="C1292" s="1229" t="s">
        <v>4646</v>
      </c>
      <c r="D1292" s="195">
        <f>D12+150</f>
        <v>950</v>
      </c>
      <c r="E1292" s="195">
        <f>E12+150</f>
        <v>1650</v>
      </c>
      <c r="F1292" s="195">
        <f>F12+250</f>
        <v>1800</v>
      </c>
      <c r="G1292" s="12" t="s">
        <v>4645</v>
      </c>
      <c r="H1292" s="48" t="s">
        <v>4556</v>
      </c>
      <c r="I1292" s="38" t="s">
        <v>4595</v>
      </c>
      <c r="J1292" s="30"/>
      <c r="K1292" s="38" t="s">
        <v>4644</v>
      </c>
      <c r="L1292" s="116" t="s">
        <v>4539</v>
      </c>
      <c r="M1292" s="6">
        <v>43084</v>
      </c>
      <c r="N1292" s="6">
        <v>43100</v>
      </c>
      <c r="O1292" s="61" t="s">
        <v>4643</v>
      </c>
      <c r="P1292" s="61"/>
      <c r="Q1292" s="61" t="s">
        <v>4642</v>
      </c>
      <c r="R1292" s="239"/>
      <c r="S1292" s="326" t="s">
        <v>4641</v>
      </c>
      <c r="T1292" s="722"/>
      <c r="U1292" s="42"/>
      <c r="AE1292" s="276"/>
      <c r="AF1292" s="276"/>
      <c r="AG1292" s="276"/>
      <c r="AH1292" s="276"/>
      <c r="AI1292" s="276"/>
      <c r="AJ1292" s="276"/>
      <c r="AK1292" s="276"/>
      <c r="AL1292" s="276"/>
      <c r="AM1292" s="276"/>
      <c r="AN1292" s="276"/>
      <c r="AO1292" s="276"/>
      <c r="AP1292" s="276"/>
      <c r="AQ1292" s="276"/>
      <c r="AR1292" s="276"/>
      <c r="AS1292" s="276"/>
      <c r="AT1292" s="276"/>
      <c r="AU1292" s="276"/>
      <c r="AV1292" s="276"/>
      <c r="AW1292" s="276"/>
      <c r="AX1292" s="276"/>
      <c r="AY1292" s="276"/>
      <c r="AZ1292" s="276"/>
      <c r="BA1292" s="276"/>
      <c r="BB1292" s="276"/>
      <c r="BC1292" s="276"/>
      <c r="BD1292" s="276"/>
      <c r="BE1292" s="276"/>
      <c r="BF1292" s="276"/>
      <c r="BG1292" s="276"/>
      <c r="BH1292" s="276"/>
      <c r="BI1292" s="276"/>
      <c r="BJ1292" s="276"/>
      <c r="BK1292" s="276"/>
      <c r="BL1292" s="276"/>
      <c r="BM1292" s="276"/>
      <c r="BN1292" s="276"/>
      <c r="BO1292" s="276"/>
      <c r="BP1292" s="276"/>
    </row>
    <row r="1293" spans="1:68" ht="20.100000000000001" customHeight="1">
      <c r="A1293" s="1229" t="s">
        <v>4640</v>
      </c>
      <c r="B1293" s="1229" t="s">
        <v>4592</v>
      </c>
      <c r="C1293" s="1229" t="s">
        <v>4637</v>
      </c>
      <c r="D1293" s="196">
        <f>D36+175</f>
        <v>1050</v>
      </c>
      <c r="E1293" s="196">
        <f>E36+200</f>
        <v>1750</v>
      </c>
      <c r="F1293" s="196">
        <f>F36+200</f>
        <v>1800</v>
      </c>
      <c r="G1293" s="217" t="s">
        <v>4575</v>
      </c>
      <c r="H1293" s="48" t="s">
        <v>4541</v>
      </c>
      <c r="I1293" s="38" t="s">
        <v>4595</v>
      </c>
      <c r="J1293" s="39"/>
      <c r="K1293" s="38" t="s">
        <v>4546</v>
      </c>
      <c r="L1293" s="116" t="s">
        <v>4539</v>
      </c>
      <c r="M1293" s="15">
        <v>43084</v>
      </c>
      <c r="N1293" s="15">
        <v>43100</v>
      </c>
      <c r="O1293" s="61" t="s">
        <v>4573</v>
      </c>
      <c r="P1293" s="61"/>
      <c r="Q1293" s="61"/>
      <c r="R1293" s="239"/>
      <c r="S1293" s="328" t="s">
        <v>4543</v>
      </c>
      <c r="T1293" s="722"/>
      <c r="U1293" s="42"/>
      <c r="AE1293" s="115"/>
      <c r="AF1293" s="115"/>
      <c r="AG1293" s="115"/>
      <c r="AH1293" s="115"/>
      <c r="AI1293" s="115"/>
      <c r="AJ1293" s="115"/>
      <c r="AK1293" s="115"/>
      <c r="AL1293" s="115"/>
      <c r="AM1293" s="115"/>
      <c r="AN1293" s="115"/>
      <c r="AO1293" s="115"/>
      <c r="AP1293" s="115"/>
      <c r="AQ1293" s="115"/>
      <c r="AR1293" s="115"/>
      <c r="AS1293" s="115"/>
      <c r="AT1293" s="115"/>
      <c r="AU1293" s="115"/>
      <c r="AV1293" s="115"/>
      <c r="AW1293" s="115"/>
      <c r="AX1293" s="115"/>
      <c r="AY1293" s="115"/>
      <c r="AZ1293" s="115"/>
      <c r="BA1293" s="115"/>
      <c r="BB1293" s="115"/>
      <c r="BC1293" s="115"/>
      <c r="BD1293" s="115"/>
      <c r="BE1293" s="115"/>
      <c r="BF1293" s="115"/>
      <c r="BG1293" s="115"/>
      <c r="BH1293" s="115"/>
      <c r="BI1293" s="115"/>
      <c r="BJ1293" s="115"/>
      <c r="BK1293" s="115"/>
      <c r="BL1293" s="115"/>
      <c r="BM1293" s="115"/>
      <c r="BN1293" s="115"/>
      <c r="BO1293" s="115"/>
      <c r="BP1293" s="115"/>
    </row>
    <row r="1294" spans="1:68" ht="20.100000000000001" customHeight="1">
      <c r="A1294" s="1229" t="s">
        <v>4640</v>
      </c>
      <c r="B1294" s="1229" t="s">
        <v>4592</v>
      </c>
      <c r="C1294" s="1229" t="s">
        <v>4637</v>
      </c>
      <c r="D1294" s="196">
        <f>D122+200+25</f>
        <v>950</v>
      </c>
      <c r="E1294" s="196">
        <f>E122+400+50</f>
        <v>1800</v>
      </c>
      <c r="F1294" s="196">
        <f>F122+400+50</f>
        <v>1850</v>
      </c>
      <c r="G1294" s="110" t="s">
        <v>4566</v>
      </c>
      <c r="H1294" s="48" t="s">
        <v>4548</v>
      </c>
      <c r="I1294" s="38" t="s">
        <v>4639</v>
      </c>
      <c r="J1294" s="39"/>
      <c r="K1294" s="38"/>
      <c r="L1294" s="116" t="s">
        <v>4539</v>
      </c>
      <c r="M1294" s="15">
        <v>43084</v>
      </c>
      <c r="N1294" s="15">
        <v>43100</v>
      </c>
      <c r="O1294" s="59" t="s">
        <v>4638</v>
      </c>
      <c r="P1294" s="61"/>
      <c r="Q1294" s="61"/>
      <c r="R1294" s="239"/>
      <c r="S1294" s="327" t="s">
        <v>4561</v>
      </c>
      <c r="T1294" s="722"/>
      <c r="U1294" s="42"/>
      <c r="AE1294" s="115"/>
      <c r="AF1294" s="115"/>
      <c r="AG1294" s="115"/>
      <c r="AH1294" s="115"/>
      <c r="AI1294" s="115"/>
      <c r="AJ1294" s="115"/>
      <c r="AK1294" s="115"/>
      <c r="AL1294" s="115"/>
      <c r="AM1294" s="115"/>
      <c r="AN1294" s="115"/>
      <c r="AO1294" s="115"/>
      <c r="AP1294" s="115"/>
      <c r="AQ1294" s="115"/>
      <c r="AR1294" s="115"/>
      <c r="AS1294" s="115"/>
      <c r="AT1294" s="115"/>
      <c r="AU1294" s="115"/>
      <c r="AV1294" s="115"/>
      <c r="AW1294" s="115"/>
      <c r="AX1294" s="115"/>
      <c r="AY1294" s="115"/>
      <c r="AZ1294" s="115"/>
      <c r="BA1294" s="115"/>
      <c r="BB1294" s="115"/>
      <c r="BC1294" s="115"/>
      <c r="BD1294" s="115"/>
      <c r="BE1294" s="115"/>
      <c r="BF1294" s="115"/>
      <c r="BG1294" s="115"/>
      <c r="BH1294" s="115"/>
      <c r="BI1294" s="115"/>
      <c r="BJ1294" s="115"/>
      <c r="BK1294" s="115"/>
      <c r="BL1294" s="115"/>
      <c r="BM1294" s="115"/>
      <c r="BN1294" s="115"/>
      <c r="BO1294" s="115"/>
      <c r="BP1294" s="115"/>
    </row>
    <row r="1295" spans="1:68" ht="20.100000000000001" customHeight="1">
      <c r="A1295" s="1229" t="s">
        <v>4536</v>
      </c>
      <c r="B1295" s="1229" t="s">
        <v>4592</v>
      </c>
      <c r="C1295" s="1229" t="s">
        <v>4637</v>
      </c>
      <c r="D1295" s="201">
        <f>D13+200+25</f>
        <v>975</v>
      </c>
      <c r="E1295" s="201">
        <f>E13+200+50</f>
        <v>1650</v>
      </c>
      <c r="F1295" s="201">
        <f>F13+200+50</f>
        <v>1700</v>
      </c>
      <c r="G1295" s="110" t="s">
        <v>4636</v>
      </c>
      <c r="H1295" s="36" t="s">
        <v>4635</v>
      </c>
      <c r="I1295" s="38" t="s">
        <v>4595</v>
      </c>
      <c r="J1295" s="39"/>
      <c r="K1295" s="38" t="s">
        <v>4634</v>
      </c>
      <c r="L1295" s="116" t="s">
        <v>4539</v>
      </c>
      <c r="M1295" s="6">
        <v>43084</v>
      </c>
      <c r="N1295" s="6">
        <v>43100</v>
      </c>
      <c r="O1295" s="61" t="s">
        <v>4633</v>
      </c>
      <c r="P1295" s="61"/>
      <c r="Q1295" s="61"/>
      <c r="R1295" s="239"/>
      <c r="S1295" s="327" t="s">
        <v>4632</v>
      </c>
      <c r="T1295" s="722"/>
      <c r="U1295" s="42"/>
      <c r="AE1295" s="266"/>
      <c r="AF1295" s="266"/>
      <c r="AG1295" s="266"/>
      <c r="AH1295" s="266"/>
      <c r="AI1295" s="266"/>
      <c r="AJ1295" s="266"/>
      <c r="AK1295" s="266"/>
      <c r="AL1295" s="266"/>
      <c r="AM1295" s="266"/>
      <c r="AN1295" s="266"/>
      <c r="AO1295" s="266"/>
      <c r="AP1295" s="266"/>
      <c r="AQ1295" s="266"/>
      <c r="AR1295" s="266"/>
      <c r="AS1295" s="266"/>
      <c r="AT1295" s="266"/>
      <c r="AU1295" s="266"/>
      <c r="AV1295" s="266"/>
      <c r="AW1295" s="266"/>
      <c r="AX1295" s="266"/>
      <c r="AY1295" s="266"/>
      <c r="AZ1295" s="266"/>
      <c r="BA1295" s="266"/>
      <c r="BB1295" s="266"/>
      <c r="BC1295" s="266"/>
      <c r="BD1295" s="266"/>
      <c r="BE1295" s="266"/>
      <c r="BF1295" s="266"/>
      <c r="BG1295" s="266"/>
      <c r="BH1295" s="266"/>
      <c r="BI1295" s="266"/>
      <c r="BJ1295" s="266"/>
      <c r="BK1295" s="266"/>
      <c r="BL1295" s="266"/>
      <c r="BM1295" s="266"/>
      <c r="BN1295" s="266"/>
      <c r="BO1295" s="266"/>
      <c r="BP1295" s="266"/>
    </row>
    <row r="1296" spans="1:68" ht="20.100000000000001" customHeight="1">
      <c r="A1296" s="1229" t="s">
        <v>4536</v>
      </c>
      <c r="B1296" s="1229" t="s">
        <v>4592</v>
      </c>
      <c r="C1296" s="1229" t="s">
        <v>4631</v>
      </c>
      <c r="D1296" s="347">
        <f>D20+80+25</f>
        <v>955</v>
      </c>
      <c r="E1296" s="347">
        <f>E20+100+50</f>
        <v>1750</v>
      </c>
      <c r="F1296" s="347">
        <f>F20+100+50</f>
        <v>1800</v>
      </c>
      <c r="G1296" s="217" t="s">
        <v>4572</v>
      </c>
      <c r="H1296" s="56" t="s">
        <v>4541</v>
      </c>
      <c r="I1296" s="10" t="s">
        <v>4595</v>
      </c>
      <c r="J1296" s="30"/>
      <c r="K1296" s="38"/>
      <c r="L1296" s="116" t="s">
        <v>4539</v>
      </c>
      <c r="M1296" s="15">
        <v>43070</v>
      </c>
      <c r="N1296" s="15">
        <v>43100</v>
      </c>
      <c r="O1296" s="59" t="s">
        <v>4571</v>
      </c>
      <c r="P1296" s="61"/>
      <c r="Q1296" s="14" t="s">
        <v>4594</v>
      </c>
      <c r="R1296" s="239"/>
      <c r="S1296" s="327" t="s">
        <v>4570</v>
      </c>
      <c r="T1296" s="722"/>
      <c r="U1296" s="42"/>
      <c r="AE1296" s="282"/>
      <c r="AF1296" s="282"/>
      <c r="AG1296" s="282"/>
      <c r="AH1296" s="282"/>
      <c r="AI1296" s="282"/>
      <c r="AJ1296" s="282"/>
      <c r="AK1296" s="282"/>
      <c r="AL1296" s="282"/>
      <c r="AM1296" s="282"/>
      <c r="AN1296" s="282"/>
      <c r="AO1296" s="282"/>
      <c r="AP1296" s="282"/>
      <c r="AQ1296" s="282"/>
      <c r="AR1296" s="282"/>
      <c r="AS1296" s="282"/>
      <c r="AT1296" s="282"/>
      <c r="AU1296" s="282"/>
      <c r="AV1296" s="282"/>
      <c r="AW1296" s="282"/>
      <c r="AX1296" s="282"/>
      <c r="AY1296" s="282"/>
      <c r="AZ1296" s="282"/>
      <c r="BA1296" s="282"/>
      <c r="BB1296" s="282"/>
      <c r="BC1296" s="282"/>
      <c r="BD1296" s="282"/>
      <c r="BE1296" s="282"/>
      <c r="BF1296" s="282"/>
      <c r="BG1296" s="282"/>
      <c r="BH1296" s="282"/>
      <c r="BI1296" s="282"/>
      <c r="BJ1296" s="282"/>
      <c r="BK1296" s="282"/>
      <c r="BL1296" s="282"/>
      <c r="BM1296" s="282"/>
      <c r="BN1296" s="282"/>
      <c r="BO1296" s="282"/>
      <c r="BP1296" s="282"/>
    </row>
    <row r="1297" spans="1:68" ht="20.100000000000001" customHeight="1">
      <c r="A1297" s="1229" t="s">
        <v>4536</v>
      </c>
      <c r="B1297" s="1229" t="s">
        <v>4592</v>
      </c>
      <c r="C1297" s="1229" t="s">
        <v>4631</v>
      </c>
      <c r="D1297" s="196">
        <f>D72+322*1.3</f>
        <v>1198.5999999999999</v>
      </c>
      <c r="E1297" s="196">
        <f>E72+391*1.3</f>
        <v>1965.3</v>
      </c>
      <c r="F1297" s="196">
        <f>F72+391*1.3</f>
        <v>1965.3</v>
      </c>
      <c r="G1297" s="225" t="s">
        <v>4569</v>
      </c>
      <c r="H1297" s="69" t="s">
        <v>4568</v>
      </c>
      <c r="I1297" s="38" t="s">
        <v>4540</v>
      </c>
      <c r="J1297" s="30"/>
      <c r="K1297" s="38" t="s">
        <v>4601</v>
      </c>
      <c r="L1297" s="116" t="s">
        <v>4539</v>
      </c>
      <c r="M1297" s="6">
        <v>43074</v>
      </c>
      <c r="N1297" s="6">
        <v>43084</v>
      </c>
      <c r="O1297" s="61" t="s">
        <v>4567</v>
      </c>
      <c r="P1297" s="61"/>
      <c r="Q1297" s="61" t="s">
        <v>4585</v>
      </c>
      <c r="R1297" s="239"/>
      <c r="S1297" s="328" t="s">
        <v>4543</v>
      </c>
      <c r="T1297" s="722"/>
      <c r="U1297" s="42"/>
      <c r="AE1297" s="115"/>
      <c r="AF1297" s="115"/>
      <c r="AG1297" s="115"/>
      <c r="AH1297" s="115"/>
      <c r="AI1297" s="115"/>
      <c r="AJ1297" s="115"/>
      <c r="AK1297" s="115"/>
      <c r="AL1297" s="115"/>
      <c r="AM1297" s="115"/>
      <c r="AN1297" s="115"/>
      <c r="AO1297" s="115"/>
      <c r="AP1297" s="115"/>
      <c r="AQ1297" s="115"/>
      <c r="AR1297" s="115"/>
      <c r="AS1297" s="115"/>
      <c r="AT1297" s="115"/>
      <c r="AU1297" s="115"/>
      <c r="AV1297" s="115"/>
      <c r="AW1297" s="115"/>
      <c r="AX1297" s="115"/>
      <c r="AY1297" s="115"/>
      <c r="AZ1297" s="115"/>
      <c r="BA1297" s="115"/>
      <c r="BB1297" s="115"/>
      <c r="BC1297" s="115"/>
      <c r="BD1297" s="115"/>
      <c r="BE1297" s="115"/>
      <c r="BF1297" s="115"/>
      <c r="BG1297" s="115"/>
      <c r="BH1297" s="115"/>
      <c r="BI1297" s="115"/>
      <c r="BJ1297" s="115"/>
      <c r="BK1297" s="115"/>
      <c r="BL1297" s="115"/>
      <c r="BM1297" s="115"/>
      <c r="BN1297" s="115"/>
      <c r="BO1297" s="115"/>
      <c r="BP1297" s="115"/>
    </row>
    <row r="1298" spans="1:68" ht="20.100000000000001" customHeight="1">
      <c r="A1298" s="907" t="s">
        <v>4582</v>
      </c>
      <c r="B1298" s="907" t="s">
        <v>4592</v>
      </c>
      <c r="C1298" s="907" t="s">
        <v>4630</v>
      </c>
      <c r="D1298" s="247"/>
      <c r="E1298" s="247"/>
      <c r="F1298" s="247"/>
      <c r="G1298" s="12"/>
      <c r="H1298" s="56"/>
      <c r="I1298" s="51"/>
      <c r="J1298" s="161"/>
      <c r="K1298" s="51"/>
      <c r="L1298" s="118"/>
      <c r="M1298" s="118"/>
      <c r="N1298" s="15"/>
      <c r="O1298" s="59"/>
      <c r="P1298" s="59"/>
      <c r="Q1298" s="59"/>
      <c r="R1298" s="21"/>
      <c r="S1298" s="328"/>
      <c r="T1298" s="722"/>
      <c r="U1298" s="42"/>
      <c r="AE1298" s="115"/>
      <c r="AF1298" s="115"/>
      <c r="AG1298" s="115"/>
      <c r="AH1298" s="115"/>
      <c r="AI1298" s="115"/>
      <c r="AJ1298" s="115"/>
      <c r="AK1298" s="115"/>
      <c r="AL1298" s="115"/>
      <c r="AM1298" s="115"/>
      <c r="AN1298" s="115"/>
      <c r="AO1298" s="115"/>
      <c r="AP1298" s="115"/>
      <c r="AQ1298" s="115"/>
      <c r="AR1298" s="115"/>
      <c r="AS1298" s="115"/>
      <c r="AT1298" s="115"/>
      <c r="AU1298" s="115"/>
      <c r="AV1298" s="115"/>
      <c r="AW1298" s="115"/>
      <c r="AX1298" s="115"/>
      <c r="AY1298" s="115"/>
      <c r="AZ1298" s="115"/>
      <c r="BA1298" s="115"/>
      <c r="BB1298" s="115"/>
      <c r="BC1298" s="115"/>
      <c r="BD1298" s="115"/>
      <c r="BE1298" s="115"/>
      <c r="BF1298" s="115"/>
      <c r="BG1298" s="115"/>
      <c r="BH1298" s="115"/>
      <c r="BI1298" s="115"/>
      <c r="BJ1298" s="115"/>
      <c r="BK1298" s="115"/>
      <c r="BL1298" s="115"/>
      <c r="BM1298" s="115"/>
      <c r="BN1298" s="115"/>
      <c r="BO1298" s="115"/>
      <c r="BP1298" s="115"/>
    </row>
    <row r="1299" spans="1:68" ht="20.100000000000001" customHeight="1">
      <c r="A1299" s="1228" t="s">
        <v>4582</v>
      </c>
      <c r="B1299" s="1228" t="s">
        <v>4592</v>
      </c>
      <c r="C1299" s="1228" t="s">
        <v>4629</v>
      </c>
      <c r="D1299" s="196">
        <f>D77+(220+205)*1.2</f>
        <v>1360</v>
      </c>
      <c r="E1299" s="196">
        <f>E77+(250+205)*1.2</f>
        <v>2146</v>
      </c>
      <c r="F1299" s="196">
        <f>F77+(250+205)*1.2</f>
        <v>2196</v>
      </c>
      <c r="G1299" s="217" t="s">
        <v>4572</v>
      </c>
      <c r="H1299" s="56" t="s">
        <v>4541</v>
      </c>
      <c r="I1299" s="10" t="s">
        <v>4540</v>
      </c>
      <c r="J1299" s="30"/>
      <c r="K1299" s="38"/>
      <c r="L1299" s="116" t="s">
        <v>4539</v>
      </c>
      <c r="M1299" s="15">
        <v>43070</v>
      </c>
      <c r="N1299" s="15">
        <v>43100</v>
      </c>
      <c r="O1299" s="59" t="s">
        <v>4571</v>
      </c>
      <c r="P1299" s="61" t="s">
        <v>4598</v>
      </c>
      <c r="Q1299" s="14" t="s">
        <v>4594</v>
      </c>
      <c r="R1299" s="21"/>
      <c r="S1299" s="327" t="s">
        <v>4570</v>
      </c>
      <c r="T1299" s="722"/>
      <c r="U1299" s="42"/>
      <c r="AE1299" s="279"/>
      <c r="AF1299" s="279"/>
      <c r="AG1299" s="279"/>
      <c r="AH1299" s="279"/>
      <c r="AI1299" s="279"/>
      <c r="AJ1299" s="279"/>
      <c r="AK1299" s="279"/>
      <c r="AL1299" s="279"/>
      <c r="AM1299" s="279"/>
      <c r="AN1299" s="279"/>
      <c r="AO1299" s="279"/>
      <c r="AP1299" s="279"/>
      <c r="AQ1299" s="279"/>
      <c r="AR1299" s="279"/>
      <c r="AS1299" s="279"/>
      <c r="AT1299" s="279"/>
      <c r="AU1299" s="279"/>
      <c r="AV1299" s="279"/>
      <c r="AW1299" s="279"/>
      <c r="AX1299" s="279"/>
      <c r="AY1299" s="279"/>
      <c r="AZ1299" s="279"/>
      <c r="BA1299" s="279"/>
      <c r="BB1299" s="279"/>
      <c r="BC1299" s="279"/>
      <c r="BD1299" s="279"/>
      <c r="BE1299" s="279"/>
      <c r="BF1299" s="279"/>
      <c r="BG1299" s="279"/>
      <c r="BH1299" s="279"/>
      <c r="BI1299" s="279"/>
      <c r="BJ1299" s="279"/>
      <c r="BK1299" s="279"/>
      <c r="BL1299" s="279"/>
      <c r="BM1299" s="279"/>
      <c r="BN1299" s="279"/>
      <c r="BO1299" s="279"/>
      <c r="BP1299" s="279"/>
    </row>
    <row r="1300" spans="1:68" ht="20.100000000000001" customHeight="1">
      <c r="A1300" s="1228" t="s">
        <v>4582</v>
      </c>
      <c r="B1300" s="1228" t="s">
        <v>4592</v>
      </c>
      <c r="C1300" s="1228" t="s">
        <v>4629</v>
      </c>
      <c r="D1300" s="196">
        <f>D77+(409+205)*1.2</f>
        <v>1586.8</v>
      </c>
      <c r="E1300" s="196">
        <f>E77+(485+205)*1.2</f>
        <v>2428</v>
      </c>
      <c r="F1300" s="196">
        <f>F77+(485+205)*1.2</f>
        <v>2478</v>
      </c>
      <c r="G1300" s="217" t="s">
        <v>4572</v>
      </c>
      <c r="H1300" s="56" t="s">
        <v>4541</v>
      </c>
      <c r="I1300" s="10" t="s">
        <v>4540</v>
      </c>
      <c r="J1300" s="30"/>
      <c r="K1300" s="38"/>
      <c r="L1300" s="116" t="s">
        <v>4539</v>
      </c>
      <c r="M1300" s="15">
        <v>43070</v>
      </c>
      <c r="N1300" s="15">
        <v>43100</v>
      </c>
      <c r="O1300" s="59" t="s">
        <v>4571</v>
      </c>
      <c r="P1300" s="61" t="s">
        <v>4598</v>
      </c>
      <c r="Q1300" s="14" t="s">
        <v>4585</v>
      </c>
      <c r="R1300" s="21"/>
      <c r="S1300" s="327" t="s">
        <v>4570</v>
      </c>
      <c r="T1300" s="722"/>
      <c r="U1300" s="42"/>
      <c r="AE1300" s="115"/>
      <c r="AF1300" s="115"/>
      <c r="AG1300" s="115"/>
      <c r="AH1300" s="115"/>
      <c r="AI1300" s="115"/>
      <c r="AJ1300" s="115"/>
      <c r="AK1300" s="115"/>
      <c r="AL1300" s="115"/>
      <c r="AM1300" s="115"/>
      <c r="AN1300" s="115"/>
      <c r="AO1300" s="115"/>
      <c r="AP1300" s="115"/>
      <c r="AQ1300" s="115"/>
      <c r="AR1300" s="115"/>
      <c r="AS1300" s="115"/>
      <c r="AT1300" s="115"/>
      <c r="AU1300" s="115"/>
      <c r="AV1300" s="115"/>
      <c r="AW1300" s="115"/>
      <c r="AX1300" s="115"/>
      <c r="AY1300" s="115"/>
      <c r="AZ1300" s="115"/>
      <c r="BA1300" s="115"/>
      <c r="BB1300" s="115"/>
      <c r="BC1300" s="115"/>
      <c r="BD1300" s="115"/>
      <c r="BE1300" s="115"/>
      <c r="BF1300" s="115"/>
      <c r="BG1300" s="115"/>
      <c r="BH1300" s="115"/>
      <c r="BI1300" s="115"/>
      <c r="BJ1300" s="115"/>
      <c r="BK1300" s="115"/>
      <c r="BL1300" s="115"/>
      <c r="BM1300" s="115"/>
      <c r="BN1300" s="115"/>
      <c r="BO1300" s="115"/>
      <c r="BP1300" s="115"/>
    </row>
    <row r="1301" spans="1:68" ht="20.100000000000001" customHeight="1">
      <c r="A1301" s="907" t="s">
        <v>4582</v>
      </c>
      <c r="B1301" s="907" t="s">
        <v>4592</v>
      </c>
      <c r="C1301" s="907" t="s">
        <v>4628</v>
      </c>
      <c r="D1301" s="195">
        <f>D14+507*1.3</f>
        <v>1439.1</v>
      </c>
      <c r="E1301" s="195">
        <f>E14+624*1.3</f>
        <v>2268.1999999999998</v>
      </c>
      <c r="F1301" s="195">
        <f>F14+624*1.3</f>
        <v>2268.1999999999998</v>
      </c>
      <c r="G1301" s="225" t="s">
        <v>4569</v>
      </c>
      <c r="H1301" s="69" t="s">
        <v>4602</v>
      </c>
      <c r="I1301" s="38" t="s">
        <v>4595</v>
      </c>
      <c r="J1301" s="95"/>
      <c r="K1301" s="38" t="s">
        <v>4601</v>
      </c>
      <c r="L1301" s="116" t="s">
        <v>4539</v>
      </c>
      <c r="M1301" s="6">
        <v>43074</v>
      </c>
      <c r="N1301" s="6">
        <v>43084</v>
      </c>
      <c r="O1301" s="61" t="s">
        <v>4567</v>
      </c>
      <c r="P1301" s="61"/>
      <c r="Q1301" s="61" t="s">
        <v>4585</v>
      </c>
      <c r="R1301" s="239"/>
      <c r="S1301" s="328" t="s">
        <v>4543</v>
      </c>
      <c r="T1301" s="722"/>
      <c r="U1301" s="42"/>
      <c r="AE1301" s="115"/>
      <c r="AF1301" s="115"/>
      <c r="AG1301" s="115"/>
      <c r="AH1301" s="115"/>
      <c r="AI1301" s="115"/>
      <c r="AJ1301" s="115"/>
      <c r="AK1301" s="115"/>
      <c r="AL1301" s="115"/>
      <c r="AM1301" s="115"/>
      <c r="AN1301" s="115"/>
      <c r="AO1301" s="115"/>
      <c r="AP1301" s="115"/>
      <c r="AQ1301" s="115"/>
      <c r="AR1301" s="115"/>
      <c r="AS1301" s="115"/>
      <c r="AT1301" s="115"/>
      <c r="AU1301" s="115"/>
      <c r="AV1301" s="115"/>
      <c r="AW1301" s="115"/>
      <c r="AX1301" s="115"/>
      <c r="AY1301" s="115"/>
      <c r="AZ1301" s="115"/>
      <c r="BA1301" s="115"/>
      <c r="BB1301" s="115"/>
      <c r="BC1301" s="115"/>
      <c r="BD1301" s="115"/>
      <c r="BE1301" s="115"/>
      <c r="BF1301" s="115"/>
      <c r="BG1301" s="115"/>
      <c r="BH1301" s="115"/>
      <c r="BI1301" s="115"/>
      <c r="BJ1301" s="115"/>
      <c r="BK1301" s="115"/>
      <c r="BL1301" s="115"/>
      <c r="BM1301" s="115"/>
      <c r="BN1301" s="115"/>
      <c r="BO1301" s="115"/>
      <c r="BP1301" s="115"/>
    </row>
    <row r="1302" spans="1:68" ht="20.100000000000001" customHeight="1">
      <c r="A1302" s="907" t="s">
        <v>4582</v>
      </c>
      <c r="B1302" s="907" t="s">
        <v>4592</v>
      </c>
      <c r="C1302" s="907" t="s">
        <v>4627</v>
      </c>
      <c r="D1302" s="195">
        <f>D72+275*1.3</f>
        <v>1137.5</v>
      </c>
      <c r="E1302" s="195">
        <f>E72+344*1.3</f>
        <v>1904.2</v>
      </c>
      <c r="F1302" s="195">
        <f>F72+344*1.3</f>
        <v>1904.2</v>
      </c>
      <c r="G1302" s="225" t="s">
        <v>4569</v>
      </c>
      <c r="H1302" s="69" t="s">
        <v>4568</v>
      </c>
      <c r="I1302" s="38" t="s">
        <v>4540</v>
      </c>
      <c r="J1302" s="95"/>
      <c r="K1302" s="38" t="s">
        <v>4601</v>
      </c>
      <c r="L1302" s="116" t="s">
        <v>4539</v>
      </c>
      <c r="M1302" s="6">
        <v>43074</v>
      </c>
      <c r="N1302" s="6">
        <v>43084</v>
      </c>
      <c r="O1302" s="61" t="s">
        <v>4567</v>
      </c>
      <c r="P1302" s="61"/>
      <c r="Q1302" s="61" t="s">
        <v>4585</v>
      </c>
      <c r="R1302" s="239"/>
      <c r="S1302" s="328" t="s">
        <v>4543</v>
      </c>
      <c r="T1302" s="722"/>
      <c r="U1302" s="42"/>
      <c r="AE1302" s="282"/>
      <c r="AF1302" s="282"/>
      <c r="AG1302" s="282"/>
      <c r="AH1302" s="282"/>
      <c r="AI1302" s="282"/>
      <c r="AJ1302" s="282"/>
      <c r="AK1302" s="282"/>
      <c r="AL1302" s="282"/>
      <c r="AM1302" s="282"/>
      <c r="AN1302" s="282"/>
      <c r="AO1302" s="282"/>
      <c r="AP1302" s="282"/>
      <c r="AQ1302" s="282"/>
      <c r="AR1302" s="282"/>
      <c r="AS1302" s="282"/>
      <c r="AT1302" s="282"/>
      <c r="AU1302" s="282"/>
      <c r="AV1302" s="282"/>
      <c r="AW1302" s="282"/>
      <c r="AX1302" s="282"/>
      <c r="AY1302" s="282"/>
      <c r="AZ1302" s="282"/>
      <c r="BA1302" s="282"/>
      <c r="BB1302" s="282"/>
      <c r="BC1302" s="282"/>
      <c r="BD1302" s="282"/>
      <c r="BE1302" s="282"/>
      <c r="BF1302" s="282"/>
      <c r="BG1302" s="282"/>
      <c r="BH1302" s="282"/>
      <c r="BI1302" s="282"/>
      <c r="BJ1302" s="282"/>
      <c r="BK1302" s="282"/>
      <c r="BL1302" s="282"/>
      <c r="BM1302" s="282"/>
      <c r="BN1302" s="282"/>
      <c r="BO1302" s="282"/>
      <c r="BP1302" s="282"/>
    </row>
    <row r="1303" spans="1:68" ht="20.100000000000001" customHeight="1">
      <c r="A1303" s="1228" t="s">
        <v>4582</v>
      </c>
      <c r="B1303" s="1228" t="s">
        <v>4592</v>
      </c>
      <c r="C1303" s="1228" t="s">
        <v>4626</v>
      </c>
      <c r="D1303" s="196">
        <f>D97+100</f>
        <v>975</v>
      </c>
      <c r="E1303" s="196">
        <f>E97+150</f>
        <v>1700</v>
      </c>
      <c r="F1303" s="196">
        <f>F97+150</f>
        <v>1750</v>
      </c>
      <c r="G1303" s="217" t="s">
        <v>4575</v>
      </c>
      <c r="H1303" s="56" t="s">
        <v>4574</v>
      </c>
      <c r="I1303" s="38" t="s">
        <v>4540</v>
      </c>
      <c r="J1303" s="95"/>
      <c r="K1303" s="38">
        <v>35</v>
      </c>
      <c r="L1303" s="116" t="s">
        <v>4539</v>
      </c>
      <c r="M1303" s="15">
        <v>43084</v>
      </c>
      <c r="N1303" s="15">
        <v>43100</v>
      </c>
      <c r="O1303" s="61" t="s">
        <v>4573</v>
      </c>
      <c r="P1303" s="61"/>
      <c r="Q1303" s="61"/>
      <c r="R1303" s="239"/>
      <c r="S1303" s="328" t="s">
        <v>4543</v>
      </c>
      <c r="T1303" s="722"/>
      <c r="U1303" s="42"/>
      <c r="AE1303" s="233"/>
      <c r="AF1303" s="233"/>
      <c r="AG1303" s="233"/>
      <c r="AH1303" s="233"/>
      <c r="AI1303" s="233"/>
      <c r="AJ1303" s="233"/>
      <c r="AK1303" s="233"/>
      <c r="AL1303" s="233"/>
      <c r="AM1303" s="233"/>
      <c r="AN1303" s="233"/>
      <c r="AO1303" s="233"/>
      <c r="AP1303" s="233"/>
      <c r="AQ1303" s="233"/>
      <c r="AR1303" s="233"/>
      <c r="AS1303" s="233"/>
      <c r="AT1303" s="233"/>
      <c r="AU1303" s="233"/>
      <c r="AV1303" s="233"/>
      <c r="AW1303" s="233"/>
      <c r="AX1303" s="233"/>
      <c r="AY1303" s="233"/>
      <c r="AZ1303" s="233"/>
      <c r="BA1303" s="233"/>
      <c r="BB1303" s="233"/>
      <c r="BC1303" s="233"/>
      <c r="BD1303" s="233"/>
      <c r="BE1303" s="233"/>
      <c r="BF1303" s="233"/>
      <c r="BG1303" s="233"/>
      <c r="BH1303" s="233"/>
      <c r="BI1303" s="233"/>
      <c r="BJ1303" s="233"/>
      <c r="BK1303" s="233"/>
      <c r="BL1303" s="233"/>
      <c r="BM1303" s="233"/>
      <c r="BN1303" s="233"/>
      <c r="BO1303" s="233"/>
      <c r="BP1303" s="233"/>
    </row>
    <row r="1304" spans="1:68" ht="20.100000000000001" customHeight="1">
      <c r="A1304" s="1228" t="s">
        <v>4582</v>
      </c>
      <c r="B1304" s="1228" t="s">
        <v>4592</v>
      </c>
      <c r="C1304" s="1228" t="s">
        <v>4626</v>
      </c>
      <c r="D1304" s="345">
        <f>D77+30+25</f>
        <v>905</v>
      </c>
      <c r="E1304" s="345">
        <f>E77+60+50</f>
        <v>1710</v>
      </c>
      <c r="F1304" s="345">
        <f>F77+60+50</f>
        <v>1760</v>
      </c>
      <c r="G1304" s="217" t="s">
        <v>4572</v>
      </c>
      <c r="H1304" s="56" t="s">
        <v>4541</v>
      </c>
      <c r="I1304" s="10" t="s">
        <v>4540</v>
      </c>
      <c r="J1304" s="30"/>
      <c r="K1304" s="38"/>
      <c r="L1304" s="116" t="s">
        <v>4539</v>
      </c>
      <c r="M1304" s="15">
        <v>43070</v>
      </c>
      <c r="N1304" s="15">
        <v>43100</v>
      </c>
      <c r="O1304" s="59" t="s">
        <v>4571</v>
      </c>
      <c r="P1304" s="61"/>
      <c r="Q1304" s="14" t="s">
        <v>4594</v>
      </c>
      <c r="R1304" s="239"/>
      <c r="S1304" s="327" t="s">
        <v>4570</v>
      </c>
      <c r="T1304" s="722"/>
      <c r="U1304" s="42"/>
      <c r="AE1304" s="115"/>
      <c r="AF1304" s="115"/>
      <c r="AG1304" s="115"/>
      <c r="AH1304" s="115"/>
      <c r="AI1304" s="115"/>
      <c r="AJ1304" s="115"/>
      <c r="AK1304" s="115"/>
      <c r="AL1304" s="115"/>
      <c r="AM1304" s="115"/>
      <c r="AN1304" s="115"/>
      <c r="AO1304" s="115"/>
      <c r="AP1304" s="115"/>
      <c r="AQ1304" s="115"/>
      <c r="AR1304" s="115"/>
      <c r="AS1304" s="115"/>
      <c r="AT1304" s="115"/>
      <c r="AU1304" s="115"/>
      <c r="AV1304" s="115"/>
      <c r="AW1304" s="115"/>
      <c r="AX1304" s="115"/>
      <c r="AY1304" s="115"/>
      <c r="AZ1304" s="115"/>
      <c r="BA1304" s="115"/>
      <c r="BB1304" s="115"/>
      <c r="BC1304" s="115"/>
      <c r="BD1304" s="115"/>
      <c r="BE1304" s="115"/>
      <c r="BF1304" s="115"/>
      <c r="BG1304" s="115"/>
      <c r="BH1304" s="115"/>
      <c r="BI1304" s="115"/>
      <c r="BJ1304" s="115"/>
      <c r="BK1304" s="115"/>
      <c r="BL1304" s="115"/>
      <c r="BM1304" s="115"/>
      <c r="BN1304" s="115"/>
      <c r="BO1304" s="115"/>
      <c r="BP1304" s="115"/>
    </row>
    <row r="1305" spans="1:68" ht="20.100000000000001" customHeight="1">
      <c r="A1305" s="1228" t="s">
        <v>4582</v>
      </c>
      <c r="B1305" s="1228" t="s">
        <v>4592</v>
      </c>
      <c r="C1305" s="1228" t="s">
        <v>4626</v>
      </c>
      <c r="D1305" s="195">
        <f>D77+(282+205)*1.2</f>
        <v>1434.4</v>
      </c>
      <c r="E1305" s="195">
        <f>E77+(358+205)*1.2</f>
        <v>2275.6</v>
      </c>
      <c r="F1305" s="195">
        <f>F77+(358+205)*1.2</f>
        <v>2325.6</v>
      </c>
      <c r="G1305" s="217" t="s">
        <v>4572</v>
      </c>
      <c r="H1305" s="56" t="s">
        <v>4541</v>
      </c>
      <c r="I1305" s="10" t="s">
        <v>4540</v>
      </c>
      <c r="J1305" s="30"/>
      <c r="K1305" s="38"/>
      <c r="L1305" s="116" t="s">
        <v>4539</v>
      </c>
      <c r="M1305" s="15">
        <v>43070</v>
      </c>
      <c r="N1305" s="15">
        <v>43100</v>
      </c>
      <c r="O1305" s="59" t="s">
        <v>4571</v>
      </c>
      <c r="P1305" s="61" t="s">
        <v>4598</v>
      </c>
      <c r="Q1305" s="14" t="s">
        <v>4585</v>
      </c>
      <c r="R1305" s="239"/>
      <c r="S1305" s="327" t="s">
        <v>4570</v>
      </c>
      <c r="T1305" s="722"/>
      <c r="U1305" s="42"/>
      <c r="AE1305" s="115"/>
      <c r="AF1305" s="115"/>
      <c r="AG1305" s="115"/>
      <c r="AH1305" s="115"/>
      <c r="AI1305" s="115"/>
      <c r="AJ1305" s="115"/>
      <c r="AK1305" s="115"/>
      <c r="AL1305" s="115"/>
      <c r="AM1305" s="115"/>
      <c r="AN1305" s="115"/>
      <c r="AO1305" s="115"/>
      <c r="AP1305" s="115"/>
      <c r="AQ1305" s="115"/>
      <c r="AR1305" s="115"/>
      <c r="AS1305" s="115"/>
      <c r="AT1305" s="115"/>
      <c r="AU1305" s="115"/>
      <c r="AV1305" s="115"/>
      <c r="AW1305" s="115"/>
      <c r="AX1305" s="115"/>
      <c r="AY1305" s="115"/>
      <c r="AZ1305" s="115"/>
      <c r="BA1305" s="115"/>
      <c r="BB1305" s="115"/>
      <c r="BC1305" s="115"/>
      <c r="BD1305" s="115"/>
      <c r="BE1305" s="115"/>
      <c r="BF1305" s="115"/>
      <c r="BG1305" s="115"/>
      <c r="BH1305" s="115"/>
      <c r="BI1305" s="115"/>
      <c r="BJ1305" s="115"/>
      <c r="BK1305" s="115"/>
      <c r="BL1305" s="115"/>
      <c r="BM1305" s="115"/>
      <c r="BN1305" s="115"/>
      <c r="BO1305" s="115"/>
      <c r="BP1305" s="115"/>
    </row>
    <row r="1306" spans="1:68" ht="20.100000000000001" customHeight="1">
      <c r="A1306" s="1228" t="s">
        <v>4582</v>
      </c>
      <c r="B1306" s="1228" t="s">
        <v>4592</v>
      </c>
      <c r="C1306" s="1228" t="s">
        <v>4626</v>
      </c>
      <c r="D1306" s="195">
        <f>D72+300*1.3</f>
        <v>1170</v>
      </c>
      <c r="E1306" s="195">
        <f>E72+369*1.3</f>
        <v>1936.7</v>
      </c>
      <c r="F1306" s="195">
        <f>F72+369*1.3</f>
        <v>1936.7</v>
      </c>
      <c r="G1306" s="225" t="s">
        <v>4569</v>
      </c>
      <c r="H1306" s="69" t="s">
        <v>4568</v>
      </c>
      <c r="I1306" s="38" t="s">
        <v>4540</v>
      </c>
      <c r="J1306" s="30"/>
      <c r="K1306" s="38" t="s">
        <v>4601</v>
      </c>
      <c r="L1306" s="116" t="s">
        <v>4539</v>
      </c>
      <c r="M1306" s="6">
        <v>43074</v>
      </c>
      <c r="N1306" s="6">
        <v>43084</v>
      </c>
      <c r="O1306" s="61" t="s">
        <v>4567</v>
      </c>
      <c r="P1306" s="61"/>
      <c r="Q1306" s="61" t="s">
        <v>4585</v>
      </c>
      <c r="R1306" s="239"/>
      <c r="S1306" s="328" t="s">
        <v>4543</v>
      </c>
      <c r="T1306" s="722"/>
      <c r="U1306" s="42"/>
      <c r="AE1306" s="115"/>
      <c r="AF1306" s="115"/>
      <c r="AG1306" s="115"/>
      <c r="AH1306" s="115"/>
      <c r="AI1306" s="115"/>
      <c r="AJ1306" s="115"/>
      <c r="AK1306" s="115"/>
      <c r="AL1306" s="115"/>
      <c r="AM1306" s="115"/>
      <c r="AN1306" s="115"/>
      <c r="AO1306" s="115"/>
      <c r="AP1306" s="115"/>
      <c r="AQ1306" s="115"/>
      <c r="AR1306" s="115"/>
      <c r="AS1306" s="115"/>
      <c r="AT1306" s="115"/>
      <c r="AU1306" s="115"/>
      <c r="AV1306" s="115"/>
      <c r="AW1306" s="115"/>
      <c r="AX1306" s="115"/>
      <c r="AY1306" s="115"/>
      <c r="AZ1306" s="115"/>
      <c r="BA1306" s="115"/>
      <c r="BB1306" s="115"/>
      <c r="BC1306" s="115"/>
      <c r="BD1306" s="115"/>
      <c r="BE1306" s="115"/>
      <c r="BF1306" s="115"/>
      <c r="BG1306" s="115"/>
      <c r="BH1306" s="115"/>
      <c r="BI1306" s="115"/>
      <c r="BJ1306" s="115"/>
      <c r="BK1306" s="115"/>
      <c r="BL1306" s="115"/>
      <c r="BM1306" s="115"/>
      <c r="BN1306" s="115"/>
      <c r="BO1306" s="115"/>
      <c r="BP1306" s="115"/>
    </row>
    <row r="1307" spans="1:68" ht="20.100000000000001" customHeight="1">
      <c r="A1307" s="907" t="s">
        <v>4582</v>
      </c>
      <c r="B1307" s="907" t="s">
        <v>4592</v>
      </c>
      <c r="C1307" s="907" t="s">
        <v>4625</v>
      </c>
      <c r="D1307" s="247"/>
      <c r="E1307" s="247"/>
      <c r="F1307" s="247"/>
      <c r="G1307" s="12"/>
      <c r="H1307" s="56"/>
      <c r="I1307" s="51"/>
      <c r="J1307" s="161"/>
      <c r="K1307" s="51"/>
      <c r="L1307" s="118"/>
      <c r="M1307" s="118"/>
      <c r="N1307" s="15"/>
      <c r="O1307" s="59"/>
      <c r="P1307" s="59"/>
      <c r="Q1307" s="59"/>
      <c r="R1307" s="21"/>
      <c r="S1307" s="328"/>
      <c r="T1307" s="722"/>
      <c r="U1307" s="42"/>
      <c r="AE1307" s="115"/>
      <c r="AF1307" s="115"/>
      <c r="AG1307" s="115"/>
      <c r="AH1307" s="115"/>
      <c r="AI1307" s="115"/>
      <c r="AJ1307" s="115"/>
      <c r="AK1307" s="115"/>
      <c r="AL1307" s="115"/>
      <c r="AM1307" s="115"/>
      <c r="AN1307" s="115"/>
      <c r="AO1307" s="115"/>
      <c r="AP1307" s="115"/>
      <c r="AQ1307" s="115"/>
      <c r="AR1307" s="115"/>
      <c r="AS1307" s="115"/>
      <c r="AT1307" s="115"/>
      <c r="AU1307" s="115"/>
      <c r="AV1307" s="115"/>
      <c r="AW1307" s="115"/>
      <c r="AX1307" s="115"/>
      <c r="AY1307" s="115"/>
      <c r="AZ1307" s="115"/>
      <c r="BA1307" s="115"/>
      <c r="BB1307" s="115"/>
      <c r="BC1307" s="115"/>
      <c r="BD1307" s="115"/>
      <c r="BE1307" s="115"/>
      <c r="BF1307" s="115"/>
      <c r="BG1307" s="115"/>
      <c r="BH1307" s="115"/>
      <c r="BI1307" s="115"/>
      <c r="BJ1307" s="115"/>
      <c r="BK1307" s="115"/>
      <c r="BL1307" s="115"/>
      <c r="BM1307" s="115"/>
      <c r="BN1307" s="115"/>
      <c r="BO1307" s="115"/>
      <c r="BP1307" s="115"/>
    </row>
    <row r="1308" spans="1:68" ht="20.100000000000001" customHeight="1">
      <c r="A1308" s="1228" t="s">
        <v>4582</v>
      </c>
      <c r="B1308" s="1228" t="s">
        <v>4592</v>
      </c>
      <c r="C1308" s="1228" t="s">
        <v>4624</v>
      </c>
      <c r="D1308" s="345">
        <f>D20+210+25</f>
        <v>1085</v>
      </c>
      <c r="E1308" s="345">
        <f>E20+180+50</f>
        <v>1830</v>
      </c>
      <c r="F1308" s="345">
        <f>F20+180+50</f>
        <v>1880</v>
      </c>
      <c r="G1308" s="217" t="s">
        <v>4572</v>
      </c>
      <c r="H1308" s="56" t="s">
        <v>4541</v>
      </c>
      <c r="I1308" s="10" t="s">
        <v>4595</v>
      </c>
      <c r="J1308" s="30"/>
      <c r="K1308" s="38"/>
      <c r="L1308" s="116" t="s">
        <v>4539</v>
      </c>
      <c r="M1308" s="15">
        <v>43070</v>
      </c>
      <c r="N1308" s="15">
        <v>43100</v>
      </c>
      <c r="O1308" s="59" t="s">
        <v>4571</v>
      </c>
      <c r="P1308" s="61"/>
      <c r="Q1308" s="14" t="s">
        <v>4594</v>
      </c>
      <c r="R1308" s="239"/>
      <c r="S1308" s="327" t="s">
        <v>4570</v>
      </c>
      <c r="T1308" s="722"/>
      <c r="U1308" s="42"/>
      <c r="AE1308" s="115"/>
      <c r="AF1308" s="115"/>
      <c r="AG1308" s="115"/>
      <c r="AH1308" s="115"/>
      <c r="AI1308" s="115"/>
      <c r="AJ1308" s="115"/>
      <c r="AK1308" s="115"/>
      <c r="AL1308" s="115"/>
      <c r="AM1308" s="115"/>
      <c r="AN1308" s="115"/>
      <c r="AO1308" s="115"/>
      <c r="AP1308" s="115"/>
      <c r="AQ1308" s="115"/>
      <c r="AR1308" s="115"/>
      <c r="AS1308" s="115"/>
      <c r="AT1308" s="115"/>
      <c r="AU1308" s="115"/>
      <c r="AV1308" s="115"/>
      <c r="AW1308" s="115"/>
      <c r="AX1308" s="115"/>
      <c r="AY1308" s="115"/>
      <c r="AZ1308" s="115"/>
      <c r="BA1308" s="115"/>
      <c r="BB1308" s="115"/>
      <c r="BC1308" s="115"/>
      <c r="BD1308" s="115"/>
      <c r="BE1308" s="115"/>
      <c r="BF1308" s="115"/>
      <c r="BG1308" s="115"/>
      <c r="BH1308" s="115"/>
      <c r="BI1308" s="115"/>
      <c r="BJ1308" s="115"/>
      <c r="BK1308" s="115"/>
      <c r="BL1308" s="115"/>
      <c r="BM1308" s="115"/>
      <c r="BN1308" s="115"/>
      <c r="BO1308" s="115"/>
      <c r="BP1308" s="115"/>
    </row>
    <row r="1309" spans="1:68" ht="20.100000000000001" customHeight="1">
      <c r="A1309" s="1228" t="s">
        <v>4582</v>
      </c>
      <c r="B1309" s="1228" t="s">
        <v>4592</v>
      </c>
      <c r="C1309" s="1228" t="s">
        <v>4624</v>
      </c>
      <c r="D1309" s="195">
        <f>D77+(155+205)*1.2</f>
        <v>1282</v>
      </c>
      <c r="E1309" s="195">
        <f>E77+(205+205)*1.2</f>
        <v>2092</v>
      </c>
      <c r="F1309" s="195">
        <f>F77+(205+205)*1.2</f>
        <v>2142</v>
      </c>
      <c r="G1309" s="217" t="s">
        <v>4572</v>
      </c>
      <c r="H1309" s="56" t="s">
        <v>4541</v>
      </c>
      <c r="I1309" s="10" t="s">
        <v>4540</v>
      </c>
      <c r="J1309" s="30"/>
      <c r="K1309" s="38"/>
      <c r="L1309" s="116" t="s">
        <v>4539</v>
      </c>
      <c r="M1309" s="15">
        <v>43070</v>
      </c>
      <c r="N1309" s="15">
        <v>43100</v>
      </c>
      <c r="O1309" s="59" t="s">
        <v>4571</v>
      </c>
      <c r="P1309" s="61" t="s">
        <v>4598</v>
      </c>
      <c r="Q1309" s="14" t="s">
        <v>4585</v>
      </c>
      <c r="R1309" s="239"/>
      <c r="S1309" s="327" t="s">
        <v>4570</v>
      </c>
      <c r="T1309" s="722"/>
      <c r="U1309" s="42"/>
      <c r="AE1309" s="115"/>
      <c r="AF1309" s="115"/>
      <c r="AG1309" s="115"/>
      <c r="AH1309" s="115"/>
      <c r="AI1309" s="115"/>
      <c r="AJ1309" s="115"/>
      <c r="AK1309" s="115"/>
      <c r="AL1309" s="115"/>
      <c r="AM1309" s="115"/>
      <c r="AN1309" s="115"/>
      <c r="AO1309" s="115"/>
      <c r="AP1309" s="115"/>
      <c r="AQ1309" s="115"/>
      <c r="AR1309" s="115"/>
      <c r="AS1309" s="115"/>
      <c r="AT1309" s="115"/>
      <c r="AU1309" s="115"/>
      <c r="AV1309" s="115"/>
      <c r="AW1309" s="115"/>
      <c r="AX1309" s="115"/>
      <c r="AY1309" s="115"/>
      <c r="AZ1309" s="115"/>
      <c r="BA1309" s="115"/>
      <c r="BB1309" s="115"/>
      <c r="BC1309" s="115"/>
      <c r="BD1309" s="115"/>
      <c r="BE1309" s="115"/>
      <c r="BF1309" s="115"/>
      <c r="BG1309" s="115"/>
      <c r="BH1309" s="115"/>
      <c r="BI1309" s="115"/>
      <c r="BJ1309" s="115"/>
      <c r="BK1309" s="115"/>
      <c r="BL1309" s="115"/>
      <c r="BM1309" s="115"/>
      <c r="BN1309" s="115"/>
      <c r="BO1309" s="115"/>
      <c r="BP1309" s="115"/>
    </row>
    <row r="1310" spans="1:68" ht="20.100000000000001" customHeight="1">
      <c r="A1310" s="1228" t="s">
        <v>4582</v>
      </c>
      <c r="B1310" s="1228" t="s">
        <v>4592</v>
      </c>
      <c r="C1310" s="1228" t="s">
        <v>4624</v>
      </c>
      <c r="D1310" s="195">
        <f>D72+367*1.3</f>
        <v>1257.0999999999999</v>
      </c>
      <c r="E1310" s="195">
        <f>E72+494*1.3</f>
        <v>2099.1999999999998</v>
      </c>
      <c r="F1310" s="195">
        <f>F72+494*1.3</f>
        <v>2099.1999999999998</v>
      </c>
      <c r="G1310" s="225" t="s">
        <v>4569</v>
      </c>
      <c r="H1310" s="69" t="s">
        <v>4568</v>
      </c>
      <c r="I1310" s="38" t="s">
        <v>4540</v>
      </c>
      <c r="J1310" s="95"/>
      <c r="K1310" s="38"/>
      <c r="L1310" s="116" t="s">
        <v>4539</v>
      </c>
      <c r="M1310" s="6">
        <v>43074</v>
      </c>
      <c r="N1310" s="6">
        <v>43084</v>
      </c>
      <c r="O1310" s="61" t="s">
        <v>4567</v>
      </c>
      <c r="P1310" s="61"/>
      <c r="Q1310" s="61" t="s">
        <v>4585</v>
      </c>
      <c r="R1310" s="239"/>
      <c r="S1310" s="328" t="s">
        <v>4543</v>
      </c>
      <c r="T1310" s="722"/>
      <c r="U1310" s="42"/>
      <c r="AE1310" s="115"/>
      <c r="AF1310" s="115"/>
      <c r="AG1310" s="115"/>
      <c r="AH1310" s="115"/>
      <c r="AI1310" s="115"/>
      <c r="AJ1310" s="115"/>
      <c r="AK1310" s="115"/>
      <c r="AL1310" s="115"/>
      <c r="AM1310" s="115"/>
      <c r="AN1310" s="115"/>
      <c r="AO1310" s="115"/>
      <c r="AP1310" s="115"/>
      <c r="AQ1310" s="115"/>
      <c r="AR1310" s="115"/>
      <c r="AS1310" s="115"/>
      <c r="AT1310" s="115"/>
      <c r="AU1310" s="115"/>
      <c r="AV1310" s="115"/>
      <c r="AW1310" s="115"/>
      <c r="AX1310" s="115"/>
      <c r="AY1310" s="115"/>
      <c r="AZ1310" s="115"/>
      <c r="BA1310" s="115"/>
      <c r="BB1310" s="115"/>
      <c r="BC1310" s="115"/>
      <c r="BD1310" s="115"/>
      <c r="BE1310" s="115"/>
      <c r="BF1310" s="115"/>
      <c r="BG1310" s="115"/>
      <c r="BH1310" s="115"/>
      <c r="BI1310" s="115"/>
      <c r="BJ1310" s="115"/>
      <c r="BK1310" s="115"/>
      <c r="BL1310" s="115"/>
      <c r="BM1310" s="115"/>
      <c r="BN1310" s="115"/>
      <c r="BO1310" s="115"/>
      <c r="BP1310" s="115"/>
    </row>
    <row r="1311" spans="1:68" ht="20.100000000000001" customHeight="1">
      <c r="A1311" s="907" t="s">
        <v>4582</v>
      </c>
      <c r="B1311" s="907" t="s">
        <v>4592</v>
      </c>
      <c r="C1311" s="907" t="s">
        <v>4623</v>
      </c>
      <c r="D1311" s="247"/>
      <c r="E1311" s="247"/>
      <c r="F1311" s="247"/>
      <c r="G1311" s="12"/>
      <c r="H1311" s="56"/>
      <c r="I1311" s="51"/>
      <c r="J1311" s="161"/>
      <c r="K1311" s="51"/>
      <c r="L1311" s="118"/>
      <c r="M1311" s="118"/>
      <c r="N1311" s="15"/>
      <c r="O1311" s="59"/>
      <c r="P1311" s="59"/>
      <c r="Q1311" s="59"/>
      <c r="R1311" s="21"/>
      <c r="S1311" s="328"/>
      <c r="T1311" s="722"/>
      <c r="U1311" s="42"/>
      <c r="AE1311" s="115"/>
      <c r="AF1311" s="115"/>
      <c r="AG1311" s="115"/>
      <c r="AH1311" s="115"/>
      <c r="AI1311" s="115"/>
      <c r="AJ1311" s="115"/>
      <c r="AK1311" s="115"/>
      <c r="AL1311" s="115"/>
      <c r="AM1311" s="115"/>
      <c r="AN1311" s="115"/>
      <c r="AO1311" s="115"/>
      <c r="AP1311" s="115"/>
      <c r="AQ1311" s="115"/>
      <c r="AR1311" s="115"/>
      <c r="AS1311" s="115"/>
      <c r="AT1311" s="115"/>
      <c r="AU1311" s="115"/>
      <c r="AV1311" s="115"/>
      <c r="AW1311" s="115"/>
      <c r="AX1311" s="115"/>
      <c r="AY1311" s="115"/>
      <c r="AZ1311" s="115"/>
      <c r="BA1311" s="115"/>
      <c r="BB1311" s="115"/>
      <c r="BC1311" s="115"/>
      <c r="BD1311" s="115"/>
      <c r="BE1311" s="115"/>
      <c r="BF1311" s="115"/>
      <c r="BG1311" s="115"/>
      <c r="BH1311" s="115"/>
      <c r="BI1311" s="115"/>
      <c r="BJ1311" s="115"/>
      <c r="BK1311" s="115"/>
      <c r="BL1311" s="115"/>
      <c r="BM1311" s="115"/>
      <c r="BN1311" s="115"/>
      <c r="BO1311" s="115"/>
      <c r="BP1311" s="115"/>
    </row>
    <row r="1312" spans="1:68" ht="20.100000000000001" customHeight="1">
      <c r="A1312" s="907" t="s">
        <v>4582</v>
      </c>
      <c r="B1312" s="907" t="s">
        <v>4592</v>
      </c>
      <c r="C1312" s="907" t="s">
        <v>4622</v>
      </c>
      <c r="D1312" s="247"/>
      <c r="E1312" s="247"/>
      <c r="F1312" s="247"/>
      <c r="G1312" s="12"/>
      <c r="H1312" s="56"/>
      <c r="I1312" s="51"/>
      <c r="J1312" s="161"/>
      <c r="K1312" s="51"/>
      <c r="L1312" s="118"/>
      <c r="M1312" s="118"/>
      <c r="N1312" s="15"/>
      <c r="O1312" s="59"/>
      <c r="P1312" s="59"/>
      <c r="Q1312" s="59"/>
      <c r="R1312" s="21"/>
      <c r="S1312" s="328"/>
      <c r="T1312" s="722"/>
      <c r="U1312" s="42"/>
      <c r="AE1312" s="115"/>
      <c r="AF1312" s="115"/>
      <c r="AG1312" s="115"/>
      <c r="AH1312" s="115"/>
      <c r="AI1312" s="115"/>
      <c r="AJ1312" s="115"/>
      <c r="AK1312" s="115"/>
      <c r="AL1312" s="115"/>
      <c r="AM1312" s="115"/>
      <c r="AN1312" s="115"/>
      <c r="AO1312" s="115"/>
      <c r="AP1312" s="115"/>
      <c r="AQ1312" s="115"/>
      <c r="AR1312" s="115"/>
      <c r="AS1312" s="115"/>
      <c r="AT1312" s="115"/>
      <c r="AU1312" s="115"/>
      <c r="AV1312" s="115"/>
      <c r="AW1312" s="115"/>
      <c r="AX1312" s="115"/>
      <c r="AY1312" s="115"/>
      <c r="AZ1312" s="115"/>
      <c r="BA1312" s="115"/>
      <c r="BB1312" s="115"/>
      <c r="BC1312" s="115"/>
      <c r="BD1312" s="115"/>
      <c r="BE1312" s="115"/>
      <c r="BF1312" s="115"/>
      <c r="BG1312" s="115"/>
      <c r="BH1312" s="115"/>
      <c r="BI1312" s="115"/>
      <c r="BJ1312" s="115"/>
      <c r="BK1312" s="115"/>
      <c r="BL1312" s="115"/>
      <c r="BM1312" s="115"/>
      <c r="BN1312" s="115"/>
      <c r="BO1312" s="115"/>
      <c r="BP1312" s="115"/>
    </row>
    <row r="1313" spans="1:68" ht="20.100000000000001" customHeight="1">
      <c r="A1313" s="1228" t="s">
        <v>4582</v>
      </c>
      <c r="B1313" s="1228" t="s">
        <v>4592</v>
      </c>
      <c r="C1313" s="1228" t="s">
        <v>4621</v>
      </c>
      <c r="D1313" s="345">
        <f>D77+215+25</f>
        <v>1090</v>
      </c>
      <c r="E1313" s="345">
        <f>E77+275+50</f>
        <v>1925</v>
      </c>
      <c r="F1313" s="345">
        <f>F77+275+50</f>
        <v>1975</v>
      </c>
      <c r="G1313" s="217" t="s">
        <v>4572</v>
      </c>
      <c r="H1313" s="56" t="s">
        <v>4541</v>
      </c>
      <c r="I1313" s="10" t="s">
        <v>4540</v>
      </c>
      <c r="J1313" s="30"/>
      <c r="K1313" s="38"/>
      <c r="L1313" s="116" t="s">
        <v>4539</v>
      </c>
      <c r="M1313" s="15">
        <v>43070</v>
      </c>
      <c r="N1313" s="15">
        <v>43100</v>
      </c>
      <c r="O1313" s="59" t="s">
        <v>4571</v>
      </c>
      <c r="P1313" s="61"/>
      <c r="Q1313" s="14" t="s">
        <v>4594</v>
      </c>
      <c r="R1313" s="239"/>
      <c r="S1313" s="327" t="s">
        <v>4570</v>
      </c>
      <c r="T1313" s="722"/>
      <c r="U1313" s="42"/>
      <c r="AE1313" s="115"/>
      <c r="AF1313" s="115"/>
      <c r="AG1313" s="115"/>
      <c r="AH1313" s="115"/>
      <c r="AI1313" s="115"/>
      <c r="AJ1313" s="115"/>
      <c r="AK1313" s="115"/>
      <c r="AL1313" s="115"/>
      <c r="AM1313" s="115"/>
      <c r="AN1313" s="115"/>
      <c r="AO1313" s="115"/>
      <c r="AP1313" s="115"/>
      <c r="AQ1313" s="115"/>
      <c r="AR1313" s="115"/>
      <c r="AS1313" s="115"/>
      <c r="AT1313" s="115"/>
      <c r="AU1313" s="115"/>
      <c r="AV1313" s="115"/>
      <c r="AW1313" s="115"/>
      <c r="AX1313" s="115"/>
      <c r="AY1313" s="115"/>
      <c r="AZ1313" s="115"/>
      <c r="BA1313" s="115"/>
      <c r="BB1313" s="115"/>
      <c r="BC1313" s="115"/>
      <c r="BD1313" s="115"/>
      <c r="BE1313" s="115"/>
      <c r="BF1313" s="115"/>
      <c r="BG1313" s="115"/>
      <c r="BH1313" s="115"/>
      <c r="BI1313" s="115"/>
      <c r="BJ1313" s="115"/>
      <c r="BK1313" s="115"/>
      <c r="BL1313" s="115"/>
      <c r="BM1313" s="115"/>
      <c r="BN1313" s="115"/>
      <c r="BO1313" s="115"/>
      <c r="BP1313" s="115"/>
    </row>
    <row r="1314" spans="1:68" ht="20.100000000000001" customHeight="1">
      <c r="A1314" s="1228" t="s">
        <v>4582</v>
      </c>
      <c r="B1314" s="1228" t="s">
        <v>4592</v>
      </c>
      <c r="C1314" s="1228" t="s">
        <v>4621</v>
      </c>
      <c r="D1314" s="195">
        <f>D72+380*1.3</f>
        <v>1274</v>
      </c>
      <c r="E1314" s="195">
        <f>E72+520*1.3</f>
        <v>2133</v>
      </c>
      <c r="F1314" s="195">
        <f>F72+520*1.3</f>
        <v>2133</v>
      </c>
      <c r="G1314" s="225" t="s">
        <v>4569</v>
      </c>
      <c r="H1314" s="69" t="s">
        <v>4568</v>
      </c>
      <c r="I1314" s="38" t="s">
        <v>4540</v>
      </c>
      <c r="J1314" s="95"/>
      <c r="K1314" s="38" t="s">
        <v>4546</v>
      </c>
      <c r="L1314" s="116" t="s">
        <v>4539</v>
      </c>
      <c r="M1314" s="6">
        <v>43074</v>
      </c>
      <c r="N1314" s="6">
        <v>43084</v>
      </c>
      <c r="O1314" s="61" t="s">
        <v>4567</v>
      </c>
      <c r="P1314" s="61"/>
      <c r="Q1314" s="61" t="s">
        <v>4585</v>
      </c>
      <c r="R1314" s="239"/>
      <c r="S1314" s="328" t="s">
        <v>4543</v>
      </c>
      <c r="T1314" s="722"/>
      <c r="U1314" s="42"/>
      <c r="AE1314" s="115"/>
      <c r="AF1314" s="115"/>
      <c r="AG1314" s="115"/>
      <c r="AH1314" s="115"/>
      <c r="AI1314" s="115"/>
      <c r="AJ1314" s="115"/>
      <c r="AK1314" s="115"/>
      <c r="AL1314" s="115"/>
      <c r="AM1314" s="115"/>
      <c r="AN1314" s="115"/>
      <c r="AO1314" s="115"/>
      <c r="AP1314" s="115"/>
      <c r="AQ1314" s="115"/>
      <c r="AR1314" s="115"/>
      <c r="AS1314" s="115"/>
      <c r="AT1314" s="115"/>
      <c r="AU1314" s="115"/>
      <c r="AV1314" s="115"/>
      <c r="AW1314" s="115"/>
      <c r="AX1314" s="115"/>
      <c r="AY1314" s="115"/>
      <c r="AZ1314" s="115"/>
      <c r="BA1314" s="115"/>
      <c r="BB1314" s="115"/>
      <c r="BC1314" s="115"/>
      <c r="BD1314" s="115"/>
      <c r="BE1314" s="115"/>
      <c r="BF1314" s="115"/>
      <c r="BG1314" s="115"/>
      <c r="BH1314" s="115"/>
      <c r="BI1314" s="115"/>
      <c r="BJ1314" s="115"/>
      <c r="BK1314" s="115"/>
      <c r="BL1314" s="115"/>
      <c r="BM1314" s="115"/>
      <c r="BN1314" s="115"/>
      <c r="BO1314" s="115"/>
      <c r="BP1314" s="115"/>
    </row>
    <row r="1315" spans="1:68" ht="20.100000000000001" customHeight="1">
      <c r="A1315" s="907" t="s">
        <v>4582</v>
      </c>
      <c r="B1315" s="907" t="s">
        <v>4592</v>
      </c>
      <c r="C1315" s="907" t="s">
        <v>4620</v>
      </c>
      <c r="D1315" s="345">
        <f>D77+80+25</f>
        <v>955</v>
      </c>
      <c r="E1315" s="345">
        <f>E77+100+50</f>
        <v>1750</v>
      </c>
      <c r="F1315" s="345">
        <f>F77+100+50</f>
        <v>1800</v>
      </c>
      <c r="G1315" s="217" t="s">
        <v>4572</v>
      </c>
      <c r="H1315" s="56" t="s">
        <v>4541</v>
      </c>
      <c r="I1315" s="10" t="s">
        <v>4540</v>
      </c>
      <c r="J1315" s="30"/>
      <c r="K1315" s="38"/>
      <c r="L1315" s="116" t="s">
        <v>4539</v>
      </c>
      <c r="M1315" s="15">
        <v>43070</v>
      </c>
      <c r="N1315" s="15">
        <v>43100</v>
      </c>
      <c r="O1315" s="59" t="s">
        <v>4571</v>
      </c>
      <c r="P1315" s="61"/>
      <c r="Q1315" s="14" t="s">
        <v>4594</v>
      </c>
      <c r="R1315" s="239"/>
      <c r="S1315" s="327" t="s">
        <v>4570</v>
      </c>
      <c r="T1315" s="722"/>
      <c r="U1315" s="42"/>
      <c r="AE1315" s="115"/>
      <c r="AF1315" s="115"/>
      <c r="AG1315" s="115"/>
      <c r="AH1315" s="115"/>
      <c r="AI1315" s="115"/>
      <c r="AJ1315" s="115"/>
      <c r="AK1315" s="115"/>
      <c r="AL1315" s="115"/>
      <c r="AM1315" s="115"/>
      <c r="AN1315" s="115"/>
      <c r="AO1315" s="115"/>
      <c r="AP1315" s="115"/>
      <c r="AQ1315" s="115"/>
      <c r="AR1315" s="115"/>
      <c r="AS1315" s="115"/>
      <c r="AT1315" s="115"/>
      <c r="AU1315" s="115"/>
      <c r="AV1315" s="115"/>
      <c r="AW1315" s="115"/>
      <c r="AX1315" s="115"/>
      <c r="AY1315" s="115"/>
      <c r="AZ1315" s="115"/>
      <c r="BA1315" s="115"/>
      <c r="BB1315" s="115"/>
      <c r="BC1315" s="115"/>
      <c r="BD1315" s="115"/>
      <c r="BE1315" s="115"/>
      <c r="BF1315" s="115"/>
      <c r="BG1315" s="115"/>
      <c r="BH1315" s="115"/>
      <c r="BI1315" s="115"/>
      <c r="BJ1315" s="115"/>
      <c r="BK1315" s="115"/>
      <c r="BL1315" s="115"/>
      <c r="BM1315" s="115"/>
      <c r="BN1315" s="115"/>
      <c r="BO1315" s="115"/>
      <c r="BP1315" s="115"/>
    </row>
    <row r="1316" spans="1:68" ht="20.100000000000001" customHeight="1">
      <c r="A1316" s="907" t="s">
        <v>4582</v>
      </c>
      <c r="B1316" s="907" t="s">
        <v>4592</v>
      </c>
      <c r="C1316" s="907" t="s">
        <v>4619</v>
      </c>
      <c r="D1316" s="345">
        <f>D20+265+25</f>
        <v>1140</v>
      </c>
      <c r="E1316" s="345">
        <f>E20+470+50</f>
        <v>2120</v>
      </c>
      <c r="F1316" s="345">
        <f>F20+470+50</f>
        <v>2170</v>
      </c>
      <c r="G1316" s="217" t="s">
        <v>4572</v>
      </c>
      <c r="H1316" s="56" t="s">
        <v>4541</v>
      </c>
      <c r="I1316" s="10" t="s">
        <v>4595</v>
      </c>
      <c r="J1316" s="30"/>
      <c r="K1316" s="38"/>
      <c r="L1316" s="116" t="s">
        <v>4539</v>
      </c>
      <c r="M1316" s="15">
        <v>43070</v>
      </c>
      <c r="N1316" s="15">
        <v>43100</v>
      </c>
      <c r="O1316" s="59" t="s">
        <v>4571</v>
      </c>
      <c r="P1316" s="61"/>
      <c r="Q1316" s="14" t="s">
        <v>4594</v>
      </c>
      <c r="R1316" s="239"/>
      <c r="S1316" s="327" t="s">
        <v>4570</v>
      </c>
      <c r="T1316" s="722"/>
      <c r="U1316" s="42"/>
      <c r="AE1316" s="115"/>
      <c r="AF1316" s="115"/>
      <c r="AG1316" s="115"/>
      <c r="AH1316" s="115"/>
      <c r="AI1316" s="115"/>
      <c r="AJ1316" s="115"/>
      <c r="AK1316" s="115"/>
      <c r="AL1316" s="115"/>
      <c r="AM1316" s="115"/>
      <c r="AN1316" s="115"/>
      <c r="AO1316" s="115"/>
      <c r="AP1316" s="115"/>
      <c r="AQ1316" s="115"/>
      <c r="AR1316" s="115"/>
      <c r="AS1316" s="115"/>
      <c r="AT1316" s="115"/>
      <c r="AU1316" s="115"/>
      <c r="AV1316" s="115"/>
      <c r="AW1316" s="115"/>
      <c r="AX1316" s="115"/>
      <c r="AY1316" s="115"/>
      <c r="AZ1316" s="115"/>
      <c r="BA1316" s="115"/>
      <c r="BB1316" s="115"/>
      <c r="BC1316" s="115"/>
      <c r="BD1316" s="115"/>
      <c r="BE1316" s="115"/>
      <c r="BF1316" s="115"/>
      <c r="BG1316" s="115"/>
      <c r="BH1316" s="115"/>
      <c r="BI1316" s="115"/>
      <c r="BJ1316" s="115"/>
      <c r="BK1316" s="115"/>
      <c r="BL1316" s="115"/>
      <c r="BM1316" s="115"/>
      <c r="BN1316" s="115"/>
      <c r="BO1316" s="115"/>
      <c r="BP1316" s="115"/>
    </row>
    <row r="1317" spans="1:68" ht="20.100000000000001" customHeight="1">
      <c r="A1317" s="907" t="s">
        <v>4582</v>
      </c>
      <c r="B1317" s="907" t="s">
        <v>4592</v>
      </c>
      <c r="C1317" s="907" t="s">
        <v>4618</v>
      </c>
      <c r="D1317" s="247"/>
      <c r="E1317" s="247"/>
      <c r="F1317" s="247"/>
      <c r="G1317" s="12"/>
      <c r="H1317" s="56"/>
      <c r="I1317" s="51"/>
      <c r="J1317" s="161"/>
      <c r="K1317" s="51"/>
      <c r="L1317" s="118"/>
      <c r="M1317" s="118"/>
      <c r="N1317" s="15"/>
      <c r="O1317" s="59"/>
      <c r="P1317" s="59"/>
      <c r="Q1317" s="59"/>
      <c r="R1317" s="21"/>
      <c r="S1317" s="328"/>
      <c r="T1317" s="722"/>
      <c r="U1317" s="42"/>
      <c r="AE1317" s="282"/>
      <c r="AF1317" s="282"/>
      <c r="AG1317" s="282"/>
      <c r="AH1317" s="282"/>
      <c r="AI1317" s="282"/>
      <c r="AJ1317" s="282"/>
      <c r="AK1317" s="282"/>
      <c r="AL1317" s="282"/>
      <c r="AM1317" s="282"/>
      <c r="AN1317" s="282"/>
      <c r="AO1317" s="282"/>
      <c r="AP1317" s="282"/>
      <c r="AQ1317" s="282"/>
      <c r="AR1317" s="282"/>
      <c r="AS1317" s="282"/>
      <c r="AT1317" s="282"/>
      <c r="AU1317" s="282"/>
      <c r="AV1317" s="282"/>
      <c r="AW1317" s="282"/>
      <c r="AX1317" s="282"/>
      <c r="AY1317" s="282"/>
      <c r="AZ1317" s="282"/>
      <c r="BA1317" s="282"/>
      <c r="BB1317" s="282"/>
      <c r="BC1317" s="282"/>
      <c r="BD1317" s="282"/>
      <c r="BE1317" s="282"/>
      <c r="BF1317" s="282"/>
      <c r="BG1317" s="282"/>
      <c r="BH1317" s="282"/>
      <c r="BI1317" s="282"/>
      <c r="BJ1317" s="282"/>
      <c r="BK1317" s="282"/>
      <c r="BL1317" s="282"/>
      <c r="BM1317" s="282"/>
      <c r="BN1317" s="282"/>
      <c r="BO1317" s="282"/>
      <c r="BP1317" s="282"/>
    </row>
    <row r="1318" spans="1:68" ht="20.100000000000001" customHeight="1">
      <c r="A1318" s="907" t="s">
        <v>4582</v>
      </c>
      <c r="B1318" s="907" t="s">
        <v>4592</v>
      </c>
      <c r="C1318" s="907" t="s">
        <v>4617</v>
      </c>
      <c r="D1318" s="345">
        <f>D20+90+25</f>
        <v>965</v>
      </c>
      <c r="E1318" s="345">
        <f>E20+200+50</f>
        <v>1850</v>
      </c>
      <c r="F1318" s="345">
        <f>F20+200+50</f>
        <v>1900</v>
      </c>
      <c r="G1318" s="217" t="s">
        <v>4572</v>
      </c>
      <c r="H1318" s="56" t="s">
        <v>4541</v>
      </c>
      <c r="I1318" s="10" t="s">
        <v>4595</v>
      </c>
      <c r="J1318" s="30"/>
      <c r="K1318" s="38"/>
      <c r="L1318" s="116" t="s">
        <v>4539</v>
      </c>
      <c r="M1318" s="15">
        <v>43070</v>
      </c>
      <c r="N1318" s="15">
        <v>43100</v>
      </c>
      <c r="O1318" s="59" t="s">
        <v>4571</v>
      </c>
      <c r="P1318" s="61"/>
      <c r="Q1318" s="14" t="s">
        <v>4594</v>
      </c>
      <c r="R1318" s="239"/>
      <c r="S1318" s="327" t="s">
        <v>4570</v>
      </c>
      <c r="T1318" s="722"/>
      <c r="U1318" s="42"/>
      <c r="AE1318" s="115"/>
      <c r="AF1318" s="115"/>
      <c r="AG1318" s="115"/>
      <c r="AH1318" s="115"/>
      <c r="AI1318" s="115"/>
      <c r="AJ1318" s="115"/>
      <c r="AK1318" s="115"/>
      <c r="AL1318" s="115"/>
      <c r="AM1318" s="115"/>
      <c r="AN1318" s="115"/>
      <c r="AO1318" s="115"/>
      <c r="AP1318" s="115"/>
      <c r="AQ1318" s="115"/>
      <c r="AR1318" s="115"/>
      <c r="AS1318" s="115"/>
      <c r="AT1318" s="115"/>
      <c r="AU1318" s="115"/>
      <c r="AV1318" s="115"/>
      <c r="AW1318" s="115"/>
      <c r="AX1318" s="115"/>
      <c r="AY1318" s="115"/>
      <c r="AZ1318" s="115"/>
      <c r="BA1318" s="115"/>
      <c r="BB1318" s="115"/>
      <c r="BC1318" s="115"/>
      <c r="BD1318" s="115"/>
      <c r="BE1318" s="115"/>
      <c r="BF1318" s="115"/>
      <c r="BG1318" s="115"/>
      <c r="BH1318" s="115"/>
      <c r="BI1318" s="115"/>
      <c r="BJ1318" s="115"/>
      <c r="BK1318" s="115"/>
      <c r="BL1318" s="115"/>
      <c r="BM1318" s="115"/>
      <c r="BN1318" s="115"/>
      <c r="BO1318" s="115"/>
      <c r="BP1318" s="115"/>
    </row>
    <row r="1319" spans="1:68" ht="20.100000000000001" customHeight="1">
      <c r="A1319" s="907" t="s">
        <v>4582</v>
      </c>
      <c r="B1319" s="907" t="s">
        <v>4592</v>
      </c>
      <c r="C1319" s="907" t="s">
        <v>4616</v>
      </c>
      <c r="D1319" s="247"/>
      <c r="E1319" s="247"/>
      <c r="F1319" s="247"/>
      <c r="G1319" s="12"/>
      <c r="H1319" s="56"/>
      <c r="I1319" s="10"/>
      <c r="J1319" s="30"/>
      <c r="K1319" s="38"/>
      <c r="L1319" s="116"/>
      <c r="M1319" s="116"/>
      <c r="N1319" s="15"/>
      <c r="O1319" s="59"/>
      <c r="P1319" s="61"/>
      <c r="Q1319" s="14"/>
      <c r="R1319" s="239"/>
      <c r="S1319" s="328"/>
      <c r="T1319" s="722"/>
      <c r="U1319" s="42"/>
      <c r="AE1319" s="115"/>
      <c r="AF1319" s="115"/>
      <c r="AG1319" s="115"/>
      <c r="AH1319" s="115"/>
      <c r="AI1319" s="115"/>
      <c r="AJ1319" s="115"/>
      <c r="AK1319" s="115"/>
      <c r="AL1319" s="115"/>
      <c r="AM1319" s="115"/>
      <c r="AN1319" s="115"/>
      <c r="AO1319" s="115"/>
      <c r="AP1319" s="115"/>
      <c r="AQ1319" s="115"/>
      <c r="AR1319" s="115"/>
      <c r="AS1319" s="115"/>
      <c r="AT1319" s="115"/>
      <c r="AU1319" s="115"/>
      <c r="AV1319" s="115"/>
      <c r="AW1319" s="115"/>
      <c r="AX1319" s="115"/>
      <c r="AY1319" s="115"/>
      <c r="AZ1319" s="115"/>
      <c r="BA1319" s="115"/>
      <c r="BB1319" s="115"/>
      <c r="BC1319" s="115"/>
      <c r="BD1319" s="115"/>
      <c r="BE1319" s="115"/>
      <c r="BF1319" s="115"/>
      <c r="BG1319" s="115"/>
      <c r="BH1319" s="115"/>
      <c r="BI1319" s="115"/>
      <c r="BJ1319" s="115"/>
      <c r="BK1319" s="115"/>
      <c r="BL1319" s="115"/>
      <c r="BM1319" s="115"/>
      <c r="BN1319" s="115"/>
      <c r="BO1319" s="115"/>
      <c r="BP1319" s="115"/>
    </row>
    <row r="1320" spans="1:68" ht="20.100000000000001" customHeight="1">
      <c r="A1320" s="1228" t="s">
        <v>4582</v>
      </c>
      <c r="B1320" s="1228" t="s">
        <v>4592</v>
      </c>
      <c r="C1320" s="1228" t="s">
        <v>4615</v>
      </c>
      <c r="D1320" s="345">
        <f>D20+205+25</f>
        <v>1080</v>
      </c>
      <c r="E1320" s="345">
        <f>E20+275+50</f>
        <v>1925</v>
      </c>
      <c r="F1320" s="345">
        <f>F20+275+50</f>
        <v>1975</v>
      </c>
      <c r="G1320" s="217" t="s">
        <v>4572</v>
      </c>
      <c r="H1320" s="56" t="s">
        <v>4541</v>
      </c>
      <c r="I1320" s="10" t="s">
        <v>4595</v>
      </c>
      <c r="J1320" s="30"/>
      <c r="K1320" s="38"/>
      <c r="L1320" s="116" t="s">
        <v>4539</v>
      </c>
      <c r="M1320" s="15">
        <v>43070</v>
      </c>
      <c r="N1320" s="15">
        <v>43100</v>
      </c>
      <c r="O1320" s="59" t="s">
        <v>4571</v>
      </c>
      <c r="P1320" s="61"/>
      <c r="Q1320" s="14" t="s">
        <v>4594</v>
      </c>
      <c r="R1320" s="239"/>
      <c r="S1320" s="327" t="s">
        <v>4570</v>
      </c>
      <c r="T1320" s="722"/>
      <c r="U1320" s="42"/>
      <c r="AE1320" s="115"/>
      <c r="AF1320" s="115"/>
      <c r="AG1320" s="115"/>
      <c r="AH1320" s="115"/>
      <c r="AI1320" s="115"/>
      <c r="AJ1320" s="115"/>
      <c r="AK1320" s="115"/>
      <c r="AL1320" s="115"/>
      <c r="AM1320" s="115"/>
      <c r="AN1320" s="115"/>
      <c r="AO1320" s="115"/>
      <c r="AP1320" s="115"/>
      <c r="AQ1320" s="115"/>
      <c r="AR1320" s="115"/>
      <c r="AS1320" s="115"/>
      <c r="AT1320" s="115"/>
      <c r="AU1320" s="115"/>
      <c r="AV1320" s="115"/>
      <c r="AW1320" s="115"/>
      <c r="AX1320" s="115"/>
      <c r="AY1320" s="115"/>
      <c r="AZ1320" s="115"/>
      <c r="BA1320" s="115"/>
      <c r="BB1320" s="115"/>
      <c r="BC1320" s="115"/>
      <c r="BD1320" s="115"/>
      <c r="BE1320" s="115"/>
      <c r="BF1320" s="115"/>
      <c r="BG1320" s="115"/>
      <c r="BH1320" s="115"/>
      <c r="BI1320" s="115"/>
      <c r="BJ1320" s="115"/>
      <c r="BK1320" s="115"/>
      <c r="BL1320" s="115"/>
      <c r="BM1320" s="115"/>
      <c r="BN1320" s="115"/>
      <c r="BO1320" s="115"/>
      <c r="BP1320" s="115"/>
    </row>
    <row r="1321" spans="1:68" ht="20.100000000000001" customHeight="1">
      <c r="A1321" s="1228" t="s">
        <v>4582</v>
      </c>
      <c r="B1321" s="1228" t="s">
        <v>4592</v>
      </c>
      <c r="C1321" s="1228" t="s">
        <v>4615</v>
      </c>
      <c r="D1321" s="195">
        <f>D72+322*1.3</f>
        <v>1198.5999999999999</v>
      </c>
      <c r="E1321" s="195">
        <f>E72+449*1.3</f>
        <v>2040.7</v>
      </c>
      <c r="F1321" s="195">
        <f>F72+449*1.3</f>
        <v>2040.7</v>
      </c>
      <c r="G1321" s="225" t="s">
        <v>4569</v>
      </c>
      <c r="H1321" s="69" t="s">
        <v>4568</v>
      </c>
      <c r="I1321" s="38" t="s">
        <v>4540</v>
      </c>
      <c r="J1321" s="95"/>
      <c r="K1321" s="38" t="s">
        <v>4601</v>
      </c>
      <c r="L1321" s="116" t="s">
        <v>4539</v>
      </c>
      <c r="M1321" s="6">
        <v>43074</v>
      </c>
      <c r="N1321" s="6">
        <v>43084</v>
      </c>
      <c r="O1321" s="61" t="s">
        <v>4567</v>
      </c>
      <c r="P1321" s="61"/>
      <c r="Q1321" s="61" t="s">
        <v>4585</v>
      </c>
      <c r="R1321" s="239"/>
      <c r="S1321" s="328" t="s">
        <v>4543</v>
      </c>
      <c r="T1321" s="722"/>
      <c r="U1321" s="42"/>
      <c r="AE1321" s="115"/>
      <c r="AF1321" s="115"/>
      <c r="AG1321" s="115"/>
      <c r="AH1321" s="115"/>
      <c r="AI1321" s="115"/>
      <c r="AJ1321" s="115"/>
      <c r="AK1321" s="115"/>
      <c r="AL1321" s="115"/>
      <c r="AM1321" s="115"/>
      <c r="AN1321" s="115"/>
      <c r="AO1321" s="115"/>
      <c r="AP1321" s="115"/>
      <c r="AQ1321" s="115"/>
      <c r="AR1321" s="115"/>
      <c r="AS1321" s="115"/>
      <c r="AT1321" s="115"/>
      <c r="AU1321" s="115"/>
      <c r="AV1321" s="115"/>
      <c r="AW1321" s="115"/>
      <c r="AX1321" s="115"/>
      <c r="AY1321" s="115"/>
      <c r="AZ1321" s="115"/>
      <c r="BA1321" s="115"/>
      <c r="BB1321" s="115"/>
      <c r="BC1321" s="115"/>
      <c r="BD1321" s="115"/>
      <c r="BE1321" s="115"/>
      <c r="BF1321" s="115"/>
      <c r="BG1321" s="115"/>
      <c r="BH1321" s="115"/>
      <c r="BI1321" s="115"/>
      <c r="BJ1321" s="115"/>
      <c r="BK1321" s="115"/>
      <c r="BL1321" s="115"/>
      <c r="BM1321" s="115"/>
      <c r="BN1321" s="115"/>
      <c r="BO1321" s="115"/>
      <c r="BP1321" s="115"/>
    </row>
    <row r="1322" spans="1:68" ht="20.100000000000001" customHeight="1">
      <c r="A1322" s="1233" t="s">
        <v>4614</v>
      </c>
      <c r="B1322" s="1228" t="s">
        <v>4592</v>
      </c>
      <c r="C1322" s="1228" t="s">
        <v>4613</v>
      </c>
      <c r="D1322" s="345">
        <f>D77+170+25</f>
        <v>1045</v>
      </c>
      <c r="E1322" s="345">
        <f>E77+220+50</f>
        <v>1870</v>
      </c>
      <c r="F1322" s="345">
        <f>F77+220+50</f>
        <v>1920</v>
      </c>
      <c r="G1322" s="217" t="s">
        <v>4572</v>
      </c>
      <c r="H1322" s="56" t="s">
        <v>4541</v>
      </c>
      <c r="I1322" s="10" t="s">
        <v>4540</v>
      </c>
      <c r="J1322" s="30"/>
      <c r="K1322" s="38"/>
      <c r="L1322" s="116" t="s">
        <v>4539</v>
      </c>
      <c r="M1322" s="15">
        <v>43070</v>
      </c>
      <c r="N1322" s="15">
        <v>43100</v>
      </c>
      <c r="O1322" s="59" t="s">
        <v>4571</v>
      </c>
      <c r="P1322" s="61"/>
      <c r="Q1322" s="14" t="s">
        <v>4594</v>
      </c>
      <c r="R1322" s="239"/>
      <c r="S1322" s="327" t="s">
        <v>4570</v>
      </c>
      <c r="T1322" s="722"/>
      <c r="U1322" s="42"/>
      <c r="AE1322" s="115"/>
      <c r="AF1322" s="115"/>
      <c r="AG1322" s="115"/>
      <c r="AH1322" s="115"/>
      <c r="AI1322" s="115"/>
      <c r="AJ1322" s="115"/>
      <c r="AK1322" s="115"/>
      <c r="AL1322" s="115"/>
      <c r="AM1322" s="115"/>
      <c r="AN1322" s="115"/>
      <c r="AO1322" s="115"/>
      <c r="AP1322" s="115"/>
      <c r="AQ1322" s="115"/>
      <c r="AR1322" s="115"/>
      <c r="AS1322" s="115"/>
      <c r="AT1322" s="115"/>
      <c r="AU1322" s="115"/>
      <c r="AV1322" s="115"/>
      <c r="AW1322" s="115"/>
      <c r="AX1322" s="115"/>
      <c r="AY1322" s="115"/>
      <c r="AZ1322" s="115"/>
      <c r="BA1322" s="115"/>
      <c r="BB1322" s="115"/>
      <c r="BC1322" s="115"/>
      <c r="BD1322" s="115"/>
      <c r="BE1322" s="115"/>
      <c r="BF1322" s="115"/>
      <c r="BG1322" s="115"/>
      <c r="BH1322" s="115"/>
      <c r="BI1322" s="115"/>
      <c r="BJ1322" s="115"/>
      <c r="BK1322" s="115"/>
      <c r="BL1322" s="115"/>
      <c r="BM1322" s="115"/>
      <c r="BN1322" s="115"/>
      <c r="BO1322" s="115"/>
      <c r="BP1322" s="115"/>
    </row>
    <row r="1323" spans="1:68" ht="20.100000000000001" customHeight="1">
      <c r="A1323" s="1228" t="s">
        <v>4582</v>
      </c>
      <c r="B1323" s="1228" t="s">
        <v>4592</v>
      </c>
      <c r="C1323" s="1228" t="s">
        <v>4613</v>
      </c>
      <c r="D1323" s="195">
        <f>D72+350</f>
        <v>1130</v>
      </c>
      <c r="E1323" s="195">
        <f>E72+575</f>
        <v>2032</v>
      </c>
      <c r="F1323" s="195">
        <f>F72+575</f>
        <v>2032</v>
      </c>
      <c r="G1323" s="225" t="s">
        <v>4569</v>
      </c>
      <c r="H1323" s="69" t="s">
        <v>4568</v>
      </c>
      <c r="I1323" s="38" t="s">
        <v>4540</v>
      </c>
      <c r="J1323" s="95"/>
      <c r="K1323" s="38" t="s">
        <v>4546</v>
      </c>
      <c r="L1323" s="116" t="s">
        <v>4539</v>
      </c>
      <c r="M1323" s="6">
        <v>43074</v>
      </c>
      <c r="N1323" s="6">
        <v>43084</v>
      </c>
      <c r="O1323" s="61" t="s">
        <v>4567</v>
      </c>
      <c r="P1323" s="61"/>
      <c r="Q1323" s="61" t="s">
        <v>4585</v>
      </c>
      <c r="R1323" s="239"/>
      <c r="S1323" s="328" t="s">
        <v>4543</v>
      </c>
      <c r="T1323" s="722"/>
      <c r="U1323" s="42"/>
      <c r="AE1323" s="115"/>
      <c r="AF1323" s="115"/>
      <c r="AG1323" s="115"/>
      <c r="AH1323" s="115"/>
      <c r="AI1323" s="115"/>
      <c r="AJ1323" s="115"/>
      <c r="AK1323" s="115"/>
      <c r="AL1323" s="115"/>
      <c r="AM1323" s="115"/>
      <c r="AN1323" s="115"/>
      <c r="AO1323" s="115"/>
      <c r="AP1323" s="115"/>
      <c r="AQ1323" s="115"/>
      <c r="AR1323" s="115"/>
      <c r="AS1323" s="115"/>
      <c r="AT1323" s="115"/>
      <c r="AU1323" s="115"/>
      <c r="AV1323" s="115"/>
      <c r="AW1323" s="115"/>
      <c r="AX1323" s="115"/>
      <c r="AY1323" s="115"/>
      <c r="AZ1323" s="115"/>
      <c r="BA1323" s="115"/>
      <c r="BB1323" s="115"/>
      <c r="BC1323" s="115"/>
      <c r="BD1323" s="115"/>
      <c r="BE1323" s="115"/>
      <c r="BF1323" s="115"/>
      <c r="BG1323" s="115"/>
      <c r="BH1323" s="115"/>
      <c r="BI1323" s="115"/>
      <c r="BJ1323" s="115"/>
      <c r="BK1323" s="115"/>
      <c r="BL1323" s="115"/>
      <c r="BM1323" s="115"/>
      <c r="BN1323" s="115"/>
      <c r="BO1323" s="115"/>
      <c r="BP1323" s="115"/>
    </row>
    <row r="1324" spans="1:68" ht="20.100000000000001" customHeight="1">
      <c r="A1324" s="909" t="s">
        <v>1457</v>
      </c>
      <c r="B1324" s="907" t="s">
        <v>1456</v>
      </c>
      <c r="C1324" s="907" t="s">
        <v>4612</v>
      </c>
      <c r="D1324" s="273">
        <f>D72+275*1.3</f>
        <v>1137.5</v>
      </c>
      <c r="E1324" s="273">
        <f>E72+344*1.3</f>
        <v>1904.2</v>
      </c>
      <c r="F1324" s="273">
        <f>F59+344*1.3</f>
        <v>2047.2</v>
      </c>
      <c r="G1324" s="225" t="s">
        <v>4569</v>
      </c>
      <c r="H1324" s="69" t="s">
        <v>4568</v>
      </c>
      <c r="I1324" s="38" t="s">
        <v>4540</v>
      </c>
      <c r="J1324" s="95"/>
      <c r="K1324" s="38" t="s">
        <v>4546</v>
      </c>
      <c r="L1324" s="116" t="s">
        <v>4539</v>
      </c>
      <c r="M1324" s="6">
        <v>43074</v>
      </c>
      <c r="N1324" s="6">
        <v>43084</v>
      </c>
      <c r="O1324" s="61" t="s">
        <v>4567</v>
      </c>
      <c r="P1324" s="61"/>
      <c r="Q1324" s="61" t="s">
        <v>4585</v>
      </c>
      <c r="R1324" s="239"/>
      <c r="S1324" s="328" t="s">
        <v>4543</v>
      </c>
      <c r="T1324" s="722"/>
      <c r="U1324" s="42"/>
      <c r="AE1324" s="115"/>
      <c r="AF1324" s="115"/>
      <c r="AG1324" s="115"/>
      <c r="AH1324" s="115"/>
      <c r="AI1324" s="115"/>
      <c r="AJ1324" s="115"/>
      <c r="AK1324" s="115"/>
      <c r="AL1324" s="115"/>
      <c r="AM1324" s="115"/>
      <c r="AN1324" s="115"/>
      <c r="AO1324" s="115"/>
      <c r="AP1324" s="115"/>
      <c r="AQ1324" s="115"/>
      <c r="AR1324" s="115"/>
      <c r="AS1324" s="115"/>
      <c r="AT1324" s="115"/>
      <c r="AU1324" s="115"/>
      <c r="AV1324" s="115"/>
      <c r="AW1324" s="115"/>
      <c r="AX1324" s="115"/>
      <c r="AY1324" s="115"/>
      <c r="AZ1324" s="115"/>
      <c r="BA1324" s="115"/>
      <c r="BB1324" s="115"/>
      <c r="BC1324" s="115"/>
      <c r="BD1324" s="115"/>
      <c r="BE1324" s="115"/>
      <c r="BF1324" s="115"/>
      <c r="BG1324" s="115"/>
      <c r="BH1324" s="115"/>
      <c r="BI1324" s="115"/>
      <c r="BJ1324" s="115"/>
      <c r="BK1324" s="115"/>
      <c r="BL1324" s="115"/>
      <c r="BM1324" s="115"/>
      <c r="BN1324" s="115"/>
      <c r="BO1324" s="115"/>
      <c r="BP1324" s="115"/>
    </row>
    <row r="1325" spans="1:68" ht="20.100000000000001" customHeight="1">
      <c r="A1325" s="1228" t="s">
        <v>4582</v>
      </c>
      <c r="B1325" s="1228" t="s">
        <v>4592</v>
      </c>
      <c r="C1325" s="1228" t="s">
        <v>4608</v>
      </c>
      <c r="D1325" s="195">
        <f>D373+(378+172)*1.2</f>
        <v>1360</v>
      </c>
      <c r="E1325" s="195">
        <f>E373+(478+172)*1.2</f>
        <v>1980</v>
      </c>
      <c r="F1325" s="195">
        <f>F373+(478+172)*1.2</f>
        <v>2030</v>
      </c>
      <c r="G1325" s="217" t="s">
        <v>4572</v>
      </c>
      <c r="H1325" s="56" t="s">
        <v>4580</v>
      </c>
      <c r="I1325" s="10" t="s">
        <v>4611</v>
      </c>
      <c r="J1325" s="95"/>
      <c r="K1325" s="38">
        <v>35</v>
      </c>
      <c r="L1325" s="116" t="s">
        <v>4539</v>
      </c>
      <c r="M1325" s="15">
        <v>43054</v>
      </c>
      <c r="N1325" s="15">
        <v>43076</v>
      </c>
      <c r="O1325" s="61" t="s">
        <v>4545</v>
      </c>
      <c r="P1325" s="61" t="s">
        <v>4598</v>
      </c>
      <c r="Q1325" s="14" t="s">
        <v>4585</v>
      </c>
      <c r="R1325" s="239" t="s">
        <v>4610</v>
      </c>
      <c r="S1325" s="327" t="s">
        <v>4570</v>
      </c>
      <c r="T1325" s="722"/>
      <c r="U1325" s="42"/>
      <c r="AE1325" s="115"/>
      <c r="AF1325" s="115"/>
      <c r="AG1325" s="115"/>
      <c r="AH1325" s="115"/>
      <c r="AI1325" s="115"/>
      <c r="AJ1325" s="115"/>
      <c r="AK1325" s="115"/>
      <c r="AL1325" s="115"/>
      <c r="AM1325" s="115"/>
      <c r="AN1325" s="115"/>
      <c r="AO1325" s="115"/>
      <c r="AP1325" s="115"/>
      <c r="AQ1325" s="115"/>
      <c r="AR1325" s="115"/>
      <c r="AS1325" s="115"/>
      <c r="AT1325" s="115"/>
      <c r="AU1325" s="115"/>
      <c r="AV1325" s="115"/>
      <c r="AW1325" s="115"/>
      <c r="AX1325" s="115"/>
      <c r="AY1325" s="115"/>
      <c r="AZ1325" s="115"/>
      <c r="BA1325" s="115"/>
      <c r="BB1325" s="115"/>
      <c r="BC1325" s="115"/>
      <c r="BD1325" s="115"/>
      <c r="BE1325" s="115"/>
      <c r="BF1325" s="115"/>
      <c r="BG1325" s="115"/>
      <c r="BH1325" s="115"/>
      <c r="BI1325" s="115"/>
      <c r="BJ1325" s="115"/>
      <c r="BK1325" s="115"/>
      <c r="BL1325" s="115"/>
      <c r="BM1325" s="115"/>
      <c r="BN1325" s="115"/>
      <c r="BO1325" s="115"/>
      <c r="BP1325" s="115"/>
    </row>
    <row r="1326" spans="1:68" ht="20.100000000000001" customHeight="1">
      <c r="A1326" s="1228" t="s">
        <v>4582</v>
      </c>
      <c r="B1326" s="1228" t="s">
        <v>4592</v>
      </c>
      <c r="C1326" s="1228" t="s">
        <v>4608</v>
      </c>
      <c r="D1326" s="345">
        <f>D20+230+25</f>
        <v>1105</v>
      </c>
      <c r="E1326" s="345">
        <f>E20+270+50</f>
        <v>1920</v>
      </c>
      <c r="F1326" s="345">
        <f>F20+270+50</f>
        <v>1970</v>
      </c>
      <c r="G1326" s="217" t="s">
        <v>4572</v>
      </c>
      <c r="H1326" s="56" t="s">
        <v>4541</v>
      </c>
      <c r="I1326" s="10" t="s">
        <v>4595</v>
      </c>
      <c r="J1326" s="30"/>
      <c r="K1326" s="38"/>
      <c r="L1326" s="116" t="s">
        <v>4539</v>
      </c>
      <c r="M1326" s="15">
        <v>43070</v>
      </c>
      <c r="N1326" s="15">
        <v>43100</v>
      </c>
      <c r="O1326" s="59" t="s">
        <v>4571</v>
      </c>
      <c r="P1326" s="61"/>
      <c r="Q1326" s="14" t="s">
        <v>4594</v>
      </c>
      <c r="R1326" s="239"/>
      <c r="S1326" s="327" t="s">
        <v>4570</v>
      </c>
      <c r="T1326" s="722"/>
      <c r="U1326" s="42"/>
      <c r="AE1326" s="115"/>
      <c r="AF1326" s="115"/>
      <c r="AG1326" s="115"/>
      <c r="AH1326" s="115"/>
      <c r="AI1326" s="115"/>
      <c r="AJ1326" s="115"/>
      <c r="AK1326" s="115"/>
      <c r="AL1326" s="115"/>
      <c r="AM1326" s="115"/>
      <c r="AN1326" s="115"/>
      <c r="AO1326" s="115"/>
      <c r="AP1326" s="115"/>
      <c r="AQ1326" s="115"/>
      <c r="AR1326" s="115"/>
      <c r="AS1326" s="115"/>
      <c r="AT1326" s="115"/>
      <c r="AU1326" s="115"/>
      <c r="AV1326" s="115"/>
      <c r="AW1326" s="115"/>
      <c r="AX1326" s="115"/>
      <c r="AY1326" s="115"/>
      <c r="AZ1326" s="115"/>
      <c r="BA1326" s="115"/>
      <c r="BB1326" s="115"/>
      <c r="BC1326" s="115"/>
      <c r="BD1326" s="115"/>
      <c r="BE1326" s="115"/>
      <c r="BF1326" s="115"/>
      <c r="BG1326" s="115"/>
      <c r="BH1326" s="115"/>
      <c r="BI1326" s="115"/>
      <c r="BJ1326" s="115"/>
      <c r="BK1326" s="115"/>
      <c r="BL1326" s="115"/>
      <c r="BM1326" s="115"/>
      <c r="BN1326" s="115"/>
      <c r="BO1326" s="115"/>
      <c r="BP1326" s="115"/>
    </row>
    <row r="1327" spans="1:68" ht="20.100000000000001" customHeight="1">
      <c r="A1327" s="1228" t="s">
        <v>4582</v>
      </c>
      <c r="B1327" s="1228" t="s">
        <v>4592</v>
      </c>
      <c r="C1327" s="1228" t="s">
        <v>4608</v>
      </c>
      <c r="D1327" s="195">
        <f>D20+(407+220)*1.2</f>
        <v>1602.4</v>
      </c>
      <c r="E1327" s="195">
        <f>E20+(571+220)*1.2</f>
        <v>2549.1999999999998</v>
      </c>
      <c r="F1327" s="195">
        <f>F20+(571+220)*1.2</f>
        <v>2599.1999999999998</v>
      </c>
      <c r="G1327" s="217" t="s">
        <v>4572</v>
      </c>
      <c r="H1327" s="56" t="s">
        <v>4541</v>
      </c>
      <c r="I1327" s="10" t="s">
        <v>4595</v>
      </c>
      <c r="J1327" s="30"/>
      <c r="K1327" s="38"/>
      <c r="L1327" s="116" t="s">
        <v>4539</v>
      </c>
      <c r="M1327" s="15">
        <v>43070</v>
      </c>
      <c r="N1327" s="15">
        <v>43100</v>
      </c>
      <c r="O1327" s="59" t="s">
        <v>4571</v>
      </c>
      <c r="P1327" s="61" t="s">
        <v>4598</v>
      </c>
      <c r="Q1327" s="7" t="s">
        <v>4609</v>
      </c>
      <c r="R1327" s="239"/>
      <c r="S1327" s="327" t="s">
        <v>4570</v>
      </c>
      <c r="T1327" s="722"/>
      <c r="U1327" s="42"/>
      <c r="AE1327" s="115"/>
      <c r="AF1327" s="115"/>
      <c r="AG1327" s="115"/>
      <c r="AH1327" s="115"/>
      <c r="AI1327" s="115"/>
      <c r="AJ1327" s="115"/>
      <c r="AK1327" s="115"/>
      <c r="AL1327" s="115"/>
      <c r="AM1327" s="115"/>
      <c r="AN1327" s="115"/>
      <c r="AO1327" s="115"/>
      <c r="AP1327" s="115"/>
      <c r="AQ1327" s="115"/>
      <c r="AR1327" s="115"/>
      <c r="AS1327" s="115"/>
      <c r="AT1327" s="115"/>
      <c r="AU1327" s="115"/>
      <c r="AV1327" s="115"/>
      <c r="AW1327" s="115"/>
      <c r="AX1327" s="115"/>
      <c r="AY1327" s="115"/>
      <c r="AZ1327" s="115"/>
      <c r="BA1327" s="115"/>
      <c r="BB1327" s="115"/>
      <c r="BC1327" s="115"/>
      <c r="BD1327" s="115"/>
      <c r="BE1327" s="115"/>
      <c r="BF1327" s="115"/>
      <c r="BG1327" s="115"/>
      <c r="BH1327" s="115"/>
      <c r="BI1327" s="115"/>
      <c r="BJ1327" s="115"/>
      <c r="BK1327" s="115"/>
      <c r="BL1327" s="115"/>
      <c r="BM1327" s="115"/>
      <c r="BN1327" s="115"/>
      <c r="BO1327" s="115"/>
      <c r="BP1327" s="115"/>
    </row>
    <row r="1328" spans="1:68" ht="20.100000000000001" customHeight="1">
      <c r="A1328" s="1228" t="s">
        <v>4582</v>
      </c>
      <c r="B1328" s="1228" t="s">
        <v>4592</v>
      </c>
      <c r="C1328" s="1228" t="s">
        <v>4608</v>
      </c>
      <c r="D1328" s="195">
        <f>D14+375</f>
        <v>1155</v>
      </c>
      <c r="E1328" s="195">
        <f>E14+550</f>
        <v>2007</v>
      </c>
      <c r="F1328" s="195">
        <f>F14+550</f>
        <v>2007</v>
      </c>
      <c r="G1328" s="225" t="s">
        <v>4569</v>
      </c>
      <c r="H1328" s="69" t="s">
        <v>4602</v>
      </c>
      <c r="I1328" s="38" t="s">
        <v>4595</v>
      </c>
      <c r="J1328" s="30"/>
      <c r="K1328" s="38" t="s">
        <v>4601</v>
      </c>
      <c r="L1328" s="116" t="s">
        <v>4539</v>
      </c>
      <c r="M1328" s="6">
        <v>43074</v>
      </c>
      <c r="N1328" s="6">
        <v>43084</v>
      </c>
      <c r="O1328" s="61" t="s">
        <v>4567</v>
      </c>
      <c r="P1328" s="61"/>
      <c r="Q1328" s="61" t="s">
        <v>4585</v>
      </c>
      <c r="R1328" s="239"/>
      <c r="S1328" s="328" t="s">
        <v>4543</v>
      </c>
      <c r="T1328" s="722"/>
      <c r="U1328" s="42"/>
      <c r="AE1328" s="115"/>
      <c r="AF1328" s="115"/>
      <c r="AG1328" s="115"/>
      <c r="AH1328" s="115"/>
      <c r="AI1328" s="115"/>
      <c r="AJ1328" s="115"/>
      <c r="AK1328" s="115"/>
      <c r="AL1328" s="115"/>
      <c r="AM1328" s="115"/>
      <c r="AN1328" s="115"/>
      <c r="AO1328" s="115"/>
      <c r="AP1328" s="115"/>
      <c r="AQ1328" s="115"/>
      <c r="AR1328" s="115"/>
      <c r="AS1328" s="115"/>
      <c r="AT1328" s="115"/>
      <c r="AU1328" s="115"/>
      <c r="AV1328" s="115"/>
      <c r="AW1328" s="115"/>
      <c r="AX1328" s="115"/>
      <c r="AY1328" s="115"/>
      <c r="AZ1328" s="115"/>
      <c r="BA1328" s="115"/>
      <c r="BB1328" s="115"/>
      <c r="BC1328" s="115"/>
      <c r="BD1328" s="115"/>
      <c r="BE1328" s="115"/>
      <c r="BF1328" s="115"/>
      <c r="BG1328" s="115"/>
      <c r="BH1328" s="115"/>
      <c r="BI1328" s="115"/>
      <c r="BJ1328" s="115"/>
      <c r="BK1328" s="115"/>
      <c r="BL1328" s="115"/>
      <c r="BM1328" s="115"/>
      <c r="BN1328" s="115"/>
      <c r="BO1328" s="115"/>
      <c r="BP1328" s="115"/>
    </row>
    <row r="1329" spans="1:68" ht="20.100000000000001" customHeight="1">
      <c r="A1329" s="1228" t="s">
        <v>4582</v>
      </c>
      <c r="B1329" s="1228" t="s">
        <v>4592</v>
      </c>
      <c r="C1329" s="1228" t="s">
        <v>4607</v>
      </c>
      <c r="D1329" s="345">
        <f>D77+130+25</f>
        <v>1005</v>
      </c>
      <c r="E1329" s="345">
        <f>E77+185+50</f>
        <v>1835</v>
      </c>
      <c r="F1329" s="345">
        <f>F77+185+50</f>
        <v>1885</v>
      </c>
      <c r="G1329" s="217" t="s">
        <v>4572</v>
      </c>
      <c r="H1329" s="56" t="s">
        <v>4541</v>
      </c>
      <c r="I1329" s="10" t="s">
        <v>4540</v>
      </c>
      <c r="J1329" s="30"/>
      <c r="K1329" s="38"/>
      <c r="L1329" s="116" t="s">
        <v>4539</v>
      </c>
      <c r="M1329" s="15">
        <v>43070</v>
      </c>
      <c r="N1329" s="15">
        <v>43100</v>
      </c>
      <c r="O1329" s="59" t="s">
        <v>4571</v>
      </c>
      <c r="P1329" s="61"/>
      <c r="Q1329" s="14" t="s">
        <v>4594</v>
      </c>
      <c r="R1329" s="239"/>
      <c r="S1329" s="327" t="s">
        <v>4570</v>
      </c>
      <c r="T1329" s="722"/>
      <c r="U1329" s="42"/>
      <c r="AE1329" s="115"/>
      <c r="AF1329" s="115"/>
      <c r="AG1329" s="115"/>
      <c r="AH1329" s="115"/>
      <c r="AI1329" s="115"/>
      <c r="AJ1329" s="115"/>
      <c r="AK1329" s="115"/>
      <c r="AL1329" s="115"/>
      <c r="AM1329" s="115"/>
      <c r="AN1329" s="115"/>
      <c r="AO1329" s="115"/>
      <c r="AP1329" s="115"/>
      <c r="AQ1329" s="115"/>
      <c r="AR1329" s="115"/>
      <c r="AS1329" s="115"/>
      <c r="AT1329" s="115"/>
      <c r="AU1329" s="115"/>
      <c r="AV1329" s="115"/>
      <c r="AW1329" s="115"/>
      <c r="AX1329" s="115"/>
      <c r="AY1329" s="115"/>
      <c r="AZ1329" s="115"/>
      <c r="BA1329" s="115"/>
      <c r="BB1329" s="115"/>
      <c r="BC1329" s="115"/>
      <c r="BD1329" s="115"/>
      <c r="BE1329" s="115"/>
      <c r="BF1329" s="115"/>
      <c r="BG1329" s="115"/>
      <c r="BH1329" s="115"/>
      <c r="BI1329" s="115"/>
      <c r="BJ1329" s="115"/>
      <c r="BK1329" s="115"/>
      <c r="BL1329" s="115"/>
      <c r="BM1329" s="115"/>
      <c r="BN1329" s="115"/>
      <c r="BO1329" s="115"/>
      <c r="BP1329" s="115"/>
    </row>
    <row r="1330" spans="1:68" ht="20.100000000000001" customHeight="1">
      <c r="A1330" s="1228" t="s">
        <v>4582</v>
      </c>
      <c r="B1330" s="1228" t="s">
        <v>4592</v>
      </c>
      <c r="C1330" s="1228" t="s">
        <v>4607</v>
      </c>
      <c r="D1330" s="196">
        <f>D97+135</f>
        <v>1010</v>
      </c>
      <c r="E1330" s="196">
        <f>E97+215</f>
        <v>1765</v>
      </c>
      <c r="F1330" s="196">
        <f>F97+215</f>
        <v>1815</v>
      </c>
      <c r="G1330" s="217" t="s">
        <v>4575</v>
      </c>
      <c r="H1330" s="48" t="s">
        <v>4574</v>
      </c>
      <c r="I1330" s="38" t="s">
        <v>4540</v>
      </c>
      <c r="J1330" s="95"/>
      <c r="K1330" s="38">
        <v>35</v>
      </c>
      <c r="L1330" s="116" t="s">
        <v>4539</v>
      </c>
      <c r="M1330" s="15">
        <v>43084</v>
      </c>
      <c r="N1330" s="15">
        <v>43100</v>
      </c>
      <c r="O1330" s="61" t="s">
        <v>4573</v>
      </c>
      <c r="P1330" s="61"/>
      <c r="Q1330" s="61"/>
      <c r="R1330" s="239"/>
      <c r="S1330" s="328" t="s">
        <v>4543</v>
      </c>
      <c r="T1330" s="722"/>
      <c r="U1330" s="42"/>
      <c r="AE1330" s="282"/>
      <c r="AF1330" s="282"/>
      <c r="AG1330" s="282"/>
      <c r="AH1330" s="282"/>
      <c r="AI1330" s="282"/>
      <c r="AJ1330" s="282"/>
      <c r="AK1330" s="282"/>
      <c r="AL1330" s="282"/>
      <c r="AM1330" s="282"/>
      <c r="AN1330" s="282"/>
      <c r="AO1330" s="282"/>
      <c r="AP1330" s="282"/>
      <c r="AQ1330" s="282"/>
      <c r="AR1330" s="282"/>
      <c r="AS1330" s="282"/>
      <c r="AT1330" s="282"/>
      <c r="AU1330" s="282"/>
      <c r="AV1330" s="282"/>
      <c r="AW1330" s="282"/>
      <c r="AX1330" s="282"/>
      <c r="AY1330" s="282"/>
      <c r="AZ1330" s="282"/>
      <c r="BA1330" s="282"/>
      <c r="BB1330" s="282"/>
      <c r="BC1330" s="282"/>
      <c r="BD1330" s="282"/>
      <c r="BE1330" s="282"/>
      <c r="BF1330" s="282"/>
      <c r="BG1330" s="282"/>
      <c r="BH1330" s="282"/>
      <c r="BI1330" s="282"/>
      <c r="BJ1330" s="282"/>
      <c r="BK1330" s="282"/>
      <c r="BL1330" s="282"/>
      <c r="BM1330" s="282"/>
      <c r="BN1330" s="282"/>
      <c r="BO1330" s="282"/>
      <c r="BP1330" s="282"/>
    </row>
    <row r="1331" spans="1:68" ht="20.100000000000001" customHeight="1">
      <c r="A1331" s="1228" t="s">
        <v>4582</v>
      </c>
      <c r="B1331" s="1228" t="s">
        <v>4592</v>
      </c>
      <c r="C1331" s="1228" t="s">
        <v>4607</v>
      </c>
      <c r="D1331" s="196">
        <f>D72+270*1.3</f>
        <v>1131</v>
      </c>
      <c r="E1331" s="196">
        <f>E72+339*1.3</f>
        <v>1897.7</v>
      </c>
      <c r="F1331" s="196">
        <f>F72+339*1.3</f>
        <v>1897.7</v>
      </c>
      <c r="G1331" s="225" t="s">
        <v>4569</v>
      </c>
      <c r="H1331" s="69" t="s">
        <v>4568</v>
      </c>
      <c r="I1331" s="38" t="s">
        <v>4540</v>
      </c>
      <c r="J1331" s="95"/>
      <c r="K1331" s="38" t="s">
        <v>4601</v>
      </c>
      <c r="L1331" s="116" t="s">
        <v>4539</v>
      </c>
      <c r="M1331" s="6">
        <v>43074</v>
      </c>
      <c r="N1331" s="6">
        <v>43084</v>
      </c>
      <c r="O1331" s="61" t="s">
        <v>4567</v>
      </c>
      <c r="P1331" s="61"/>
      <c r="Q1331" s="61" t="s">
        <v>4585</v>
      </c>
      <c r="R1331" s="239"/>
      <c r="S1331" s="328" t="s">
        <v>4543</v>
      </c>
      <c r="T1331" s="722"/>
      <c r="U1331" s="42"/>
      <c r="AE1331" s="115"/>
      <c r="AF1331" s="115"/>
      <c r="AG1331" s="115"/>
      <c r="AH1331" s="115"/>
      <c r="AI1331" s="115"/>
      <c r="AJ1331" s="115"/>
      <c r="AK1331" s="115"/>
      <c r="AL1331" s="115"/>
      <c r="AM1331" s="115"/>
      <c r="AN1331" s="115"/>
      <c r="AO1331" s="115"/>
      <c r="AP1331" s="115"/>
      <c r="AQ1331" s="115"/>
      <c r="AR1331" s="115"/>
      <c r="AS1331" s="115"/>
      <c r="AT1331" s="115"/>
      <c r="AU1331" s="115"/>
      <c r="AV1331" s="115"/>
      <c r="AW1331" s="115"/>
      <c r="AX1331" s="115"/>
      <c r="AY1331" s="115"/>
      <c r="AZ1331" s="115"/>
      <c r="BA1331" s="115"/>
      <c r="BB1331" s="115"/>
      <c r="BC1331" s="115"/>
      <c r="BD1331" s="115"/>
      <c r="BE1331" s="115"/>
      <c r="BF1331" s="115"/>
      <c r="BG1331" s="115"/>
      <c r="BH1331" s="115"/>
      <c r="BI1331" s="115"/>
      <c r="BJ1331" s="115"/>
      <c r="BK1331" s="115"/>
      <c r="BL1331" s="115"/>
      <c r="BM1331" s="115"/>
      <c r="BN1331" s="115"/>
      <c r="BO1331" s="115"/>
      <c r="BP1331" s="115"/>
    </row>
    <row r="1332" spans="1:68" ht="20.100000000000001" customHeight="1">
      <c r="A1332" s="1228" t="s">
        <v>4582</v>
      </c>
      <c r="B1332" s="1228" t="s">
        <v>4592</v>
      </c>
      <c r="C1332" s="1228" t="s">
        <v>4606</v>
      </c>
      <c r="D1332" s="345">
        <f>D20+235+25</f>
        <v>1110</v>
      </c>
      <c r="E1332" s="345">
        <f>E20+190+50</f>
        <v>1840</v>
      </c>
      <c r="F1332" s="345">
        <f>F20+190+50</f>
        <v>1890</v>
      </c>
      <c r="G1332" s="217" t="s">
        <v>4572</v>
      </c>
      <c r="H1332" s="56" t="s">
        <v>4541</v>
      </c>
      <c r="I1332" s="10" t="s">
        <v>4595</v>
      </c>
      <c r="J1332" s="30"/>
      <c r="K1332" s="38"/>
      <c r="L1332" s="116" t="s">
        <v>4539</v>
      </c>
      <c r="M1332" s="15">
        <v>43070</v>
      </c>
      <c r="N1332" s="15">
        <v>43100</v>
      </c>
      <c r="O1332" s="59" t="s">
        <v>4571</v>
      </c>
      <c r="P1332" s="61"/>
      <c r="Q1332" s="14" t="s">
        <v>4594</v>
      </c>
      <c r="R1332" s="239"/>
      <c r="S1332" s="327" t="s">
        <v>4570</v>
      </c>
      <c r="T1332" s="722"/>
      <c r="U1332" s="42"/>
      <c r="AE1332" s="115"/>
      <c r="AF1332" s="115"/>
      <c r="AG1332" s="115"/>
      <c r="AH1332" s="115"/>
      <c r="AI1332" s="115"/>
      <c r="AJ1332" s="115"/>
      <c r="AK1332" s="115"/>
      <c r="AL1332" s="115"/>
      <c r="AM1332" s="115"/>
      <c r="AN1332" s="115"/>
      <c r="AO1332" s="115"/>
      <c r="AP1332" s="115"/>
      <c r="AQ1332" s="115"/>
      <c r="AR1332" s="115"/>
      <c r="AS1332" s="115"/>
      <c r="AT1332" s="115"/>
      <c r="AU1332" s="115"/>
      <c r="AV1332" s="115"/>
      <c r="AW1332" s="115"/>
      <c r="AX1332" s="115"/>
      <c r="AY1332" s="115"/>
      <c r="AZ1332" s="115"/>
      <c r="BA1332" s="115"/>
      <c r="BB1332" s="115"/>
      <c r="BC1332" s="115"/>
      <c r="BD1332" s="115"/>
      <c r="BE1332" s="115"/>
      <c r="BF1332" s="115"/>
      <c r="BG1332" s="115"/>
      <c r="BH1332" s="115"/>
      <c r="BI1332" s="115"/>
      <c r="BJ1332" s="115"/>
      <c r="BK1332" s="115"/>
      <c r="BL1332" s="115"/>
      <c r="BM1332" s="115"/>
      <c r="BN1332" s="115"/>
      <c r="BO1332" s="115"/>
      <c r="BP1332" s="115"/>
    </row>
    <row r="1333" spans="1:68" ht="20.100000000000001" customHeight="1">
      <c r="A1333" s="1228" t="s">
        <v>4582</v>
      </c>
      <c r="B1333" s="1228" t="s">
        <v>4592</v>
      </c>
      <c r="C1333" s="1228" t="s">
        <v>4606</v>
      </c>
      <c r="D1333" s="195">
        <f>D20+(324+220)*1.2</f>
        <v>1502.8</v>
      </c>
      <c r="E1333" s="195">
        <f>E20+(455+220)*1.2</f>
        <v>2410</v>
      </c>
      <c r="F1333" s="195">
        <f>F20+(455+220)*1.2</f>
        <v>2460</v>
      </c>
      <c r="G1333" s="217" t="s">
        <v>4572</v>
      </c>
      <c r="H1333" s="56" t="s">
        <v>4541</v>
      </c>
      <c r="I1333" s="10" t="s">
        <v>4595</v>
      </c>
      <c r="J1333" s="30"/>
      <c r="K1333" s="38"/>
      <c r="L1333" s="116" t="s">
        <v>4539</v>
      </c>
      <c r="M1333" s="15">
        <v>43070</v>
      </c>
      <c r="N1333" s="15">
        <v>43100</v>
      </c>
      <c r="O1333" s="59" t="s">
        <v>4571</v>
      </c>
      <c r="P1333" s="61" t="s">
        <v>4598</v>
      </c>
      <c r="Q1333" s="7" t="s">
        <v>4605</v>
      </c>
      <c r="R1333" s="239"/>
      <c r="S1333" s="327" t="s">
        <v>4570</v>
      </c>
      <c r="T1333" s="722"/>
      <c r="U1333" s="42"/>
      <c r="AE1333" s="115"/>
      <c r="AF1333" s="115"/>
      <c r="AG1333" s="115"/>
      <c r="AH1333" s="115"/>
      <c r="AI1333" s="115"/>
      <c r="AJ1333" s="115"/>
      <c r="AK1333" s="115"/>
      <c r="AL1333" s="115"/>
      <c r="AM1333" s="115"/>
      <c r="AN1333" s="115"/>
      <c r="AO1333" s="115"/>
      <c r="AP1333" s="115"/>
      <c r="AQ1333" s="115"/>
      <c r="AR1333" s="115"/>
      <c r="AS1333" s="115"/>
      <c r="AT1333" s="115"/>
      <c r="AU1333" s="115"/>
      <c r="AV1333" s="115"/>
      <c r="AW1333" s="115"/>
      <c r="AX1333" s="115"/>
      <c r="AY1333" s="115"/>
      <c r="AZ1333" s="115"/>
      <c r="BA1333" s="115"/>
      <c r="BB1333" s="115"/>
      <c r="BC1333" s="115"/>
      <c r="BD1333" s="115"/>
      <c r="BE1333" s="115"/>
      <c r="BF1333" s="115"/>
      <c r="BG1333" s="115"/>
      <c r="BH1333" s="115"/>
      <c r="BI1333" s="115"/>
      <c r="BJ1333" s="115"/>
      <c r="BK1333" s="115"/>
      <c r="BL1333" s="115"/>
      <c r="BM1333" s="115"/>
      <c r="BN1333" s="115"/>
      <c r="BO1333" s="115"/>
      <c r="BP1333" s="115"/>
    </row>
    <row r="1334" spans="1:68" ht="20.100000000000001" customHeight="1">
      <c r="A1334" s="907" t="s">
        <v>4582</v>
      </c>
      <c r="B1334" s="907" t="s">
        <v>4592</v>
      </c>
      <c r="C1334" s="907" t="s">
        <v>4604</v>
      </c>
      <c r="D1334" s="247"/>
      <c r="E1334" s="247"/>
      <c r="F1334" s="247"/>
      <c r="G1334" s="12"/>
      <c r="H1334" s="56"/>
      <c r="I1334" s="51"/>
      <c r="J1334" s="161"/>
      <c r="K1334" s="51"/>
      <c r="L1334" s="118"/>
      <c r="M1334" s="118"/>
      <c r="N1334" s="15"/>
      <c r="O1334" s="59"/>
      <c r="P1334" s="59"/>
      <c r="Q1334" s="59"/>
      <c r="R1334" s="21"/>
      <c r="S1334" s="328"/>
      <c r="T1334" s="722"/>
      <c r="U1334" s="42"/>
      <c r="AE1334" s="115"/>
      <c r="AF1334" s="115"/>
      <c r="AG1334" s="115"/>
      <c r="AH1334" s="115"/>
      <c r="AI1334" s="115"/>
      <c r="AJ1334" s="115"/>
      <c r="AK1334" s="115"/>
      <c r="AL1334" s="115"/>
      <c r="AM1334" s="115"/>
      <c r="AN1334" s="115"/>
      <c r="AO1334" s="115"/>
      <c r="AP1334" s="115"/>
      <c r="AQ1334" s="115"/>
      <c r="AR1334" s="115"/>
      <c r="AS1334" s="115"/>
      <c r="AT1334" s="115"/>
      <c r="AU1334" s="115"/>
      <c r="AV1334" s="115"/>
      <c r="AW1334" s="115"/>
      <c r="AX1334" s="115"/>
      <c r="AY1334" s="115"/>
      <c r="AZ1334" s="115"/>
      <c r="BA1334" s="115"/>
      <c r="BB1334" s="115"/>
      <c r="BC1334" s="115"/>
      <c r="BD1334" s="115"/>
      <c r="BE1334" s="115"/>
      <c r="BF1334" s="115"/>
      <c r="BG1334" s="115"/>
      <c r="BH1334" s="115"/>
      <c r="BI1334" s="115"/>
      <c r="BJ1334" s="115"/>
      <c r="BK1334" s="115"/>
      <c r="BL1334" s="115"/>
      <c r="BM1334" s="115"/>
      <c r="BN1334" s="115"/>
      <c r="BO1334" s="115"/>
      <c r="BP1334" s="115"/>
    </row>
    <row r="1335" spans="1:68" ht="20.100000000000001" customHeight="1">
      <c r="A1335" s="1228" t="s">
        <v>4582</v>
      </c>
      <c r="B1335" s="1228" t="s">
        <v>4592</v>
      </c>
      <c r="C1335" s="1228" t="s">
        <v>4603</v>
      </c>
      <c r="D1335" s="345">
        <f>D20+160+25</f>
        <v>1035</v>
      </c>
      <c r="E1335" s="345">
        <f>E20+270+50</f>
        <v>1920</v>
      </c>
      <c r="F1335" s="345">
        <f>F20+270+50</f>
        <v>1970</v>
      </c>
      <c r="G1335" s="217" t="s">
        <v>4572</v>
      </c>
      <c r="H1335" s="56" t="s">
        <v>4541</v>
      </c>
      <c r="I1335" s="10" t="s">
        <v>4595</v>
      </c>
      <c r="J1335" s="30"/>
      <c r="K1335" s="38"/>
      <c r="L1335" s="116" t="s">
        <v>4539</v>
      </c>
      <c r="M1335" s="15">
        <v>43070</v>
      </c>
      <c r="N1335" s="15">
        <v>43100</v>
      </c>
      <c r="O1335" s="59" t="s">
        <v>4571</v>
      </c>
      <c r="P1335" s="61"/>
      <c r="Q1335" s="14" t="s">
        <v>4594</v>
      </c>
      <c r="R1335" s="239"/>
      <c r="S1335" s="327" t="s">
        <v>4570</v>
      </c>
      <c r="T1335" s="722"/>
      <c r="U1335" s="42"/>
      <c r="AE1335" s="115"/>
      <c r="AF1335" s="115"/>
      <c r="AG1335" s="115"/>
      <c r="AH1335" s="115"/>
      <c r="AI1335" s="115"/>
      <c r="AJ1335" s="115"/>
      <c r="AK1335" s="115"/>
      <c r="AL1335" s="115"/>
      <c r="AM1335" s="115"/>
      <c r="AN1335" s="115"/>
      <c r="AO1335" s="115"/>
      <c r="AP1335" s="115"/>
      <c r="AQ1335" s="115"/>
      <c r="AR1335" s="115"/>
      <c r="AS1335" s="115"/>
      <c r="AT1335" s="115"/>
      <c r="AU1335" s="115"/>
      <c r="AV1335" s="115"/>
      <c r="AW1335" s="115"/>
      <c r="AX1335" s="115"/>
      <c r="AY1335" s="115"/>
      <c r="AZ1335" s="115"/>
      <c r="BA1335" s="115"/>
      <c r="BB1335" s="115"/>
      <c r="BC1335" s="115"/>
      <c r="BD1335" s="115"/>
      <c r="BE1335" s="115"/>
      <c r="BF1335" s="115"/>
      <c r="BG1335" s="115"/>
      <c r="BH1335" s="115"/>
      <c r="BI1335" s="115"/>
      <c r="BJ1335" s="115"/>
      <c r="BK1335" s="115"/>
      <c r="BL1335" s="115"/>
      <c r="BM1335" s="115"/>
      <c r="BN1335" s="115"/>
      <c r="BO1335" s="115"/>
      <c r="BP1335" s="115"/>
    </row>
    <row r="1336" spans="1:68" ht="20.100000000000001" customHeight="1">
      <c r="A1336" s="1228" t="s">
        <v>4582</v>
      </c>
      <c r="B1336" s="1228" t="s">
        <v>4592</v>
      </c>
      <c r="C1336" s="1228" t="s">
        <v>4603</v>
      </c>
      <c r="D1336" s="195">
        <f>D14+425</f>
        <v>1205</v>
      </c>
      <c r="E1336" s="195">
        <f>E14+525</f>
        <v>1982</v>
      </c>
      <c r="F1336" s="195">
        <f>F14+525</f>
        <v>1982</v>
      </c>
      <c r="G1336" s="225" t="s">
        <v>4569</v>
      </c>
      <c r="H1336" s="69" t="s">
        <v>4602</v>
      </c>
      <c r="I1336" s="38" t="s">
        <v>4595</v>
      </c>
      <c r="J1336" s="95"/>
      <c r="K1336" s="38" t="s">
        <v>4601</v>
      </c>
      <c r="L1336" s="116" t="s">
        <v>4539</v>
      </c>
      <c r="M1336" s="6">
        <v>43074</v>
      </c>
      <c r="N1336" s="6">
        <v>43084</v>
      </c>
      <c r="O1336" s="61" t="s">
        <v>4567</v>
      </c>
      <c r="P1336" s="61"/>
      <c r="Q1336" s="61" t="s">
        <v>4585</v>
      </c>
      <c r="R1336" s="239"/>
      <c r="S1336" s="328" t="s">
        <v>4543</v>
      </c>
      <c r="T1336" s="722"/>
      <c r="U1336" s="42"/>
      <c r="AE1336" s="282"/>
      <c r="AF1336" s="282"/>
      <c r="AG1336" s="282"/>
      <c r="AH1336" s="282"/>
      <c r="AI1336" s="282"/>
      <c r="AJ1336" s="282"/>
      <c r="AK1336" s="282"/>
      <c r="AL1336" s="282"/>
      <c r="AM1336" s="282"/>
      <c r="AN1336" s="282"/>
      <c r="AO1336" s="282"/>
      <c r="AP1336" s="282"/>
      <c r="AQ1336" s="282"/>
      <c r="AR1336" s="282"/>
      <c r="AS1336" s="282"/>
      <c r="AT1336" s="282"/>
      <c r="AU1336" s="282"/>
      <c r="AV1336" s="282"/>
      <c r="AW1336" s="282"/>
      <c r="AX1336" s="282"/>
      <c r="AY1336" s="282"/>
      <c r="AZ1336" s="282"/>
      <c r="BA1336" s="282"/>
      <c r="BB1336" s="282"/>
      <c r="BC1336" s="282"/>
      <c r="BD1336" s="282"/>
      <c r="BE1336" s="282"/>
      <c r="BF1336" s="282"/>
      <c r="BG1336" s="282"/>
      <c r="BH1336" s="282"/>
      <c r="BI1336" s="282"/>
      <c r="BJ1336" s="282"/>
      <c r="BK1336" s="282"/>
      <c r="BL1336" s="282"/>
      <c r="BM1336" s="282"/>
      <c r="BN1336" s="282"/>
      <c r="BO1336" s="282"/>
      <c r="BP1336" s="282"/>
    </row>
    <row r="1337" spans="1:68" ht="20.100000000000001" customHeight="1">
      <c r="A1337" s="907" t="s">
        <v>4582</v>
      </c>
      <c r="B1337" s="907" t="s">
        <v>4592</v>
      </c>
      <c r="C1337" s="907" t="s">
        <v>4600</v>
      </c>
      <c r="D1337" s="247"/>
      <c r="E1337" s="247"/>
      <c r="F1337" s="247"/>
      <c r="G1337" s="12"/>
      <c r="H1337" s="56"/>
      <c r="I1337" s="51"/>
      <c r="J1337" s="161"/>
      <c r="K1337" s="51"/>
      <c r="L1337" s="118"/>
      <c r="M1337" s="118"/>
      <c r="N1337" s="15"/>
      <c r="O1337" s="59"/>
      <c r="P1337" s="59"/>
      <c r="Q1337" s="59"/>
      <c r="R1337" s="21"/>
      <c r="S1337" s="328"/>
      <c r="T1337" s="722"/>
      <c r="U1337" s="42"/>
      <c r="AE1337" s="115"/>
      <c r="AF1337" s="115"/>
      <c r="AG1337" s="115"/>
      <c r="AH1337" s="115"/>
      <c r="AI1337" s="115"/>
      <c r="AJ1337" s="115"/>
      <c r="AK1337" s="115"/>
      <c r="AL1337" s="115"/>
      <c r="AM1337" s="115"/>
      <c r="AN1337" s="115"/>
      <c r="AO1337" s="115"/>
      <c r="AP1337" s="115"/>
      <c r="AQ1337" s="115"/>
      <c r="AR1337" s="115"/>
      <c r="AS1337" s="115"/>
      <c r="AT1337" s="115"/>
      <c r="AU1337" s="115"/>
      <c r="AV1337" s="115"/>
      <c r="AW1337" s="115"/>
      <c r="AX1337" s="115"/>
      <c r="AY1337" s="115"/>
      <c r="AZ1337" s="115"/>
      <c r="BA1337" s="115"/>
      <c r="BB1337" s="115"/>
      <c r="BC1337" s="115"/>
      <c r="BD1337" s="115"/>
      <c r="BE1337" s="115"/>
      <c r="BF1337" s="115"/>
      <c r="BG1337" s="115"/>
      <c r="BH1337" s="115"/>
      <c r="BI1337" s="115"/>
      <c r="BJ1337" s="115"/>
      <c r="BK1337" s="115"/>
      <c r="BL1337" s="115"/>
      <c r="BM1337" s="115"/>
      <c r="BN1337" s="115"/>
      <c r="BO1337" s="115"/>
      <c r="BP1337" s="115"/>
    </row>
    <row r="1338" spans="1:68" ht="20.100000000000001" customHeight="1">
      <c r="A1338" s="907" t="s">
        <v>4582</v>
      </c>
      <c r="B1338" s="907" t="s">
        <v>4592</v>
      </c>
      <c r="C1338" s="907" t="s">
        <v>4599</v>
      </c>
      <c r="D1338" s="247"/>
      <c r="E1338" s="247"/>
      <c r="F1338" s="247"/>
      <c r="G1338" s="12"/>
      <c r="H1338" s="56"/>
      <c r="I1338" s="51"/>
      <c r="J1338" s="161"/>
      <c r="K1338" s="51"/>
      <c r="L1338" s="118"/>
      <c r="M1338" s="118"/>
      <c r="N1338" s="15"/>
      <c r="O1338" s="59"/>
      <c r="P1338" s="59"/>
      <c r="Q1338" s="59"/>
      <c r="R1338" s="21"/>
      <c r="S1338" s="328"/>
      <c r="T1338" s="722"/>
      <c r="U1338" s="42"/>
      <c r="AE1338" s="115"/>
      <c r="AF1338" s="115"/>
      <c r="AG1338" s="115"/>
      <c r="AH1338" s="115"/>
      <c r="AI1338" s="115"/>
      <c r="AJ1338" s="115"/>
      <c r="AK1338" s="115"/>
      <c r="AL1338" s="115"/>
      <c r="AM1338" s="115"/>
      <c r="AN1338" s="115"/>
      <c r="AO1338" s="115"/>
      <c r="AP1338" s="115"/>
      <c r="AQ1338" s="115"/>
      <c r="AR1338" s="115"/>
      <c r="AS1338" s="115"/>
      <c r="AT1338" s="115"/>
      <c r="AU1338" s="115"/>
      <c r="AV1338" s="115"/>
      <c r="AW1338" s="115"/>
      <c r="AX1338" s="115"/>
      <c r="AY1338" s="115"/>
      <c r="AZ1338" s="115"/>
      <c r="BA1338" s="115"/>
      <c r="BB1338" s="115"/>
      <c r="BC1338" s="115"/>
      <c r="BD1338" s="115"/>
      <c r="BE1338" s="115"/>
      <c r="BF1338" s="115"/>
      <c r="BG1338" s="115"/>
      <c r="BH1338" s="115"/>
      <c r="BI1338" s="115"/>
      <c r="BJ1338" s="115"/>
      <c r="BK1338" s="115"/>
      <c r="BL1338" s="115"/>
      <c r="BM1338" s="115"/>
      <c r="BN1338" s="115"/>
      <c r="BO1338" s="115"/>
      <c r="BP1338" s="115"/>
    </row>
    <row r="1339" spans="1:68" ht="20.100000000000001" customHeight="1">
      <c r="A1339" s="1228" t="s">
        <v>4582</v>
      </c>
      <c r="B1339" s="1228" t="s">
        <v>4592</v>
      </c>
      <c r="C1339" s="1228" t="s">
        <v>4596</v>
      </c>
      <c r="D1339" s="195">
        <f>D77+(235+205)*1.2</f>
        <v>1378</v>
      </c>
      <c r="E1339" s="195">
        <f>E77+(305+205)*1.2</f>
        <v>2212</v>
      </c>
      <c r="F1339" s="195">
        <f>F77+(305+205)*1.2</f>
        <v>2262</v>
      </c>
      <c r="G1339" s="217" t="s">
        <v>4572</v>
      </c>
      <c r="H1339" s="56" t="s">
        <v>4541</v>
      </c>
      <c r="I1339" s="10" t="s">
        <v>4540</v>
      </c>
      <c r="J1339" s="30"/>
      <c r="K1339" s="38"/>
      <c r="L1339" s="116" t="s">
        <v>4539</v>
      </c>
      <c r="M1339" s="15">
        <v>43070</v>
      </c>
      <c r="N1339" s="15">
        <v>43100</v>
      </c>
      <c r="O1339" s="59" t="s">
        <v>4571</v>
      </c>
      <c r="P1339" s="61" t="s">
        <v>4598</v>
      </c>
      <c r="Q1339" s="14" t="s">
        <v>4594</v>
      </c>
      <c r="R1339" s="21"/>
      <c r="S1339" s="327" t="s">
        <v>4570</v>
      </c>
      <c r="T1339" s="722"/>
      <c r="U1339" s="42"/>
      <c r="AE1339" s="115"/>
      <c r="AF1339" s="115"/>
      <c r="AG1339" s="115"/>
      <c r="AH1339" s="115"/>
      <c r="AI1339" s="115"/>
      <c r="AJ1339" s="115"/>
      <c r="AK1339" s="115"/>
      <c r="AL1339" s="115"/>
      <c r="AM1339" s="115"/>
      <c r="AN1339" s="115"/>
      <c r="AO1339" s="115"/>
      <c r="AP1339" s="115"/>
      <c r="AQ1339" s="115"/>
      <c r="AR1339" s="115"/>
      <c r="AS1339" s="115"/>
      <c r="AT1339" s="115"/>
      <c r="AU1339" s="115"/>
      <c r="AV1339" s="115"/>
      <c r="AW1339" s="115"/>
      <c r="AX1339" s="115"/>
      <c r="AY1339" s="115"/>
      <c r="AZ1339" s="115"/>
      <c r="BA1339" s="115"/>
      <c r="BB1339" s="115"/>
      <c r="BC1339" s="115"/>
      <c r="BD1339" s="115"/>
      <c r="BE1339" s="115"/>
      <c r="BF1339" s="115"/>
      <c r="BG1339" s="115"/>
      <c r="BH1339" s="115"/>
      <c r="BI1339" s="115"/>
      <c r="BJ1339" s="115"/>
      <c r="BK1339" s="115"/>
      <c r="BL1339" s="115"/>
      <c r="BM1339" s="115"/>
      <c r="BN1339" s="115"/>
      <c r="BO1339" s="115"/>
      <c r="BP1339" s="115"/>
    </row>
    <row r="1340" spans="1:68" ht="20.100000000000001" customHeight="1">
      <c r="A1340" s="1228" t="s">
        <v>4582</v>
      </c>
      <c r="B1340" s="1228" t="s">
        <v>4592</v>
      </c>
      <c r="C1340" s="1228" t="s">
        <v>4596</v>
      </c>
      <c r="D1340" s="195">
        <f>D77+(299+205)*1.2</f>
        <v>1454.8</v>
      </c>
      <c r="E1340" s="195">
        <f>E77+(445+205)*1.2</f>
        <v>2380</v>
      </c>
      <c r="F1340" s="195">
        <f>F77+(445+205)*1.2</f>
        <v>2430</v>
      </c>
      <c r="G1340" s="217" t="s">
        <v>4572</v>
      </c>
      <c r="H1340" s="56" t="s">
        <v>4541</v>
      </c>
      <c r="I1340" s="10" t="s">
        <v>4540</v>
      </c>
      <c r="J1340" s="30"/>
      <c r="K1340" s="38"/>
      <c r="L1340" s="116" t="s">
        <v>4539</v>
      </c>
      <c r="M1340" s="15">
        <v>43070</v>
      </c>
      <c r="N1340" s="15">
        <v>43100</v>
      </c>
      <c r="O1340" s="59" t="s">
        <v>4571</v>
      </c>
      <c r="P1340" s="61" t="s">
        <v>4598</v>
      </c>
      <c r="Q1340" s="7" t="s">
        <v>4597</v>
      </c>
      <c r="R1340" s="21"/>
      <c r="S1340" s="327" t="s">
        <v>4570</v>
      </c>
      <c r="T1340" s="722"/>
      <c r="U1340" s="42"/>
      <c r="AE1340" s="115"/>
      <c r="AF1340" s="115"/>
      <c r="AG1340" s="115"/>
      <c r="AH1340" s="115"/>
      <c r="AI1340" s="115"/>
      <c r="AJ1340" s="115"/>
      <c r="AK1340" s="115"/>
      <c r="AL1340" s="115"/>
      <c r="AM1340" s="115"/>
      <c r="AN1340" s="115"/>
      <c r="AO1340" s="115"/>
      <c r="AP1340" s="115"/>
      <c r="AQ1340" s="115"/>
      <c r="AR1340" s="115"/>
      <c r="AS1340" s="115"/>
      <c r="AT1340" s="115"/>
      <c r="AU1340" s="115"/>
      <c r="AV1340" s="115"/>
      <c r="AW1340" s="115"/>
      <c r="AX1340" s="115"/>
      <c r="AY1340" s="115"/>
      <c r="AZ1340" s="115"/>
      <c r="BA1340" s="115"/>
      <c r="BB1340" s="115"/>
      <c r="BC1340" s="115"/>
      <c r="BD1340" s="115"/>
      <c r="BE1340" s="115"/>
      <c r="BF1340" s="115"/>
      <c r="BG1340" s="115"/>
      <c r="BH1340" s="115"/>
      <c r="BI1340" s="115"/>
      <c r="BJ1340" s="115"/>
      <c r="BK1340" s="115"/>
      <c r="BL1340" s="115"/>
      <c r="BM1340" s="115"/>
      <c r="BN1340" s="115"/>
      <c r="BO1340" s="115"/>
      <c r="BP1340" s="115"/>
    </row>
    <row r="1341" spans="1:68" ht="20.100000000000001" customHeight="1">
      <c r="A1341" s="1228" t="s">
        <v>4582</v>
      </c>
      <c r="B1341" s="1228" t="s">
        <v>4592</v>
      </c>
      <c r="C1341" s="1228" t="s">
        <v>4596</v>
      </c>
      <c r="D1341" s="195">
        <f>D72+450</f>
        <v>1230</v>
      </c>
      <c r="E1341" s="195">
        <f>E72+450</f>
        <v>1907</v>
      </c>
      <c r="F1341" s="195">
        <f>F72+450</f>
        <v>1907</v>
      </c>
      <c r="G1341" s="225" t="s">
        <v>4569</v>
      </c>
      <c r="H1341" s="69" t="s">
        <v>4568</v>
      </c>
      <c r="I1341" s="38" t="s">
        <v>4540</v>
      </c>
      <c r="J1341" s="95"/>
      <c r="K1341" s="38" t="s">
        <v>4546</v>
      </c>
      <c r="L1341" s="116" t="s">
        <v>4539</v>
      </c>
      <c r="M1341" s="6">
        <v>43074</v>
      </c>
      <c r="N1341" s="6">
        <v>43084</v>
      </c>
      <c r="O1341" s="61" t="s">
        <v>4567</v>
      </c>
      <c r="P1341" s="61"/>
      <c r="Q1341" s="61" t="s">
        <v>4585</v>
      </c>
      <c r="R1341" s="239"/>
      <c r="S1341" s="328" t="s">
        <v>4543</v>
      </c>
      <c r="T1341" s="722"/>
      <c r="U1341" s="42"/>
      <c r="AE1341" s="115"/>
      <c r="AF1341" s="115"/>
      <c r="AG1341" s="115"/>
      <c r="AH1341" s="115"/>
      <c r="AI1341" s="115"/>
      <c r="AJ1341" s="115"/>
      <c r="AK1341" s="115"/>
      <c r="AL1341" s="115"/>
      <c r="AM1341" s="115"/>
      <c r="AN1341" s="115"/>
      <c r="AO1341" s="115"/>
      <c r="AP1341" s="115"/>
      <c r="AQ1341" s="115"/>
      <c r="AR1341" s="115"/>
      <c r="AS1341" s="115"/>
      <c r="AT1341" s="115"/>
      <c r="AU1341" s="115"/>
      <c r="AV1341" s="115"/>
      <c r="AW1341" s="115"/>
      <c r="AX1341" s="115"/>
      <c r="AY1341" s="115"/>
      <c r="AZ1341" s="115"/>
      <c r="BA1341" s="115"/>
      <c r="BB1341" s="115"/>
      <c r="BC1341" s="115"/>
      <c r="BD1341" s="115"/>
      <c r="BE1341" s="115"/>
      <c r="BF1341" s="115"/>
      <c r="BG1341" s="115"/>
      <c r="BH1341" s="115"/>
      <c r="BI1341" s="115"/>
      <c r="BJ1341" s="115"/>
      <c r="BK1341" s="115"/>
      <c r="BL1341" s="115"/>
      <c r="BM1341" s="115"/>
      <c r="BN1341" s="115"/>
      <c r="BO1341" s="115"/>
      <c r="BP1341" s="115"/>
    </row>
    <row r="1342" spans="1:68" ht="20.100000000000001" customHeight="1">
      <c r="A1342" s="1228" t="s">
        <v>4582</v>
      </c>
      <c r="B1342" s="1228" t="s">
        <v>4592</v>
      </c>
      <c r="C1342" s="1228" t="s">
        <v>4593</v>
      </c>
      <c r="D1342" s="345">
        <f>D20+275+25</f>
        <v>1150</v>
      </c>
      <c r="E1342" s="345">
        <f>E20+230+50</f>
        <v>1880</v>
      </c>
      <c r="F1342" s="345">
        <f>F20+230+50</f>
        <v>1930</v>
      </c>
      <c r="G1342" s="217" t="s">
        <v>4572</v>
      </c>
      <c r="H1342" s="56" t="s">
        <v>4541</v>
      </c>
      <c r="I1342" s="10" t="s">
        <v>4595</v>
      </c>
      <c r="J1342" s="30"/>
      <c r="K1342" s="38"/>
      <c r="L1342" s="116" t="s">
        <v>4539</v>
      </c>
      <c r="M1342" s="15">
        <v>43070</v>
      </c>
      <c r="N1342" s="15">
        <v>43100</v>
      </c>
      <c r="O1342" s="59" t="s">
        <v>4571</v>
      </c>
      <c r="P1342" s="61"/>
      <c r="Q1342" s="14" t="s">
        <v>4594</v>
      </c>
      <c r="R1342" s="239"/>
      <c r="S1342" s="327" t="s">
        <v>4570</v>
      </c>
      <c r="T1342" s="722"/>
      <c r="U1342" s="42"/>
      <c r="AE1342" s="115"/>
      <c r="AF1342" s="115"/>
      <c r="AG1342" s="115"/>
      <c r="AH1342" s="115"/>
      <c r="AI1342" s="115"/>
      <c r="AJ1342" s="115"/>
      <c r="AK1342" s="115"/>
      <c r="AL1342" s="115"/>
      <c r="AM1342" s="115"/>
      <c r="AN1342" s="115"/>
      <c r="AO1342" s="115"/>
      <c r="AP1342" s="115"/>
      <c r="AQ1342" s="115"/>
      <c r="AR1342" s="115"/>
      <c r="AS1342" s="115"/>
      <c r="AT1342" s="115"/>
      <c r="AU1342" s="115"/>
      <c r="AV1342" s="115"/>
      <c r="AW1342" s="115"/>
      <c r="AX1342" s="115"/>
      <c r="AY1342" s="115"/>
      <c r="AZ1342" s="115"/>
      <c r="BA1342" s="115"/>
      <c r="BB1342" s="115"/>
      <c r="BC1342" s="115"/>
      <c r="BD1342" s="115"/>
      <c r="BE1342" s="115"/>
      <c r="BF1342" s="115"/>
      <c r="BG1342" s="115"/>
      <c r="BH1342" s="115"/>
      <c r="BI1342" s="115"/>
      <c r="BJ1342" s="115"/>
      <c r="BK1342" s="115"/>
      <c r="BL1342" s="115"/>
      <c r="BM1342" s="115"/>
      <c r="BN1342" s="115"/>
      <c r="BO1342" s="115"/>
      <c r="BP1342" s="115"/>
    </row>
    <row r="1343" spans="1:68" ht="20.100000000000001" customHeight="1">
      <c r="A1343" s="1228" t="s">
        <v>4582</v>
      </c>
      <c r="B1343" s="1228" t="s">
        <v>4592</v>
      </c>
      <c r="C1343" s="1228" t="s">
        <v>4593</v>
      </c>
      <c r="D1343" s="195">
        <f>D72+450</f>
        <v>1230</v>
      </c>
      <c r="E1343" s="195">
        <f>E72+450</f>
        <v>1907</v>
      </c>
      <c r="F1343" s="195">
        <f>F72+450</f>
        <v>1907</v>
      </c>
      <c r="G1343" s="225" t="s">
        <v>4569</v>
      </c>
      <c r="H1343" s="69" t="s">
        <v>4568</v>
      </c>
      <c r="I1343" s="38" t="s">
        <v>4540</v>
      </c>
      <c r="J1343" s="30"/>
      <c r="K1343" s="38" t="s">
        <v>4546</v>
      </c>
      <c r="L1343" s="116" t="s">
        <v>4539</v>
      </c>
      <c r="M1343" s="6">
        <v>43074</v>
      </c>
      <c r="N1343" s="6">
        <v>43084</v>
      </c>
      <c r="O1343" s="61" t="s">
        <v>4567</v>
      </c>
      <c r="P1343" s="61"/>
      <c r="Q1343" s="61" t="s">
        <v>4585</v>
      </c>
      <c r="R1343" s="239"/>
      <c r="S1343" s="328" t="s">
        <v>4543</v>
      </c>
      <c r="T1343" s="722"/>
      <c r="U1343" s="42"/>
      <c r="AE1343" s="115"/>
      <c r="AF1343" s="115"/>
      <c r="AG1343" s="115"/>
      <c r="AH1343" s="115"/>
      <c r="AI1343" s="115"/>
      <c r="AJ1343" s="115"/>
      <c r="AK1343" s="115"/>
      <c r="AL1343" s="115"/>
      <c r="AM1343" s="115"/>
      <c r="AN1343" s="115"/>
      <c r="AO1343" s="115"/>
      <c r="AP1343" s="115"/>
      <c r="AQ1343" s="115"/>
      <c r="AR1343" s="115"/>
      <c r="AS1343" s="115"/>
      <c r="AT1343" s="115"/>
      <c r="AU1343" s="115"/>
      <c r="AV1343" s="115"/>
      <c r="AW1343" s="115"/>
      <c r="AX1343" s="115"/>
      <c r="AY1343" s="115"/>
      <c r="AZ1343" s="115"/>
      <c r="BA1343" s="115"/>
      <c r="BB1343" s="115"/>
      <c r="BC1343" s="115"/>
      <c r="BD1343" s="115"/>
      <c r="BE1343" s="115"/>
      <c r="BF1343" s="115"/>
      <c r="BG1343" s="115"/>
      <c r="BH1343" s="115"/>
      <c r="BI1343" s="115"/>
      <c r="BJ1343" s="115"/>
      <c r="BK1343" s="115"/>
      <c r="BL1343" s="115"/>
      <c r="BM1343" s="115"/>
      <c r="BN1343" s="115"/>
      <c r="BO1343" s="115"/>
      <c r="BP1343" s="115"/>
    </row>
    <row r="1344" spans="1:68" ht="20.100000000000001" customHeight="1">
      <c r="A1344" s="907" t="s">
        <v>4582</v>
      </c>
      <c r="B1344" s="907" t="s">
        <v>4592</v>
      </c>
      <c r="C1344" s="907" t="s">
        <v>4591</v>
      </c>
      <c r="D1344" s="247"/>
      <c r="E1344" s="247"/>
      <c r="F1344" s="247"/>
      <c r="G1344" s="12"/>
      <c r="H1344" s="56"/>
      <c r="I1344" s="51"/>
      <c r="J1344" s="161"/>
      <c r="K1344" s="51"/>
      <c r="L1344" s="118"/>
      <c r="M1344" s="118"/>
      <c r="N1344" s="15"/>
      <c r="O1344" s="59"/>
      <c r="P1344" s="59"/>
      <c r="Q1344" s="59"/>
      <c r="R1344" s="21"/>
      <c r="S1344" s="328"/>
      <c r="T1344" s="722"/>
      <c r="U1344" s="42"/>
      <c r="AE1344" s="115"/>
      <c r="AF1344" s="115"/>
      <c r="AG1344" s="115"/>
      <c r="AH1344" s="115"/>
      <c r="AI1344" s="115"/>
      <c r="AJ1344" s="115"/>
      <c r="AK1344" s="115"/>
      <c r="AL1344" s="115"/>
      <c r="AM1344" s="115"/>
      <c r="AN1344" s="115"/>
      <c r="AO1344" s="115"/>
      <c r="AP1344" s="115"/>
      <c r="AQ1344" s="115"/>
      <c r="AR1344" s="115"/>
      <c r="AS1344" s="115"/>
      <c r="AT1344" s="115"/>
      <c r="AU1344" s="115"/>
      <c r="AV1344" s="115"/>
      <c r="AW1344" s="115"/>
      <c r="AX1344" s="115"/>
      <c r="AY1344" s="115"/>
      <c r="AZ1344" s="115"/>
      <c r="BA1344" s="115"/>
      <c r="BB1344" s="115"/>
      <c r="BC1344" s="115"/>
      <c r="BD1344" s="115"/>
      <c r="BE1344" s="115"/>
      <c r="BF1344" s="115"/>
      <c r="BG1344" s="115"/>
      <c r="BH1344" s="115"/>
      <c r="BI1344" s="115"/>
      <c r="BJ1344" s="115"/>
      <c r="BK1344" s="115"/>
      <c r="BL1344" s="115"/>
      <c r="BM1344" s="115"/>
      <c r="BN1344" s="115"/>
      <c r="BO1344" s="115"/>
      <c r="BP1344" s="115"/>
    </row>
    <row r="1345" spans="1:68" ht="20.100000000000001" customHeight="1">
      <c r="A1345" s="907" t="s">
        <v>4582</v>
      </c>
      <c r="B1345" s="907" t="s">
        <v>4535</v>
      </c>
      <c r="C1345" s="907" t="s">
        <v>4590</v>
      </c>
      <c r="D1345" s="195">
        <f>D219+200</f>
        <v>850</v>
      </c>
      <c r="E1345" s="195">
        <f>E219+200</f>
        <v>1500</v>
      </c>
      <c r="F1345" s="195">
        <f>F219+200</f>
        <v>1550</v>
      </c>
      <c r="G1345" s="110" t="s">
        <v>4553</v>
      </c>
      <c r="H1345" s="56" t="s">
        <v>4589</v>
      </c>
      <c r="I1345" s="38" t="s">
        <v>4564</v>
      </c>
      <c r="J1345" s="30"/>
      <c r="K1345" s="38">
        <v>29</v>
      </c>
      <c r="L1345" s="116" t="s">
        <v>4539</v>
      </c>
      <c r="M1345" s="6">
        <v>43085</v>
      </c>
      <c r="N1345" s="6">
        <v>43100</v>
      </c>
      <c r="O1345" s="61" t="s">
        <v>4545</v>
      </c>
      <c r="P1345" s="61"/>
      <c r="Q1345" s="61"/>
      <c r="R1345" s="239" t="s">
        <v>4588</v>
      </c>
      <c r="S1345" s="328" t="s">
        <v>4543</v>
      </c>
      <c r="T1345" s="722"/>
      <c r="U1345" s="42"/>
      <c r="AE1345" s="115"/>
      <c r="AF1345" s="115"/>
      <c r="AG1345" s="115"/>
      <c r="AH1345" s="115"/>
      <c r="AI1345" s="115"/>
      <c r="AJ1345" s="115"/>
      <c r="AK1345" s="115"/>
      <c r="AL1345" s="115"/>
      <c r="AM1345" s="115"/>
      <c r="AN1345" s="115"/>
      <c r="AO1345" s="115"/>
      <c r="AP1345" s="115"/>
      <c r="AQ1345" s="115"/>
      <c r="AR1345" s="115"/>
      <c r="AS1345" s="115"/>
      <c r="AT1345" s="115"/>
      <c r="AU1345" s="115"/>
      <c r="AV1345" s="115"/>
      <c r="AW1345" s="115"/>
      <c r="AX1345" s="115"/>
      <c r="AY1345" s="115"/>
      <c r="AZ1345" s="115"/>
      <c r="BA1345" s="115"/>
      <c r="BB1345" s="115"/>
      <c r="BC1345" s="115"/>
      <c r="BD1345" s="115"/>
      <c r="BE1345" s="115"/>
      <c r="BF1345" s="115"/>
      <c r="BG1345" s="115"/>
      <c r="BH1345" s="115"/>
      <c r="BI1345" s="115"/>
      <c r="BJ1345" s="115"/>
      <c r="BK1345" s="115"/>
      <c r="BL1345" s="115"/>
      <c r="BM1345" s="115"/>
      <c r="BN1345" s="115"/>
      <c r="BO1345" s="115"/>
      <c r="BP1345" s="115"/>
    </row>
    <row r="1346" spans="1:68" ht="20.100000000000001" customHeight="1">
      <c r="A1346" s="907" t="s">
        <v>4582</v>
      </c>
      <c r="B1346" s="907" t="s">
        <v>4535</v>
      </c>
      <c r="C1346" s="907" t="s">
        <v>4587</v>
      </c>
      <c r="D1346" s="195">
        <f>D266+659*1.2</f>
        <v>1515.8</v>
      </c>
      <c r="E1346" s="195">
        <f>E266+659*1.2</f>
        <v>2140.8000000000002</v>
      </c>
      <c r="F1346" s="195">
        <f>F266+659*1.2</f>
        <v>2190.8000000000002</v>
      </c>
      <c r="G1346" s="217" t="s">
        <v>4575</v>
      </c>
      <c r="H1346" s="55" t="s">
        <v>4548</v>
      </c>
      <c r="I1346" s="10" t="s">
        <v>4547</v>
      </c>
      <c r="J1346" s="37" t="s">
        <v>4586</v>
      </c>
      <c r="K1346" s="38"/>
      <c r="L1346" s="116" t="s">
        <v>4539</v>
      </c>
      <c r="M1346" s="15">
        <v>43084</v>
      </c>
      <c r="N1346" s="15">
        <v>43100</v>
      </c>
      <c r="O1346" s="61" t="s">
        <v>4545</v>
      </c>
      <c r="P1346" s="71"/>
      <c r="Q1346" s="61" t="s">
        <v>4585</v>
      </c>
      <c r="R1346" s="239" t="s">
        <v>4577</v>
      </c>
      <c r="S1346" s="327" t="s">
        <v>4576</v>
      </c>
      <c r="T1346" s="722"/>
      <c r="U1346" s="42"/>
      <c r="AE1346" s="266"/>
      <c r="AF1346" s="266"/>
      <c r="AG1346" s="266"/>
      <c r="AH1346" s="266"/>
      <c r="AI1346" s="266"/>
      <c r="AJ1346" s="266"/>
      <c r="AK1346" s="266"/>
      <c r="AL1346" s="266"/>
      <c r="AM1346" s="266"/>
      <c r="AN1346" s="266"/>
      <c r="AO1346" s="266"/>
      <c r="AP1346" s="266"/>
      <c r="AQ1346" s="266"/>
      <c r="AR1346" s="266"/>
      <c r="AS1346" s="266"/>
      <c r="AT1346" s="266"/>
      <c r="AU1346" s="266"/>
      <c r="AV1346" s="266"/>
      <c r="AW1346" s="266"/>
      <c r="AX1346" s="266"/>
      <c r="AY1346" s="266"/>
      <c r="AZ1346" s="266"/>
      <c r="BA1346" s="266"/>
      <c r="BB1346" s="266"/>
      <c r="BC1346" s="266"/>
      <c r="BD1346" s="266"/>
      <c r="BE1346" s="266"/>
      <c r="BF1346" s="266"/>
      <c r="BG1346" s="266"/>
      <c r="BH1346" s="266"/>
      <c r="BI1346" s="266"/>
      <c r="BJ1346" s="266"/>
      <c r="BK1346" s="266"/>
      <c r="BL1346" s="266"/>
      <c r="BM1346" s="266"/>
      <c r="BN1346" s="266"/>
      <c r="BO1346" s="266"/>
      <c r="BP1346" s="266"/>
    </row>
    <row r="1347" spans="1:68" ht="20.100000000000001" customHeight="1">
      <c r="A1347" s="1228" t="s">
        <v>4582</v>
      </c>
      <c r="B1347" s="1228" t="s">
        <v>4535</v>
      </c>
      <c r="C1347" s="1228" t="s">
        <v>4581</v>
      </c>
      <c r="D1347" s="247"/>
      <c r="E1347" s="247"/>
      <c r="F1347" s="247"/>
      <c r="G1347" s="217" t="s">
        <v>4572</v>
      </c>
      <c r="H1347" s="22" t="s">
        <v>4552</v>
      </c>
      <c r="I1347" s="10" t="s">
        <v>4579</v>
      </c>
      <c r="J1347" s="30"/>
      <c r="K1347" s="38">
        <v>39</v>
      </c>
      <c r="L1347" s="116" t="s">
        <v>4539</v>
      </c>
      <c r="M1347" s="15">
        <v>43054</v>
      </c>
      <c r="N1347" s="15">
        <v>43076</v>
      </c>
      <c r="O1347" s="61" t="s">
        <v>4545</v>
      </c>
      <c r="P1347" s="61"/>
      <c r="Q1347" s="167"/>
      <c r="R1347" s="238" t="s">
        <v>4584</v>
      </c>
      <c r="S1347" s="327" t="s">
        <v>4570</v>
      </c>
      <c r="T1347" s="722"/>
      <c r="U1347" s="42"/>
      <c r="AE1347" s="115"/>
      <c r="AF1347" s="115"/>
      <c r="AG1347" s="115"/>
      <c r="AH1347" s="115"/>
      <c r="AI1347" s="115"/>
      <c r="AJ1347" s="115"/>
      <c r="AK1347" s="115"/>
      <c r="AL1347" s="115"/>
      <c r="AM1347" s="115"/>
      <c r="AN1347" s="115"/>
      <c r="AO1347" s="115"/>
      <c r="AP1347" s="115"/>
      <c r="AQ1347" s="115"/>
      <c r="AR1347" s="115"/>
      <c r="AS1347" s="115"/>
      <c r="AT1347" s="115"/>
      <c r="AU1347" s="115"/>
      <c r="AV1347" s="115"/>
      <c r="AW1347" s="115"/>
      <c r="AX1347" s="115"/>
      <c r="AY1347" s="115"/>
      <c r="AZ1347" s="115"/>
      <c r="BA1347" s="115"/>
      <c r="BB1347" s="115"/>
      <c r="BC1347" s="115"/>
      <c r="BD1347" s="115"/>
      <c r="BE1347" s="115"/>
      <c r="BF1347" s="115"/>
      <c r="BG1347" s="115"/>
      <c r="BH1347" s="115"/>
      <c r="BI1347" s="115"/>
      <c r="BJ1347" s="115"/>
      <c r="BK1347" s="115"/>
      <c r="BL1347" s="115"/>
      <c r="BM1347" s="115"/>
      <c r="BN1347" s="115"/>
      <c r="BO1347" s="115"/>
      <c r="BP1347" s="115"/>
    </row>
    <row r="1348" spans="1:68" ht="20.100000000000001" customHeight="1">
      <c r="A1348" s="1228" t="s">
        <v>4582</v>
      </c>
      <c r="B1348" s="1228" t="s">
        <v>4535</v>
      </c>
      <c r="C1348" s="1228" t="s">
        <v>4581</v>
      </c>
      <c r="D1348" s="195">
        <f>D240+1200</f>
        <v>1925</v>
      </c>
      <c r="E1348" s="195">
        <f>E240+1850</f>
        <v>3200</v>
      </c>
      <c r="F1348" s="195">
        <f>F240+1850</f>
        <v>3250</v>
      </c>
      <c r="G1348" s="217" t="s">
        <v>4575</v>
      </c>
      <c r="H1348" s="245" t="s">
        <v>4552</v>
      </c>
      <c r="I1348" s="10" t="s">
        <v>4579</v>
      </c>
      <c r="J1348" s="37"/>
      <c r="K1348" s="38"/>
      <c r="L1348" s="116" t="s">
        <v>4539</v>
      </c>
      <c r="M1348" s="15">
        <v>43084</v>
      </c>
      <c r="N1348" s="15">
        <v>43100</v>
      </c>
      <c r="O1348" s="61" t="s">
        <v>4545</v>
      </c>
      <c r="P1348" s="61"/>
      <c r="Q1348" s="167"/>
      <c r="R1348" s="239" t="s">
        <v>4583</v>
      </c>
      <c r="S1348" s="327" t="s">
        <v>4576</v>
      </c>
      <c r="T1348" s="722"/>
      <c r="U1348" s="42"/>
      <c r="AE1348" s="115"/>
      <c r="AF1348" s="115"/>
      <c r="AG1348" s="115"/>
      <c r="AH1348" s="115"/>
      <c r="AI1348" s="115"/>
      <c r="AJ1348" s="115"/>
      <c r="AK1348" s="115"/>
      <c r="AL1348" s="115"/>
      <c r="AM1348" s="115"/>
      <c r="AN1348" s="115"/>
      <c r="AO1348" s="115"/>
      <c r="AP1348" s="115"/>
      <c r="AQ1348" s="115"/>
      <c r="AR1348" s="115"/>
      <c r="AS1348" s="115"/>
      <c r="AT1348" s="115"/>
      <c r="AU1348" s="115"/>
      <c r="AV1348" s="115"/>
      <c r="AW1348" s="115"/>
      <c r="AX1348" s="115"/>
      <c r="AY1348" s="115"/>
      <c r="AZ1348" s="115"/>
      <c r="BA1348" s="115"/>
      <c r="BB1348" s="115"/>
      <c r="BC1348" s="115"/>
      <c r="BD1348" s="115"/>
      <c r="BE1348" s="115"/>
      <c r="BF1348" s="115"/>
      <c r="BG1348" s="115"/>
      <c r="BH1348" s="115"/>
      <c r="BI1348" s="115"/>
      <c r="BJ1348" s="115"/>
      <c r="BK1348" s="115"/>
      <c r="BL1348" s="115"/>
      <c r="BM1348" s="115"/>
      <c r="BN1348" s="115"/>
      <c r="BO1348" s="115"/>
      <c r="BP1348" s="115"/>
    </row>
    <row r="1349" spans="1:68" ht="20.100000000000001" customHeight="1">
      <c r="A1349" s="1228" t="s">
        <v>4582</v>
      </c>
      <c r="B1349" s="1228" t="s">
        <v>4535</v>
      </c>
      <c r="C1349" s="1228" t="s">
        <v>4581</v>
      </c>
      <c r="D1349" s="273">
        <f>D247+1485+25</f>
        <v>2035</v>
      </c>
      <c r="E1349" s="273">
        <f>E247+2396+50</f>
        <v>3396</v>
      </c>
      <c r="F1349" s="273">
        <f>F247+2396+50</f>
        <v>3446</v>
      </c>
      <c r="G1349" s="110" t="s">
        <v>4566</v>
      </c>
      <c r="H1349" s="69" t="s">
        <v>4580</v>
      </c>
      <c r="I1349" s="38" t="s">
        <v>4579</v>
      </c>
      <c r="J1349" s="37"/>
      <c r="K1349" s="38"/>
      <c r="L1349" s="116" t="s">
        <v>4539</v>
      </c>
      <c r="M1349" s="15">
        <v>43073</v>
      </c>
      <c r="N1349" s="15">
        <v>43100</v>
      </c>
      <c r="O1349" s="59" t="s">
        <v>4563</v>
      </c>
      <c r="P1349" s="61"/>
      <c r="Q1349" s="167"/>
      <c r="R1349" s="239" t="s">
        <v>4578</v>
      </c>
      <c r="S1349" s="327" t="s">
        <v>4561</v>
      </c>
      <c r="T1349" s="722"/>
      <c r="U1349" s="42"/>
      <c r="AE1349" s="115"/>
      <c r="AF1349" s="115"/>
      <c r="AG1349" s="115"/>
      <c r="AH1349" s="115"/>
      <c r="AI1349" s="115"/>
      <c r="AJ1349" s="115"/>
      <c r="AK1349" s="115"/>
      <c r="AL1349" s="115"/>
      <c r="AM1349" s="115"/>
      <c r="AN1349" s="115"/>
      <c r="AO1349" s="115"/>
      <c r="AP1349" s="115"/>
      <c r="AQ1349" s="115"/>
      <c r="AR1349" s="115"/>
      <c r="AS1349" s="115"/>
      <c r="AT1349" s="115"/>
      <c r="AU1349" s="115"/>
      <c r="AV1349" s="115"/>
      <c r="AW1349" s="115"/>
      <c r="AX1349" s="115"/>
      <c r="AY1349" s="115"/>
      <c r="AZ1349" s="115"/>
      <c r="BA1349" s="115"/>
      <c r="BB1349" s="115"/>
      <c r="BC1349" s="115"/>
      <c r="BD1349" s="115"/>
      <c r="BE1349" s="115"/>
      <c r="BF1349" s="115"/>
      <c r="BG1349" s="115"/>
      <c r="BH1349" s="115"/>
      <c r="BI1349" s="115"/>
      <c r="BJ1349" s="115"/>
      <c r="BK1349" s="115"/>
      <c r="BL1349" s="115"/>
      <c r="BM1349" s="115"/>
      <c r="BN1349" s="115"/>
      <c r="BO1349" s="115"/>
      <c r="BP1349" s="115"/>
    </row>
    <row r="1350" spans="1:68" ht="20.100000000000001" customHeight="1">
      <c r="A1350" s="1228" t="s">
        <v>4536</v>
      </c>
      <c r="B1350" s="1228" t="s">
        <v>4535</v>
      </c>
      <c r="C1350" s="1228" t="s">
        <v>4534</v>
      </c>
      <c r="D1350" s="196">
        <f>D266+200</f>
        <v>925</v>
      </c>
      <c r="E1350" s="196">
        <f>E266+200</f>
        <v>1550</v>
      </c>
      <c r="F1350" s="196">
        <f>F266+200</f>
        <v>1600</v>
      </c>
      <c r="G1350" s="217" t="s">
        <v>4575</v>
      </c>
      <c r="H1350" s="55" t="s">
        <v>4548</v>
      </c>
      <c r="I1350" s="10" t="s">
        <v>4547</v>
      </c>
      <c r="J1350" s="37"/>
      <c r="K1350" s="38"/>
      <c r="L1350" s="116" t="s">
        <v>4539</v>
      </c>
      <c r="M1350" s="15">
        <v>43084</v>
      </c>
      <c r="N1350" s="15">
        <v>43100</v>
      </c>
      <c r="O1350" s="61" t="s">
        <v>4545</v>
      </c>
      <c r="P1350" s="61"/>
      <c r="Q1350" s="167"/>
      <c r="R1350" s="239" t="s">
        <v>4577</v>
      </c>
      <c r="S1350" s="327" t="s">
        <v>4576</v>
      </c>
      <c r="T1350" s="722"/>
      <c r="U1350" s="42"/>
      <c r="AE1350" s="115"/>
      <c r="AF1350" s="115"/>
      <c r="AG1350" s="115"/>
      <c r="AH1350" s="115"/>
      <c r="AI1350" s="115"/>
      <c r="AJ1350" s="115"/>
      <c r="AK1350" s="115"/>
      <c r="AL1350" s="115"/>
      <c r="AM1350" s="115"/>
      <c r="AN1350" s="115"/>
      <c r="AO1350" s="115"/>
      <c r="AP1350" s="115"/>
      <c r="AQ1350" s="115"/>
      <c r="AR1350" s="115"/>
      <c r="AS1350" s="115"/>
      <c r="AT1350" s="115"/>
      <c r="AU1350" s="115"/>
      <c r="AV1350" s="115"/>
      <c r="AW1350" s="115"/>
      <c r="AX1350" s="115"/>
      <c r="AY1350" s="115"/>
      <c r="AZ1350" s="115"/>
      <c r="BA1350" s="115"/>
      <c r="BB1350" s="115"/>
      <c r="BC1350" s="115"/>
      <c r="BD1350" s="115"/>
      <c r="BE1350" s="115"/>
      <c r="BF1350" s="115"/>
      <c r="BG1350" s="115"/>
      <c r="BH1350" s="115"/>
      <c r="BI1350" s="115"/>
      <c r="BJ1350" s="115"/>
      <c r="BK1350" s="115"/>
      <c r="BL1350" s="115"/>
      <c r="BM1350" s="115"/>
      <c r="BN1350" s="115"/>
      <c r="BO1350" s="115"/>
      <c r="BP1350" s="115"/>
    </row>
    <row r="1351" spans="1:68" ht="20.100000000000001" customHeight="1">
      <c r="A1351" s="1228" t="s">
        <v>4536</v>
      </c>
      <c r="B1351" s="1228" t="s">
        <v>4535</v>
      </c>
      <c r="C1351" s="1228" t="s">
        <v>4534</v>
      </c>
      <c r="D1351" s="196">
        <f>D97+250</f>
        <v>1125</v>
      </c>
      <c r="E1351" s="196">
        <f>E97+200</f>
        <v>1750</v>
      </c>
      <c r="F1351" s="196">
        <f>F97+200</f>
        <v>1800</v>
      </c>
      <c r="G1351" s="217" t="s">
        <v>4575</v>
      </c>
      <c r="H1351" s="48" t="s">
        <v>4574</v>
      </c>
      <c r="I1351" s="38" t="s">
        <v>4540</v>
      </c>
      <c r="J1351" s="30"/>
      <c r="K1351" s="38"/>
      <c r="L1351" s="116" t="s">
        <v>4539</v>
      </c>
      <c r="M1351" s="15">
        <v>43084</v>
      </c>
      <c r="N1351" s="15">
        <v>43100</v>
      </c>
      <c r="O1351" s="61" t="s">
        <v>4573</v>
      </c>
      <c r="P1351" s="61"/>
      <c r="Q1351" s="61"/>
      <c r="R1351" s="239"/>
      <c r="S1351" s="328" t="s">
        <v>4543</v>
      </c>
      <c r="T1351" s="722"/>
      <c r="U1351" s="42"/>
      <c r="AE1351" s="233"/>
      <c r="AF1351" s="233"/>
      <c r="AG1351" s="233"/>
      <c r="AH1351" s="233"/>
      <c r="AI1351" s="233"/>
      <c r="AJ1351" s="233"/>
      <c r="AK1351" s="233"/>
      <c r="AL1351" s="233"/>
      <c r="AM1351" s="233"/>
      <c r="AN1351" s="233"/>
      <c r="AO1351" s="233"/>
      <c r="AP1351" s="233"/>
      <c r="AQ1351" s="233"/>
      <c r="AR1351" s="233"/>
      <c r="AS1351" s="233"/>
      <c r="AT1351" s="233"/>
      <c r="AU1351" s="233"/>
      <c r="AV1351" s="233"/>
      <c r="AW1351" s="233"/>
      <c r="AX1351" s="233"/>
      <c r="AY1351" s="233"/>
      <c r="AZ1351" s="233"/>
      <c r="BA1351" s="233"/>
      <c r="BB1351" s="233"/>
      <c r="BC1351" s="233"/>
      <c r="BD1351" s="233"/>
      <c r="BE1351" s="233"/>
      <c r="BF1351" s="233"/>
      <c r="BG1351" s="233"/>
      <c r="BH1351" s="233"/>
      <c r="BI1351" s="233"/>
      <c r="BJ1351" s="233"/>
      <c r="BK1351" s="233"/>
      <c r="BL1351" s="233"/>
      <c r="BM1351" s="233"/>
      <c r="BN1351" s="233"/>
      <c r="BO1351" s="233"/>
      <c r="BP1351" s="233"/>
    </row>
    <row r="1352" spans="1:68" ht="20.100000000000001" customHeight="1">
      <c r="A1352" s="1228" t="s">
        <v>4536</v>
      </c>
      <c r="B1352" s="1228" t="s">
        <v>4535</v>
      </c>
      <c r="C1352" s="1228" t="s">
        <v>4534</v>
      </c>
      <c r="D1352" s="345">
        <f>D77+150+25</f>
        <v>1025</v>
      </c>
      <c r="E1352" s="345">
        <f>E77+300+50</f>
        <v>1950</v>
      </c>
      <c r="F1352" s="345">
        <f>F77+300+50</f>
        <v>2000</v>
      </c>
      <c r="G1352" s="217" t="s">
        <v>4572</v>
      </c>
      <c r="H1352" s="56" t="s">
        <v>4541</v>
      </c>
      <c r="I1352" s="10" t="s">
        <v>4540</v>
      </c>
      <c r="J1352" s="30"/>
      <c r="K1352" s="38"/>
      <c r="L1352" s="116" t="s">
        <v>4539</v>
      </c>
      <c r="M1352" s="15">
        <v>43070</v>
      </c>
      <c r="N1352" s="15">
        <v>43100</v>
      </c>
      <c r="O1352" s="59" t="s">
        <v>4571</v>
      </c>
      <c r="P1352" s="61"/>
      <c r="Q1352" s="7"/>
      <c r="R1352" s="239"/>
      <c r="S1352" s="327" t="s">
        <v>4570</v>
      </c>
      <c r="T1352" s="722"/>
      <c r="U1352" s="42"/>
      <c r="AE1352" s="115"/>
      <c r="AF1352" s="115"/>
      <c r="AG1352" s="115"/>
      <c r="AH1352" s="115"/>
      <c r="AI1352" s="115"/>
      <c r="AJ1352" s="115"/>
      <c r="AK1352" s="115"/>
      <c r="AL1352" s="115"/>
      <c r="AM1352" s="115"/>
      <c r="AN1352" s="115"/>
      <c r="AO1352" s="115"/>
      <c r="AP1352" s="115"/>
      <c r="AQ1352" s="115"/>
      <c r="AR1352" s="115"/>
      <c r="AS1352" s="115"/>
      <c r="AT1352" s="115"/>
      <c r="AU1352" s="115"/>
      <c r="AV1352" s="115"/>
      <c r="AW1352" s="115"/>
      <c r="AX1352" s="115"/>
      <c r="AY1352" s="115"/>
      <c r="AZ1352" s="115"/>
      <c r="BA1352" s="115"/>
      <c r="BB1352" s="115"/>
      <c r="BC1352" s="115"/>
      <c r="BD1352" s="115"/>
      <c r="BE1352" s="115"/>
      <c r="BF1352" s="115"/>
      <c r="BG1352" s="115"/>
      <c r="BH1352" s="115"/>
      <c r="BI1352" s="115"/>
      <c r="BJ1352" s="115"/>
      <c r="BK1352" s="115"/>
      <c r="BL1352" s="115"/>
      <c r="BM1352" s="115"/>
      <c r="BN1352" s="115"/>
      <c r="BO1352" s="115"/>
      <c r="BP1352" s="115"/>
    </row>
    <row r="1353" spans="1:68" ht="20.100000000000001" customHeight="1">
      <c r="A1353" s="1228" t="s">
        <v>4536</v>
      </c>
      <c r="B1353" s="1228" t="s">
        <v>4535</v>
      </c>
      <c r="C1353" s="1228" t="s">
        <v>4534</v>
      </c>
      <c r="D1353" s="196">
        <f>D72+350</f>
        <v>1130</v>
      </c>
      <c r="E1353" s="196">
        <f>E72+400</f>
        <v>1857</v>
      </c>
      <c r="F1353" s="196">
        <f>F72+400</f>
        <v>1857</v>
      </c>
      <c r="G1353" s="225" t="s">
        <v>4569</v>
      </c>
      <c r="H1353" s="69" t="s">
        <v>4568</v>
      </c>
      <c r="I1353" s="38" t="s">
        <v>4540</v>
      </c>
      <c r="J1353" s="30"/>
      <c r="K1353" s="38" t="s">
        <v>4546</v>
      </c>
      <c r="L1353" s="116" t="s">
        <v>4539</v>
      </c>
      <c r="M1353" s="6">
        <v>43074</v>
      </c>
      <c r="N1353" s="6">
        <v>43084</v>
      </c>
      <c r="O1353" s="61" t="s">
        <v>4567</v>
      </c>
      <c r="P1353" s="61"/>
      <c r="Q1353" s="61"/>
      <c r="R1353" s="239"/>
      <c r="S1353" s="328" t="s">
        <v>4543</v>
      </c>
      <c r="T1353" s="722"/>
      <c r="U1353" s="42"/>
      <c r="AE1353" s="231"/>
      <c r="AF1353" s="231"/>
      <c r="AG1353" s="231"/>
      <c r="AH1353" s="231"/>
      <c r="AI1353" s="231"/>
      <c r="AJ1353" s="231"/>
      <c r="AK1353" s="231"/>
      <c r="AL1353" s="231"/>
      <c r="AM1353" s="231"/>
      <c r="AN1353" s="231"/>
      <c r="AO1353" s="231"/>
      <c r="AP1353" s="231"/>
      <c r="AQ1353" s="231"/>
      <c r="AR1353" s="231"/>
      <c r="AS1353" s="231"/>
      <c r="AT1353" s="231"/>
      <c r="AU1353" s="231"/>
      <c r="AV1353" s="231"/>
      <c r="AW1353" s="231"/>
      <c r="AX1353" s="231"/>
      <c r="AY1353" s="231"/>
      <c r="AZ1353" s="231"/>
      <c r="BA1353" s="231"/>
      <c r="BB1353" s="231"/>
      <c r="BC1353" s="231"/>
      <c r="BD1353" s="231"/>
      <c r="BE1353" s="231"/>
      <c r="BF1353" s="231"/>
      <c r="BG1353" s="231"/>
      <c r="BH1353" s="231"/>
      <c r="BI1353" s="231"/>
      <c r="BJ1353" s="231"/>
      <c r="BK1353" s="231"/>
      <c r="BL1353" s="231"/>
      <c r="BM1353" s="231"/>
      <c r="BN1353" s="231"/>
      <c r="BO1353" s="231"/>
      <c r="BP1353" s="231"/>
    </row>
    <row r="1354" spans="1:68" ht="20.100000000000001" customHeight="1">
      <c r="A1354" s="1228" t="s">
        <v>4536</v>
      </c>
      <c r="B1354" s="1228" t="s">
        <v>4535</v>
      </c>
      <c r="C1354" s="1228" t="s">
        <v>4534</v>
      </c>
      <c r="D1354" s="273">
        <f>D226+300+25</f>
        <v>850</v>
      </c>
      <c r="E1354" s="273">
        <f>E226+450+50</f>
        <v>1450</v>
      </c>
      <c r="F1354" s="273">
        <f>F226+450+50</f>
        <v>1500</v>
      </c>
      <c r="G1354" s="110" t="s">
        <v>4566</v>
      </c>
      <c r="H1354" s="69" t="s">
        <v>4565</v>
      </c>
      <c r="I1354" s="38" t="s">
        <v>4564</v>
      </c>
      <c r="J1354" s="30"/>
      <c r="K1354" s="38"/>
      <c r="L1354" s="116" t="s">
        <v>4539</v>
      </c>
      <c r="M1354" s="15">
        <v>43073</v>
      </c>
      <c r="N1354" s="15">
        <v>43100</v>
      </c>
      <c r="O1354" s="59" t="s">
        <v>4563</v>
      </c>
      <c r="P1354" s="61"/>
      <c r="Q1354" s="7"/>
      <c r="R1354" s="21" t="s">
        <v>4562</v>
      </c>
      <c r="S1354" s="327" t="s">
        <v>4561</v>
      </c>
      <c r="T1354" s="722"/>
      <c r="U1354" s="42"/>
      <c r="AE1354" s="283"/>
      <c r="AF1354" s="283"/>
      <c r="AG1354" s="283"/>
      <c r="AH1354" s="283"/>
      <c r="AI1354" s="283"/>
      <c r="AJ1354" s="283"/>
      <c r="AK1354" s="283"/>
      <c r="AL1354" s="283"/>
      <c r="AM1354" s="283"/>
      <c r="AN1354" s="283"/>
      <c r="AO1354" s="283"/>
      <c r="AP1354" s="283"/>
      <c r="AQ1354" s="283"/>
      <c r="AR1354" s="283"/>
      <c r="AS1354" s="283"/>
      <c r="AT1354" s="283"/>
      <c r="AU1354" s="283"/>
      <c r="AV1354" s="283"/>
      <c r="AW1354" s="283"/>
      <c r="AX1354" s="283"/>
      <c r="AY1354" s="283"/>
      <c r="AZ1354" s="283"/>
      <c r="BA1354" s="283"/>
      <c r="BB1354" s="283"/>
      <c r="BC1354" s="283"/>
      <c r="BD1354" s="283"/>
      <c r="BE1354" s="283"/>
      <c r="BF1354" s="283"/>
      <c r="BG1354" s="283"/>
      <c r="BH1354" s="283"/>
      <c r="BI1354" s="283"/>
      <c r="BJ1354" s="283"/>
      <c r="BK1354" s="283"/>
      <c r="BL1354" s="283"/>
      <c r="BM1354" s="283"/>
      <c r="BN1354" s="283"/>
      <c r="BO1354" s="283"/>
      <c r="BP1354" s="283"/>
    </row>
    <row r="1355" spans="1:68" ht="20.100000000000001" customHeight="1">
      <c r="A1355" s="1228" t="s">
        <v>4536</v>
      </c>
      <c r="B1355" s="1228" t="s">
        <v>4535</v>
      </c>
      <c r="C1355" s="1228" t="s">
        <v>4534</v>
      </c>
      <c r="D1355" s="195">
        <f>D90+500</f>
        <v>1265</v>
      </c>
      <c r="E1355" s="195">
        <f>E90+600</f>
        <v>2030</v>
      </c>
      <c r="F1355" s="195">
        <f>F90+600</f>
        <v>2080</v>
      </c>
      <c r="G1355" s="110" t="s">
        <v>4560</v>
      </c>
      <c r="H1355" s="48" t="s">
        <v>4556</v>
      </c>
      <c r="I1355" s="38" t="s">
        <v>4540</v>
      </c>
      <c r="J1355" s="30"/>
      <c r="K1355" s="38">
        <v>29</v>
      </c>
      <c r="L1355" s="116" t="s">
        <v>4539</v>
      </c>
      <c r="M1355" s="15">
        <v>43084</v>
      </c>
      <c r="N1355" s="15">
        <v>43100</v>
      </c>
      <c r="O1355" s="59" t="s">
        <v>4559</v>
      </c>
      <c r="P1355" s="61"/>
      <c r="Q1355" s="61"/>
      <c r="R1355" s="239"/>
      <c r="S1355" s="336" t="s">
        <v>4558</v>
      </c>
      <c r="T1355" s="722"/>
      <c r="U1355" s="42"/>
      <c r="AE1355" s="115"/>
      <c r="AF1355" s="115"/>
      <c r="AG1355" s="115"/>
      <c r="AH1355" s="115"/>
      <c r="AI1355" s="115"/>
      <c r="AJ1355" s="115"/>
      <c r="AK1355" s="115"/>
      <c r="AL1355" s="115"/>
      <c r="AM1355" s="115"/>
      <c r="AN1355" s="115"/>
      <c r="AO1355" s="115"/>
      <c r="AP1355" s="115"/>
      <c r="AQ1355" s="115"/>
      <c r="AR1355" s="115"/>
      <c r="AS1355" s="115"/>
      <c r="AT1355" s="115"/>
      <c r="AU1355" s="115"/>
      <c r="AV1355" s="115"/>
      <c r="AW1355" s="115"/>
      <c r="AX1355" s="115"/>
      <c r="AY1355" s="115"/>
      <c r="AZ1355" s="115"/>
      <c r="BA1355" s="115"/>
      <c r="BB1355" s="115"/>
      <c r="BC1355" s="115"/>
      <c r="BD1355" s="115"/>
      <c r="BE1355" s="115"/>
      <c r="BF1355" s="115"/>
      <c r="BG1355" s="115"/>
      <c r="BH1355" s="115"/>
      <c r="BI1355" s="115"/>
      <c r="BJ1355" s="115"/>
      <c r="BK1355" s="115"/>
      <c r="BL1355" s="115"/>
      <c r="BM1355" s="115"/>
      <c r="BN1355" s="115"/>
      <c r="BO1355" s="115"/>
      <c r="BP1355" s="115"/>
    </row>
    <row r="1356" spans="1:68" ht="20.100000000000001" customHeight="1">
      <c r="A1356" s="1228" t="s">
        <v>4536</v>
      </c>
      <c r="B1356" s="1228" t="s">
        <v>4535</v>
      </c>
      <c r="C1356" s="1228" t="s">
        <v>4534</v>
      </c>
      <c r="D1356" s="195">
        <f>D64+400</f>
        <v>1150</v>
      </c>
      <c r="E1356" s="195">
        <f>E64+400</f>
        <v>1800</v>
      </c>
      <c r="F1356" s="195">
        <f>F64+400</f>
        <v>1800</v>
      </c>
      <c r="G1356" s="217" t="s">
        <v>4557</v>
      </c>
      <c r="H1356" s="69" t="s">
        <v>4556</v>
      </c>
      <c r="I1356" s="38" t="s">
        <v>4540</v>
      </c>
      <c r="J1356" s="30"/>
      <c r="K1356" s="38"/>
      <c r="L1356" s="116" t="s">
        <v>4539</v>
      </c>
      <c r="M1356" s="6">
        <v>43084</v>
      </c>
      <c r="N1356" s="6">
        <v>43100</v>
      </c>
      <c r="O1356" s="61" t="s">
        <v>4555</v>
      </c>
      <c r="P1356" s="61"/>
      <c r="Q1356" s="7"/>
      <c r="R1356" s="239" t="s">
        <v>4554</v>
      </c>
      <c r="S1356" s="326" t="s">
        <v>4543</v>
      </c>
      <c r="T1356" s="722"/>
      <c r="U1356" s="42"/>
      <c r="AE1356" s="115"/>
      <c r="AF1356" s="115"/>
      <c r="AG1356" s="115"/>
      <c r="AH1356" s="115"/>
      <c r="AI1356" s="115"/>
      <c r="AJ1356" s="115"/>
      <c r="AK1356" s="115"/>
      <c r="AL1356" s="115"/>
      <c r="AM1356" s="115"/>
      <c r="AN1356" s="115"/>
      <c r="AO1356" s="115"/>
      <c r="AP1356" s="115"/>
      <c r="AQ1356" s="115"/>
      <c r="AR1356" s="115"/>
      <c r="AS1356" s="115"/>
      <c r="AT1356" s="115"/>
      <c r="AU1356" s="115"/>
      <c r="AV1356" s="115"/>
      <c r="AW1356" s="115"/>
      <c r="AX1356" s="115"/>
      <c r="AY1356" s="115"/>
      <c r="AZ1356" s="115"/>
      <c r="BA1356" s="115"/>
      <c r="BB1356" s="115"/>
      <c r="BC1356" s="115"/>
      <c r="BD1356" s="115"/>
      <c r="BE1356" s="115"/>
      <c r="BF1356" s="115"/>
      <c r="BG1356" s="115"/>
      <c r="BH1356" s="115"/>
      <c r="BI1356" s="115"/>
      <c r="BJ1356" s="115"/>
      <c r="BK1356" s="115"/>
      <c r="BL1356" s="115"/>
      <c r="BM1356" s="115"/>
      <c r="BN1356" s="115"/>
      <c r="BO1356" s="115"/>
      <c r="BP1356" s="115"/>
    </row>
    <row r="1357" spans="1:68" ht="20.100000000000001" customHeight="1">
      <c r="A1357" s="1228" t="s">
        <v>4536</v>
      </c>
      <c r="B1357" s="1228" t="s">
        <v>4535</v>
      </c>
      <c r="C1357" s="1228" t="s">
        <v>4534</v>
      </c>
      <c r="D1357" s="195">
        <f>D245+0</f>
        <v>650</v>
      </c>
      <c r="E1357" s="195">
        <f>E245+0</f>
        <v>1300</v>
      </c>
      <c r="F1357" s="195">
        <f>F245+0</f>
        <v>1350</v>
      </c>
      <c r="G1357" s="110" t="s">
        <v>4553</v>
      </c>
      <c r="H1357" s="55" t="s">
        <v>4552</v>
      </c>
      <c r="I1357" s="38" t="s">
        <v>4551</v>
      </c>
      <c r="J1357" s="30"/>
      <c r="K1357" s="38">
        <v>34</v>
      </c>
      <c r="L1357" s="116" t="s">
        <v>4539</v>
      </c>
      <c r="M1357" s="6">
        <v>43085</v>
      </c>
      <c r="N1357" s="6">
        <v>43100</v>
      </c>
      <c r="O1357" s="61" t="s">
        <v>4545</v>
      </c>
      <c r="P1357" s="61"/>
      <c r="Q1357" s="167"/>
      <c r="R1357" s="239" t="s">
        <v>4550</v>
      </c>
      <c r="S1357" s="328" t="s">
        <v>4543</v>
      </c>
      <c r="T1357" s="722"/>
      <c r="U1357" s="42"/>
      <c r="AE1357" s="283"/>
      <c r="AF1357" s="283"/>
      <c r="AG1357" s="283"/>
      <c r="AH1357" s="283"/>
      <c r="AI1357" s="283"/>
      <c r="AJ1357" s="283"/>
      <c r="AK1357" s="283"/>
      <c r="AL1357" s="283"/>
      <c r="AM1357" s="283"/>
      <c r="AN1357" s="283"/>
      <c r="AO1357" s="283"/>
      <c r="AP1357" s="283"/>
      <c r="AQ1357" s="283"/>
      <c r="AR1357" s="283"/>
      <c r="AS1357" s="283"/>
      <c r="AT1357" s="283"/>
      <c r="AU1357" s="283"/>
      <c r="AV1357" s="283"/>
      <c r="AW1357" s="283"/>
      <c r="AX1357" s="283"/>
      <c r="AY1357" s="283"/>
      <c r="AZ1357" s="283"/>
      <c r="BA1357" s="283"/>
      <c r="BB1357" s="283"/>
      <c r="BC1357" s="283"/>
      <c r="BD1357" s="283"/>
      <c r="BE1357" s="283"/>
      <c r="BF1357" s="283"/>
      <c r="BG1357" s="283"/>
      <c r="BH1357" s="283"/>
      <c r="BI1357" s="283"/>
      <c r="BJ1357" s="283"/>
      <c r="BK1357" s="283"/>
      <c r="BL1357" s="283"/>
      <c r="BM1357" s="283"/>
      <c r="BN1357" s="283"/>
      <c r="BO1357" s="283"/>
      <c r="BP1357" s="283"/>
    </row>
    <row r="1358" spans="1:68" ht="20.100000000000001" customHeight="1">
      <c r="A1358" s="1228" t="s">
        <v>4536</v>
      </c>
      <c r="B1358" s="1228" t="s">
        <v>4535</v>
      </c>
      <c r="C1358" s="1228" t="s">
        <v>4534</v>
      </c>
      <c r="D1358" s="885">
        <v>550</v>
      </c>
      <c r="E1358" s="885">
        <v>1000</v>
      </c>
      <c r="F1358" s="885">
        <v>1000</v>
      </c>
      <c r="G1358" s="65" t="s">
        <v>4549</v>
      </c>
      <c r="H1358" s="36" t="s">
        <v>4548</v>
      </c>
      <c r="I1358" s="51" t="s">
        <v>4547</v>
      </c>
      <c r="J1358" s="34"/>
      <c r="K1358" s="20" t="s">
        <v>4546</v>
      </c>
      <c r="L1358" s="118" t="s">
        <v>4539</v>
      </c>
      <c r="M1358" s="6">
        <v>43085</v>
      </c>
      <c r="N1358" s="6">
        <v>43100</v>
      </c>
      <c r="O1358" s="61" t="s">
        <v>4545</v>
      </c>
      <c r="P1358" s="59"/>
      <c r="Q1358" s="167"/>
      <c r="R1358" s="238" t="s">
        <v>4544</v>
      </c>
      <c r="S1358" s="328" t="s">
        <v>4543</v>
      </c>
      <c r="T1358" s="722"/>
      <c r="U1358" s="42"/>
      <c r="AE1358" s="115"/>
      <c r="AF1358" s="115"/>
      <c r="AG1358" s="115"/>
      <c r="AH1358" s="115"/>
      <c r="AI1358" s="115"/>
      <c r="AJ1358" s="115"/>
      <c r="AK1358" s="115"/>
      <c r="AL1358" s="115"/>
      <c r="AM1358" s="115"/>
      <c r="AN1358" s="115"/>
      <c r="AO1358" s="115"/>
      <c r="AP1358" s="115"/>
      <c r="AQ1358" s="115"/>
      <c r="AR1358" s="115"/>
      <c r="AS1358" s="115"/>
      <c r="AT1358" s="115"/>
      <c r="AU1358" s="115"/>
      <c r="AV1358" s="115"/>
      <c r="AW1358" s="115"/>
      <c r="AX1358" s="115"/>
      <c r="AY1358" s="115"/>
      <c r="AZ1358" s="115"/>
      <c r="BA1358" s="115"/>
      <c r="BB1358" s="115"/>
      <c r="BC1358" s="115"/>
      <c r="BD1358" s="115"/>
      <c r="BE1358" s="115"/>
      <c r="BF1358" s="115"/>
      <c r="BG1358" s="115"/>
      <c r="BH1358" s="115"/>
      <c r="BI1358" s="115"/>
      <c r="BJ1358" s="115"/>
      <c r="BK1358" s="115"/>
      <c r="BL1358" s="115"/>
      <c r="BM1358" s="115"/>
      <c r="BN1358" s="115"/>
      <c r="BO1358" s="115"/>
      <c r="BP1358" s="115"/>
    </row>
    <row r="1359" spans="1:68" ht="20.100000000000001" customHeight="1">
      <c r="A1359" s="1228" t="s">
        <v>4536</v>
      </c>
      <c r="B1359" s="1228" t="s">
        <v>4535</v>
      </c>
      <c r="C1359" s="1228" t="s">
        <v>4534</v>
      </c>
      <c r="D1359" s="195">
        <f>D79+575+25</f>
        <v>1375</v>
      </c>
      <c r="E1359" s="195">
        <f>E79+900+50</f>
        <v>2400</v>
      </c>
      <c r="F1359" s="195">
        <f>F79+900+50</f>
        <v>2450</v>
      </c>
      <c r="G1359" s="12" t="s">
        <v>4542</v>
      </c>
      <c r="H1359" s="36" t="s">
        <v>4541</v>
      </c>
      <c r="I1359" s="38" t="s">
        <v>4540</v>
      </c>
      <c r="J1359" s="140"/>
      <c r="K1359" s="38"/>
      <c r="L1359" s="116" t="s">
        <v>4539</v>
      </c>
      <c r="M1359" s="15">
        <v>43084</v>
      </c>
      <c r="N1359" s="15">
        <v>43100</v>
      </c>
      <c r="O1359" s="61" t="s">
        <v>4538</v>
      </c>
      <c r="P1359" s="61"/>
      <c r="Q1359" s="61"/>
      <c r="R1359" s="239"/>
      <c r="S1359" s="326" t="s">
        <v>4537</v>
      </c>
      <c r="T1359" s="722"/>
      <c r="U1359" s="42"/>
      <c r="AE1359" s="115"/>
      <c r="AF1359" s="115"/>
      <c r="AG1359" s="115"/>
      <c r="AH1359" s="115"/>
      <c r="AI1359" s="115"/>
      <c r="AJ1359" s="115"/>
      <c r="AK1359" s="115"/>
      <c r="AL1359" s="115"/>
      <c r="AM1359" s="115"/>
      <c r="AN1359" s="115"/>
      <c r="AO1359" s="115"/>
      <c r="AP1359" s="115"/>
      <c r="AQ1359" s="115"/>
      <c r="AR1359" s="115"/>
      <c r="AS1359" s="115"/>
      <c r="AT1359" s="115"/>
      <c r="AU1359" s="115"/>
      <c r="AV1359" s="115"/>
      <c r="AW1359" s="115"/>
      <c r="AX1359" s="115"/>
      <c r="AY1359" s="115"/>
      <c r="AZ1359" s="115"/>
      <c r="BA1359" s="115"/>
      <c r="BB1359" s="115"/>
      <c r="BC1359" s="115"/>
      <c r="BD1359" s="115"/>
      <c r="BE1359" s="115"/>
      <c r="BF1359" s="115"/>
      <c r="BG1359" s="115"/>
      <c r="BH1359" s="115"/>
      <c r="BI1359" s="115"/>
      <c r="BJ1359" s="115"/>
      <c r="BK1359" s="115"/>
      <c r="BL1359" s="115"/>
      <c r="BM1359" s="115"/>
      <c r="BN1359" s="115"/>
      <c r="BO1359" s="115"/>
      <c r="BP1359" s="115"/>
    </row>
    <row r="1360" spans="1:68" ht="20.100000000000001" customHeight="1">
      <c r="A1360" s="1228" t="s">
        <v>4536</v>
      </c>
      <c r="B1360" s="1228" t="s">
        <v>4535</v>
      </c>
      <c r="C1360" s="1228" t="s">
        <v>4534</v>
      </c>
      <c r="D1360" s="195">
        <f>D65+800</f>
        <v>1600</v>
      </c>
      <c r="E1360" s="195">
        <f>E65+800</f>
        <v>2300</v>
      </c>
      <c r="F1360" s="195">
        <f>F65+800</f>
        <v>2350</v>
      </c>
      <c r="G1360" s="12" t="s">
        <v>28</v>
      </c>
      <c r="H1360" s="56" t="s">
        <v>656</v>
      </c>
      <c r="I1360" s="38" t="s">
        <v>2522</v>
      </c>
      <c r="J1360" s="30"/>
      <c r="K1360" s="38" t="s">
        <v>4058</v>
      </c>
      <c r="L1360" s="116" t="s">
        <v>653</v>
      </c>
      <c r="M1360" s="6">
        <v>43084</v>
      </c>
      <c r="N1360" s="6">
        <v>43100</v>
      </c>
      <c r="O1360" s="61" t="s">
        <v>4057</v>
      </c>
      <c r="P1360" s="61"/>
      <c r="Q1360" s="61"/>
      <c r="R1360" s="239"/>
      <c r="S1360" s="326" t="s">
        <v>3322</v>
      </c>
      <c r="T1360" s="722"/>
      <c r="U1360" s="42"/>
      <c r="AE1360" s="115"/>
      <c r="AF1360" s="115"/>
      <c r="AG1360" s="115"/>
      <c r="AH1360" s="115"/>
      <c r="AI1360" s="115"/>
      <c r="AJ1360" s="115"/>
      <c r="AK1360" s="115"/>
      <c r="AL1360" s="115"/>
      <c r="AM1360" s="115"/>
      <c r="AN1360" s="115"/>
      <c r="AO1360" s="115"/>
      <c r="AP1360" s="115"/>
      <c r="AQ1360" s="115"/>
      <c r="AR1360" s="115"/>
      <c r="AS1360" s="115"/>
      <c r="AT1360" s="115"/>
      <c r="AU1360" s="115"/>
      <c r="AV1360" s="115"/>
      <c r="AW1360" s="115"/>
      <c r="AX1360" s="115"/>
      <c r="AY1360" s="115"/>
      <c r="AZ1360" s="115"/>
      <c r="BA1360" s="115"/>
      <c r="BB1360" s="115"/>
      <c r="BC1360" s="115"/>
      <c r="BD1360" s="115"/>
      <c r="BE1360" s="115"/>
      <c r="BF1360" s="115"/>
      <c r="BG1360" s="115"/>
      <c r="BH1360" s="115"/>
      <c r="BI1360" s="115"/>
      <c r="BJ1360" s="115"/>
      <c r="BK1360" s="115"/>
      <c r="BL1360" s="115"/>
      <c r="BM1360" s="115"/>
      <c r="BN1360" s="115"/>
      <c r="BO1360" s="115"/>
      <c r="BP1360" s="115"/>
    </row>
    <row r="1361" spans="1:68" ht="20.100000000000001" customHeight="1">
      <c r="A1361" s="1228" t="s">
        <v>2273</v>
      </c>
      <c r="B1361" s="1228" t="s">
        <v>3733</v>
      </c>
      <c r="C1361" s="1228" t="s">
        <v>4055</v>
      </c>
      <c r="D1361" s="195">
        <f>D266+277*1.2</f>
        <v>1057.4000000000001</v>
      </c>
      <c r="E1361" s="195">
        <f>E266+277*1.2</f>
        <v>1682.4</v>
      </c>
      <c r="F1361" s="195">
        <f>F266+277*1.2</f>
        <v>1732.4</v>
      </c>
      <c r="G1361" s="217" t="s">
        <v>51</v>
      </c>
      <c r="H1361" s="55" t="s">
        <v>721</v>
      </c>
      <c r="I1361" s="10" t="s">
        <v>3293</v>
      </c>
      <c r="J1361" s="37" t="s">
        <v>4056</v>
      </c>
      <c r="K1361" s="38"/>
      <c r="L1361" s="116" t="s">
        <v>653</v>
      </c>
      <c r="M1361" s="15">
        <v>43084</v>
      </c>
      <c r="N1361" s="15">
        <v>43100</v>
      </c>
      <c r="O1361" s="61" t="s">
        <v>3292</v>
      </c>
      <c r="P1361" s="71"/>
      <c r="Q1361" s="61" t="s">
        <v>100</v>
      </c>
      <c r="R1361" s="239" t="s">
        <v>2573</v>
      </c>
      <c r="S1361" s="327" t="s">
        <v>3297</v>
      </c>
      <c r="T1361" s="722"/>
      <c r="U1361" s="42"/>
      <c r="AE1361" s="115"/>
      <c r="AF1361" s="115"/>
      <c r="AG1361" s="115"/>
      <c r="AH1361" s="115"/>
      <c r="AI1361" s="115"/>
      <c r="AJ1361" s="115"/>
      <c r="AK1361" s="115"/>
      <c r="AL1361" s="115"/>
      <c r="AM1361" s="115"/>
      <c r="AN1361" s="115"/>
      <c r="AO1361" s="115"/>
      <c r="AP1361" s="115"/>
      <c r="AQ1361" s="115"/>
      <c r="AR1361" s="115"/>
      <c r="AS1361" s="115"/>
      <c r="AT1361" s="115"/>
      <c r="AU1361" s="115"/>
      <c r="AV1361" s="115"/>
      <c r="AW1361" s="115"/>
      <c r="AX1361" s="115"/>
      <c r="AY1361" s="115"/>
      <c r="AZ1361" s="115"/>
      <c r="BA1361" s="115"/>
      <c r="BB1361" s="115"/>
      <c r="BC1361" s="115"/>
      <c r="BD1361" s="115"/>
      <c r="BE1361" s="115"/>
      <c r="BF1361" s="115"/>
      <c r="BG1361" s="115"/>
      <c r="BH1361" s="115"/>
      <c r="BI1361" s="115"/>
      <c r="BJ1361" s="115"/>
      <c r="BK1361" s="115"/>
      <c r="BL1361" s="115"/>
      <c r="BM1361" s="115"/>
      <c r="BN1361" s="115"/>
      <c r="BO1361" s="115"/>
      <c r="BP1361" s="115"/>
    </row>
    <row r="1362" spans="1:68" ht="20.100000000000001" customHeight="1">
      <c r="A1362" s="1228" t="s">
        <v>2273</v>
      </c>
      <c r="B1362" s="1228" t="s">
        <v>3733</v>
      </c>
      <c r="C1362" s="1228" t="s">
        <v>4055</v>
      </c>
      <c r="D1362" s="273">
        <f>D247+350+25</f>
        <v>900</v>
      </c>
      <c r="E1362" s="273">
        <f>E247+500+50</f>
        <v>1500</v>
      </c>
      <c r="F1362" s="273">
        <f>F247+500+50</f>
        <v>1550</v>
      </c>
      <c r="G1362" s="110" t="s">
        <v>19</v>
      </c>
      <c r="H1362" s="56" t="s">
        <v>725</v>
      </c>
      <c r="I1362" s="38" t="s">
        <v>3732</v>
      </c>
      <c r="J1362" s="30"/>
      <c r="K1362" s="38"/>
      <c r="L1362" s="116" t="s">
        <v>653</v>
      </c>
      <c r="M1362" s="15">
        <v>43073</v>
      </c>
      <c r="N1362" s="15">
        <v>43100</v>
      </c>
      <c r="O1362" s="59" t="s">
        <v>2440</v>
      </c>
      <c r="P1362" s="61"/>
      <c r="Q1362" s="167"/>
      <c r="R1362" s="21" t="s">
        <v>3737</v>
      </c>
      <c r="S1362" s="327" t="s">
        <v>3423</v>
      </c>
      <c r="T1362" s="722"/>
      <c r="U1362" s="42"/>
      <c r="AE1362" s="115"/>
      <c r="AF1362" s="115"/>
      <c r="AG1362" s="115"/>
      <c r="AH1362" s="115"/>
      <c r="AI1362" s="115"/>
      <c r="AJ1362" s="115"/>
      <c r="AK1362" s="115"/>
      <c r="AL1362" s="115"/>
      <c r="AM1362" s="115"/>
      <c r="AN1362" s="115"/>
      <c r="AO1362" s="115"/>
      <c r="AP1362" s="115"/>
      <c r="AQ1362" s="115"/>
      <c r="AR1362" s="115"/>
      <c r="AS1362" s="115"/>
      <c r="AT1362" s="115"/>
      <c r="AU1362" s="115"/>
      <c r="AV1362" s="115"/>
      <c r="AW1362" s="115"/>
      <c r="AX1362" s="115"/>
      <c r="AY1362" s="115"/>
      <c r="AZ1362" s="115"/>
      <c r="BA1362" s="115"/>
      <c r="BB1362" s="115"/>
      <c r="BC1362" s="115"/>
      <c r="BD1362" s="115"/>
      <c r="BE1362" s="115"/>
      <c r="BF1362" s="115"/>
      <c r="BG1362" s="115"/>
      <c r="BH1362" s="115"/>
      <c r="BI1362" s="115"/>
      <c r="BJ1362" s="115"/>
      <c r="BK1362" s="115"/>
      <c r="BL1362" s="115"/>
      <c r="BM1362" s="115"/>
      <c r="BN1362" s="115"/>
      <c r="BO1362" s="115"/>
      <c r="BP1362" s="115"/>
    </row>
    <row r="1363" spans="1:68" ht="20.100000000000001" customHeight="1">
      <c r="A1363" s="1228" t="s">
        <v>2273</v>
      </c>
      <c r="B1363" s="1228" t="s">
        <v>3733</v>
      </c>
      <c r="C1363" s="1228" t="s">
        <v>4055</v>
      </c>
      <c r="D1363" s="198">
        <f>D219+0</f>
        <v>650</v>
      </c>
      <c r="E1363" s="198">
        <f>E219+0</f>
        <v>1300</v>
      </c>
      <c r="F1363" s="198">
        <f>F219+0</f>
        <v>1350</v>
      </c>
      <c r="G1363" s="110" t="s">
        <v>31</v>
      </c>
      <c r="H1363" s="56" t="s">
        <v>631</v>
      </c>
      <c r="I1363" s="38" t="s">
        <v>3304</v>
      </c>
      <c r="J1363" s="37"/>
      <c r="K1363" s="38">
        <v>31</v>
      </c>
      <c r="L1363" s="116" t="s">
        <v>653</v>
      </c>
      <c r="M1363" s="6">
        <v>43085</v>
      </c>
      <c r="N1363" s="6">
        <v>43100</v>
      </c>
      <c r="O1363" s="61" t="s">
        <v>3292</v>
      </c>
      <c r="P1363" s="61"/>
      <c r="Q1363" s="61"/>
      <c r="R1363" s="239" t="s">
        <v>3729</v>
      </c>
      <c r="S1363" s="328" t="s">
        <v>1176</v>
      </c>
      <c r="T1363" s="722"/>
      <c r="U1363" s="42"/>
      <c r="AE1363" s="115"/>
      <c r="AF1363" s="115"/>
      <c r="AG1363" s="115"/>
      <c r="AH1363" s="115"/>
      <c r="AI1363" s="115"/>
      <c r="AJ1363" s="115"/>
      <c r="AK1363" s="115"/>
      <c r="AL1363" s="115"/>
      <c r="AM1363" s="115"/>
      <c r="AN1363" s="115"/>
      <c r="AO1363" s="115"/>
      <c r="AP1363" s="115"/>
      <c r="AQ1363" s="115"/>
      <c r="AR1363" s="115"/>
      <c r="AS1363" s="115"/>
      <c r="AT1363" s="115"/>
      <c r="AU1363" s="115"/>
      <c r="AV1363" s="115"/>
      <c r="AW1363" s="115"/>
      <c r="AX1363" s="115"/>
      <c r="AY1363" s="115"/>
      <c r="AZ1363" s="115"/>
      <c r="BA1363" s="115"/>
      <c r="BB1363" s="115"/>
      <c r="BC1363" s="115"/>
      <c r="BD1363" s="115"/>
      <c r="BE1363" s="115"/>
      <c r="BF1363" s="115"/>
      <c r="BG1363" s="115"/>
      <c r="BH1363" s="115"/>
      <c r="BI1363" s="115"/>
      <c r="BJ1363" s="115"/>
      <c r="BK1363" s="115"/>
      <c r="BL1363" s="115"/>
      <c r="BM1363" s="115"/>
      <c r="BN1363" s="115"/>
      <c r="BO1363" s="115"/>
      <c r="BP1363" s="115"/>
    </row>
    <row r="1364" spans="1:68" ht="20.100000000000001" customHeight="1">
      <c r="A1364" s="1228" t="s">
        <v>3919</v>
      </c>
      <c r="B1364" s="1228" t="s">
        <v>3733</v>
      </c>
      <c r="C1364" s="1228" t="s">
        <v>4053</v>
      </c>
      <c r="D1364" s="198">
        <f>D240+566*1.2</f>
        <v>1404.1999999999998</v>
      </c>
      <c r="E1364" s="198">
        <f>E240+566*1.2</f>
        <v>2029.1999999999998</v>
      </c>
      <c r="F1364" s="198">
        <f>F240+566*1.2</f>
        <v>2079.1999999999998</v>
      </c>
      <c r="G1364" s="217" t="s">
        <v>51</v>
      </c>
      <c r="H1364" s="55" t="s">
        <v>633</v>
      </c>
      <c r="I1364" s="38" t="s">
        <v>3304</v>
      </c>
      <c r="J1364" s="30" t="s">
        <v>4054</v>
      </c>
      <c r="K1364" s="38"/>
      <c r="L1364" s="116" t="s">
        <v>653</v>
      </c>
      <c r="M1364" s="15">
        <v>43084</v>
      </c>
      <c r="N1364" s="15">
        <v>43100</v>
      </c>
      <c r="O1364" s="61" t="s">
        <v>3292</v>
      </c>
      <c r="P1364" s="61"/>
      <c r="Q1364" s="61" t="s">
        <v>100</v>
      </c>
      <c r="R1364" s="238" t="s">
        <v>4020</v>
      </c>
      <c r="S1364" s="327" t="s">
        <v>3297</v>
      </c>
      <c r="T1364" s="722"/>
      <c r="U1364" s="42"/>
      <c r="AE1364" s="115"/>
      <c r="AF1364" s="115"/>
      <c r="AG1364" s="115"/>
      <c r="AH1364" s="115"/>
      <c r="AI1364" s="115"/>
      <c r="AJ1364" s="115"/>
      <c r="AK1364" s="115"/>
      <c r="AL1364" s="115"/>
      <c r="AM1364" s="115"/>
      <c r="AN1364" s="115"/>
      <c r="AO1364" s="115"/>
      <c r="AP1364" s="115"/>
      <c r="AQ1364" s="115"/>
      <c r="AR1364" s="115"/>
      <c r="AS1364" s="115"/>
      <c r="AT1364" s="115"/>
      <c r="AU1364" s="115"/>
      <c r="AV1364" s="115"/>
      <c r="AW1364" s="115"/>
      <c r="AX1364" s="115"/>
      <c r="AY1364" s="115"/>
      <c r="AZ1364" s="115"/>
      <c r="BA1364" s="115"/>
      <c r="BB1364" s="115"/>
      <c r="BC1364" s="115"/>
      <c r="BD1364" s="115"/>
      <c r="BE1364" s="115"/>
      <c r="BF1364" s="115"/>
      <c r="BG1364" s="115"/>
      <c r="BH1364" s="115"/>
      <c r="BI1364" s="115"/>
      <c r="BJ1364" s="115"/>
      <c r="BK1364" s="115"/>
      <c r="BL1364" s="115"/>
      <c r="BM1364" s="115"/>
      <c r="BN1364" s="115"/>
      <c r="BO1364" s="115"/>
      <c r="BP1364" s="115"/>
    </row>
    <row r="1365" spans="1:68" ht="20.100000000000001" customHeight="1">
      <c r="A1365" s="1228" t="s">
        <v>3919</v>
      </c>
      <c r="B1365" s="1228" t="s">
        <v>3733</v>
      </c>
      <c r="C1365" s="1228" t="s">
        <v>4053</v>
      </c>
      <c r="D1365" s="198">
        <f>D219+120</f>
        <v>770</v>
      </c>
      <c r="E1365" s="198">
        <f>E219+120</f>
        <v>1420</v>
      </c>
      <c r="F1365" s="198">
        <f>F219+120</f>
        <v>1470</v>
      </c>
      <c r="G1365" s="110" t="s">
        <v>31</v>
      </c>
      <c r="H1365" s="56" t="s">
        <v>631</v>
      </c>
      <c r="I1365" s="38" t="s">
        <v>3304</v>
      </c>
      <c r="J1365" s="37"/>
      <c r="K1365" s="38">
        <v>30</v>
      </c>
      <c r="L1365" s="116" t="s">
        <v>653</v>
      </c>
      <c r="M1365" s="6">
        <v>43085</v>
      </c>
      <c r="N1365" s="6">
        <v>43100</v>
      </c>
      <c r="O1365" s="61" t="s">
        <v>3292</v>
      </c>
      <c r="P1365" s="61"/>
      <c r="Q1365" s="61"/>
      <c r="R1365" s="239" t="s">
        <v>3729</v>
      </c>
      <c r="S1365" s="328" t="s">
        <v>1176</v>
      </c>
      <c r="T1365" s="722"/>
      <c r="U1365" s="42"/>
      <c r="AE1365" s="115"/>
      <c r="AF1365" s="115"/>
      <c r="AG1365" s="115"/>
      <c r="AH1365" s="115"/>
      <c r="AI1365" s="115"/>
      <c r="AJ1365" s="115"/>
      <c r="AK1365" s="115"/>
      <c r="AL1365" s="115"/>
      <c r="AM1365" s="115"/>
      <c r="AN1365" s="115"/>
      <c r="AO1365" s="115"/>
      <c r="AP1365" s="115"/>
      <c r="AQ1365" s="115"/>
      <c r="AR1365" s="115"/>
      <c r="AS1365" s="115"/>
      <c r="AT1365" s="115"/>
      <c r="AU1365" s="115"/>
      <c r="AV1365" s="115"/>
      <c r="AW1365" s="115"/>
      <c r="AX1365" s="115"/>
      <c r="AY1365" s="115"/>
      <c r="AZ1365" s="115"/>
      <c r="BA1365" s="115"/>
      <c r="BB1365" s="115"/>
      <c r="BC1365" s="115"/>
      <c r="BD1365" s="115"/>
      <c r="BE1365" s="115"/>
      <c r="BF1365" s="115"/>
      <c r="BG1365" s="115"/>
      <c r="BH1365" s="115"/>
      <c r="BI1365" s="115"/>
      <c r="BJ1365" s="115"/>
      <c r="BK1365" s="115"/>
      <c r="BL1365" s="115"/>
      <c r="BM1365" s="115"/>
      <c r="BN1365" s="115"/>
      <c r="BO1365" s="115"/>
      <c r="BP1365" s="115"/>
    </row>
    <row r="1366" spans="1:68" ht="20.100000000000001" customHeight="1">
      <c r="A1366" s="1228" t="s">
        <v>3919</v>
      </c>
      <c r="B1366" s="1228" t="s">
        <v>3733</v>
      </c>
      <c r="C1366" s="1228" t="s">
        <v>4053</v>
      </c>
      <c r="D1366" s="247">
        <v>750</v>
      </c>
      <c r="E1366" s="247">
        <v>1200</v>
      </c>
      <c r="F1366" s="247">
        <v>1200</v>
      </c>
      <c r="G1366" s="65" t="s">
        <v>18</v>
      </c>
      <c r="H1366" s="36" t="s">
        <v>721</v>
      </c>
      <c r="I1366" s="51" t="s">
        <v>3293</v>
      </c>
      <c r="J1366" s="34"/>
      <c r="K1366" s="20" t="s">
        <v>970</v>
      </c>
      <c r="L1366" s="118" t="s">
        <v>653</v>
      </c>
      <c r="M1366" s="6">
        <v>43070</v>
      </c>
      <c r="N1366" s="6">
        <v>43100</v>
      </c>
      <c r="O1366" s="61" t="s">
        <v>3292</v>
      </c>
      <c r="P1366" s="59"/>
      <c r="Q1366" s="167"/>
      <c r="R1366" s="238" t="s">
        <v>3306</v>
      </c>
      <c r="S1366" s="328" t="s">
        <v>1176</v>
      </c>
      <c r="T1366" s="722"/>
      <c r="U1366" s="42"/>
      <c r="AE1366" s="115"/>
      <c r="AF1366" s="115"/>
      <c r="AG1366" s="115"/>
      <c r="AH1366" s="115"/>
      <c r="AI1366" s="115"/>
      <c r="AJ1366" s="115"/>
      <c r="AK1366" s="115"/>
      <c r="AL1366" s="115"/>
      <c r="AM1366" s="115"/>
      <c r="AN1366" s="115"/>
      <c r="AO1366" s="115"/>
      <c r="AP1366" s="115"/>
      <c r="AQ1366" s="115"/>
      <c r="AR1366" s="115"/>
      <c r="AS1366" s="115"/>
      <c r="AT1366" s="115"/>
      <c r="AU1366" s="115"/>
      <c r="AV1366" s="115"/>
      <c r="AW1366" s="115"/>
      <c r="AX1366" s="115"/>
      <c r="AY1366" s="115"/>
      <c r="AZ1366" s="115"/>
      <c r="BA1366" s="115"/>
      <c r="BB1366" s="115"/>
      <c r="BC1366" s="115"/>
      <c r="BD1366" s="115"/>
      <c r="BE1366" s="115"/>
      <c r="BF1366" s="115"/>
      <c r="BG1366" s="115"/>
      <c r="BH1366" s="115"/>
      <c r="BI1366" s="115"/>
      <c r="BJ1366" s="115"/>
      <c r="BK1366" s="115"/>
      <c r="BL1366" s="115"/>
      <c r="BM1366" s="115"/>
      <c r="BN1366" s="115"/>
      <c r="BO1366" s="115"/>
      <c r="BP1366" s="115"/>
    </row>
    <row r="1367" spans="1:68" ht="20.100000000000001" customHeight="1">
      <c r="A1367" s="907" t="s">
        <v>3919</v>
      </c>
      <c r="B1367" s="907" t="s">
        <v>3733</v>
      </c>
      <c r="C1367" s="907" t="s">
        <v>4186</v>
      </c>
      <c r="D1367" s="198">
        <f>D266+645*1.2</f>
        <v>1499</v>
      </c>
      <c r="E1367" s="198">
        <f>E266+850*1.2</f>
        <v>2370</v>
      </c>
      <c r="F1367" s="198">
        <f>F266+850*1.2</f>
        <v>2420</v>
      </c>
      <c r="G1367" s="217" t="s">
        <v>51</v>
      </c>
      <c r="H1367" s="55" t="s">
        <v>721</v>
      </c>
      <c r="I1367" s="10" t="s">
        <v>3293</v>
      </c>
      <c r="J1367" s="37" t="s">
        <v>4052</v>
      </c>
      <c r="K1367" s="38"/>
      <c r="L1367" s="116" t="s">
        <v>653</v>
      </c>
      <c r="M1367" s="15">
        <v>43084</v>
      </c>
      <c r="N1367" s="15">
        <v>43100</v>
      </c>
      <c r="O1367" s="61" t="s">
        <v>3292</v>
      </c>
      <c r="P1367" s="71"/>
      <c r="Q1367" s="61" t="s">
        <v>100</v>
      </c>
      <c r="R1367" s="239" t="s">
        <v>2573</v>
      </c>
      <c r="S1367" s="327" t="s">
        <v>3297</v>
      </c>
      <c r="T1367" s="722"/>
      <c r="U1367" s="42"/>
      <c r="AE1367" s="115"/>
      <c r="AF1367" s="115"/>
      <c r="AG1367" s="115"/>
      <c r="AH1367" s="115"/>
      <c r="AI1367" s="115"/>
      <c r="AJ1367" s="115"/>
      <c r="AK1367" s="115"/>
      <c r="AL1367" s="115"/>
      <c r="AM1367" s="115"/>
      <c r="AN1367" s="115"/>
      <c r="AO1367" s="115"/>
      <c r="AP1367" s="115"/>
      <c r="AQ1367" s="115"/>
      <c r="AR1367" s="115"/>
      <c r="AS1367" s="115"/>
      <c r="AT1367" s="115"/>
      <c r="AU1367" s="115"/>
      <c r="AV1367" s="115"/>
      <c r="AW1367" s="115"/>
      <c r="AX1367" s="115"/>
      <c r="AY1367" s="115"/>
      <c r="AZ1367" s="115"/>
      <c r="BA1367" s="115"/>
      <c r="BB1367" s="115"/>
      <c r="BC1367" s="115"/>
      <c r="BD1367" s="115"/>
      <c r="BE1367" s="115"/>
      <c r="BF1367" s="115"/>
      <c r="BG1367" s="115"/>
      <c r="BH1367" s="115"/>
      <c r="BI1367" s="115"/>
      <c r="BJ1367" s="115"/>
      <c r="BK1367" s="115"/>
      <c r="BL1367" s="115"/>
      <c r="BM1367" s="115"/>
      <c r="BN1367" s="115"/>
      <c r="BO1367" s="115"/>
      <c r="BP1367" s="115"/>
    </row>
    <row r="1368" spans="1:68" ht="20.100000000000001" customHeight="1">
      <c r="A1368" s="907" t="s">
        <v>3919</v>
      </c>
      <c r="B1368" s="907" t="s">
        <v>3733</v>
      </c>
      <c r="C1368" s="907" t="s">
        <v>4051</v>
      </c>
      <c r="D1368" s="247"/>
      <c r="E1368" s="247"/>
      <c r="F1368" s="247"/>
      <c r="G1368" s="217" t="s">
        <v>5</v>
      </c>
      <c r="H1368" s="22" t="s">
        <v>729</v>
      </c>
      <c r="I1368" s="10" t="s">
        <v>3732</v>
      </c>
      <c r="J1368" s="37"/>
      <c r="K1368" s="38">
        <v>40</v>
      </c>
      <c r="L1368" s="116" t="s">
        <v>653</v>
      </c>
      <c r="M1368" s="15">
        <v>43054</v>
      </c>
      <c r="N1368" s="15">
        <v>43076</v>
      </c>
      <c r="O1368" s="61" t="s">
        <v>3292</v>
      </c>
      <c r="P1368" s="61"/>
      <c r="Q1368" s="167"/>
      <c r="R1368" s="238" t="s">
        <v>2568</v>
      </c>
      <c r="S1368" s="327" t="s">
        <v>3303</v>
      </c>
      <c r="T1368" s="722"/>
      <c r="U1368" s="42"/>
      <c r="AE1368" s="115"/>
      <c r="AF1368" s="115"/>
      <c r="AG1368" s="115"/>
      <c r="AH1368" s="115"/>
      <c r="AI1368" s="115"/>
      <c r="AJ1368" s="115"/>
      <c r="AK1368" s="115"/>
      <c r="AL1368" s="115"/>
      <c r="AM1368" s="115"/>
      <c r="AN1368" s="115"/>
      <c r="AO1368" s="115"/>
      <c r="AP1368" s="115"/>
      <c r="AQ1368" s="115"/>
      <c r="AR1368" s="115"/>
      <c r="AS1368" s="115"/>
      <c r="AT1368" s="115"/>
      <c r="AU1368" s="115"/>
      <c r="AV1368" s="115"/>
      <c r="AW1368" s="115"/>
      <c r="AX1368" s="115"/>
      <c r="AY1368" s="115"/>
      <c r="AZ1368" s="115"/>
      <c r="BA1368" s="115"/>
      <c r="BB1368" s="115"/>
      <c r="BC1368" s="115"/>
      <c r="BD1368" s="115"/>
      <c r="BE1368" s="115"/>
      <c r="BF1368" s="115"/>
      <c r="BG1368" s="115"/>
      <c r="BH1368" s="115"/>
      <c r="BI1368" s="115"/>
      <c r="BJ1368" s="115"/>
      <c r="BK1368" s="115"/>
      <c r="BL1368" s="115"/>
      <c r="BM1368" s="115"/>
      <c r="BN1368" s="115"/>
      <c r="BO1368" s="115"/>
      <c r="BP1368" s="115"/>
    </row>
    <row r="1369" spans="1:68" ht="20.100000000000001" customHeight="1">
      <c r="A1369" s="907" t="s">
        <v>2273</v>
      </c>
      <c r="B1369" s="907" t="s">
        <v>3733</v>
      </c>
      <c r="C1369" s="907" t="s">
        <v>4050</v>
      </c>
      <c r="D1369" s="198">
        <f>D240+1050</f>
        <v>1775</v>
      </c>
      <c r="E1369" s="198">
        <f>E240+1500</f>
        <v>2850</v>
      </c>
      <c r="F1369" s="198">
        <f>F240+1500</f>
        <v>2900</v>
      </c>
      <c r="G1369" s="217" t="s">
        <v>51</v>
      </c>
      <c r="H1369" s="245" t="s">
        <v>729</v>
      </c>
      <c r="I1369" s="10" t="s">
        <v>3732</v>
      </c>
      <c r="J1369" s="37"/>
      <c r="K1369" s="38"/>
      <c r="L1369" s="116" t="s">
        <v>653</v>
      </c>
      <c r="M1369" s="15">
        <v>43084</v>
      </c>
      <c r="N1369" s="15">
        <v>43100</v>
      </c>
      <c r="O1369" s="61" t="s">
        <v>3292</v>
      </c>
      <c r="P1369" s="61"/>
      <c r="Q1369" s="167"/>
      <c r="R1369" s="239" t="s">
        <v>3731</v>
      </c>
      <c r="S1369" s="327" t="s">
        <v>3297</v>
      </c>
      <c r="T1369" s="722"/>
      <c r="U1369" s="42"/>
      <c r="AE1369" s="115"/>
      <c r="AF1369" s="115"/>
      <c r="AG1369" s="115"/>
      <c r="AH1369" s="115"/>
      <c r="AI1369" s="115"/>
      <c r="AJ1369" s="115"/>
      <c r="AK1369" s="115"/>
      <c r="AL1369" s="115"/>
      <c r="AM1369" s="115"/>
      <c r="AN1369" s="115"/>
      <c r="AO1369" s="115"/>
      <c r="AP1369" s="115"/>
      <c r="AQ1369" s="115"/>
      <c r="AR1369" s="115"/>
      <c r="AS1369" s="115"/>
      <c r="AT1369" s="115"/>
      <c r="AU1369" s="115"/>
      <c r="AV1369" s="115"/>
      <c r="AW1369" s="115"/>
      <c r="AX1369" s="115"/>
      <c r="AY1369" s="115"/>
      <c r="AZ1369" s="115"/>
      <c r="BA1369" s="115"/>
      <c r="BB1369" s="115"/>
      <c r="BC1369" s="115"/>
      <c r="BD1369" s="115"/>
      <c r="BE1369" s="115"/>
      <c r="BF1369" s="115"/>
      <c r="BG1369" s="115"/>
      <c r="BH1369" s="115"/>
      <c r="BI1369" s="115"/>
      <c r="BJ1369" s="115"/>
      <c r="BK1369" s="115"/>
      <c r="BL1369" s="115"/>
      <c r="BM1369" s="115"/>
      <c r="BN1369" s="115"/>
      <c r="BO1369" s="115"/>
      <c r="BP1369" s="115"/>
    </row>
    <row r="1370" spans="1:68" ht="20.100000000000001" customHeight="1">
      <c r="A1370" s="1229" t="s">
        <v>2817</v>
      </c>
      <c r="B1370" s="1229" t="s">
        <v>3733</v>
      </c>
      <c r="C1370" s="1229" t="s">
        <v>4049</v>
      </c>
      <c r="D1370" s="345">
        <f>D77+200+25</f>
        <v>1075</v>
      </c>
      <c r="E1370" s="345">
        <f>E77+350+50</f>
        <v>2000</v>
      </c>
      <c r="F1370" s="345">
        <f>F77+350+50</f>
        <v>2050</v>
      </c>
      <c r="G1370" s="217" t="s">
        <v>5</v>
      </c>
      <c r="H1370" s="56" t="s">
        <v>2523</v>
      </c>
      <c r="I1370" s="10" t="s">
        <v>2522</v>
      </c>
      <c r="J1370" s="30"/>
      <c r="K1370" s="38"/>
      <c r="L1370" s="116" t="s">
        <v>653</v>
      </c>
      <c r="M1370" s="15">
        <v>43070</v>
      </c>
      <c r="N1370" s="15">
        <v>43100</v>
      </c>
      <c r="O1370" s="59" t="s">
        <v>3705</v>
      </c>
      <c r="P1370" s="61"/>
      <c r="Q1370" s="7"/>
      <c r="R1370" s="239"/>
      <c r="S1370" s="327" t="s">
        <v>3303</v>
      </c>
      <c r="T1370" s="722"/>
      <c r="U1370" s="42"/>
      <c r="AE1370" s="213"/>
      <c r="AF1370" s="213"/>
      <c r="AG1370" s="213"/>
      <c r="AH1370" s="213"/>
      <c r="AI1370" s="213"/>
      <c r="AJ1370" s="213"/>
      <c r="AK1370" s="213"/>
      <c r="AL1370" s="213"/>
      <c r="AM1370" s="213"/>
      <c r="AN1370" s="213"/>
      <c r="AO1370" s="213"/>
      <c r="AP1370" s="213"/>
      <c r="AQ1370" s="213"/>
      <c r="AR1370" s="213"/>
      <c r="AS1370" s="213"/>
      <c r="AT1370" s="213"/>
      <c r="AU1370" s="213"/>
      <c r="AV1370" s="213"/>
      <c r="AW1370" s="213"/>
      <c r="AX1370" s="213"/>
      <c r="AY1370" s="213"/>
      <c r="AZ1370" s="213"/>
      <c r="BA1370" s="213"/>
      <c r="BB1370" s="213"/>
      <c r="BC1370" s="213"/>
      <c r="BD1370" s="213"/>
      <c r="BE1370" s="213"/>
      <c r="BF1370" s="213"/>
      <c r="BG1370" s="213"/>
      <c r="BH1370" s="213"/>
      <c r="BI1370" s="213"/>
      <c r="BJ1370" s="213"/>
      <c r="BK1370" s="213"/>
      <c r="BL1370" s="213"/>
      <c r="BM1370" s="213"/>
      <c r="BN1370" s="213"/>
      <c r="BO1370" s="213"/>
      <c r="BP1370" s="213"/>
    </row>
    <row r="1371" spans="1:68" ht="20.100000000000001" customHeight="1">
      <c r="A1371" s="1229" t="s">
        <v>2817</v>
      </c>
      <c r="B1371" s="1229" t="s">
        <v>3733</v>
      </c>
      <c r="C1371" s="1229" t="s">
        <v>4049</v>
      </c>
      <c r="D1371" s="273">
        <f>D226+300+25</f>
        <v>850</v>
      </c>
      <c r="E1371" s="273">
        <f>E226+450+50</f>
        <v>1450</v>
      </c>
      <c r="F1371" s="273">
        <f>F226+450+50</f>
        <v>1500</v>
      </c>
      <c r="G1371" s="110" t="s">
        <v>19</v>
      </c>
      <c r="H1371" s="69" t="s">
        <v>656</v>
      </c>
      <c r="I1371" s="38" t="s">
        <v>2522</v>
      </c>
      <c r="J1371" s="30"/>
      <c r="K1371" s="38"/>
      <c r="L1371" s="116" t="s">
        <v>653</v>
      </c>
      <c r="M1371" s="15">
        <v>43073</v>
      </c>
      <c r="N1371" s="15">
        <v>43100</v>
      </c>
      <c r="O1371" s="59" t="s">
        <v>2440</v>
      </c>
      <c r="P1371" s="61"/>
      <c r="Q1371" s="7"/>
      <c r="R1371" s="239"/>
      <c r="S1371" s="327" t="s">
        <v>3423</v>
      </c>
      <c r="T1371" s="722"/>
      <c r="U1371" s="42"/>
      <c r="AE1371" s="115"/>
      <c r="AF1371" s="115"/>
      <c r="AG1371" s="115"/>
      <c r="AH1371" s="115"/>
      <c r="AI1371" s="115"/>
      <c r="AJ1371" s="115"/>
      <c r="AK1371" s="115"/>
      <c r="AL1371" s="115"/>
      <c r="AM1371" s="115"/>
      <c r="AN1371" s="115"/>
      <c r="AO1371" s="115"/>
      <c r="AP1371" s="115"/>
      <c r="AQ1371" s="115"/>
      <c r="AR1371" s="115"/>
      <c r="AS1371" s="115"/>
      <c r="AT1371" s="115"/>
      <c r="AU1371" s="115"/>
      <c r="AV1371" s="115"/>
      <c r="AW1371" s="115"/>
      <c r="AX1371" s="115"/>
      <c r="AY1371" s="115"/>
      <c r="AZ1371" s="115"/>
      <c r="BA1371" s="115"/>
      <c r="BB1371" s="115"/>
      <c r="BC1371" s="115"/>
      <c r="BD1371" s="115"/>
      <c r="BE1371" s="115"/>
      <c r="BF1371" s="115"/>
      <c r="BG1371" s="115"/>
      <c r="BH1371" s="115"/>
      <c r="BI1371" s="115"/>
      <c r="BJ1371" s="115"/>
      <c r="BK1371" s="115"/>
      <c r="BL1371" s="115"/>
      <c r="BM1371" s="115"/>
      <c r="BN1371" s="115"/>
      <c r="BO1371" s="115"/>
      <c r="BP1371" s="115"/>
    </row>
    <row r="1372" spans="1:68" ht="20.100000000000001" customHeight="1">
      <c r="A1372" s="1229" t="s">
        <v>2817</v>
      </c>
      <c r="B1372" s="1229" t="s">
        <v>3733</v>
      </c>
      <c r="C1372" s="1229" t="s">
        <v>4049</v>
      </c>
      <c r="D1372" s="196">
        <f>D97+850</f>
        <v>1725</v>
      </c>
      <c r="E1372" s="196">
        <f>E97+1650</f>
        <v>3200</v>
      </c>
      <c r="F1372" s="196">
        <f>F97+1650</f>
        <v>3250</v>
      </c>
      <c r="G1372" s="217" t="s">
        <v>51</v>
      </c>
      <c r="H1372" s="48" t="s">
        <v>3951</v>
      </c>
      <c r="I1372" s="38" t="s">
        <v>2522</v>
      </c>
      <c r="J1372" s="30"/>
      <c r="K1372" s="38"/>
      <c r="L1372" s="116" t="s">
        <v>653</v>
      </c>
      <c r="M1372" s="15">
        <v>43084</v>
      </c>
      <c r="N1372" s="15">
        <v>43100</v>
      </c>
      <c r="O1372" s="61" t="s">
        <v>3920</v>
      </c>
      <c r="P1372" s="61"/>
      <c r="Q1372" s="61"/>
      <c r="R1372" s="239"/>
      <c r="S1372" s="328" t="s">
        <v>1176</v>
      </c>
      <c r="T1372" s="722"/>
      <c r="U1372" s="42"/>
      <c r="AE1372" s="115"/>
      <c r="AF1372" s="115"/>
      <c r="AG1372" s="115"/>
      <c r="AH1372" s="115"/>
      <c r="AI1372" s="115"/>
      <c r="AJ1372" s="115"/>
      <c r="AK1372" s="115"/>
      <c r="AL1372" s="115"/>
      <c r="AM1372" s="115"/>
      <c r="AN1372" s="115"/>
      <c r="AO1372" s="115"/>
      <c r="AP1372" s="115"/>
      <c r="AQ1372" s="115"/>
      <c r="AR1372" s="115"/>
      <c r="AS1372" s="115"/>
      <c r="AT1372" s="115"/>
      <c r="AU1372" s="115"/>
      <c r="AV1372" s="115"/>
      <c r="AW1372" s="115"/>
      <c r="AX1372" s="115"/>
      <c r="AY1372" s="115"/>
      <c r="AZ1372" s="115"/>
      <c r="BA1372" s="115"/>
      <c r="BB1372" s="115"/>
      <c r="BC1372" s="115"/>
      <c r="BD1372" s="115"/>
      <c r="BE1372" s="115"/>
      <c r="BF1372" s="115"/>
      <c r="BG1372" s="115"/>
      <c r="BH1372" s="115"/>
      <c r="BI1372" s="115"/>
      <c r="BJ1372" s="115"/>
      <c r="BK1372" s="115"/>
      <c r="BL1372" s="115"/>
      <c r="BM1372" s="115"/>
      <c r="BN1372" s="115"/>
      <c r="BO1372" s="115"/>
      <c r="BP1372" s="115"/>
    </row>
    <row r="1373" spans="1:68" ht="20.100000000000001" customHeight="1">
      <c r="A1373" s="1229" t="s">
        <v>2817</v>
      </c>
      <c r="B1373" s="1229" t="s">
        <v>3733</v>
      </c>
      <c r="C1373" s="1229" t="s">
        <v>4049</v>
      </c>
      <c r="D1373" s="196">
        <f>D72+425</f>
        <v>1205</v>
      </c>
      <c r="E1373" s="196">
        <f>E72+650</f>
        <v>2107</v>
      </c>
      <c r="F1373" s="196">
        <f>F72+650</f>
        <v>2107</v>
      </c>
      <c r="G1373" s="225" t="s">
        <v>1689</v>
      </c>
      <c r="H1373" s="69" t="s">
        <v>3970</v>
      </c>
      <c r="I1373" s="38" t="s">
        <v>2522</v>
      </c>
      <c r="J1373" s="30"/>
      <c r="K1373" s="38" t="s">
        <v>731</v>
      </c>
      <c r="L1373" s="116" t="s">
        <v>653</v>
      </c>
      <c r="M1373" s="6">
        <v>43074</v>
      </c>
      <c r="N1373" s="6">
        <v>43084</v>
      </c>
      <c r="O1373" s="61" t="s">
        <v>3718</v>
      </c>
      <c r="P1373" s="61"/>
      <c r="Q1373" s="61"/>
      <c r="R1373" s="239"/>
      <c r="S1373" s="328" t="s">
        <v>1176</v>
      </c>
      <c r="T1373" s="722"/>
      <c r="U1373" s="42"/>
      <c r="AE1373" s="115"/>
      <c r="AF1373" s="115"/>
      <c r="AG1373" s="115"/>
      <c r="AH1373" s="115"/>
      <c r="AI1373" s="115"/>
      <c r="AJ1373" s="115"/>
      <c r="AK1373" s="115"/>
      <c r="AL1373" s="115"/>
      <c r="AM1373" s="115"/>
      <c r="AN1373" s="115"/>
      <c r="AO1373" s="115"/>
      <c r="AP1373" s="115"/>
      <c r="AQ1373" s="115"/>
      <c r="AR1373" s="115"/>
      <c r="AS1373" s="115"/>
      <c r="AT1373" s="115"/>
      <c r="AU1373" s="115"/>
      <c r="AV1373" s="115"/>
      <c r="AW1373" s="115"/>
      <c r="AX1373" s="115"/>
      <c r="AY1373" s="115"/>
      <c r="AZ1373" s="115"/>
      <c r="BA1373" s="115"/>
      <c r="BB1373" s="115"/>
      <c r="BC1373" s="115"/>
      <c r="BD1373" s="115"/>
      <c r="BE1373" s="115"/>
      <c r="BF1373" s="115"/>
      <c r="BG1373" s="115"/>
      <c r="BH1373" s="115"/>
      <c r="BI1373" s="115"/>
      <c r="BJ1373" s="115"/>
      <c r="BK1373" s="115"/>
      <c r="BL1373" s="115"/>
      <c r="BM1373" s="115"/>
      <c r="BN1373" s="115"/>
      <c r="BO1373" s="115"/>
      <c r="BP1373" s="115"/>
    </row>
    <row r="1374" spans="1:68" ht="20.100000000000001" customHeight="1">
      <c r="A1374" s="1229" t="s">
        <v>2817</v>
      </c>
      <c r="B1374" s="1229" t="s">
        <v>3733</v>
      </c>
      <c r="C1374" s="1229" t="s">
        <v>4049</v>
      </c>
      <c r="D1374" s="195">
        <f>D90+400</f>
        <v>1165</v>
      </c>
      <c r="E1374" s="195">
        <f>E90+575</f>
        <v>2005</v>
      </c>
      <c r="F1374" s="195">
        <f>F90+575</f>
        <v>2055</v>
      </c>
      <c r="G1374" s="110" t="s">
        <v>30</v>
      </c>
      <c r="H1374" s="48" t="s">
        <v>656</v>
      </c>
      <c r="I1374" s="38" t="s">
        <v>2522</v>
      </c>
      <c r="J1374" s="30"/>
      <c r="K1374" s="38">
        <v>35</v>
      </c>
      <c r="L1374" s="116" t="s">
        <v>653</v>
      </c>
      <c r="M1374" s="15">
        <v>43084</v>
      </c>
      <c r="N1374" s="15">
        <v>43100</v>
      </c>
      <c r="O1374" s="59" t="s">
        <v>3735</v>
      </c>
      <c r="P1374" s="61"/>
      <c r="Q1374" s="61"/>
      <c r="R1374" s="239"/>
      <c r="S1374" s="336" t="s">
        <v>3429</v>
      </c>
      <c r="T1374" s="722"/>
      <c r="U1374" s="42"/>
      <c r="AE1374" s="115"/>
      <c r="AF1374" s="115"/>
      <c r="AG1374" s="115"/>
      <c r="AH1374" s="115"/>
      <c r="AI1374" s="115"/>
      <c r="AJ1374" s="115"/>
      <c r="AK1374" s="115"/>
      <c r="AL1374" s="115"/>
      <c r="AM1374" s="115"/>
      <c r="AN1374" s="115"/>
      <c r="AO1374" s="115"/>
      <c r="AP1374" s="115"/>
      <c r="AQ1374" s="115"/>
      <c r="AR1374" s="115"/>
      <c r="AS1374" s="115"/>
      <c r="AT1374" s="115"/>
      <c r="AU1374" s="115"/>
      <c r="AV1374" s="115"/>
      <c r="AW1374" s="115"/>
      <c r="AX1374" s="115"/>
      <c r="AY1374" s="115"/>
      <c r="AZ1374" s="115"/>
      <c r="BA1374" s="115"/>
      <c r="BB1374" s="115"/>
      <c r="BC1374" s="115"/>
      <c r="BD1374" s="115"/>
      <c r="BE1374" s="115"/>
      <c r="BF1374" s="115"/>
      <c r="BG1374" s="115"/>
      <c r="BH1374" s="115"/>
      <c r="BI1374" s="115"/>
      <c r="BJ1374" s="115"/>
      <c r="BK1374" s="115"/>
      <c r="BL1374" s="115"/>
      <c r="BM1374" s="115"/>
      <c r="BN1374" s="115"/>
      <c r="BO1374" s="115"/>
      <c r="BP1374" s="115"/>
    </row>
    <row r="1375" spans="1:68" ht="20.100000000000001" customHeight="1">
      <c r="A1375" s="1229" t="s">
        <v>2817</v>
      </c>
      <c r="B1375" s="1229" t="s">
        <v>3733</v>
      </c>
      <c r="C1375" s="1229" t="s">
        <v>4049</v>
      </c>
      <c r="D1375" s="195">
        <f>D245+100</f>
        <v>750</v>
      </c>
      <c r="E1375" s="195">
        <f>E245+100</f>
        <v>1400</v>
      </c>
      <c r="F1375" s="195">
        <f>F245+100</f>
        <v>1450</v>
      </c>
      <c r="G1375" s="110" t="s">
        <v>31</v>
      </c>
      <c r="H1375" s="55" t="s">
        <v>729</v>
      </c>
      <c r="I1375" s="38" t="s">
        <v>3321</v>
      </c>
      <c r="J1375" s="30"/>
      <c r="K1375" s="38">
        <v>33</v>
      </c>
      <c r="L1375" s="116" t="s">
        <v>653</v>
      </c>
      <c r="M1375" s="6">
        <v>43085</v>
      </c>
      <c r="N1375" s="6">
        <v>43100</v>
      </c>
      <c r="O1375" s="61" t="s">
        <v>3292</v>
      </c>
      <c r="P1375" s="61"/>
      <c r="Q1375" s="167"/>
      <c r="R1375" s="239" t="s">
        <v>3309</v>
      </c>
      <c r="S1375" s="328" t="s">
        <v>1176</v>
      </c>
      <c r="T1375" s="722"/>
      <c r="U1375" s="42"/>
      <c r="AE1375" s="115"/>
      <c r="AF1375" s="115"/>
      <c r="AG1375" s="115"/>
      <c r="AH1375" s="115"/>
      <c r="AI1375" s="115"/>
      <c r="AJ1375" s="115"/>
      <c r="AK1375" s="115"/>
      <c r="AL1375" s="115"/>
      <c r="AM1375" s="115"/>
      <c r="AN1375" s="115"/>
      <c r="AO1375" s="115"/>
      <c r="AP1375" s="115"/>
      <c r="AQ1375" s="115"/>
      <c r="AR1375" s="115"/>
      <c r="AS1375" s="115"/>
      <c r="AT1375" s="115"/>
      <c r="AU1375" s="115"/>
      <c r="AV1375" s="115"/>
      <c r="AW1375" s="115"/>
      <c r="AX1375" s="115"/>
      <c r="AY1375" s="115"/>
      <c r="AZ1375" s="115"/>
      <c r="BA1375" s="115"/>
      <c r="BB1375" s="115"/>
      <c r="BC1375" s="115"/>
      <c r="BD1375" s="115"/>
      <c r="BE1375" s="115"/>
      <c r="BF1375" s="115"/>
      <c r="BG1375" s="115"/>
      <c r="BH1375" s="115"/>
      <c r="BI1375" s="115"/>
      <c r="BJ1375" s="115"/>
      <c r="BK1375" s="115"/>
      <c r="BL1375" s="115"/>
      <c r="BM1375" s="115"/>
      <c r="BN1375" s="115"/>
      <c r="BO1375" s="115"/>
      <c r="BP1375" s="115"/>
    </row>
    <row r="1376" spans="1:68" ht="20.100000000000001" customHeight="1">
      <c r="A1376" s="908" t="s">
        <v>2817</v>
      </c>
      <c r="B1376" s="908" t="s">
        <v>3733</v>
      </c>
      <c r="C1376" s="908" t="s">
        <v>4048</v>
      </c>
      <c r="D1376" s="247"/>
      <c r="E1376" s="247"/>
      <c r="F1376" s="247"/>
      <c r="G1376" s="217" t="s">
        <v>5</v>
      </c>
      <c r="H1376" s="22" t="s">
        <v>729</v>
      </c>
      <c r="I1376" s="10" t="s">
        <v>3732</v>
      </c>
      <c r="J1376" s="38"/>
      <c r="K1376" s="38" t="s">
        <v>683</v>
      </c>
      <c r="L1376" s="116" t="s">
        <v>653</v>
      </c>
      <c r="M1376" s="15">
        <v>43054</v>
      </c>
      <c r="N1376" s="15">
        <v>43076</v>
      </c>
      <c r="O1376" s="61" t="s">
        <v>3292</v>
      </c>
      <c r="P1376" s="61"/>
      <c r="Q1376" s="167"/>
      <c r="R1376" s="238" t="s">
        <v>2568</v>
      </c>
      <c r="S1376" s="327" t="s">
        <v>3303</v>
      </c>
      <c r="T1376" s="722"/>
      <c r="U1376" s="42"/>
      <c r="AE1376" s="283"/>
      <c r="AF1376" s="283"/>
      <c r="AG1376" s="283"/>
      <c r="AH1376" s="283"/>
      <c r="AI1376" s="283"/>
      <c r="AJ1376" s="283"/>
      <c r="AK1376" s="283"/>
      <c r="AL1376" s="283"/>
      <c r="AM1376" s="283"/>
      <c r="AN1376" s="283"/>
      <c r="AO1376" s="283"/>
      <c r="AP1376" s="283"/>
      <c r="AQ1376" s="283"/>
      <c r="AR1376" s="283"/>
      <c r="AS1376" s="283"/>
      <c r="AT1376" s="283"/>
      <c r="AU1376" s="283"/>
      <c r="AV1376" s="283"/>
      <c r="AW1376" s="283"/>
      <c r="AX1376" s="283"/>
      <c r="AY1376" s="283"/>
      <c r="AZ1376" s="283"/>
      <c r="BA1376" s="283"/>
      <c r="BB1376" s="283"/>
      <c r="BC1376" s="283"/>
      <c r="BD1376" s="283"/>
      <c r="BE1376" s="283"/>
      <c r="BF1376" s="283"/>
      <c r="BG1376" s="283"/>
      <c r="BH1376" s="283"/>
      <c r="BI1376" s="283"/>
      <c r="BJ1376" s="283"/>
      <c r="BK1376" s="283"/>
      <c r="BL1376" s="283"/>
      <c r="BM1376" s="283"/>
      <c r="BN1376" s="283"/>
      <c r="BO1376" s="283"/>
      <c r="BP1376" s="283"/>
    </row>
    <row r="1377" spans="1:68" ht="20.100000000000001" customHeight="1">
      <c r="A1377" s="1228" t="s">
        <v>3919</v>
      </c>
      <c r="B1377" s="1228" t="s">
        <v>3733</v>
      </c>
      <c r="C1377" s="1228" t="s">
        <v>4045</v>
      </c>
      <c r="D1377" s="263">
        <f>D265+100</f>
        <v>750</v>
      </c>
      <c r="E1377" s="263">
        <f>E265+200</f>
        <v>1300</v>
      </c>
      <c r="F1377" s="263">
        <f>F265+200</f>
        <v>1350</v>
      </c>
      <c r="G1377" s="217" t="s">
        <v>5</v>
      </c>
      <c r="H1377" s="36" t="s">
        <v>721</v>
      </c>
      <c r="I1377" s="10" t="s">
        <v>3293</v>
      </c>
      <c r="J1377" s="30"/>
      <c r="K1377" s="38" t="s">
        <v>835</v>
      </c>
      <c r="L1377" s="116" t="s">
        <v>653</v>
      </c>
      <c r="M1377" s="15">
        <v>43054</v>
      </c>
      <c r="N1377" s="15">
        <v>43076</v>
      </c>
      <c r="O1377" s="61" t="s">
        <v>3292</v>
      </c>
      <c r="P1377" s="61"/>
      <c r="Q1377" s="167"/>
      <c r="R1377" s="238" t="s">
        <v>3305</v>
      </c>
      <c r="S1377" s="327" t="s">
        <v>3303</v>
      </c>
      <c r="T1377" s="722"/>
      <c r="U1377" s="42"/>
      <c r="AE1377" s="115"/>
      <c r="AF1377" s="115"/>
      <c r="AG1377" s="115"/>
      <c r="AH1377" s="115"/>
      <c r="AI1377" s="115"/>
      <c r="AJ1377" s="115"/>
      <c r="AK1377" s="115"/>
      <c r="AL1377" s="115"/>
      <c r="AM1377" s="115"/>
      <c r="AN1377" s="115"/>
      <c r="AO1377" s="115"/>
      <c r="AP1377" s="115"/>
      <c r="AQ1377" s="115"/>
      <c r="AR1377" s="115"/>
      <c r="AS1377" s="115"/>
      <c r="AT1377" s="115"/>
      <c r="AU1377" s="115"/>
      <c r="AV1377" s="115"/>
      <c r="AW1377" s="115"/>
      <c r="AX1377" s="115"/>
      <c r="AY1377" s="115"/>
      <c r="AZ1377" s="115"/>
      <c r="BA1377" s="115"/>
      <c r="BB1377" s="115"/>
      <c r="BC1377" s="115"/>
      <c r="BD1377" s="115"/>
      <c r="BE1377" s="115"/>
      <c r="BF1377" s="115"/>
      <c r="BG1377" s="115"/>
      <c r="BH1377" s="115"/>
      <c r="BI1377" s="115"/>
      <c r="BJ1377" s="115"/>
      <c r="BK1377" s="115"/>
      <c r="BL1377" s="115"/>
      <c r="BM1377" s="115"/>
      <c r="BN1377" s="115"/>
      <c r="BO1377" s="115"/>
      <c r="BP1377" s="115"/>
    </row>
    <row r="1378" spans="1:68" ht="20.100000000000001" customHeight="1">
      <c r="A1378" s="1228" t="s">
        <v>3919</v>
      </c>
      <c r="B1378" s="1228" t="s">
        <v>3733</v>
      </c>
      <c r="C1378" s="1228" t="s">
        <v>4045</v>
      </c>
      <c r="D1378" s="195">
        <f>D266+450</f>
        <v>1175</v>
      </c>
      <c r="E1378" s="195">
        <f>E266+650</f>
        <v>2000</v>
      </c>
      <c r="F1378" s="195">
        <f>F266+700</f>
        <v>2100</v>
      </c>
      <c r="G1378" s="217" t="s">
        <v>51</v>
      </c>
      <c r="H1378" s="245" t="s">
        <v>651</v>
      </c>
      <c r="I1378" s="38" t="s">
        <v>4047</v>
      </c>
      <c r="J1378" s="37"/>
      <c r="K1378" s="38"/>
      <c r="L1378" s="116" t="s">
        <v>653</v>
      </c>
      <c r="M1378" s="15">
        <v>43084</v>
      </c>
      <c r="N1378" s="15">
        <v>43100</v>
      </c>
      <c r="O1378" s="61" t="s">
        <v>3292</v>
      </c>
      <c r="P1378" s="61"/>
      <c r="Q1378" s="7"/>
      <c r="R1378" s="238" t="s">
        <v>4046</v>
      </c>
      <c r="S1378" s="327" t="s">
        <v>3297</v>
      </c>
      <c r="T1378" s="137"/>
      <c r="U1378" s="42"/>
      <c r="AE1378" s="115"/>
      <c r="AF1378" s="115"/>
      <c r="AG1378" s="115"/>
      <c r="AH1378" s="115"/>
      <c r="AI1378" s="115"/>
      <c r="AJ1378" s="115"/>
      <c r="AK1378" s="115"/>
      <c r="AL1378" s="115"/>
      <c r="AM1378" s="115"/>
      <c r="AN1378" s="115"/>
      <c r="AO1378" s="115"/>
      <c r="AP1378" s="115"/>
      <c r="AQ1378" s="115"/>
      <c r="AR1378" s="115"/>
      <c r="AS1378" s="115"/>
      <c r="AT1378" s="115"/>
      <c r="AU1378" s="115"/>
      <c r="AV1378" s="115"/>
      <c r="AW1378" s="115"/>
      <c r="AX1378" s="115"/>
      <c r="AY1378" s="115"/>
      <c r="AZ1378" s="115"/>
      <c r="BA1378" s="115"/>
      <c r="BB1378" s="115"/>
      <c r="BC1378" s="115"/>
      <c r="BD1378" s="115"/>
      <c r="BE1378" s="115"/>
      <c r="BF1378" s="115"/>
      <c r="BG1378" s="115"/>
      <c r="BH1378" s="115"/>
      <c r="BI1378" s="115"/>
      <c r="BJ1378" s="115"/>
      <c r="BK1378" s="115"/>
      <c r="BL1378" s="115"/>
      <c r="BM1378" s="115"/>
      <c r="BN1378" s="115"/>
      <c r="BO1378" s="115"/>
      <c r="BP1378" s="115"/>
    </row>
    <row r="1379" spans="1:68" ht="20.100000000000001" customHeight="1">
      <c r="A1379" s="1228" t="s">
        <v>3919</v>
      </c>
      <c r="B1379" s="1228" t="s">
        <v>3733</v>
      </c>
      <c r="C1379" s="1228" t="s">
        <v>4045</v>
      </c>
      <c r="D1379" s="273">
        <f>D247+1190+25</f>
        <v>1740</v>
      </c>
      <c r="E1379" s="273">
        <f>E247+1805+50</f>
        <v>2805</v>
      </c>
      <c r="F1379" s="273">
        <f>F247+1805+50</f>
        <v>2855</v>
      </c>
      <c r="G1379" s="110" t="s">
        <v>19</v>
      </c>
      <c r="H1379" s="48" t="s">
        <v>1315</v>
      </c>
      <c r="I1379" s="38" t="s">
        <v>3732</v>
      </c>
      <c r="J1379" s="37"/>
      <c r="K1379" s="38"/>
      <c r="L1379" s="116" t="s">
        <v>653</v>
      </c>
      <c r="M1379" s="15">
        <v>43073</v>
      </c>
      <c r="N1379" s="15">
        <v>43100</v>
      </c>
      <c r="O1379" s="59" t="s">
        <v>2440</v>
      </c>
      <c r="P1379" s="61"/>
      <c r="Q1379" s="7"/>
      <c r="R1379" s="21" t="s">
        <v>3736</v>
      </c>
      <c r="S1379" s="327" t="s">
        <v>3423</v>
      </c>
      <c r="T1379" s="137"/>
      <c r="U1379" s="42"/>
      <c r="AE1379" s="283"/>
      <c r="AF1379" s="283"/>
      <c r="AG1379" s="283"/>
      <c r="AH1379" s="283"/>
      <c r="AI1379" s="283"/>
      <c r="AJ1379" s="283"/>
      <c r="AK1379" s="283"/>
      <c r="AL1379" s="283"/>
      <c r="AM1379" s="283"/>
      <c r="AN1379" s="283"/>
      <c r="AO1379" s="283"/>
      <c r="AP1379" s="283"/>
      <c r="AQ1379" s="283"/>
      <c r="AR1379" s="283"/>
      <c r="AS1379" s="283"/>
      <c r="AT1379" s="283"/>
      <c r="AU1379" s="283"/>
      <c r="AV1379" s="283"/>
      <c r="AW1379" s="283"/>
      <c r="AX1379" s="283"/>
      <c r="AY1379" s="283"/>
      <c r="AZ1379" s="283"/>
      <c r="BA1379" s="283"/>
      <c r="BB1379" s="283"/>
      <c r="BC1379" s="283"/>
      <c r="BD1379" s="283"/>
      <c r="BE1379" s="283"/>
      <c r="BF1379" s="283"/>
      <c r="BG1379" s="283"/>
      <c r="BH1379" s="283"/>
      <c r="BI1379" s="283"/>
      <c r="BJ1379" s="283"/>
      <c r="BK1379" s="283"/>
      <c r="BL1379" s="283"/>
      <c r="BM1379" s="283"/>
      <c r="BN1379" s="283"/>
      <c r="BO1379" s="283"/>
      <c r="BP1379" s="283"/>
    </row>
    <row r="1380" spans="1:68" ht="20.100000000000001" customHeight="1">
      <c r="A1380" s="1228" t="s">
        <v>3919</v>
      </c>
      <c r="B1380" s="1228" t="s">
        <v>3733</v>
      </c>
      <c r="C1380" s="1228" t="s">
        <v>4045</v>
      </c>
      <c r="D1380" s="198">
        <f>D219+100</f>
        <v>750</v>
      </c>
      <c r="E1380" s="198">
        <f>E219+200</f>
        <v>1500</v>
      </c>
      <c r="F1380" s="198">
        <f>F219+200</f>
        <v>1550</v>
      </c>
      <c r="G1380" s="110" t="s">
        <v>31</v>
      </c>
      <c r="H1380" s="56" t="s">
        <v>631</v>
      </c>
      <c r="I1380" s="38" t="s">
        <v>3304</v>
      </c>
      <c r="J1380" s="37"/>
      <c r="K1380" s="38">
        <v>37</v>
      </c>
      <c r="L1380" s="116" t="s">
        <v>653</v>
      </c>
      <c r="M1380" s="6">
        <v>43085</v>
      </c>
      <c r="N1380" s="6">
        <v>43100</v>
      </c>
      <c r="O1380" s="61" t="s">
        <v>3292</v>
      </c>
      <c r="P1380" s="61"/>
      <c r="Q1380" s="61"/>
      <c r="R1380" s="239" t="s">
        <v>3729</v>
      </c>
      <c r="S1380" s="328" t="s">
        <v>1176</v>
      </c>
      <c r="T1380" s="137"/>
      <c r="U1380" s="42"/>
      <c r="AE1380" s="115"/>
      <c r="AF1380" s="115"/>
      <c r="AG1380" s="115"/>
      <c r="AH1380" s="115"/>
      <c r="AI1380" s="115"/>
      <c r="AJ1380" s="115"/>
      <c r="AK1380" s="115"/>
      <c r="AL1380" s="115"/>
      <c r="AM1380" s="115"/>
      <c r="AN1380" s="115"/>
      <c r="AO1380" s="115"/>
      <c r="AP1380" s="115"/>
      <c r="AQ1380" s="115"/>
      <c r="AR1380" s="115"/>
      <c r="AS1380" s="115"/>
      <c r="AT1380" s="115"/>
      <c r="AU1380" s="115"/>
      <c r="AV1380" s="115"/>
      <c r="AW1380" s="115"/>
      <c r="AX1380" s="115"/>
      <c r="AY1380" s="115"/>
      <c r="AZ1380" s="115"/>
      <c r="BA1380" s="115"/>
      <c r="BB1380" s="115"/>
      <c r="BC1380" s="115"/>
      <c r="BD1380" s="115"/>
      <c r="BE1380" s="115"/>
      <c r="BF1380" s="115"/>
      <c r="BG1380" s="115"/>
      <c r="BH1380" s="115"/>
      <c r="BI1380" s="115"/>
      <c r="BJ1380" s="115"/>
      <c r="BK1380" s="115"/>
      <c r="BL1380" s="115"/>
      <c r="BM1380" s="115"/>
      <c r="BN1380" s="115"/>
      <c r="BO1380" s="115"/>
      <c r="BP1380" s="115"/>
    </row>
    <row r="1381" spans="1:68" ht="20.100000000000001" customHeight="1">
      <c r="A1381" s="1228" t="s">
        <v>3919</v>
      </c>
      <c r="B1381" s="1228" t="s">
        <v>3733</v>
      </c>
      <c r="C1381" s="1228" t="s">
        <v>4045</v>
      </c>
      <c r="D1381" s="247">
        <v>650</v>
      </c>
      <c r="E1381" s="247">
        <v>1200</v>
      </c>
      <c r="F1381" s="247">
        <v>1200</v>
      </c>
      <c r="G1381" s="65" t="s">
        <v>18</v>
      </c>
      <c r="H1381" s="36" t="s">
        <v>721</v>
      </c>
      <c r="I1381" s="51" t="s">
        <v>3293</v>
      </c>
      <c r="J1381" s="34"/>
      <c r="K1381" s="20" t="s">
        <v>835</v>
      </c>
      <c r="L1381" s="118" t="s">
        <v>653</v>
      </c>
      <c r="M1381" s="6">
        <v>43070</v>
      </c>
      <c r="N1381" s="6">
        <v>43100</v>
      </c>
      <c r="O1381" s="61" t="s">
        <v>3292</v>
      </c>
      <c r="P1381" s="59"/>
      <c r="Q1381" s="167"/>
      <c r="R1381" s="238" t="s">
        <v>3306</v>
      </c>
      <c r="S1381" s="328" t="s">
        <v>1176</v>
      </c>
      <c r="T1381" s="722"/>
      <c r="U1381" s="42"/>
      <c r="AE1381" s="115"/>
      <c r="AF1381" s="115"/>
      <c r="AG1381" s="115"/>
      <c r="AH1381" s="115"/>
      <c r="AI1381" s="115"/>
      <c r="AJ1381" s="115"/>
      <c r="AK1381" s="115"/>
      <c r="AL1381" s="115"/>
      <c r="AM1381" s="115"/>
      <c r="AN1381" s="115"/>
      <c r="AO1381" s="115"/>
      <c r="AP1381" s="115"/>
      <c r="AQ1381" s="115"/>
      <c r="AR1381" s="115"/>
      <c r="AS1381" s="115"/>
      <c r="AT1381" s="115"/>
      <c r="AU1381" s="115"/>
      <c r="AV1381" s="115"/>
      <c r="AW1381" s="115"/>
      <c r="AX1381" s="115"/>
      <c r="AY1381" s="115"/>
      <c r="AZ1381" s="115"/>
      <c r="BA1381" s="115"/>
      <c r="BB1381" s="115"/>
      <c r="BC1381" s="115"/>
      <c r="BD1381" s="115"/>
      <c r="BE1381" s="115"/>
      <c r="BF1381" s="115"/>
      <c r="BG1381" s="115"/>
      <c r="BH1381" s="115"/>
      <c r="BI1381" s="115"/>
      <c r="BJ1381" s="115"/>
      <c r="BK1381" s="115"/>
      <c r="BL1381" s="115"/>
      <c r="BM1381" s="115"/>
      <c r="BN1381" s="115"/>
      <c r="BO1381" s="115"/>
      <c r="BP1381" s="115"/>
    </row>
    <row r="1382" spans="1:68" ht="20.100000000000001" customHeight="1">
      <c r="A1382" s="1231" t="s">
        <v>3919</v>
      </c>
      <c r="B1382" s="1231" t="s">
        <v>3733</v>
      </c>
      <c r="C1382" s="1231" t="s">
        <v>4042</v>
      </c>
      <c r="D1382" s="195">
        <f>D223+200</f>
        <v>925</v>
      </c>
      <c r="E1382" s="195">
        <f>E223+300</f>
        <v>1650</v>
      </c>
      <c r="F1382" s="195">
        <f>F223+300</f>
        <v>1700</v>
      </c>
      <c r="G1382" s="217" t="s">
        <v>51</v>
      </c>
      <c r="H1382" s="55" t="s">
        <v>633</v>
      </c>
      <c r="I1382" s="38" t="s">
        <v>3304</v>
      </c>
      <c r="J1382" s="28"/>
      <c r="K1382" s="38"/>
      <c r="L1382" s="116" t="s">
        <v>653</v>
      </c>
      <c r="M1382" s="15">
        <v>43084</v>
      </c>
      <c r="N1382" s="15">
        <v>43100</v>
      </c>
      <c r="O1382" s="61" t="s">
        <v>3292</v>
      </c>
      <c r="P1382" s="61"/>
      <c r="Q1382" s="61" t="s">
        <v>100</v>
      </c>
      <c r="R1382" s="238" t="s">
        <v>4020</v>
      </c>
      <c r="S1382" s="327" t="s">
        <v>3297</v>
      </c>
      <c r="T1382" s="722"/>
      <c r="U1382" s="42"/>
      <c r="AE1382" s="115"/>
      <c r="AF1382" s="115"/>
      <c r="AG1382" s="115"/>
      <c r="AH1382" s="115"/>
      <c r="AI1382" s="115"/>
      <c r="AJ1382" s="115"/>
      <c r="AK1382" s="115"/>
      <c r="AL1382" s="115"/>
      <c r="AM1382" s="115"/>
      <c r="AN1382" s="115"/>
      <c r="AO1382" s="115"/>
      <c r="AP1382" s="115"/>
      <c r="AQ1382" s="115"/>
      <c r="AR1382" s="115"/>
      <c r="AS1382" s="115"/>
      <c r="AT1382" s="115"/>
      <c r="AU1382" s="115"/>
      <c r="AV1382" s="115"/>
      <c r="AW1382" s="115"/>
      <c r="AX1382" s="115"/>
      <c r="AY1382" s="115"/>
      <c r="AZ1382" s="115"/>
      <c r="BA1382" s="115"/>
      <c r="BB1382" s="115"/>
      <c r="BC1382" s="115"/>
      <c r="BD1382" s="115"/>
      <c r="BE1382" s="115"/>
      <c r="BF1382" s="115"/>
      <c r="BG1382" s="115"/>
      <c r="BH1382" s="115"/>
      <c r="BI1382" s="115"/>
      <c r="BJ1382" s="115"/>
      <c r="BK1382" s="115"/>
      <c r="BL1382" s="115"/>
      <c r="BM1382" s="115"/>
      <c r="BN1382" s="115"/>
      <c r="BO1382" s="115"/>
      <c r="BP1382" s="115"/>
    </row>
    <row r="1383" spans="1:68" ht="20.100000000000001" customHeight="1">
      <c r="A1383" s="1231" t="s">
        <v>3919</v>
      </c>
      <c r="B1383" s="1231" t="s">
        <v>3733</v>
      </c>
      <c r="C1383" s="1231" t="s">
        <v>4042</v>
      </c>
      <c r="D1383" s="195"/>
      <c r="E1383" s="195"/>
      <c r="F1383" s="195"/>
      <c r="G1383" s="217" t="s">
        <v>51</v>
      </c>
      <c r="H1383" s="55" t="s">
        <v>633</v>
      </c>
      <c r="I1383" s="38" t="s">
        <v>4044</v>
      </c>
      <c r="J1383" s="10" t="s">
        <v>4043</v>
      </c>
      <c r="K1383" s="38"/>
      <c r="L1383" s="116" t="s">
        <v>653</v>
      </c>
      <c r="M1383" s="15">
        <v>43084</v>
      </c>
      <c r="N1383" s="15">
        <v>43100</v>
      </c>
      <c r="O1383" s="61" t="s">
        <v>3292</v>
      </c>
      <c r="P1383" s="61"/>
      <c r="Q1383" s="61" t="s">
        <v>100</v>
      </c>
      <c r="R1383" s="238" t="s">
        <v>4020</v>
      </c>
      <c r="S1383" s="327" t="s">
        <v>3297</v>
      </c>
      <c r="T1383" s="722"/>
      <c r="U1383" s="42"/>
      <c r="AE1383" s="115"/>
      <c r="AF1383" s="115"/>
      <c r="AG1383" s="115"/>
      <c r="AH1383" s="115"/>
      <c r="AI1383" s="115"/>
      <c r="AJ1383" s="115"/>
      <c r="AK1383" s="115"/>
      <c r="AL1383" s="115"/>
      <c r="AM1383" s="115"/>
      <c r="AN1383" s="115"/>
      <c r="AO1383" s="115"/>
      <c r="AP1383" s="115"/>
      <c r="AQ1383" s="115"/>
      <c r="AR1383" s="115"/>
      <c r="AS1383" s="115"/>
      <c r="AT1383" s="115"/>
      <c r="AU1383" s="115"/>
      <c r="AV1383" s="115"/>
      <c r="AW1383" s="115"/>
      <c r="AX1383" s="115"/>
      <c r="AY1383" s="115"/>
      <c r="AZ1383" s="115"/>
      <c r="BA1383" s="115"/>
      <c r="BB1383" s="115"/>
      <c r="BC1383" s="115"/>
      <c r="BD1383" s="115"/>
      <c r="BE1383" s="115"/>
      <c r="BF1383" s="115"/>
      <c r="BG1383" s="115"/>
      <c r="BH1383" s="115"/>
      <c r="BI1383" s="115"/>
      <c r="BJ1383" s="115"/>
      <c r="BK1383" s="115"/>
      <c r="BL1383" s="115"/>
      <c r="BM1383" s="115"/>
      <c r="BN1383" s="115"/>
      <c r="BO1383" s="115"/>
      <c r="BP1383" s="115"/>
    </row>
    <row r="1384" spans="1:68" ht="20.100000000000001" customHeight="1">
      <c r="A1384" s="1231" t="s">
        <v>3919</v>
      </c>
      <c r="B1384" s="1231" t="s">
        <v>3733</v>
      </c>
      <c r="C1384" s="1231" t="s">
        <v>4042</v>
      </c>
      <c r="D1384" s="195">
        <f>D221+250*1.3</f>
        <v>1000</v>
      </c>
      <c r="E1384" s="195">
        <f>E221+300*1.3</f>
        <v>1440</v>
      </c>
      <c r="F1384" s="195">
        <f>F221+300*1.3</f>
        <v>1440</v>
      </c>
      <c r="G1384" s="225" t="s">
        <v>1689</v>
      </c>
      <c r="H1384" s="69" t="s">
        <v>631</v>
      </c>
      <c r="I1384" s="38" t="s">
        <v>3304</v>
      </c>
      <c r="J1384" s="39"/>
      <c r="K1384" s="38" t="s">
        <v>722</v>
      </c>
      <c r="L1384" s="116" t="s">
        <v>653</v>
      </c>
      <c r="M1384" s="6">
        <v>43057</v>
      </c>
      <c r="N1384" s="6">
        <v>43069</v>
      </c>
      <c r="O1384" s="61" t="s">
        <v>3715</v>
      </c>
      <c r="P1384" s="61"/>
      <c r="Q1384" s="72" t="s">
        <v>3710</v>
      </c>
      <c r="R1384" s="239" t="s">
        <v>3714</v>
      </c>
      <c r="S1384" s="328" t="s">
        <v>1176</v>
      </c>
      <c r="T1384" s="722"/>
      <c r="U1384" s="42"/>
      <c r="AE1384" s="115"/>
      <c r="AF1384" s="115"/>
      <c r="AG1384" s="115"/>
      <c r="AH1384" s="115"/>
      <c r="AI1384" s="115"/>
      <c r="AJ1384" s="115"/>
      <c r="AK1384" s="115"/>
      <c r="AL1384" s="115"/>
      <c r="AM1384" s="115"/>
      <c r="AN1384" s="115"/>
      <c r="AO1384" s="115"/>
      <c r="AP1384" s="115"/>
      <c r="AQ1384" s="115"/>
      <c r="AR1384" s="115"/>
      <c r="AS1384" s="115"/>
      <c r="AT1384" s="115"/>
      <c r="AU1384" s="115"/>
      <c r="AV1384" s="115"/>
      <c r="AW1384" s="115"/>
      <c r="AX1384" s="115"/>
      <c r="AY1384" s="115"/>
      <c r="AZ1384" s="115"/>
      <c r="BA1384" s="115"/>
      <c r="BB1384" s="115"/>
      <c r="BC1384" s="115"/>
      <c r="BD1384" s="115"/>
      <c r="BE1384" s="115"/>
      <c r="BF1384" s="115"/>
      <c r="BG1384" s="115"/>
      <c r="BH1384" s="115"/>
      <c r="BI1384" s="115"/>
      <c r="BJ1384" s="115"/>
      <c r="BK1384" s="115"/>
      <c r="BL1384" s="115"/>
      <c r="BM1384" s="115"/>
      <c r="BN1384" s="115"/>
      <c r="BO1384" s="115"/>
      <c r="BP1384" s="115"/>
    </row>
    <row r="1385" spans="1:68" ht="20.100000000000001" customHeight="1">
      <c r="A1385" s="1231" t="s">
        <v>3919</v>
      </c>
      <c r="B1385" s="1231" t="s">
        <v>3733</v>
      </c>
      <c r="C1385" s="1231" t="s">
        <v>4042</v>
      </c>
      <c r="D1385" s="197">
        <f>D225+550+25</f>
        <v>1100</v>
      </c>
      <c r="E1385" s="197">
        <f>E225+700+50</f>
        <v>1700</v>
      </c>
      <c r="F1385" s="197">
        <f>F225+700+50</f>
        <v>1750</v>
      </c>
      <c r="G1385" s="12" t="s">
        <v>37</v>
      </c>
      <c r="H1385" s="69" t="s">
        <v>633</v>
      </c>
      <c r="I1385" s="38" t="s">
        <v>3304</v>
      </c>
      <c r="J1385" s="30"/>
      <c r="K1385" s="38"/>
      <c r="L1385" s="116" t="s">
        <v>653</v>
      </c>
      <c r="M1385" s="15">
        <v>43080</v>
      </c>
      <c r="N1385" s="15">
        <v>43083</v>
      </c>
      <c r="O1385" s="61" t="s">
        <v>2442</v>
      </c>
      <c r="P1385" s="61"/>
      <c r="Q1385" s="61"/>
      <c r="R1385" s="239" t="s">
        <v>3992</v>
      </c>
      <c r="S1385" s="327" t="s">
        <v>3722</v>
      </c>
      <c r="T1385" s="722"/>
      <c r="U1385" s="42"/>
      <c r="AE1385" s="115"/>
      <c r="AF1385" s="115"/>
      <c r="AG1385" s="115"/>
      <c r="AH1385" s="115"/>
      <c r="AI1385" s="115"/>
      <c r="AJ1385" s="115"/>
      <c r="AK1385" s="115"/>
      <c r="AL1385" s="115"/>
      <c r="AM1385" s="115"/>
      <c r="AN1385" s="115"/>
      <c r="AO1385" s="115"/>
      <c r="AP1385" s="115"/>
      <c r="AQ1385" s="115"/>
      <c r="AR1385" s="115"/>
      <c r="AS1385" s="115"/>
      <c r="AT1385" s="115"/>
      <c r="AU1385" s="115"/>
      <c r="AV1385" s="115"/>
      <c r="AW1385" s="115"/>
      <c r="AX1385" s="115"/>
      <c r="AY1385" s="115"/>
      <c r="AZ1385" s="115"/>
      <c r="BA1385" s="115"/>
      <c r="BB1385" s="115"/>
      <c r="BC1385" s="115"/>
      <c r="BD1385" s="115"/>
      <c r="BE1385" s="115"/>
      <c r="BF1385" s="115"/>
      <c r="BG1385" s="115"/>
      <c r="BH1385" s="115"/>
      <c r="BI1385" s="115"/>
      <c r="BJ1385" s="115"/>
      <c r="BK1385" s="115"/>
      <c r="BL1385" s="115"/>
      <c r="BM1385" s="115"/>
      <c r="BN1385" s="115"/>
      <c r="BO1385" s="115"/>
      <c r="BP1385" s="115"/>
    </row>
    <row r="1386" spans="1:68" ht="20.100000000000001" customHeight="1">
      <c r="A1386" s="1230" t="s">
        <v>3934</v>
      </c>
      <c r="B1386" s="1230" t="s">
        <v>3733</v>
      </c>
      <c r="C1386" s="1230" t="s">
        <v>4040</v>
      </c>
      <c r="D1386" s="197">
        <f>D266+294*1.2</f>
        <v>1077.8</v>
      </c>
      <c r="E1386" s="197">
        <f>E266+294*1.2</f>
        <v>1702.8</v>
      </c>
      <c r="F1386" s="197">
        <f>F266+294*1.2</f>
        <v>1752.8</v>
      </c>
      <c r="G1386" s="217" t="s">
        <v>51</v>
      </c>
      <c r="H1386" s="55" t="s">
        <v>721</v>
      </c>
      <c r="I1386" s="10" t="s">
        <v>3293</v>
      </c>
      <c r="J1386" s="37" t="s">
        <v>4041</v>
      </c>
      <c r="K1386" s="38"/>
      <c r="L1386" s="116" t="s">
        <v>653</v>
      </c>
      <c r="M1386" s="15">
        <v>43084</v>
      </c>
      <c r="N1386" s="15">
        <v>43100</v>
      </c>
      <c r="O1386" s="61" t="s">
        <v>3292</v>
      </c>
      <c r="P1386" s="71"/>
      <c r="Q1386" s="61" t="s">
        <v>100</v>
      </c>
      <c r="R1386" s="239" t="s">
        <v>2573</v>
      </c>
      <c r="S1386" s="327" t="s">
        <v>3297</v>
      </c>
      <c r="T1386" s="722"/>
      <c r="U1386" s="42"/>
      <c r="AE1386" s="115"/>
      <c r="AF1386" s="115"/>
      <c r="AG1386" s="115"/>
      <c r="AH1386" s="115"/>
      <c r="AI1386" s="115"/>
      <c r="AJ1386" s="115"/>
      <c r="AK1386" s="115"/>
      <c r="AL1386" s="115"/>
      <c r="AM1386" s="115"/>
      <c r="AN1386" s="115"/>
      <c r="AO1386" s="115"/>
      <c r="AP1386" s="115"/>
      <c r="AQ1386" s="115"/>
      <c r="AR1386" s="115"/>
      <c r="AS1386" s="115"/>
      <c r="AT1386" s="115"/>
      <c r="AU1386" s="115"/>
      <c r="AV1386" s="115"/>
      <c r="AW1386" s="115"/>
      <c r="AX1386" s="115"/>
      <c r="AY1386" s="115"/>
      <c r="AZ1386" s="115"/>
      <c r="BA1386" s="115"/>
      <c r="BB1386" s="115"/>
      <c r="BC1386" s="115"/>
      <c r="BD1386" s="115"/>
      <c r="BE1386" s="115"/>
      <c r="BF1386" s="115"/>
      <c r="BG1386" s="115"/>
      <c r="BH1386" s="115"/>
      <c r="BI1386" s="115"/>
      <c r="BJ1386" s="115"/>
      <c r="BK1386" s="115"/>
      <c r="BL1386" s="115"/>
      <c r="BM1386" s="115"/>
      <c r="BN1386" s="115"/>
      <c r="BO1386" s="115"/>
      <c r="BP1386" s="115"/>
    </row>
    <row r="1387" spans="1:68" ht="20.100000000000001" customHeight="1">
      <c r="A1387" s="1230" t="s">
        <v>3934</v>
      </c>
      <c r="B1387" s="1230" t="s">
        <v>3733</v>
      </c>
      <c r="C1387" s="1230" t="s">
        <v>4040</v>
      </c>
      <c r="D1387" s="200">
        <f>D225+2550+25</f>
        <v>3100</v>
      </c>
      <c r="E1387" s="200">
        <f>E225+2600+50</f>
        <v>3600</v>
      </c>
      <c r="F1387" s="200">
        <f>F225+2600+50</f>
        <v>3650</v>
      </c>
      <c r="G1387" s="12" t="s">
        <v>37</v>
      </c>
      <c r="H1387" s="69" t="s">
        <v>633</v>
      </c>
      <c r="I1387" s="38" t="s">
        <v>3304</v>
      </c>
      <c r="J1387" s="30"/>
      <c r="K1387" s="37"/>
      <c r="L1387" s="116" t="s">
        <v>653</v>
      </c>
      <c r="M1387" s="15">
        <v>43080</v>
      </c>
      <c r="N1387" s="15">
        <v>43083</v>
      </c>
      <c r="O1387" s="61" t="s">
        <v>2442</v>
      </c>
      <c r="P1387" s="61"/>
      <c r="Q1387" s="7"/>
      <c r="R1387" s="239" t="s">
        <v>3992</v>
      </c>
      <c r="S1387" s="327" t="s">
        <v>3722</v>
      </c>
      <c r="T1387" s="722"/>
      <c r="U1387" s="42"/>
      <c r="AE1387" s="115"/>
      <c r="AF1387" s="115"/>
      <c r="AG1387" s="115"/>
      <c r="AH1387" s="115"/>
      <c r="AI1387" s="115"/>
      <c r="AJ1387" s="115"/>
      <c r="AK1387" s="115"/>
      <c r="AL1387" s="115"/>
      <c r="AM1387" s="115"/>
      <c r="AN1387" s="115"/>
      <c r="AO1387" s="115"/>
      <c r="AP1387" s="115"/>
      <c r="AQ1387" s="115"/>
      <c r="AR1387" s="115"/>
      <c r="AS1387" s="115"/>
      <c r="AT1387" s="115"/>
      <c r="AU1387" s="115"/>
      <c r="AV1387" s="115"/>
      <c r="AW1387" s="115"/>
      <c r="AX1387" s="115"/>
      <c r="AY1387" s="115"/>
      <c r="AZ1387" s="115"/>
      <c r="BA1387" s="115"/>
      <c r="BB1387" s="115"/>
      <c r="BC1387" s="115"/>
      <c r="BD1387" s="115"/>
      <c r="BE1387" s="115"/>
      <c r="BF1387" s="115"/>
      <c r="BG1387" s="115"/>
      <c r="BH1387" s="115"/>
      <c r="BI1387" s="115"/>
      <c r="BJ1387" s="115"/>
      <c r="BK1387" s="115"/>
      <c r="BL1387" s="115"/>
      <c r="BM1387" s="115"/>
      <c r="BN1387" s="115"/>
      <c r="BO1387" s="115"/>
      <c r="BP1387" s="115"/>
    </row>
    <row r="1388" spans="1:68" ht="20.100000000000001" customHeight="1">
      <c r="A1388" s="1230" t="s">
        <v>3934</v>
      </c>
      <c r="B1388" s="1230" t="s">
        <v>3733</v>
      </c>
      <c r="C1388" s="1230" t="s">
        <v>4040</v>
      </c>
      <c r="D1388" s="200">
        <f>D219+75</f>
        <v>725</v>
      </c>
      <c r="E1388" s="195">
        <f>E219+150</f>
        <v>1450</v>
      </c>
      <c r="F1388" s="195">
        <f>F219+150</f>
        <v>1500</v>
      </c>
      <c r="G1388" s="110" t="s">
        <v>31</v>
      </c>
      <c r="H1388" s="56" t="s">
        <v>631</v>
      </c>
      <c r="I1388" s="38" t="s">
        <v>3304</v>
      </c>
      <c r="J1388" s="50"/>
      <c r="K1388" s="51">
        <v>31</v>
      </c>
      <c r="L1388" s="116" t="s">
        <v>653</v>
      </c>
      <c r="M1388" s="6">
        <v>43085</v>
      </c>
      <c r="N1388" s="6">
        <v>43100</v>
      </c>
      <c r="O1388" s="61" t="s">
        <v>3292</v>
      </c>
      <c r="P1388" s="59"/>
      <c r="Q1388" s="52"/>
      <c r="R1388" s="239" t="s">
        <v>3729</v>
      </c>
      <c r="S1388" s="328" t="s">
        <v>1176</v>
      </c>
      <c r="T1388" s="722"/>
      <c r="U1388" s="42"/>
      <c r="AE1388" s="283"/>
      <c r="AF1388" s="283"/>
      <c r="AG1388" s="283"/>
      <c r="AH1388" s="283"/>
      <c r="AI1388" s="283"/>
      <c r="AJ1388" s="283"/>
      <c r="AK1388" s="283"/>
      <c r="AL1388" s="283"/>
      <c r="AM1388" s="283"/>
      <c r="AN1388" s="283"/>
      <c r="AO1388" s="283"/>
      <c r="AP1388" s="283"/>
      <c r="AQ1388" s="283"/>
      <c r="AR1388" s="283"/>
      <c r="AS1388" s="283"/>
      <c r="AT1388" s="283"/>
      <c r="AU1388" s="283"/>
      <c r="AV1388" s="283"/>
      <c r="AW1388" s="283"/>
      <c r="AX1388" s="283"/>
      <c r="AY1388" s="283"/>
      <c r="AZ1388" s="283"/>
      <c r="BA1388" s="283"/>
      <c r="BB1388" s="283"/>
      <c r="BC1388" s="283"/>
      <c r="BD1388" s="283"/>
      <c r="BE1388" s="283"/>
      <c r="BF1388" s="283"/>
      <c r="BG1388" s="283"/>
      <c r="BH1388" s="283"/>
      <c r="BI1388" s="283"/>
      <c r="BJ1388" s="283"/>
      <c r="BK1388" s="283"/>
      <c r="BL1388" s="283"/>
      <c r="BM1388" s="283"/>
      <c r="BN1388" s="283"/>
      <c r="BO1388" s="283"/>
      <c r="BP1388" s="283"/>
    </row>
    <row r="1389" spans="1:68" ht="20.100000000000001" customHeight="1">
      <c r="A1389" s="1230" t="s">
        <v>3934</v>
      </c>
      <c r="B1389" s="1230" t="s">
        <v>3733</v>
      </c>
      <c r="C1389" s="1230" t="s">
        <v>4039</v>
      </c>
      <c r="D1389" s="200">
        <f>D223+1600</f>
        <v>2325</v>
      </c>
      <c r="E1389" s="200">
        <f>E223+2200</f>
        <v>3550</v>
      </c>
      <c r="F1389" s="200">
        <f>F223+2200</f>
        <v>3600</v>
      </c>
      <c r="G1389" s="217" t="s">
        <v>51</v>
      </c>
      <c r="H1389" s="36" t="s">
        <v>729</v>
      </c>
      <c r="I1389" s="10" t="s">
        <v>3732</v>
      </c>
      <c r="J1389" s="37"/>
      <c r="K1389" s="38"/>
      <c r="L1389" s="116" t="s">
        <v>653</v>
      </c>
      <c r="M1389" s="15">
        <v>43084</v>
      </c>
      <c r="N1389" s="15">
        <v>43100</v>
      </c>
      <c r="O1389" s="61" t="s">
        <v>3292</v>
      </c>
      <c r="P1389" s="59"/>
      <c r="Q1389" s="167"/>
      <c r="R1389" s="238" t="s">
        <v>3731</v>
      </c>
      <c r="S1389" s="327" t="s">
        <v>3297</v>
      </c>
      <c r="T1389" s="722"/>
      <c r="U1389" s="42"/>
      <c r="AE1389" s="115"/>
      <c r="AF1389" s="115"/>
      <c r="AG1389" s="115"/>
      <c r="AH1389" s="115"/>
      <c r="AI1389" s="115"/>
      <c r="AJ1389" s="115"/>
      <c r="AK1389" s="115"/>
      <c r="AL1389" s="115"/>
      <c r="AM1389" s="115"/>
      <c r="AN1389" s="115"/>
      <c r="AO1389" s="115"/>
      <c r="AP1389" s="115"/>
      <c r="AQ1389" s="115"/>
      <c r="AR1389" s="115"/>
      <c r="AS1389" s="115"/>
      <c r="AT1389" s="115"/>
      <c r="AU1389" s="115"/>
      <c r="AV1389" s="115"/>
      <c r="AW1389" s="115"/>
      <c r="AX1389" s="115"/>
      <c r="AY1389" s="115"/>
      <c r="AZ1389" s="115"/>
      <c r="BA1389" s="115"/>
      <c r="BB1389" s="115"/>
      <c r="BC1389" s="115"/>
      <c r="BD1389" s="115"/>
      <c r="BE1389" s="115"/>
      <c r="BF1389" s="115"/>
      <c r="BG1389" s="115"/>
      <c r="BH1389" s="115"/>
      <c r="BI1389" s="115"/>
      <c r="BJ1389" s="115"/>
      <c r="BK1389" s="115"/>
      <c r="BL1389" s="115"/>
      <c r="BM1389" s="115"/>
      <c r="BN1389" s="115"/>
      <c r="BO1389" s="115"/>
      <c r="BP1389" s="115"/>
    </row>
    <row r="1390" spans="1:68" ht="20.100000000000001" customHeight="1">
      <c r="A1390" s="1230" t="s">
        <v>3934</v>
      </c>
      <c r="B1390" s="1230" t="s">
        <v>3733</v>
      </c>
      <c r="C1390" s="1230" t="s">
        <v>4039</v>
      </c>
      <c r="D1390" s="195">
        <f>D1389+179*1.2</f>
        <v>2539.8000000000002</v>
      </c>
      <c r="E1390" s="195">
        <f>E1389+179*1.2</f>
        <v>3764.8</v>
      </c>
      <c r="F1390" s="195">
        <f>F1389+179*1.2</f>
        <v>3814.8</v>
      </c>
      <c r="G1390" s="217" t="s">
        <v>51</v>
      </c>
      <c r="H1390" s="36" t="s">
        <v>729</v>
      </c>
      <c r="I1390" s="10" t="s">
        <v>4038</v>
      </c>
      <c r="J1390" s="37" t="s">
        <v>4037</v>
      </c>
      <c r="K1390" s="38"/>
      <c r="L1390" s="116" t="s">
        <v>653</v>
      </c>
      <c r="M1390" s="15">
        <v>43084</v>
      </c>
      <c r="N1390" s="15">
        <v>43100</v>
      </c>
      <c r="O1390" s="61" t="s">
        <v>3292</v>
      </c>
      <c r="P1390" s="59"/>
      <c r="Q1390" s="61" t="s">
        <v>100</v>
      </c>
      <c r="R1390" s="238" t="s">
        <v>3731</v>
      </c>
      <c r="S1390" s="327" t="s">
        <v>3297</v>
      </c>
      <c r="T1390" s="722"/>
      <c r="U1390" s="42"/>
      <c r="AE1390" s="115"/>
      <c r="AF1390" s="115"/>
      <c r="AG1390" s="115"/>
      <c r="AH1390" s="115"/>
      <c r="AI1390" s="115"/>
      <c r="AJ1390" s="115"/>
      <c r="AK1390" s="115"/>
      <c r="AL1390" s="115"/>
      <c r="AM1390" s="115"/>
      <c r="AN1390" s="115"/>
      <c r="AO1390" s="115"/>
      <c r="AP1390" s="115"/>
      <c r="AQ1390" s="115"/>
      <c r="AR1390" s="115"/>
      <c r="AS1390" s="115"/>
      <c r="AT1390" s="115"/>
      <c r="AU1390" s="115"/>
      <c r="AV1390" s="115"/>
      <c r="AW1390" s="115"/>
      <c r="AX1390" s="115"/>
      <c r="AY1390" s="115"/>
      <c r="AZ1390" s="115"/>
      <c r="BA1390" s="115"/>
      <c r="BB1390" s="115"/>
      <c r="BC1390" s="115"/>
      <c r="BD1390" s="115"/>
      <c r="BE1390" s="115"/>
      <c r="BF1390" s="115"/>
      <c r="BG1390" s="115"/>
      <c r="BH1390" s="115"/>
      <c r="BI1390" s="115"/>
      <c r="BJ1390" s="115"/>
      <c r="BK1390" s="115"/>
      <c r="BL1390" s="115"/>
      <c r="BM1390" s="115"/>
      <c r="BN1390" s="115"/>
      <c r="BO1390" s="115"/>
      <c r="BP1390" s="115"/>
    </row>
    <row r="1391" spans="1:68" ht="20.100000000000001" customHeight="1">
      <c r="A1391" s="912" t="s">
        <v>3934</v>
      </c>
      <c r="B1391" s="912" t="s">
        <v>3733</v>
      </c>
      <c r="C1391" s="912" t="s">
        <v>4036</v>
      </c>
      <c r="D1391" s="200">
        <f>D266+450</f>
        <v>1175</v>
      </c>
      <c r="E1391" s="200">
        <f>E266+750</f>
        <v>2100</v>
      </c>
      <c r="F1391" s="200">
        <f>F266+750</f>
        <v>2150</v>
      </c>
      <c r="G1391" s="217" t="s">
        <v>51</v>
      </c>
      <c r="H1391" s="55" t="s">
        <v>721</v>
      </c>
      <c r="I1391" s="10" t="s">
        <v>3293</v>
      </c>
      <c r="J1391" s="38"/>
      <c r="K1391" s="38"/>
      <c r="L1391" s="116" t="s">
        <v>653</v>
      </c>
      <c r="M1391" s="15">
        <v>43084</v>
      </c>
      <c r="N1391" s="15">
        <v>43100</v>
      </c>
      <c r="O1391" s="61" t="s">
        <v>3292</v>
      </c>
      <c r="P1391" s="59"/>
      <c r="Q1391" s="167"/>
      <c r="R1391" s="239" t="s">
        <v>2573</v>
      </c>
      <c r="S1391" s="327" t="s">
        <v>3297</v>
      </c>
      <c r="T1391" s="722"/>
      <c r="U1391" s="42"/>
      <c r="AE1391" s="115"/>
      <c r="AF1391" s="115"/>
      <c r="AG1391" s="115"/>
      <c r="AH1391" s="115"/>
      <c r="AI1391" s="115"/>
      <c r="AJ1391" s="115"/>
      <c r="AK1391" s="115"/>
      <c r="AL1391" s="115"/>
      <c r="AM1391" s="115"/>
      <c r="AN1391" s="115"/>
      <c r="AO1391" s="115"/>
      <c r="AP1391" s="115"/>
      <c r="AQ1391" s="115"/>
      <c r="AR1391" s="115"/>
      <c r="AS1391" s="115"/>
      <c r="AT1391" s="115"/>
      <c r="AU1391" s="115"/>
      <c r="AV1391" s="115"/>
      <c r="AW1391" s="115"/>
      <c r="AX1391" s="115"/>
      <c r="AY1391" s="115"/>
      <c r="AZ1391" s="115"/>
      <c r="BA1391" s="115"/>
      <c r="BB1391" s="115"/>
      <c r="BC1391" s="115"/>
      <c r="BD1391" s="115"/>
      <c r="BE1391" s="115"/>
      <c r="BF1391" s="115"/>
      <c r="BG1391" s="115"/>
      <c r="BH1391" s="115"/>
      <c r="BI1391" s="115"/>
      <c r="BJ1391" s="115"/>
      <c r="BK1391" s="115"/>
      <c r="BL1391" s="115"/>
      <c r="BM1391" s="115"/>
      <c r="BN1391" s="115"/>
      <c r="BO1391" s="115"/>
      <c r="BP1391" s="115"/>
    </row>
    <row r="1392" spans="1:68" ht="20.100000000000001" customHeight="1">
      <c r="A1392" s="912" t="s">
        <v>3934</v>
      </c>
      <c r="B1392" s="912" t="s">
        <v>3733</v>
      </c>
      <c r="C1392" s="907" t="s">
        <v>4035</v>
      </c>
      <c r="D1392" s="247"/>
      <c r="E1392" s="247"/>
      <c r="F1392" s="247"/>
      <c r="G1392" s="217" t="s">
        <v>5</v>
      </c>
      <c r="H1392" s="22" t="s">
        <v>729</v>
      </c>
      <c r="I1392" s="10" t="s">
        <v>3732</v>
      </c>
      <c r="J1392" s="38"/>
      <c r="K1392" s="38" t="s">
        <v>722</v>
      </c>
      <c r="L1392" s="116" t="s">
        <v>653</v>
      </c>
      <c r="M1392" s="15">
        <v>43054</v>
      </c>
      <c r="N1392" s="15">
        <v>43076</v>
      </c>
      <c r="O1392" s="61" t="s">
        <v>3292</v>
      </c>
      <c r="P1392" s="61"/>
      <c r="Q1392" s="167"/>
      <c r="R1392" s="238" t="s">
        <v>2568</v>
      </c>
      <c r="S1392" s="327" t="s">
        <v>3303</v>
      </c>
      <c r="T1392" s="722"/>
      <c r="U1392" s="42"/>
      <c r="AE1392" s="115"/>
      <c r="AF1392" s="115"/>
      <c r="AG1392" s="115"/>
      <c r="AH1392" s="115"/>
      <c r="AI1392" s="115"/>
      <c r="AJ1392" s="115"/>
      <c r="AK1392" s="115"/>
      <c r="AL1392" s="115"/>
      <c r="AM1392" s="115"/>
      <c r="AN1392" s="115"/>
      <c r="AO1392" s="115"/>
      <c r="AP1392" s="115"/>
      <c r="AQ1392" s="115"/>
      <c r="AR1392" s="115"/>
      <c r="AS1392" s="115"/>
      <c r="AT1392" s="115"/>
      <c r="AU1392" s="115"/>
      <c r="AV1392" s="115"/>
      <c r="AW1392" s="115"/>
      <c r="AX1392" s="115"/>
      <c r="AY1392" s="115"/>
      <c r="AZ1392" s="115"/>
      <c r="BA1392" s="115"/>
      <c r="BB1392" s="115"/>
      <c r="BC1392" s="115"/>
      <c r="BD1392" s="115"/>
      <c r="BE1392" s="115"/>
      <c r="BF1392" s="115"/>
      <c r="BG1392" s="115"/>
      <c r="BH1392" s="115"/>
      <c r="BI1392" s="115"/>
      <c r="BJ1392" s="115"/>
      <c r="BK1392" s="115"/>
      <c r="BL1392" s="115"/>
      <c r="BM1392" s="115"/>
      <c r="BN1392" s="115"/>
      <c r="BO1392" s="115"/>
      <c r="BP1392" s="115"/>
    </row>
    <row r="1393" spans="1:68" ht="20.100000000000001" customHeight="1">
      <c r="A1393" s="1232" t="s">
        <v>3934</v>
      </c>
      <c r="B1393" s="1232" t="s">
        <v>3733</v>
      </c>
      <c r="C1393" s="1232" t="s">
        <v>4034</v>
      </c>
      <c r="D1393" s="197">
        <f>D240+1200</f>
        <v>1925</v>
      </c>
      <c r="E1393" s="197">
        <f>E240+1900</f>
        <v>3250</v>
      </c>
      <c r="F1393" s="197">
        <f>F240+1900</f>
        <v>3300</v>
      </c>
      <c r="G1393" s="217" t="s">
        <v>51</v>
      </c>
      <c r="H1393" s="55" t="s">
        <v>633</v>
      </c>
      <c r="I1393" s="38" t="s">
        <v>3304</v>
      </c>
      <c r="J1393" s="30"/>
      <c r="K1393" s="38"/>
      <c r="L1393" s="116" t="s">
        <v>653</v>
      </c>
      <c r="M1393" s="15">
        <v>43084</v>
      </c>
      <c r="N1393" s="15">
        <v>43100</v>
      </c>
      <c r="O1393" s="61" t="s">
        <v>3292</v>
      </c>
      <c r="P1393" s="61"/>
      <c r="Q1393" s="7"/>
      <c r="R1393" s="238" t="s">
        <v>4020</v>
      </c>
      <c r="S1393" s="327" t="s">
        <v>3297</v>
      </c>
      <c r="T1393" s="722"/>
      <c r="U1393" s="42"/>
      <c r="AE1393" s="115"/>
      <c r="AF1393" s="115"/>
      <c r="AG1393" s="115"/>
      <c r="AH1393" s="115"/>
      <c r="AI1393" s="115"/>
      <c r="AJ1393" s="115"/>
      <c r="AK1393" s="115"/>
      <c r="AL1393" s="115"/>
      <c r="AM1393" s="115"/>
      <c r="AN1393" s="115"/>
      <c r="AO1393" s="115"/>
      <c r="AP1393" s="115"/>
      <c r="AQ1393" s="115"/>
      <c r="AR1393" s="115"/>
      <c r="AS1393" s="115"/>
      <c r="AT1393" s="115"/>
      <c r="AU1393" s="115"/>
      <c r="AV1393" s="115"/>
      <c r="AW1393" s="115"/>
      <c r="AX1393" s="115"/>
      <c r="AY1393" s="115"/>
      <c r="AZ1393" s="115"/>
      <c r="BA1393" s="115"/>
      <c r="BB1393" s="115"/>
      <c r="BC1393" s="115"/>
      <c r="BD1393" s="115"/>
      <c r="BE1393" s="115"/>
      <c r="BF1393" s="115"/>
      <c r="BG1393" s="115"/>
      <c r="BH1393" s="115"/>
      <c r="BI1393" s="115"/>
      <c r="BJ1393" s="115"/>
      <c r="BK1393" s="115"/>
      <c r="BL1393" s="115"/>
      <c r="BM1393" s="115"/>
      <c r="BN1393" s="115"/>
      <c r="BO1393" s="115"/>
      <c r="BP1393" s="115"/>
    </row>
    <row r="1394" spans="1:68" ht="20.100000000000001" customHeight="1">
      <c r="A1394" s="1232" t="s">
        <v>3934</v>
      </c>
      <c r="B1394" s="1232" t="s">
        <v>3733</v>
      </c>
      <c r="C1394" s="1232" t="s">
        <v>4034</v>
      </c>
      <c r="D1394" s="258">
        <f>D232+725</f>
        <v>1375</v>
      </c>
      <c r="E1394" s="258">
        <f>E232+1500</f>
        <v>2800</v>
      </c>
      <c r="F1394" s="258">
        <f>F232+1500</f>
        <v>2850</v>
      </c>
      <c r="G1394" s="110" t="s">
        <v>31</v>
      </c>
      <c r="H1394" s="56" t="s">
        <v>631</v>
      </c>
      <c r="I1394" s="38" t="s">
        <v>3304</v>
      </c>
      <c r="J1394" s="30"/>
      <c r="K1394" s="38">
        <v>31</v>
      </c>
      <c r="L1394" s="116" t="s">
        <v>653</v>
      </c>
      <c r="M1394" s="6">
        <v>43085</v>
      </c>
      <c r="N1394" s="6">
        <v>43100</v>
      </c>
      <c r="O1394" s="61" t="s">
        <v>3292</v>
      </c>
      <c r="P1394" s="61"/>
      <c r="Q1394" s="61"/>
      <c r="R1394" s="239" t="s">
        <v>3729</v>
      </c>
      <c r="S1394" s="328" t="s">
        <v>1176</v>
      </c>
      <c r="T1394" s="722"/>
      <c r="U1394" s="42"/>
      <c r="AE1394" s="115"/>
      <c r="AF1394" s="115"/>
      <c r="AG1394" s="115"/>
      <c r="AH1394" s="115"/>
      <c r="AI1394" s="115"/>
      <c r="AJ1394" s="115"/>
      <c r="AK1394" s="115"/>
      <c r="AL1394" s="115"/>
      <c r="AM1394" s="115"/>
      <c r="AN1394" s="115"/>
      <c r="AO1394" s="115"/>
      <c r="AP1394" s="115"/>
      <c r="AQ1394" s="115"/>
      <c r="AR1394" s="115"/>
      <c r="AS1394" s="115"/>
      <c r="AT1394" s="115"/>
      <c r="AU1394" s="115"/>
      <c r="AV1394" s="115"/>
      <c r="AW1394" s="115"/>
      <c r="AX1394" s="115"/>
      <c r="AY1394" s="115"/>
      <c r="AZ1394" s="115"/>
      <c r="BA1394" s="115"/>
      <c r="BB1394" s="115"/>
      <c r="BC1394" s="115"/>
      <c r="BD1394" s="115"/>
      <c r="BE1394" s="115"/>
      <c r="BF1394" s="115"/>
      <c r="BG1394" s="115"/>
      <c r="BH1394" s="115"/>
      <c r="BI1394" s="115"/>
      <c r="BJ1394" s="115"/>
      <c r="BK1394" s="115"/>
      <c r="BL1394" s="115"/>
      <c r="BM1394" s="115"/>
      <c r="BN1394" s="115"/>
      <c r="BO1394" s="115"/>
      <c r="BP1394" s="115"/>
    </row>
    <row r="1395" spans="1:68" ht="20.100000000000001" customHeight="1">
      <c r="A1395" s="1232" t="s">
        <v>3934</v>
      </c>
      <c r="B1395" s="1232" t="s">
        <v>3733</v>
      </c>
      <c r="C1395" s="1232" t="s">
        <v>4034</v>
      </c>
      <c r="D1395" s="861">
        <v>1300</v>
      </c>
      <c r="E1395" s="861">
        <v>2500</v>
      </c>
      <c r="F1395" s="861">
        <v>2500</v>
      </c>
      <c r="G1395" s="70" t="s">
        <v>18</v>
      </c>
      <c r="H1395" s="36" t="s">
        <v>721</v>
      </c>
      <c r="I1395" s="51" t="s">
        <v>3293</v>
      </c>
      <c r="J1395" s="34"/>
      <c r="K1395" s="20" t="s">
        <v>764</v>
      </c>
      <c r="L1395" s="118" t="s">
        <v>653</v>
      </c>
      <c r="M1395" s="6">
        <v>43070</v>
      </c>
      <c r="N1395" s="6">
        <v>43100</v>
      </c>
      <c r="O1395" s="61" t="s">
        <v>3292</v>
      </c>
      <c r="P1395" s="59"/>
      <c r="Q1395" s="167"/>
      <c r="R1395" s="238" t="s">
        <v>3306</v>
      </c>
      <c r="S1395" s="328" t="s">
        <v>1176</v>
      </c>
      <c r="T1395" s="722"/>
      <c r="U1395" s="42"/>
      <c r="AE1395" s="115"/>
      <c r="AF1395" s="115"/>
      <c r="AG1395" s="115"/>
      <c r="AH1395" s="115"/>
      <c r="AI1395" s="115"/>
      <c r="AJ1395" s="115"/>
      <c r="AK1395" s="115"/>
      <c r="AL1395" s="115"/>
      <c r="AM1395" s="115"/>
      <c r="AN1395" s="115"/>
      <c r="AO1395" s="115"/>
      <c r="AP1395" s="115"/>
      <c r="AQ1395" s="115"/>
      <c r="AR1395" s="115"/>
      <c r="AS1395" s="115"/>
      <c r="AT1395" s="115"/>
      <c r="AU1395" s="115"/>
      <c r="AV1395" s="115"/>
      <c r="AW1395" s="115"/>
      <c r="AX1395" s="115"/>
      <c r="AY1395" s="115"/>
      <c r="AZ1395" s="115"/>
      <c r="BA1395" s="115"/>
      <c r="BB1395" s="115"/>
      <c r="BC1395" s="115"/>
      <c r="BD1395" s="115"/>
      <c r="BE1395" s="115"/>
      <c r="BF1395" s="115"/>
      <c r="BG1395" s="115"/>
      <c r="BH1395" s="115"/>
      <c r="BI1395" s="115"/>
      <c r="BJ1395" s="115"/>
      <c r="BK1395" s="115"/>
      <c r="BL1395" s="115"/>
      <c r="BM1395" s="115"/>
      <c r="BN1395" s="115"/>
      <c r="BO1395" s="115"/>
      <c r="BP1395" s="115"/>
    </row>
    <row r="1396" spans="1:68" ht="20.100000000000001" customHeight="1">
      <c r="A1396" s="910" t="s">
        <v>3934</v>
      </c>
      <c r="B1396" s="910" t="s">
        <v>3733</v>
      </c>
      <c r="C1396" s="910" t="s">
        <v>4033</v>
      </c>
      <c r="D1396" s="201"/>
      <c r="E1396" s="201"/>
      <c r="F1396" s="201"/>
      <c r="G1396" s="234" t="s">
        <v>5</v>
      </c>
      <c r="H1396" s="22" t="s">
        <v>729</v>
      </c>
      <c r="I1396" s="10" t="s">
        <v>3732</v>
      </c>
      <c r="J1396" s="38"/>
      <c r="K1396" s="38">
        <v>38</v>
      </c>
      <c r="L1396" s="116" t="s">
        <v>653</v>
      </c>
      <c r="M1396" s="15">
        <v>43054</v>
      </c>
      <c r="N1396" s="15">
        <v>43076</v>
      </c>
      <c r="O1396" s="61" t="s">
        <v>3292</v>
      </c>
      <c r="P1396" s="61"/>
      <c r="Q1396" s="167"/>
      <c r="R1396" s="238" t="s">
        <v>2568</v>
      </c>
      <c r="S1396" s="327" t="s">
        <v>3303</v>
      </c>
      <c r="T1396" s="722"/>
      <c r="U1396" s="42"/>
      <c r="AE1396" s="115"/>
      <c r="AF1396" s="115"/>
      <c r="AG1396" s="115"/>
      <c r="AH1396" s="115"/>
      <c r="AI1396" s="115"/>
      <c r="AJ1396" s="115"/>
      <c r="AK1396" s="115"/>
      <c r="AL1396" s="115"/>
      <c r="AM1396" s="115"/>
      <c r="AN1396" s="115"/>
      <c r="AO1396" s="115"/>
      <c r="AP1396" s="115"/>
      <c r="AQ1396" s="115"/>
      <c r="AR1396" s="115"/>
      <c r="AS1396" s="115"/>
      <c r="AT1396" s="115"/>
      <c r="AU1396" s="115"/>
      <c r="AV1396" s="115"/>
      <c r="AW1396" s="115"/>
      <c r="AX1396" s="115"/>
      <c r="AY1396" s="115"/>
      <c r="AZ1396" s="115"/>
      <c r="BA1396" s="115"/>
      <c r="BB1396" s="115"/>
      <c r="BC1396" s="115"/>
      <c r="BD1396" s="115"/>
      <c r="BE1396" s="115"/>
      <c r="BF1396" s="115"/>
      <c r="BG1396" s="115"/>
      <c r="BH1396" s="115"/>
      <c r="BI1396" s="115"/>
      <c r="BJ1396" s="115"/>
      <c r="BK1396" s="115"/>
      <c r="BL1396" s="115"/>
      <c r="BM1396" s="115"/>
      <c r="BN1396" s="115"/>
      <c r="BO1396" s="115"/>
      <c r="BP1396" s="115"/>
    </row>
    <row r="1397" spans="1:68" ht="20.100000000000001" customHeight="1">
      <c r="A1397" s="1228" t="s">
        <v>3919</v>
      </c>
      <c r="B1397" s="1228" t="s">
        <v>3733</v>
      </c>
      <c r="C1397" s="1228" t="s">
        <v>4032</v>
      </c>
      <c r="D1397" s="263">
        <f>D265+100</f>
        <v>750</v>
      </c>
      <c r="E1397" s="263">
        <f>E265+200</f>
        <v>1300</v>
      </c>
      <c r="F1397" s="263">
        <f>F265+200</f>
        <v>1350</v>
      </c>
      <c r="G1397" s="217" t="s">
        <v>5</v>
      </c>
      <c r="H1397" s="36" t="s">
        <v>721</v>
      </c>
      <c r="I1397" s="10" t="s">
        <v>3293</v>
      </c>
      <c r="J1397" s="30"/>
      <c r="K1397" s="38" t="s">
        <v>835</v>
      </c>
      <c r="L1397" s="116" t="s">
        <v>653</v>
      </c>
      <c r="M1397" s="15">
        <v>43054</v>
      </c>
      <c r="N1397" s="15">
        <v>43076</v>
      </c>
      <c r="O1397" s="61" t="s">
        <v>3292</v>
      </c>
      <c r="P1397" s="71"/>
      <c r="Q1397" s="167"/>
      <c r="R1397" s="238" t="s">
        <v>3305</v>
      </c>
      <c r="S1397" s="327" t="s">
        <v>3303</v>
      </c>
      <c r="T1397" s="722"/>
      <c r="U1397" s="42"/>
      <c r="AE1397" s="115"/>
      <c r="AF1397" s="115"/>
      <c r="AG1397" s="115"/>
      <c r="AH1397" s="115"/>
      <c r="AI1397" s="115"/>
      <c r="AJ1397" s="115"/>
      <c r="AK1397" s="115"/>
      <c r="AL1397" s="115"/>
      <c r="AM1397" s="115"/>
      <c r="AN1397" s="115"/>
      <c r="AO1397" s="115"/>
      <c r="AP1397" s="115"/>
      <c r="AQ1397" s="115"/>
      <c r="AR1397" s="115"/>
      <c r="AS1397" s="115"/>
      <c r="AT1397" s="115"/>
      <c r="AU1397" s="115"/>
      <c r="AV1397" s="115"/>
      <c r="AW1397" s="115"/>
      <c r="AX1397" s="115"/>
      <c r="AY1397" s="115"/>
      <c r="AZ1397" s="115"/>
      <c r="BA1397" s="115"/>
      <c r="BB1397" s="115"/>
      <c r="BC1397" s="115"/>
      <c r="BD1397" s="115"/>
      <c r="BE1397" s="115"/>
      <c r="BF1397" s="115"/>
      <c r="BG1397" s="115"/>
      <c r="BH1397" s="115"/>
      <c r="BI1397" s="115"/>
      <c r="BJ1397" s="115"/>
      <c r="BK1397" s="115"/>
      <c r="BL1397" s="115"/>
      <c r="BM1397" s="115"/>
      <c r="BN1397" s="115"/>
      <c r="BO1397" s="115"/>
      <c r="BP1397" s="115"/>
    </row>
    <row r="1398" spans="1:68" ht="20.100000000000001" customHeight="1">
      <c r="A1398" s="1228" t="s">
        <v>3919</v>
      </c>
      <c r="B1398" s="1228" t="s">
        <v>3733</v>
      </c>
      <c r="C1398" s="1228" t="s">
        <v>4032</v>
      </c>
      <c r="D1398" s="195">
        <f>D266+600</f>
        <v>1325</v>
      </c>
      <c r="E1398" s="195">
        <f>E266+1000</f>
        <v>2350</v>
      </c>
      <c r="F1398" s="195">
        <f>F266+1000</f>
        <v>2400</v>
      </c>
      <c r="G1398" s="217" t="s">
        <v>51</v>
      </c>
      <c r="H1398" s="55" t="s">
        <v>721</v>
      </c>
      <c r="I1398" s="10" t="s">
        <v>3293</v>
      </c>
      <c r="J1398" s="37"/>
      <c r="K1398" s="38"/>
      <c r="L1398" s="116" t="s">
        <v>653</v>
      </c>
      <c r="M1398" s="15">
        <v>43084</v>
      </c>
      <c r="N1398" s="15">
        <v>43100</v>
      </c>
      <c r="O1398" s="61" t="s">
        <v>3292</v>
      </c>
      <c r="P1398" s="71"/>
      <c r="Q1398" s="167"/>
      <c r="R1398" s="239" t="s">
        <v>2573</v>
      </c>
      <c r="S1398" s="327" t="s">
        <v>3297</v>
      </c>
      <c r="T1398" s="722"/>
      <c r="U1398" s="42"/>
      <c r="AE1398" s="115"/>
      <c r="AF1398" s="115"/>
      <c r="AG1398" s="115"/>
      <c r="AH1398" s="115"/>
      <c r="AI1398" s="115"/>
      <c r="AJ1398" s="115"/>
      <c r="AK1398" s="115"/>
      <c r="AL1398" s="115"/>
      <c r="AM1398" s="115"/>
      <c r="AN1398" s="115"/>
      <c r="AO1398" s="115"/>
      <c r="AP1398" s="115"/>
      <c r="AQ1398" s="115"/>
      <c r="AR1398" s="115"/>
      <c r="AS1398" s="115"/>
      <c r="AT1398" s="115"/>
      <c r="AU1398" s="115"/>
      <c r="AV1398" s="115"/>
      <c r="AW1398" s="115"/>
      <c r="AX1398" s="115"/>
      <c r="AY1398" s="115"/>
      <c r="AZ1398" s="115"/>
      <c r="BA1398" s="115"/>
      <c r="BB1398" s="115"/>
      <c r="BC1398" s="115"/>
      <c r="BD1398" s="115"/>
      <c r="BE1398" s="115"/>
      <c r="BF1398" s="115"/>
      <c r="BG1398" s="115"/>
      <c r="BH1398" s="115"/>
      <c r="BI1398" s="115"/>
      <c r="BJ1398" s="115"/>
      <c r="BK1398" s="115"/>
      <c r="BL1398" s="115"/>
      <c r="BM1398" s="115"/>
      <c r="BN1398" s="115"/>
      <c r="BO1398" s="115"/>
      <c r="BP1398" s="115"/>
    </row>
    <row r="1399" spans="1:68" ht="20.100000000000001" customHeight="1">
      <c r="A1399" s="1228" t="s">
        <v>3919</v>
      </c>
      <c r="B1399" s="1228" t="s">
        <v>3733</v>
      </c>
      <c r="C1399" s="1228" t="s">
        <v>4032</v>
      </c>
      <c r="D1399" s="273">
        <f>D247+1190+25</f>
        <v>1740</v>
      </c>
      <c r="E1399" s="273">
        <f>E247+1805+50</f>
        <v>2805</v>
      </c>
      <c r="F1399" s="273">
        <f>F247+1805+50</f>
        <v>2855</v>
      </c>
      <c r="G1399" s="110" t="s">
        <v>19</v>
      </c>
      <c r="H1399" s="48" t="s">
        <v>1315</v>
      </c>
      <c r="I1399" s="38" t="s">
        <v>3732</v>
      </c>
      <c r="J1399" s="37"/>
      <c r="K1399" s="38"/>
      <c r="L1399" s="116" t="s">
        <v>653</v>
      </c>
      <c r="M1399" s="15">
        <v>43073</v>
      </c>
      <c r="N1399" s="15">
        <v>43100</v>
      </c>
      <c r="O1399" s="59" t="s">
        <v>2440</v>
      </c>
      <c r="P1399" s="61"/>
      <c r="Q1399" s="7"/>
      <c r="R1399" s="21" t="s">
        <v>3736</v>
      </c>
      <c r="S1399" s="327" t="s">
        <v>3423</v>
      </c>
      <c r="T1399" s="722"/>
      <c r="U1399" s="42"/>
      <c r="AE1399" s="115"/>
      <c r="AF1399" s="115"/>
      <c r="AG1399" s="115"/>
      <c r="AH1399" s="115"/>
      <c r="AI1399" s="115"/>
      <c r="AJ1399" s="115"/>
      <c r="AK1399" s="115"/>
      <c r="AL1399" s="115"/>
      <c r="AM1399" s="115"/>
      <c r="AN1399" s="115"/>
      <c r="AO1399" s="115"/>
      <c r="AP1399" s="115"/>
      <c r="AQ1399" s="115"/>
      <c r="AR1399" s="115"/>
      <c r="AS1399" s="115"/>
      <c r="AT1399" s="115"/>
      <c r="AU1399" s="115"/>
      <c r="AV1399" s="115"/>
      <c r="AW1399" s="115"/>
      <c r="AX1399" s="115"/>
      <c r="AY1399" s="115"/>
      <c r="AZ1399" s="115"/>
      <c r="BA1399" s="115"/>
      <c r="BB1399" s="115"/>
      <c r="BC1399" s="115"/>
      <c r="BD1399" s="115"/>
      <c r="BE1399" s="115"/>
      <c r="BF1399" s="115"/>
      <c r="BG1399" s="115"/>
      <c r="BH1399" s="115"/>
      <c r="BI1399" s="115"/>
      <c r="BJ1399" s="115"/>
      <c r="BK1399" s="115"/>
      <c r="BL1399" s="115"/>
      <c r="BM1399" s="115"/>
      <c r="BN1399" s="115"/>
      <c r="BO1399" s="115"/>
      <c r="BP1399" s="115"/>
    </row>
    <row r="1400" spans="1:68" ht="20.100000000000001" customHeight="1">
      <c r="A1400" s="1228" t="s">
        <v>3919</v>
      </c>
      <c r="B1400" s="1228" t="s">
        <v>3733</v>
      </c>
      <c r="C1400" s="1228" t="s">
        <v>4032</v>
      </c>
      <c r="D1400" s="195">
        <f>D219+100</f>
        <v>750</v>
      </c>
      <c r="E1400" s="195">
        <f>E219+200</f>
        <v>1500</v>
      </c>
      <c r="F1400" s="195">
        <f>F219+200</f>
        <v>1550</v>
      </c>
      <c r="G1400" s="110" t="s">
        <v>31</v>
      </c>
      <c r="H1400" s="56" t="s">
        <v>631</v>
      </c>
      <c r="I1400" s="38" t="s">
        <v>3304</v>
      </c>
      <c r="J1400" s="37"/>
      <c r="K1400" s="38">
        <v>38</v>
      </c>
      <c r="L1400" s="116" t="s">
        <v>653</v>
      </c>
      <c r="M1400" s="6">
        <v>43085</v>
      </c>
      <c r="N1400" s="6">
        <v>43100</v>
      </c>
      <c r="O1400" s="61" t="s">
        <v>3292</v>
      </c>
      <c r="P1400" s="61"/>
      <c r="Q1400" s="61"/>
      <c r="R1400" s="239" t="s">
        <v>3729</v>
      </c>
      <c r="S1400" s="328" t="s">
        <v>1176</v>
      </c>
      <c r="T1400" s="722"/>
      <c r="U1400" s="42"/>
      <c r="AE1400" s="115"/>
      <c r="AF1400" s="115"/>
      <c r="AG1400" s="115"/>
      <c r="AH1400" s="115"/>
      <c r="AI1400" s="115"/>
      <c r="AJ1400" s="115"/>
      <c r="AK1400" s="115"/>
      <c r="AL1400" s="115"/>
      <c r="AM1400" s="115"/>
      <c r="AN1400" s="115"/>
      <c r="AO1400" s="115"/>
      <c r="AP1400" s="115"/>
      <c r="AQ1400" s="115"/>
      <c r="AR1400" s="115"/>
      <c r="AS1400" s="115"/>
      <c r="AT1400" s="115"/>
      <c r="AU1400" s="115"/>
      <c r="AV1400" s="115"/>
      <c r="AW1400" s="115"/>
      <c r="AX1400" s="115"/>
      <c r="AY1400" s="115"/>
      <c r="AZ1400" s="115"/>
      <c r="BA1400" s="115"/>
      <c r="BB1400" s="115"/>
      <c r="BC1400" s="115"/>
      <c r="BD1400" s="115"/>
      <c r="BE1400" s="115"/>
      <c r="BF1400" s="115"/>
      <c r="BG1400" s="115"/>
      <c r="BH1400" s="115"/>
      <c r="BI1400" s="115"/>
      <c r="BJ1400" s="115"/>
      <c r="BK1400" s="115"/>
      <c r="BL1400" s="115"/>
      <c r="BM1400" s="115"/>
      <c r="BN1400" s="115"/>
      <c r="BO1400" s="115"/>
      <c r="BP1400" s="115"/>
    </row>
    <row r="1401" spans="1:68" ht="20.100000000000001" customHeight="1">
      <c r="A1401" s="1228" t="s">
        <v>3919</v>
      </c>
      <c r="B1401" s="1228" t="s">
        <v>3733</v>
      </c>
      <c r="C1401" s="1228" t="s">
        <v>4032</v>
      </c>
      <c r="D1401" s="247">
        <v>650</v>
      </c>
      <c r="E1401" s="247">
        <v>1200</v>
      </c>
      <c r="F1401" s="247">
        <v>1200</v>
      </c>
      <c r="G1401" s="65" t="s">
        <v>18</v>
      </c>
      <c r="H1401" s="36" t="s">
        <v>721</v>
      </c>
      <c r="I1401" s="51" t="s">
        <v>3293</v>
      </c>
      <c r="J1401" s="34"/>
      <c r="K1401" s="20" t="s">
        <v>683</v>
      </c>
      <c r="L1401" s="118" t="s">
        <v>653</v>
      </c>
      <c r="M1401" s="6">
        <v>43070</v>
      </c>
      <c r="N1401" s="6">
        <v>43100</v>
      </c>
      <c r="O1401" s="61" t="s">
        <v>3292</v>
      </c>
      <c r="P1401" s="59"/>
      <c r="Q1401" s="167"/>
      <c r="R1401" s="238" t="s">
        <v>3306</v>
      </c>
      <c r="S1401" s="328" t="s">
        <v>1176</v>
      </c>
      <c r="T1401" s="722"/>
      <c r="U1401" s="42"/>
      <c r="AE1401" s="115"/>
      <c r="AF1401" s="115"/>
      <c r="AG1401" s="115"/>
      <c r="AH1401" s="115"/>
      <c r="AI1401" s="115"/>
      <c r="AJ1401" s="115"/>
      <c r="AK1401" s="115"/>
      <c r="AL1401" s="115"/>
      <c r="AM1401" s="115"/>
      <c r="AN1401" s="115"/>
      <c r="AO1401" s="115"/>
      <c r="AP1401" s="115"/>
      <c r="AQ1401" s="115"/>
      <c r="AR1401" s="115"/>
      <c r="AS1401" s="115"/>
      <c r="AT1401" s="115"/>
      <c r="AU1401" s="115"/>
      <c r="AV1401" s="115"/>
      <c r="AW1401" s="115"/>
      <c r="AX1401" s="115"/>
      <c r="AY1401" s="115"/>
      <c r="AZ1401" s="115"/>
      <c r="BA1401" s="115"/>
      <c r="BB1401" s="115"/>
      <c r="BC1401" s="115"/>
      <c r="BD1401" s="115"/>
      <c r="BE1401" s="115"/>
      <c r="BF1401" s="115"/>
      <c r="BG1401" s="115"/>
      <c r="BH1401" s="115"/>
      <c r="BI1401" s="115"/>
      <c r="BJ1401" s="115"/>
      <c r="BK1401" s="115"/>
      <c r="BL1401" s="115"/>
      <c r="BM1401" s="115"/>
      <c r="BN1401" s="115"/>
      <c r="BO1401" s="115"/>
      <c r="BP1401" s="115"/>
    </row>
    <row r="1402" spans="1:68" ht="20.100000000000001" customHeight="1">
      <c r="A1402" s="912" t="s">
        <v>3934</v>
      </c>
      <c r="B1402" s="912" t="s">
        <v>3733</v>
      </c>
      <c r="C1402" s="907" t="s">
        <v>4031</v>
      </c>
      <c r="D1402" s="195">
        <f>D266+388*1.2</f>
        <v>1190.5999999999999</v>
      </c>
      <c r="E1402" s="195">
        <f>E266+388*1.2</f>
        <v>1815.6</v>
      </c>
      <c r="F1402" s="195">
        <f>F266+388*1.2</f>
        <v>1865.6</v>
      </c>
      <c r="G1402" s="217" t="s">
        <v>51</v>
      </c>
      <c r="H1402" s="55" t="s">
        <v>721</v>
      </c>
      <c r="I1402" s="10" t="s">
        <v>3293</v>
      </c>
      <c r="J1402" s="37" t="s">
        <v>4030</v>
      </c>
      <c r="K1402" s="38"/>
      <c r="L1402" s="116" t="s">
        <v>653</v>
      </c>
      <c r="M1402" s="15">
        <v>43084</v>
      </c>
      <c r="N1402" s="15">
        <v>43100</v>
      </c>
      <c r="O1402" s="61" t="s">
        <v>3292</v>
      </c>
      <c r="P1402" s="71"/>
      <c r="Q1402" s="61" t="s">
        <v>4029</v>
      </c>
      <c r="R1402" s="239" t="s">
        <v>2573</v>
      </c>
      <c r="S1402" s="327" t="s">
        <v>3297</v>
      </c>
      <c r="T1402" s="722"/>
      <c r="U1402" s="42"/>
      <c r="AE1402" s="115"/>
      <c r="AF1402" s="115"/>
      <c r="AG1402" s="115"/>
      <c r="AH1402" s="115"/>
      <c r="AI1402" s="115"/>
      <c r="AJ1402" s="115"/>
      <c r="AK1402" s="115"/>
      <c r="AL1402" s="115"/>
      <c r="AM1402" s="115"/>
      <c r="AN1402" s="115"/>
      <c r="AO1402" s="115"/>
      <c r="AP1402" s="115"/>
      <c r="AQ1402" s="115"/>
      <c r="AR1402" s="115"/>
      <c r="AS1402" s="115"/>
      <c r="AT1402" s="115"/>
      <c r="AU1402" s="115"/>
      <c r="AV1402" s="115"/>
      <c r="AW1402" s="115"/>
      <c r="AX1402" s="115"/>
      <c r="AY1402" s="115"/>
      <c r="AZ1402" s="115"/>
      <c r="BA1402" s="115"/>
      <c r="BB1402" s="115"/>
      <c r="BC1402" s="115"/>
      <c r="BD1402" s="115"/>
      <c r="BE1402" s="115"/>
      <c r="BF1402" s="115"/>
      <c r="BG1402" s="115"/>
      <c r="BH1402" s="115"/>
      <c r="BI1402" s="115"/>
      <c r="BJ1402" s="115"/>
      <c r="BK1402" s="115"/>
      <c r="BL1402" s="115"/>
      <c r="BM1402" s="115"/>
      <c r="BN1402" s="115"/>
      <c r="BO1402" s="115"/>
      <c r="BP1402" s="115"/>
    </row>
    <row r="1403" spans="1:68" ht="20.100000000000001" customHeight="1">
      <c r="A1403" s="1229" t="s">
        <v>2817</v>
      </c>
      <c r="B1403" s="1229" t="s">
        <v>3733</v>
      </c>
      <c r="C1403" s="1229" t="s">
        <v>4028</v>
      </c>
      <c r="D1403" s="345">
        <f>D77+150+25</f>
        <v>1025</v>
      </c>
      <c r="E1403" s="345">
        <f>E77+300+50</f>
        <v>1950</v>
      </c>
      <c r="F1403" s="345">
        <f>F77+300+50</f>
        <v>2000</v>
      </c>
      <c r="G1403" s="217" t="s">
        <v>5</v>
      </c>
      <c r="H1403" s="56" t="s">
        <v>2523</v>
      </c>
      <c r="I1403" s="10" t="s">
        <v>2522</v>
      </c>
      <c r="J1403" s="30"/>
      <c r="K1403" s="38"/>
      <c r="L1403" s="116" t="s">
        <v>653</v>
      </c>
      <c r="M1403" s="15">
        <v>43070</v>
      </c>
      <c r="N1403" s="15">
        <v>43100</v>
      </c>
      <c r="O1403" s="59" t="s">
        <v>3705</v>
      </c>
      <c r="P1403" s="61"/>
      <c r="Q1403" s="7"/>
      <c r="R1403" s="239"/>
      <c r="S1403" s="327" t="s">
        <v>3303</v>
      </c>
      <c r="T1403" s="722"/>
      <c r="U1403" s="42"/>
      <c r="AE1403" s="115"/>
      <c r="AF1403" s="115"/>
      <c r="AG1403" s="115"/>
      <c r="AH1403" s="115"/>
      <c r="AI1403" s="115"/>
      <c r="AJ1403" s="115"/>
      <c r="AK1403" s="115"/>
      <c r="AL1403" s="115"/>
      <c r="AM1403" s="115"/>
      <c r="AN1403" s="115"/>
      <c r="AO1403" s="115"/>
      <c r="AP1403" s="115"/>
      <c r="AQ1403" s="115"/>
      <c r="AR1403" s="115"/>
      <c r="AS1403" s="115"/>
      <c r="AT1403" s="115"/>
      <c r="AU1403" s="115"/>
      <c r="AV1403" s="115"/>
      <c r="AW1403" s="115"/>
      <c r="AX1403" s="115"/>
      <c r="AY1403" s="115"/>
      <c r="AZ1403" s="115"/>
      <c r="BA1403" s="115"/>
      <c r="BB1403" s="115"/>
      <c r="BC1403" s="115"/>
      <c r="BD1403" s="115"/>
      <c r="BE1403" s="115"/>
      <c r="BF1403" s="115"/>
      <c r="BG1403" s="115"/>
      <c r="BH1403" s="115"/>
      <c r="BI1403" s="115"/>
      <c r="BJ1403" s="115"/>
      <c r="BK1403" s="115"/>
      <c r="BL1403" s="115"/>
      <c r="BM1403" s="115"/>
      <c r="BN1403" s="115"/>
      <c r="BO1403" s="115"/>
      <c r="BP1403" s="115"/>
    </row>
    <row r="1404" spans="1:68" ht="20.100000000000001" customHeight="1">
      <c r="A1404" s="1229" t="s">
        <v>2817</v>
      </c>
      <c r="B1404" s="1229" t="s">
        <v>3733</v>
      </c>
      <c r="C1404" s="1229" t="s">
        <v>4028</v>
      </c>
      <c r="D1404" s="345">
        <f>D265+150+25</f>
        <v>825</v>
      </c>
      <c r="E1404" s="345">
        <f>E265+300+50</f>
        <v>1450</v>
      </c>
      <c r="F1404" s="345">
        <f>F265+300+50</f>
        <v>1500</v>
      </c>
      <c r="G1404" s="217" t="s">
        <v>5</v>
      </c>
      <c r="H1404" s="56" t="s">
        <v>721</v>
      </c>
      <c r="I1404" s="20" t="s">
        <v>3293</v>
      </c>
      <c r="J1404" s="37"/>
      <c r="K1404" s="38"/>
      <c r="L1404" s="116" t="s">
        <v>653</v>
      </c>
      <c r="M1404" s="15">
        <v>43070</v>
      </c>
      <c r="N1404" s="15">
        <v>43100</v>
      </c>
      <c r="O1404" s="59" t="s">
        <v>3705</v>
      </c>
      <c r="P1404" s="904"/>
      <c r="Q1404" s="167"/>
      <c r="R1404" s="238" t="s">
        <v>3305</v>
      </c>
      <c r="S1404" s="327" t="s">
        <v>3303</v>
      </c>
      <c r="T1404" s="722"/>
      <c r="U1404" s="42"/>
      <c r="AE1404" s="115"/>
      <c r="AF1404" s="115"/>
      <c r="AG1404" s="115"/>
      <c r="AH1404" s="115"/>
      <c r="AI1404" s="115"/>
      <c r="AJ1404" s="115"/>
      <c r="AK1404" s="115"/>
      <c r="AL1404" s="115"/>
      <c r="AM1404" s="115"/>
      <c r="AN1404" s="115"/>
      <c r="AO1404" s="115"/>
      <c r="AP1404" s="115"/>
      <c r="AQ1404" s="115"/>
      <c r="AR1404" s="115"/>
      <c r="AS1404" s="115"/>
      <c r="AT1404" s="115"/>
      <c r="AU1404" s="115"/>
      <c r="AV1404" s="115"/>
      <c r="AW1404" s="115"/>
      <c r="AX1404" s="115"/>
      <c r="AY1404" s="115"/>
      <c r="AZ1404" s="115"/>
      <c r="BA1404" s="115"/>
      <c r="BB1404" s="115"/>
      <c r="BC1404" s="115"/>
      <c r="BD1404" s="115"/>
      <c r="BE1404" s="115"/>
      <c r="BF1404" s="115"/>
      <c r="BG1404" s="115"/>
      <c r="BH1404" s="115"/>
      <c r="BI1404" s="115"/>
      <c r="BJ1404" s="115"/>
      <c r="BK1404" s="115"/>
      <c r="BL1404" s="115"/>
      <c r="BM1404" s="115"/>
      <c r="BN1404" s="115"/>
      <c r="BO1404" s="115"/>
      <c r="BP1404" s="115"/>
    </row>
    <row r="1405" spans="1:68" ht="20.100000000000001" customHeight="1">
      <c r="A1405" s="1229" t="s">
        <v>2817</v>
      </c>
      <c r="B1405" s="1229" t="s">
        <v>3733</v>
      </c>
      <c r="C1405" s="1229" t="s">
        <v>4028</v>
      </c>
      <c r="D1405" s="196">
        <f>D266+300</f>
        <v>1025</v>
      </c>
      <c r="E1405" s="196">
        <f>E266+550</f>
        <v>1900</v>
      </c>
      <c r="F1405" s="196">
        <f>F266+500</f>
        <v>1900</v>
      </c>
      <c r="G1405" s="217" t="s">
        <v>51</v>
      </c>
      <c r="H1405" s="55" t="s">
        <v>721</v>
      </c>
      <c r="I1405" s="38" t="s">
        <v>3293</v>
      </c>
      <c r="J1405" s="30"/>
      <c r="K1405" s="38"/>
      <c r="L1405" s="116" t="s">
        <v>653</v>
      </c>
      <c r="M1405" s="15">
        <v>43084</v>
      </c>
      <c r="N1405" s="15">
        <v>43100</v>
      </c>
      <c r="O1405" s="61" t="s">
        <v>3920</v>
      </c>
      <c r="P1405" s="61"/>
      <c r="Q1405" s="167"/>
      <c r="R1405" s="239" t="s">
        <v>2573</v>
      </c>
      <c r="S1405" s="328" t="s">
        <v>1176</v>
      </c>
      <c r="T1405" s="722"/>
      <c r="U1405" s="42"/>
      <c r="AE1405" s="115"/>
      <c r="AF1405" s="115"/>
      <c r="AG1405" s="115"/>
      <c r="AH1405" s="115"/>
      <c r="AI1405" s="115"/>
      <c r="AJ1405" s="115"/>
      <c r="AK1405" s="115"/>
      <c r="AL1405" s="115"/>
      <c r="AM1405" s="115"/>
      <c r="AN1405" s="115"/>
      <c r="AO1405" s="115"/>
      <c r="AP1405" s="115"/>
      <c r="AQ1405" s="115"/>
      <c r="AR1405" s="115"/>
      <c r="AS1405" s="115"/>
      <c r="AT1405" s="115"/>
      <c r="AU1405" s="115"/>
      <c r="AV1405" s="115"/>
      <c r="AW1405" s="115"/>
      <c r="AX1405" s="115"/>
      <c r="AY1405" s="115"/>
      <c r="AZ1405" s="115"/>
      <c r="BA1405" s="115"/>
      <c r="BB1405" s="115"/>
      <c r="BC1405" s="115"/>
      <c r="BD1405" s="115"/>
      <c r="BE1405" s="115"/>
      <c r="BF1405" s="115"/>
      <c r="BG1405" s="115"/>
      <c r="BH1405" s="115"/>
      <c r="BI1405" s="115"/>
      <c r="BJ1405" s="115"/>
      <c r="BK1405" s="115"/>
      <c r="BL1405" s="115"/>
      <c r="BM1405" s="115"/>
      <c r="BN1405" s="115"/>
      <c r="BO1405" s="115"/>
      <c r="BP1405" s="115"/>
    </row>
    <row r="1406" spans="1:68" ht="20.100000000000001" customHeight="1">
      <c r="A1406" s="1229" t="s">
        <v>2817</v>
      </c>
      <c r="B1406" s="1229" t="s">
        <v>3733</v>
      </c>
      <c r="C1406" s="1229" t="s">
        <v>4028</v>
      </c>
      <c r="D1406" s="196">
        <f>D97+350</f>
        <v>1225</v>
      </c>
      <c r="E1406" s="196">
        <f>E97+625</f>
        <v>2175</v>
      </c>
      <c r="F1406" s="196">
        <f>F97+625</f>
        <v>2225</v>
      </c>
      <c r="G1406" s="217" t="s">
        <v>51</v>
      </c>
      <c r="H1406" s="48" t="s">
        <v>3951</v>
      </c>
      <c r="I1406" s="38" t="s">
        <v>2522</v>
      </c>
      <c r="J1406" s="30"/>
      <c r="K1406" s="38"/>
      <c r="L1406" s="116" t="s">
        <v>653</v>
      </c>
      <c r="M1406" s="15">
        <v>43084</v>
      </c>
      <c r="N1406" s="15">
        <v>43100</v>
      </c>
      <c r="O1406" s="61" t="s">
        <v>3920</v>
      </c>
      <c r="P1406" s="61"/>
      <c r="Q1406" s="61"/>
      <c r="R1406" s="239"/>
      <c r="S1406" s="328" t="s">
        <v>1176</v>
      </c>
      <c r="T1406" s="722"/>
      <c r="U1406" s="42"/>
      <c r="AE1406" s="283"/>
      <c r="AF1406" s="283"/>
      <c r="AG1406" s="283"/>
      <c r="AH1406" s="283"/>
      <c r="AI1406" s="283"/>
      <c r="AJ1406" s="283"/>
      <c r="AK1406" s="283"/>
      <c r="AL1406" s="283"/>
      <c r="AM1406" s="283"/>
      <c r="AN1406" s="283"/>
      <c r="AO1406" s="283"/>
      <c r="AP1406" s="283"/>
      <c r="AQ1406" s="283"/>
      <c r="AR1406" s="283"/>
      <c r="AS1406" s="283"/>
      <c r="AT1406" s="283"/>
      <c r="AU1406" s="283"/>
      <c r="AV1406" s="283"/>
      <c r="AW1406" s="283"/>
      <c r="AX1406" s="283"/>
      <c r="AY1406" s="283"/>
      <c r="AZ1406" s="283"/>
      <c r="BA1406" s="283"/>
      <c r="BB1406" s="283"/>
      <c r="BC1406" s="283"/>
      <c r="BD1406" s="283"/>
      <c r="BE1406" s="283"/>
      <c r="BF1406" s="283"/>
      <c r="BG1406" s="283"/>
      <c r="BH1406" s="283"/>
      <c r="BI1406" s="283"/>
      <c r="BJ1406" s="283"/>
      <c r="BK1406" s="283"/>
      <c r="BL1406" s="283"/>
      <c r="BM1406" s="283"/>
      <c r="BN1406" s="283"/>
      <c r="BO1406" s="283"/>
      <c r="BP1406" s="283"/>
    </row>
    <row r="1407" spans="1:68" ht="20.100000000000001" customHeight="1">
      <c r="A1407" s="1229" t="s">
        <v>2817</v>
      </c>
      <c r="B1407" s="1229" t="s">
        <v>3733</v>
      </c>
      <c r="C1407" s="1229" t="s">
        <v>4028</v>
      </c>
      <c r="D1407" s="196">
        <f>D72+425</f>
        <v>1205</v>
      </c>
      <c r="E1407" s="196">
        <f>E72+550</f>
        <v>2007</v>
      </c>
      <c r="F1407" s="196">
        <f>F72+550</f>
        <v>2007</v>
      </c>
      <c r="G1407" s="225" t="s">
        <v>1689</v>
      </c>
      <c r="H1407" s="69" t="s">
        <v>3970</v>
      </c>
      <c r="I1407" s="38" t="s">
        <v>2522</v>
      </c>
      <c r="J1407" s="30"/>
      <c r="K1407" s="38" t="s">
        <v>731</v>
      </c>
      <c r="L1407" s="116" t="s">
        <v>653</v>
      </c>
      <c r="M1407" s="6">
        <v>43074</v>
      </c>
      <c r="N1407" s="6">
        <v>43084</v>
      </c>
      <c r="O1407" s="61" t="s">
        <v>3718</v>
      </c>
      <c r="P1407" s="61"/>
      <c r="Q1407" s="61"/>
      <c r="R1407" s="239"/>
      <c r="S1407" s="328" t="s">
        <v>1176</v>
      </c>
      <c r="T1407" s="722"/>
      <c r="U1407" s="42"/>
      <c r="AE1407" s="283"/>
      <c r="AF1407" s="283"/>
      <c r="AG1407" s="283"/>
      <c r="AH1407" s="283"/>
      <c r="AI1407" s="283"/>
      <c r="AJ1407" s="283"/>
      <c r="AK1407" s="283"/>
      <c r="AL1407" s="283"/>
      <c r="AM1407" s="283"/>
      <c r="AN1407" s="283"/>
      <c r="AO1407" s="283"/>
      <c r="AP1407" s="283"/>
      <c r="AQ1407" s="283"/>
      <c r="AR1407" s="283"/>
      <c r="AS1407" s="283"/>
      <c r="AT1407" s="283"/>
      <c r="AU1407" s="283"/>
      <c r="AV1407" s="283"/>
      <c r="AW1407" s="283"/>
      <c r="AX1407" s="283"/>
      <c r="AY1407" s="283"/>
      <c r="AZ1407" s="283"/>
      <c r="BA1407" s="283"/>
      <c r="BB1407" s="283"/>
      <c r="BC1407" s="283"/>
      <c r="BD1407" s="283"/>
      <c r="BE1407" s="283"/>
      <c r="BF1407" s="283"/>
      <c r="BG1407" s="283"/>
      <c r="BH1407" s="283"/>
      <c r="BI1407" s="283"/>
      <c r="BJ1407" s="283"/>
      <c r="BK1407" s="283"/>
      <c r="BL1407" s="283"/>
      <c r="BM1407" s="283"/>
      <c r="BN1407" s="283"/>
      <c r="BO1407" s="283"/>
      <c r="BP1407" s="283"/>
    </row>
    <row r="1408" spans="1:68" ht="20.100000000000001" customHeight="1">
      <c r="A1408" s="1229" t="s">
        <v>2817</v>
      </c>
      <c r="B1408" s="1229" t="s">
        <v>3733</v>
      </c>
      <c r="C1408" s="1229" t="s">
        <v>4028</v>
      </c>
      <c r="D1408" s="273">
        <f>D226+300+25</f>
        <v>850</v>
      </c>
      <c r="E1408" s="273">
        <f>E226+450+50</f>
        <v>1450</v>
      </c>
      <c r="F1408" s="273">
        <f>F226+450+50</f>
        <v>1500</v>
      </c>
      <c r="G1408" s="110" t="s">
        <v>19</v>
      </c>
      <c r="H1408" s="69" t="s">
        <v>656</v>
      </c>
      <c r="I1408" s="38" t="s">
        <v>2522</v>
      </c>
      <c r="J1408" s="30"/>
      <c r="K1408" s="38"/>
      <c r="L1408" s="116" t="s">
        <v>653</v>
      </c>
      <c r="M1408" s="15">
        <v>43073</v>
      </c>
      <c r="N1408" s="15">
        <v>43100</v>
      </c>
      <c r="O1408" s="59" t="s">
        <v>2440</v>
      </c>
      <c r="P1408" s="61"/>
      <c r="Q1408" s="61"/>
      <c r="R1408" s="239"/>
      <c r="S1408" s="327" t="s">
        <v>3423</v>
      </c>
      <c r="T1408" s="722"/>
      <c r="U1408" s="42"/>
      <c r="AE1408" s="115"/>
      <c r="AF1408" s="115"/>
      <c r="AG1408" s="115"/>
      <c r="AH1408" s="115"/>
      <c r="AI1408" s="115"/>
      <c r="AJ1408" s="115"/>
      <c r="AK1408" s="115"/>
      <c r="AL1408" s="115"/>
      <c r="AM1408" s="115"/>
      <c r="AN1408" s="115"/>
      <c r="AO1408" s="115"/>
      <c r="AP1408" s="115"/>
      <c r="AQ1408" s="115"/>
      <c r="AR1408" s="115"/>
      <c r="AS1408" s="115"/>
      <c r="AT1408" s="115"/>
      <c r="AU1408" s="115"/>
      <c r="AV1408" s="115"/>
      <c r="AW1408" s="115"/>
      <c r="AX1408" s="115"/>
      <c r="AY1408" s="115"/>
      <c r="AZ1408" s="115"/>
      <c r="BA1408" s="115"/>
      <c r="BB1408" s="115"/>
      <c r="BC1408" s="115"/>
      <c r="BD1408" s="115"/>
      <c r="BE1408" s="115"/>
      <c r="BF1408" s="115"/>
      <c r="BG1408" s="115"/>
      <c r="BH1408" s="115"/>
      <c r="BI1408" s="115"/>
      <c r="BJ1408" s="115"/>
      <c r="BK1408" s="115"/>
      <c r="BL1408" s="115"/>
      <c r="BM1408" s="115"/>
      <c r="BN1408" s="115"/>
      <c r="BO1408" s="115"/>
      <c r="BP1408" s="115"/>
    </row>
    <row r="1409" spans="1:68" ht="20.100000000000001" customHeight="1">
      <c r="A1409" s="1229" t="s">
        <v>2817</v>
      </c>
      <c r="B1409" s="1229" t="s">
        <v>3733</v>
      </c>
      <c r="C1409" s="1229" t="s">
        <v>4028</v>
      </c>
      <c r="D1409" s="195">
        <f>D90+500</f>
        <v>1265</v>
      </c>
      <c r="E1409" s="195">
        <f>E90+700</f>
        <v>2130</v>
      </c>
      <c r="F1409" s="195">
        <f>F90+700</f>
        <v>2180</v>
      </c>
      <c r="G1409" s="110" t="s">
        <v>30</v>
      </c>
      <c r="H1409" s="48" t="s">
        <v>656</v>
      </c>
      <c r="I1409" s="38" t="s">
        <v>2522</v>
      </c>
      <c r="J1409" s="30"/>
      <c r="K1409" s="38"/>
      <c r="L1409" s="116" t="s">
        <v>653</v>
      </c>
      <c r="M1409" s="15">
        <v>43084</v>
      </c>
      <c r="N1409" s="15">
        <v>43100</v>
      </c>
      <c r="O1409" s="59" t="s">
        <v>3735</v>
      </c>
      <c r="P1409" s="61"/>
      <c r="Q1409" s="61"/>
      <c r="R1409" s="239"/>
      <c r="S1409" s="336" t="s">
        <v>3429</v>
      </c>
      <c r="T1409" s="722"/>
      <c r="U1409" s="42"/>
      <c r="AE1409" s="276"/>
      <c r="AF1409" s="276"/>
      <c r="AG1409" s="276"/>
      <c r="AH1409" s="276"/>
      <c r="AI1409" s="276"/>
      <c r="AJ1409" s="276"/>
      <c r="AK1409" s="276"/>
      <c r="AL1409" s="276"/>
      <c r="AM1409" s="276"/>
      <c r="AN1409" s="276"/>
      <c r="AO1409" s="276"/>
      <c r="AP1409" s="276"/>
      <c r="AQ1409" s="276"/>
      <c r="AR1409" s="276"/>
      <c r="AS1409" s="276"/>
      <c r="AT1409" s="276"/>
      <c r="AU1409" s="276"/>
      <c r="AV1409" s="276"/>
      <c r="AW1409" s="276"/>
      <c r="AX1409" s="276"/>
      <c r="AY1409" s="276"/>
      <c r="AZ1409" s="276"/>
      <c r="BA1409" s="276"/>
      <c r="BB1409" s="276"/>
      <c r="BC1409" s="276"/>
      <c r="BD1409" s="276"/>
      <c r="BE1409" s="276"/>
      <c r="BF1409" s="276"/>
      <c r="BG1409" s="276"/>
      <c r="BH1409" s="276"/>
      <c r="BI1409" s="276"/>
      <c r="BJ1409" s="276"/>
      <c r="BK1409" s="276"/>
      <c r="BL1409" s="276"/>
      <c r="BM1409" s="276"/>
      <c r="BN1409" s="276"/>
      <c r="BO1409" s="276"/>
      <c r="BP1409" s="276"/>
    </row>
    <row r="1410" spans="1:68" ht="20.100000000000001" customHeight="1">
      <c r="A1410" s="1229" t="s">
        <v>2817</v>
      </c>
      <c r="B1410" s="1229" t="s">
        <v>3733</v>
      </c>
      <c r="C1410" s="1229" t="s">
        <v>4028</v>
      </c>
      <c r="D1410" s="195">
        <f>D19+650+25</f>
        <v>1450</v>
      </c>
      <c r="E1410" s="195">
        <f>E19+900+50</f>
        <v>2400</v>
      </c>
      <c r="F1410" s="195">
        <f>F19+900+50</f>
        <v>2450</v>
      </c>
      <c r="G1410" s="12" t="s">
        <v>37</v>
      </c>
      <c r="H1410" s="69" t="s">
        <v>2523</v>
      </c>
      <c r="I1410" s="38" t="s">
        <v>3295</v>
      </c>
      <c r="J1410" s="30"/>
      <c r="K1410" s="38"/>
      <c r="L1410" s="116" t="s">
        <v>653</v>
      </c>
      <c r="M1410" s="15">
        <v>43084</v>
      </c>
      <c r="N1410" s="15">
        <v>43100</v>
      </c>
      <c r="O1410" s="61" t="s">
        <v>3302</v>
      </c>
      <c r="P1410" s="61"/>
      <c r="Q1410" s="61"/>
      <c r="R1410" s="239"/>
      <c r="S1410" s="326" t="s">
        <v>3301</v>
      </c>
      <c r="T1410" s="722"/>
      <c r="U1410" s="42"/>
      <c r="AE1410" s="115"/>
      <c r="AF1410" s="115"/>
      <c r="AG1410" s="115"/>
      <c r="AH1410" s="115"/>
      <c r="AI1410" s="115"/>
      <c r="AJ1410" s="115"/>
      <c r="AK1410" s="115"/>
      <c r="AL1410" s="115"/>
      <c r="AM1410" s="115"/>
      <c r="AN1410" s="115"/>
      <c r="AO1410" s="115"/>
      <c r="AP1410" s="115"/>
      <c r="AQ1410" s="115"/>
      <c r="AR1410" s="115"/>
      <c r="AS1410" s="115"/>
      <c r="AT1410" s="115"/>
      <c r="AU1410" s="115"/>
      <c r="AV1410" s="115"/>
      <c r="AW1410" s="115"/>
      <c r="AX1410" s="115"/>
      <c r="AY1410" s="115"/>
      <c r="AZ1410" s="115"/>
      <c r="BA1410" s="115"/>
      <c r="BB1410" s="115"/>
      <c r="BC1410" s="115"/>
      <c r="BD1410" s="115"/>
      <c r="BE1410" s="115"/>
      <c r="BF1410" s="115"/>
      <c r="BG1410" s="115"/>
      <c r="BH1410" s="115"/>
      <c r="BI1410" s="115"/>
      <c r="BJ1410" s="115"/>
      <c r="BK1410" s="115"/>
      <c r="BL1410" s="115"/>
      <c r="BM1410" s="115"/>
      <c r="BN1410" s="115"/>
      <c r="BO1410" s="115"/>
      <c r="BP1410" s="115"/>
    </row>
    <row r="1411" spans="1:68" ht="20.100000000000001" customHeight="1">
      <c r="A1411" s="1229" t="s">
        <v>2817</v>
      </c>
      <c r="B1411" s="1229" t="s">
        <v>3733</v>
      </c>
      <c r="C1411" s="1229" t="s">
        <v>4028</v>
      </c>
      <c r="D1411" s="195">
        <f>D64+400</f>
        <v>1150</v>
      </c>
      <c r="E1411" s="195">
        <f>E64+400</f>
        <v>1800</v>
      </c>
      <c r="F1411" s="195">
        <f>F64+400</f>
        <v>1800</v>
      </c>
      <c r="G1411" s="217" t="s">
        <v>22</v>
      </c>
      <c r="H1411" s="69" t="s">
        <v>656</v>
      </c>
      <c r="I1411" s="38" t="s">
        <v>2522</v>
      </c>
      <c r="J1411" s="30"/>
      <c r="K1411" s="38"/>
      <c r="L1411" s="116" t="s">
        <v>653</v>
      </c>
      <c r="M1411" s="6">
        <v>43084</v>
      </c>
      <c r="N1411" s="6">
        <v>43100</v>
      </c>
      <c r="O1411" s="61" t="s">
        <v>3734</v>
      </c>
      <c r="P1411" s="61"/>
      <c r="Q1411" s="7"/>
      <c r="R1411" s="239" t="s">
        <v>3428</v>
      </c>
      <c r="S1411" s="326" t="s">
        <v>1176</v>
      </c>
      <c r="T1411" s="722"/>
    </row>
    <row r="1412" spans="1:68" ht="20.100000000000001" customHeight="1">
      <c r="A1412" s="1229" t="s">
        <v>2817</v>
      </c>
      <c r="B1412" s="1229" t="s">
        <v>3733</v>
      </c>
      <c r="C1412" s="1229" t="s">
        <v>4028</v>
      </c>
      <c r="D1412" s="199">
        <f>D245+0</f>
        <v>650</v>
      </c>
      <c r="E1412" s="199">
        <f>E245+0</f>
        <v>1300</v>
      </c>
      <c r="F1412" s="199">
        <f>F245+0</f>
        <v>1350</v>
      </c>
      <c r="G1412" s="110" t="s">
        <v>31</v>
      </c>
      <c r="H1412" s="55" t="s">
        <v>729</v>
      </c>
      <c r="I1412" s="38" t="s">
        <v>3321</v>
      </c>
      <c r="J1412" s="140"/>
      <c r="K1412" s="38">
        <v>33</v>
      </c>
      <c r="L1412" s="116" t="s">
        <v>653</v>
      </c>
      <c r="M1412" s="6">
        <v>43085</v>
      </c>
      <c r="N1412" s="6">
        <v>43100</v>
      </c>
      <c r="O1412" s="61" t="s">
        <v>3292</v>
      </c>
      <c r="P1412" s="61"/>
      <c r="Q1412" s="167"/>
      <c r="R1412" s="239" t="s">
        <v>3309</v>
      </c>
      <c r="S1412" s="328" t="s">
        <v>1176</v>
      </c>
      <c r="T1412" s="722"/>
    </row>
    <row r="1413" spans="1:68" ht="20.100000000000001" customHeight="1">
      <c r="A1413" s="1229" t="s">
        <v>2817</v>
      </c>
      <c r="B1413" s="1229" t="s">
        <v>3733</v>
      </c>
      <c r="C1413" s="1229" t="s">
        <v>4026</v>
      </c>
      <c r="D1413" s="195">
        <f>D240+250</f>
        <v>975</v>
      </c>
      <c r="E1413" s="195">
        <f>E240+300</f>
        <v>1650</v>
      </c>
      <c r="F1413" s="195">
        <f>F240+350</f>
        <v>1750</v>
      </c>
      <c r="G1413" s="217" t="s">
        <v>51</v>
      </c>
      <c r="H1413" s="245" t="s">
        <v>729</v>
      </c>
      <c r="I1413" s="10" t="s">
        <v>3732</v>
      </c>
      <c r="J1413" s="37"/>
      <c r="K1413" s="38"/>
      <c r="L1413" s="116" t="s">
        <v>653</v>
      </c>
      <c r="M1413" s="15">
        <v>43084</v>
      </c>
      <c r="N1413" s="15">
        <v>43100</v>
      </c>
      <c r="O1413" s="61" t="s">
        <v>3292</v>
      </c>
      <c r="P1413" s="61"/>
      <c r="Q1413" s="61" t="s">
        <v>3710</v>
      </c>
      <c r="R1413" s="239" t="s">
        <v>3731</v>
      </c>
      <c r="S1413" s="327" t="s">
        <v>3297</v>
      </c>
      <c r="T1413" s="722"/>
    </row>
    <row r="1414" spans="1:68" ht="20.100000000000001" customHeight="1">
      <c r="A1414" s="1229" t="s">
        <v>2817</v>
      </c>
      <c r="B1414" s="1229" t="s">
        <v>3733</v>
      </c>
      <c r="C1414" s="1229" t="s">
        <v>4026</v>
      </c>
      <c r="D1414" s="195">
        <f>D1413+142*1.2</f>
        <v>1145.4000000000001</v>
      </c>
      <c r="E1414" s="195">
        <f>E1413+142*1.2</f>
        <v>1820.4</v>
      </c>
      <c r="F1414" s="195">
        <f>F1413+142*1.2</f>
        <v>1920.4</v>
      </c>
      <c r="G1414" s="217" t="s">
        <v>51</v>
      </c>
      <c r="H1414" s="245" t="s">
        <v>729</v>
      </c>
      <c r="I1414" s="10" t="s">
        <v>4027</v>
      </c>
      <c r="J1414" s="37" t="s">
        <v>4025</v>
      </c>
      <c r="K1414" s="38"/>
      <c r="L1414" s="116" t="s">
        <v>653</v>
      </c>
      <c r="M1414" s="15">
        <v>43084</v>
      </c>
      <c r="N1414" s="15">
        <v>43100</v>
      </c>
      <c r="O1414" s="61" t="s">
        <v>3292</v>
      </c>
      <c r="P1414" s="61"/>
      <c r="Q1414" s="61" t="s">
        <v>100</v>
      </c>
      <c r="R1414" s="239" t="s">
        <v>3731</v>
      </c>
      <c r="S1414" s="327" t="s">
        <v>3297</v>
      </c>
      <c r="T1414" s="722"/>
    </row>
    <row r="1415" spans="1:68" ht="20.100000000000001" customHeight="1">
      <c r="A1415" s="1229" t="s">
        <v>2817</v>
      </c>
      <c r="B1415" s="1229" t="s">
        <v>3733</v>
      </c>
      <c r="C1415" s="1229" t="s">
        <v>4026</v>
      </c>
      <c r="D1415" s="195">
        <f>D240+588*1.2</f>
        <v>1430.6</v>
      </c>
      <c r="E1415" s="195">
        <f>E240+588*1.2</f>
        <v>2055.6</v>
      </c>
      <c r="F1415" s="195">
        <f>F240+588*1.2</f>
        <v>2105.6</v>
      </c>
      <c r="G1415" s="217" t="s">
        <v>51</v>
      </c>
      <c r="H1415" s="245" t="s">
        <v>729</v>
      </c>
      <c r="I1415" s="10" t="s">
        <v>3732</v>
      </c>
      <c r="J1415" s="37" t="s">
        <v>4025</v>
      </c>
      <c r="K1415" s="38"/>
      <c r="L1415" s="116" t="s">
        <v>653</v>
      </c>
      <c r="M1415" s="15">
        <v>43084</v>
      </c>
      <c r="N1415" s="15">
        <v>43100</v>
      </c>
      <c r="O1415" s="61" t="s">
        <v>3292</v>
      </c>
      <c r="P1415" s="61"/>
      <c r="Q1415" s="61" t="s">
        <v>100</v>
      </c>
      <c r="R1415" s="239" t="s">
        <v>3731</v>
      </c>
      <c r="S1415" s="327" t="s">
        <v>3297</v>
      </c>
      <c r="T1415" s="722"/>
    </row>
    <row r="1416" spans="1:68" ht="20.100000000000001" customHeight="1">
      <c r="A1416" s="1230" t="s">
        <v>3934</v>
      </c>
      <c r="B1416" s="1230" t="s">
        <v>3725</v>
      </c>
      <c r="C1416" s="1230" t="s">
        <v>4024</v>
      </c>
      <c r="D1416" s="263">
        <f>D310+50</f>
        <v>775</v>
      </c>
      <c r="E1416" s="263">
        <f>E310+100</f>
        <v>1350</v>
      </c>
      <c r="F1416" s="263">
        <f>F310+100</f>
        <v>1400</v>
      </c>
      <c r="G1416" s="217" t="s">
        <v>5</v>
      </c>
      <c r="H1416" s="56" t="s">
        <v>729</v>
      </c>
      <c r="I1416" s="10" t="s">
        <v>3724</v>
      </c>
      <c r="J1416" s="30"/>
      <c r="K1416" s="38">
        <v>35</v>
      </c>
      <c r="L1416" s="116" t="s">
        <v>653</v>
      </c>
      <c r="M1416" s="15">
        <v>43054</v>
      </c>
      <c r="N1416" s="15">
        <v>43076</v>
      </c>
      <c r="O1416" s="61" t="s">
        <v>3292</v>
      </c>
      <c r="P1416" s="61"/>
      <c r="Q1416" s="167"/>
      <c r="R1416" s="239" t="s">
        <v>2568</v>
      </c>
      <c r="S1416" s="327" t="s">
        <v>3303</v>
      </c>
      <c r="T1416" s="722"/>
    </row>
    <row r="1417" spans="1:68" ht="20.100000000000001" customHeight="1">
      <c r="A1417" s="1230" t="s">
        <v>3934</v>
      </c>
      <c r="B1417" s="1230" t="s">
        <v>3725</v>
      </c>
      <c r="C1417" s="1230" t="s">
        <v>4024</v>
      </c>
      <c r="D1417" s="195">
        <f>D458+150</f>
        <v>875</v>
      </c>
      <c r="E1417" s="195">
        <f>E458+300</f>
        <v>1650</v>
      </c>
      <c r="F1417" s="195">
        <f>F458+300</f>
        <v>1700</v>
      </c>
      <c r="G1417" s="217" t="s">
        <v>51</v>
      </c>
      <c r="H1417" s="245" t="s">
        <v>633</v>
      </c>
      <c r="I1417" s="38" t="s">
        <v>3724</v>
      </c>
      <c r="J1417" s="30"/>
      <c r="K1417" s="30" t="s">
        <v>775</v>
      </c>
      <c r="L1417" s="116" t="s">
        <v>653</v>
      </c>
      <c r="M1417" s="15">
        <v>43084</v>
      </c>
      <c r="N1417" s="15">
        <v>43100</v>
      </c>
      <c r="O1417" s="61" t="s">
        <v>3292</v>
      </c>
      <c r="P1417" s="61"/>
      <c r="Q1417" s="7"/>
      <c r="R1417" s="239" t="s">
        <v>3730</v>
      </c>
      <c r="S1417" s="327" t="s">
        <v>3297</v>
      </c>
      <c r="T1417" s="722"/>
    </row>
    <row r="1418" spans="1:68" ht="20.100000000000001" customHeight="1">
      <c r="A1418" s="1230" t="s">
        <v>3934</v>
      </c>
      <c r="B1418" s="1230" t="s">
        <v>3725</v>
      </c>
      <c r="C1418" s="1230" t="s">
        <v>4024</v>
      </c>
      <c r="D1418" s="280">
        <f>D289+100</f>
        <v>625</v>
      </c>
      <c r="E1418" s="280">
        <f>E289+200</f>
        <v>1150</v>
      </c>
      <c r="F1418" s="280">
        <f>F289+200</f>
        <v>1200</v>
      </c>
      <c r="G1418" s="110" t="s">
        <v>19</v>
      </c>
      <c r="H1418" s="56" t="s">
        <v>1233</v>
      </c>
      <c r="I1418" s="38" t="s">
        <v>2443</v>
      </c>
      <c r="J1418" s="30"/>
      <c r="K1418" s="38" t="s">
        <v>775</v>
      </c>
      <c r="L1418" s="116" t="s">
        <v>653</v>
      </c>
      <c r="M1418" s="15">
        <v>43073</v>
      </c>
      <c r="N1418" s="15">
        <v>43100</v>
      </c>
      <c r="O1418" s="59" t="s">
        <v>2440</v>
      </c>
      <c r="P1418" s="61"/>
      <c r="Q1418" s="167"/>
      <c r="R1418" s="239" t="s">
        <v>1692</v>
      </c>
      <c r="S1418" s="327" t="s">
        <v>3423</v>
      </c>
      <c r="T1418" s="722"/>
    </row>
    <row r="1419" spans="1:68" ht="20.100000000000001" customHeight="1">
      <c r="A1419" s="1230" t="s">
        <v>3934</v>
      </c>
      <c r="B1419" s="1230" t="s">
        <v>3725</v>
      </c>
      <c r="C1419" s="1230" t="s">
        <v>4024</v>
      </c>
      <c r="D1419" s="200">
        <f>D340+100</f>
        <v>750</v>
      </c>
      <c r="E1419" s="200">
        <f>E340+200</f>
        <v>1500</v>
      </c>
      <c r="F1419" s="200">
        <f>F340+200</f>
        <v>1550</v>
      </c>
      <c r="G1419" s="110" t="s">
        <v>31</v>
      </c>
      <c r="H1419" s="56" t="s">
        <v>721</v>
      </c>
      <c r="I1419" s="38" t="s">
        <v>3727</v>
      </c>
      <c r="J1419" s="140"/>
      <c r="K1419" s="38">
        <v>35</v>
      </c>
      <c r="L1419" s="116" t="s">
        <v>653</v>
      </c>
      <c r="M1419" s="6">
        <v>43085</v>
      </c>
      <c r="N1419" s="6">
        <v>43100</v>
      </c>
      <c r="O1419" s="61" t="s">
        <v>3292</v>
      </c>
      <c r="P1419" s="61"/>
      <c r="Q1419" s="167"/>
      <c r="R1419" s="239" t="s">
        <v>2394</v>
      </c>
      <c r="S1419" s="328" t="s">
        <v>1176</v>
      </c>
      <c r="T1419" s="722"/>
    </row>
    <row r="1420" spans="1:68" ht="20.100000000000001" customHeight="1">
      <c r="A1420" s="912" t="s">
        <v>3934</v>
      </c>
      <c r="B1420" s="912" t="s">
        <v>3725</v>
      </c>
      <c r="C1420" s="910" t="s">
        <v>4023</v>
      </c>
      <c r="D1420" s="196">
        <f>D285+432*1.2</f>
        <v>1243.4000000000001</v>
      </c>
      <c r="E1420" s="196">
        <f>E285+442*1.2</f>
        <v>1880.4</v>
      </c>
      <c r="F1420" s="196">
        <f>F285+(442+30)*1.2</f>
        <v>1966.4</v>
      </c>
      <c r="G1420" s="217" t="s">
        <v>51</v>
      </c>
      <c r="H1420" s="245" t="s">
        <v>633</v>
      </c>
      <c r="I1420" s="10" t="s">
        <v>2443</v>
      </c>
      <c r="J1420" s="39" t="s">
        <v>4022</v>
      </c>
      <c r="K1420" s="38"/>
      <c r="L1420" s="116" t="s">
        <v>653</v>
      </c>
      <c r="M1420" s="15">
        <v>43084</v>
      </c>
      <c r="N1420" s="15">
        <v>43100</v>
      </c>
      <c r="O1420" s="61" t="s">
        <v>3292</v>
      </c>
      <c r="P1420" s="61" t="s">
        <v>4015</v>
      </c>
      <c r="Q1420" s="61" t="s">
        <v>100</v>
      </c>
      <c r="R1420" s="239" t="s">
        <v>4020</v>
      </c>
      <c r="S1420" s="327" t="s">
        <v>3297</v>
      </c>
      <c r="T1420" s="722"/>
    </row>
    <row r="1421" spans="1:68" ht="20.100000000000001" customHeight="1">
      <c r="A1421" s="1232" t="s">
        <v>3934</v>
      </c>
      <c r="B1421" s="1232" t="s">
        <v>3725</v>
      </c>
      <c r="C1421" s="1232" t="s">
        <v>4019</v>
      </c>
      <c r="D1421" s="195">
        <f>D295+200</f>
        <v>925</v>
      </c>
      <c r="E1421" s="195">
        <f>E295+200</f>
        <v>1550</v>
      </c>
      <c r="F1421" s="195">
        <f>F295+200</f>
        <v>1600</v>
      </c>
      <c r="G1421" s="217" t="s">
        <v>51</v>
      </c>
      <c r="H1421" s="36" t="s">
        <v>725</v>
      </c>
      <c r="I1421" s="38" t="s">
        <v>3716</v>
      </c>
      <c r="J1421" s="39"/>
      <c r="K1421" s="38"/>
      <c r="L1421" s="116" t="s">
        <v>653</v>
      </c>
      <c r="M1421" s="15">
        <v>43084</v>
      </c>
      <c r="N1421" s="15">
        <v>43100</v>
      </c>
      <c r="O1421" s="61" t="s">
        <v>3292</v>
      </c>
      <c r="P1421" s="61"/>
      <c r="Q1421" s="61" t="s">
        <v>3710</v>
      </c>
      <c r="R1421" s="239" t="s">
        <v>1727</v>
      </c>
      <c r="S1421" s="327" t="s">
        <v>3297</v>
      </c>
      <c r="T1421" s="722"/>
    </row>
    <row r="1422" spans="1:68" ht="20.100000000000001" customHeight="1">
      <c r="A1422" s="1232" t="s">
        <v>3934</v>
      </c>
      <c r="B1422" s="1232" t="s">
        <v>3725</v>
      </c>
      <c r="C1422" s="1232" t="s">
        <v>4019</v>
      </c>
      <c r="D1422" s="195">
        <f>D285+374*1.2</f>
        <v>1173.8</v>
      </c>
      <c r="E1422" s="195">
        <f>E285+384*1.2</f>
        <v>1810.8</v>
      </c>
      <c r="F1422" s="195">
        <f>F285+(384+30)*1.2</f>
        <v>1896.8</v>
      </c>
      <c r="G1422" s="217" t="s">
        <v>51</v>
      </c>
      <c r="H1422" s="245" t="s">
        <v>633</v>
      </c>
      <c r="I1422" s="10" t="s">
        <v>2443</v>
      </c>
      <c r="J1422" s="39" t="s">
        <v>4021</v>
      </c>
      <c r="K1422" s="38"/>
      <c r="L1422" s="116" t="s">
        <v>653</v>
      </c>
      <c r="M1422" s="15">
        <v>43084</v>
      </c>
      <c r="N1422" s="15">
        <v>43100</v>
      </c>
      <c r="O1422" s="61" t="s">
        <v>3292</v>
      </c>
      <c r="P1422" s="61" t="s">
        <v>4015</v>
      </c>
      <c r="Q1422" s="61" t="s">
        <v>100</v>
      </c>
      <c r="R1422" s="239" t="s">
        <v>4020</v>
      </c>
      <c r="S1422" s="327" t="s">
        <v>3297</v>
      </c>
      <c r="T1422" s="722"/>
    </row>
    <row r="1423" spans="1:68" ht="20.100000000000001" customHeight="1">
      <c r="A1423" s="1232" t="s">
        <v>3934</v>
      </c>
      <c r="B1423" s="1232" t="s">
        <v>3725</v>
      </c>
      <c r="C1423" s="1232" t="s">
        <v>4019</v>
      </c>
      <c r="D1423" s="195">
        <f>D277+310*1.3</f>
        <v>1078</v>
      </c>
      <c r="E1423" s="195">
        <f>E277+360*1.3</f>
        <v>1518</v>
      </c>
      <c r="F1423" s="195">
        <f>F277+360*1.3</f>
        <v>1518</v>
      </c>
      <c r="G1423" s="225" t="s">
        <v>1689</v>
      </c>
      <c r="H1423" s="69" t="s">
        <v>725</v>
      </c>
      <c r="I1423" s="38" t="s">
        <v>2443</v>
      </c>
      <c r="J1423" s="39"/>
      <c r="K1423" s="38" t="s">
        <v>980</v>
      </c>
      <c r="L1423" s="116" t="s">
        <v>653</v>
      </c>
      <c r="M1423" s="6">
        <v>43057</v>
      </c>
      <c r="N1423" s="6">
        <v>43069</v>
      </c>
      <c r="O1423" s="61" t="s">
        <v>3715</v>
      </c>
      <c r="P1423" s="61"/>
      <c r="Q1423" s="72" t="s">
        <v>100</v>
      </c>
      <c r="R1423" s="239" t="s">
        <v>3728</v>
      </c>
      <c r="S1423" s="328" t="s">
        <v>1176</v>
      </c>
      <c r="T1423" s="722"/>
    </row>
    <row r="1424" spans="1:68" ht="20.100000000000001" customHeight="1">
      <c r="A1424" s="1232" t="s">
        <v>3934</v>
      </c>
      <c r="B1424" s="1232" t="s">
        <v>3725</v>
      </c>
      <c r="C1424" s="1232" t="s">
        <v>4019</v>
      </c>
      <c r="D1424" s="273">
        <f>D277+180*1.3</f>
        <v>909</v>
      </c>
      <c r="E1424" s="273">
        <f>E277+270*1.3</f>
        <v>1401</v>
      </c>
      <c r="F1424" s="273">
        <f>F277+270*1.3</f>
        <v>1401</v>
      </c>
      <c r="G1424" s="225" t="s">
        <v>1689</v>
      </c>
      <c r="H1424" s="69" t="s">
        <v>725</v>
      </c>
      <c r="I1424" s="38" t="s">
        <v>2443</v>
      </c>
      <c r="J1424" s="39"/>
      <c r="K1424" s="38" t="s">
        <v>980</v>
      </c>
      <c r="L1424" s="116" t="s">
        <v>653</v>
      </c>
      <c r="M1424" s="6">
        <v>43057</v>
      </c>
      <c r="N1424" s="6">
        <v>43069</v>
      </c>
      <c r="O1424" s="61" t="s">
        <v>3715</v>
      </c>
      <c r="P1424" s="61"/>
      <c r="Q1424" s="61" t="s">
        <v>3710</v>
      </c>
      <c r="R1424" s="239" t="s">
        <v>3728</v>
      </c>
      <c r="S1424" s="328" t="s">
        <v>1176</v>
      </c>
      <c r="T1424" s="722"/>
    </row>
    <row r="1425" spans="1:20" ht="20.100000000000001" customHeight="1">
      <c r="A1425" s="1232" t="s">
        <v>3934</v>
      </c>
      <c r="B1425" s="1232" t="s">
        <v>3725</v>
      </c>
      <c r="C1425" s="1232" t="s">
        <v>4019</v>
      </c>
      <c r="D1425" s="257">
        <f>D340+185</f>
        <v>835</v>
      </c>
      <c r="E1425" s="257">
        <f>E340+185</f>
        <v>1485</v>
      </c>
      <c r="F1425" s="257">
        <f>F340+235</f>
        <v>1585</v>
      </c>
      <c r="G1425" s="146" t="s">
        <v>31</v>
      </c>
      <c r="H1425" s="56" t="s">
        <v>631</v>
      </c>
      <c r="I1425" s="38" t="s">
        <v>3716</v>
      </c>
      <c r="J1425" s="30"/>
      <c r="K1425" s="38"/>
      <c r="L1425" s="116" t="s">
        <v>653</v>
      </c>
      <c r="M1425" s="6">
        <v>43085</v>
      </c>
      <c r="N1425" s="6">
        <v>43100</v>
      </c>
      <c r="O1425" s="61" t="s">
        <v>4018</v>
      </c>
      <c r="P1425" s="61" t="s">
        <v>4017</v>
      </c>
      <c r="Q1425" s="61"/>
      <c r="R1425" s="239" t="s">
        <v>3729</v>
      </c>
      <c r="S1425" s="328" t="s">
        <v>1176</v>
      </c>
      <c r="T1425" s="722"/>
    </row>
    <row r="1426" spans="1:20" ht="20.100000000000001" customHeight="1">
      <c r="A1426" s="1228" t="s">
        <v>3919</v>
      </c>
      <c r="B1426" s="1228" t="s">
        <v>3725</v>
      </c>
      <c r="C1426" s="1228" t="s">
        <v>4014</v>
      </c>
      <c r="D1426" s="257">
        <f>D295+365*1.2</f>
        <v>1163</v>
      </c>
      <c r="E1426" s="257">
        <f>E295+403*1.2</f>
        <v>1833.6</v>
      </c>
      <c r="F1426" s="257">
        <f>F295+(403+30)*1.2</f>
        <v>1919.6</v>
      </c>
      <c r="G1426" s="217" t="s">
        <v>51</v>
      </c>
      <c r="H1426" s="36" t="s">
        <v>725</v>
      </c>
      <c r="I1426" s="38" t="s">
        <v>3716</v>
      </c>
      <c r="J1426" s="39" t="s">
        <v>4016</v>
      </c>
      <c r="K1426" s="38"/>
      <c r="L1426" s="116" t="s">
        <v>653</v>
      </c>
      <c r="M1426" s="15">
        <v>43084</v>
      </c>
      <c r="N1426" s="15">
        <v>43100</v>
      </c>
      <c r="O1426" s="61" t="s">
        <v>3292</v>
      </c>
      <c r="P1426" s="61" t="s">
        <v>4015</v>
      </c>
      <c r="Q1426" s="61" t="s">
        <v>100</v>
      </c>
      <c r="R1426" s="239" t="s">
        <v>1727</v>
      </c>
      <c r="S1426" s="327" t="s">
        <v>3297</v>
      </c>
      <c r="T1426" s="722"/>
    </row>
    <row r="1427" spans="1:20" ht="20.100000000000001" customHeight="1">
      <c r="A1427" s="1228" t="s">
        <v>3919</v>
      </c>
      <c r="B1427" s="1228" t="s">
        <v>3725</v>
      </c>
      <c r="C1427" s="1228" t="s">
        <v>4014</v>
      </c>
      <c r="D1427" s="195">
        <f>D277+665*1.3</f>
        <v>1539.5</v>
      </c>
      <c r="E1427" s="195">
        <f>E277+710*1.3</f>
        <v>1973</v>
      </c>
      <c r="F1427" s="195">
        <f>F277+710*1.3</f>
        <v>1973</v>
      </c>
      <c r="G1427" s="225" t="s">
        <v>1689</v>
      </c>
      <c r="H1427" s="69" t="s">
        <v>725</v>
      </c>
      <c r="I1427" s="38" t="s">
        <v>2443</v>
      </c>
      <c r="J1427" s="39"/>
      <c r="K1427" s="38" t="s">
        <v>980</v>
      </c>
      <c r="L1427" s="116" t="s">
        <v>653</v>
      </c>
      <c r="M1427" s="6">
        <v>43057</v>
      </c>
      <c r="N1427" s="6">
        <v>43069</v>
      </c>
      <c r="O1427" s="61" t="s">
        <v>3715</v>
      </c>
      <c r="P1427" s="61"/>
      <c r="Q1427" s="72" t="s">
        <v>100</v>
      </c>
      <c r="R1427" s="239" t="s">
        <v>3728</v>
      </c>
      <c r="S1427" s="328" t="s">
        <v>1176</v>
      </c>
      <c r="T1427" s="722"/>
    </row>
    <row r="1428" spans="1:20" ht="20.100000000000001" customHeight="1">
      <c r="A1428" s="1228" t="s">
        <v>3919</v>
      </c>
      <c r="B1428" s="1228" t="s">
        <v>3725</v>
      </c>
      <c r="C1428" s="1228" t="s">
        <v>4014</v>
      </c>
      <c r="D1428" s="195">
        <f>D301+210*1.3</f>
        <v>948</v>
      </c>
      <c r="E1428" s="195">
        <f>E301+250*1.3</f>
        <v>1375</v>
      </c>
      <c r="F1428" s="195"/>
      <c r="G1428" s="225" t="s">
        <v>1689</v>
      </c>
      <c r="H1428" s="69" t="s">
        <v>631</v>
      </c>
      <c r="I1428" s="38" t="s">
        <v>3716</v>
      </c>
      <c r="J1428" s="39"/>
      <c r="K1428" s="38" t="s">
        <v>687</v>
      </c>
      <c r="L1428" s="116" t="s">
        <v>653</v>
      </c>
      <c r="M1428" s="6">
        <v>43057</v>
      </c>
      <c r="N1428" s="6">
        <v>43069</v>
      </c>
      <c r="O1428" s="61" t="s">
        <v>3715</v>
      </c>
      <c r="P1428" s="61"/>
      <c r="Q1428" s="72" t="s">
        <v>3710</v>
      </c>
      <c r="R1428" s="239" t="s">
        <v>3714</v>
      </c>
      <c r="S1428" s="328" t="s">
        <v>1176</v>
      </c>
      <c r="T1428" s="858"/>
    </row>
    <row r="1429" spans="1:20" ht="20.100000000000001" customHeight="1">
      <c r="A1429" s="909" t="s">
        <v>3298</v>
      </c>
      <c r="B1429" s="907" t="s">
        <v>3725</v>
      </c>
      <c r="C1429" s="907" t="s">
        <v>4013</v>
      </c>
      <c r="D1429" s="195">
        <f>D301+470*1.3</f>
        <v>1286</v>
      </c>
      <c r="E1429" s="195">
        <f>E301+560*1.3</f>
        <v>1778</v>
      </c>
      <c r="F1429" s="195">
        <f>F301+560*1.3</f>
        <v>1778</v>
      </c>
      <c r="G1429" s="225" t="s">
        <v>1689</v>
      </c>
      <c r="H1429" s="69" t="s">
        <v>631</v>
      </c>
      <c r="I1429" s="38" t="s">
        <v>3716</v>
      </c>
      <c r="J1429" s="39"/>
      <c r="K1429" s="38" t="s">
        <v>687</v>
      </c>
      <c r="L1429" s="116" t="s">
        <v>653</v>
      </c>
      <c r="M1429" s="6">
        <v>43057</v>
      </c>
      <c r="N1429" s="6">
        <v>43069</v>
      </c>
      <c r="O1429" s="61" t="s">
        <v>3715</v>
      </c>
      <c r="P1429" s="61"/>
      <c r="Q1429" s="72" t="s">
        <v>3710</v>
      </c>
      <c r="R1429" s="239" t="s">
        <v>3714</v>
      </c>
      <c r="S1429" s="328" t="s">
        <v>1176</v>
      </c>
      <c r="T1429" s="858"/>
    </row>
    <row r="1430" spans="1:20" ht="20.100000000000001" customHeight="1">
      <c r="A1430" s="1228" t="s">
        <v>3919</v>
      </c>
      <c r="B1430" s="1228" t="s">
        <v>3725</v>
      </c>
      <c r="C1430" s="1228" t="s">
        <v>4012</v>
      </c>
      <c r="D1430" s="195">
        <f>D277+830*1.3</f>
        <v>1754</v>
      </c>
      <c r="E1430" s="195">
        <f>E277+900*1.3</f>
        <v>2220</v>
      </c>
      <c r="F1430" s="195">
        <f>F277+900*1.3</f>
        <v>2220</v>
      </c>
      <c r="G1430" s="225" t="s">
        <v>1689</v>
      </c>
      <c r="H1430" s="69" t="s">
        <v>725</v>
      </c>
      <c r="I1430" s="38" t="s">
        <v>2443</v>
      </c>
      <c r="J1430" s="39"/>
      <c r="K1430" s="38" t="s">
        <v>980</v>
      </c>
      <c r="L1430" s="116" t="s">
        <v>653</v>
      </c>
      <c r="M1430" s="6">
        <v>43057</v>
      </c>
      <c r="N1430" s="6">
        <v>43069</v>
      </c>
      <c r="O1430" s="61" t="s">
        <v>3715</v>
      </c>
      <c r="P1430" s="61"/>
      <c r="Q1430" s="72" t="s">
        <v>100</v>
      </c>
      <c r="R1430" s="239" t="s">
        <v>3728</v>
      </c>
      <c r="S1430" s="328" t="s">
        <v>1176</v>
      </c>
      <c r="T1430" s="858"/>
    </row>
    <row r="1431" spans="1:20" ht="20.100000000000001" customHeight="1">
      <c r="A1431" s="1228" t="s">
        <v>3919</v>
      </c>
      <c r="B1431" s="1228" t="s">
        <v>3725</v>
      </c>
      <c r="C1431" s="1228" t="s">
        <v>4012</v>
      </c>
      <c r="D1431" s="195">
        <f>D301+220*1.3</f>
        <v>961</v>
      </c>
      <c r="E1431" s="195">
        <f>E301+320*1.3</f>
        <v>1466</v>
      </c>
      <c r="F1431" s="195">
        <f>F301+320*1.3</f>
        <v>1466</v>
      </c>
      <c r="G1431" s="225" t="s">
        <v>1689</v>
      </c>
      <c r="H1431" s="69" t="s">
        <v>631</v>
      </c>
      <c r="I1431" s="38" t="s">
        <v>3716</v>
      </c>
      <c r="J1431" s="39"/>
      <c r="K1431" s="38" t="s">
        <v>687</v>
      </c>
      <c r="L1431" s="116" t="s">
        <v>653</v>
      </c>
      <c r="M1431" s="6">
        <v>43057</v>
      </c>
      <c r="N1431" s="6">
        <v>43069</v>
      </c>
      <c r="O1431" s="61" t="s">
        <v>3715</v>
      </c>
      <c r="P1431" s="61"/>
      <c r="Q1431" s="72" t="s">
        <v>3710</v>
      </c>
      <c r="R1431" s="239" t="s">
        <v>3714</v>
      </c>
      <c r="S1431" s="328" t="s">
        <v>1176</v>
      </c>
      <c r="T1431" s="858"/>
    </row>
    <row r="1432" spans="1:20" ht="20.100000000000001" customHeight="1">
      <c r="A1432" s="907" t="s">
        <v>3919</v>
      </c>
      <c r="B1432" s="907" t="s">
        <v>3725</v>
      </c>
      <c r="C1432" s="907" t="s">
        <v>4011</v>
      </c>
      <c r="D1432" s="195">
        <f>D340+100</f>
        <v>750</v>
      </c>
      <c r="E1432" s="195">
        <f>E340+200</f>
        <v>1500</v>
      </c>
      <c r="F1432" s="195">
        <f>F340+200</f>
        <v>1550</v>
      </c>
      <c r="G1432" s="110" t="s">
        <v>31</v>
      </c>
      <c r="H1432" s="56" t="s">
        <v>725</v>
      </c>
      <c r="I1432" s="38" t="s">
        <v>3727</v>
      </c>
      <c r="J1432" s="140"/>
      <c r="K1432" s="38">
        <v>35</v>
      </c>
      <c r="L1432" s="116" t="s">
        <v>653</v>
      </c>
      <c r="M1432" s="6">
        <v>43085</v>
      </c>
      <c r="N1432" s="6">
        <v>43100</v>
      </c>
      <c r="O1432" s="61" t="s">
        <v>3292</v>
      </c>
      <c r="P1432" s="61"/>
      <c r="Q1432" s="171"/>
      <c r="R1432" s="239" t="s">
        <v>3726</v>
      </c>
      <c r="S1432" s="328" t="s">
        <v>1176</v>
      </c>
      <c r="T1432" s="858"/>
    </row>
    <row r="1433" spans="1:20" ht="20.100000000000001" customHeight="1">
      <c r="A1433" s="907" t="s">
        <v>3919</v>
      </c>
      <c r="B1433" s="907" t="s">
        <v>3725</v>
      </c>
      <c r="C1433" s="913" t="s">
        <v>4010</v>
      </c>
      <c r="D1433" s="195">
        <f>D340+100</f>
        <v>750</v>
      </c>
      <c r="E1433" s="195">
        <f>E340+200</f>
        <v>1500</v>
      </c>
      <c r="F1433" s="195">
        <f>F340+200</f>
        <v>1550</v>
      </c>
      <c r="G1433" s="110" t="s">
        <v>31</v>
      </c>
      <c r="H1433" s="56" t="s">
        <v>725</v>
      </c>
      <c r="I1433" s="38" t="s">
        <v>3727</v>
      </c>
      <c r="J1433" s="140"/>
      <c r="K1433" s="38">
        <v>30</v>
      </c>
      <c r="L1433" s="116" t="s">
        <v>653</v>
      </c>
      <c r="M1433" s="6">
        <v>43085</v>
      </c>
      <c r="N1433" s="6">
        <v>43100</v>
      </c>
      <c r="O1433" s="61" t="s">
        <v>3292</v>
      </c>
      <c r="P1433" s="61"/>
      <c r="Q1433" s="171"/>
      <c r="R1433" s="239" t="s">
        <v>3726</v>
      </c>
      <c r="S1433" s="328" t="s">
        <v>1176</v>
      </c>
      <c r="T1433" s="858"/>
    </row>
    <row r="1434" spans="1:20" ht="20.100000000000001" customHeight="1">
      <c r="A1434" s="907" t="s">
        <v>3919</v>
      </c>
      <c r="B1434" s="907" t="s">
        <v>3725</v>
      </c>
      <c r="C1434" s="913" t="s">
        <v>4009</v>
      </c>
      <c r="D1434" s="308"/>
      <c r="E1434" s="308"/>
      <c r="F1434" s="308"/>
      <c r="G1434" s="217" t="s">
        <v>5</v>
      </c>
      <c r="H1434" s="56" t="s">
        <v>729</v>
      </c>
      <c r="I1434" s="10" t="s">
        <v>4008</v>
      </c>
      <c r="J1434" s="140"/>
      <c r="K1434" s="38" t="s">
        <v>982</v>
      </c>
      <c r="L1434" s="116" t="s">
        <v>653</v>
      </c>
      <c r="M1434" s="15">
        <v>43054</v>
      </c>
      <c r="N1434" s="15">
        <v>43076</v>
      </c>
      <c r="O1434" s="61" t="s">
        <v>3292</v>
      </c>
      <c r="P1434" s="61" t="s">
        <v>939</v>
      </c>
      <c r="Q1434" s="61" t="s">
        <v>100</v>
      </c>
      <c r="R1434" s="239" t="s">
        <v>2568</v>
      </c>
      <c r="S1434" s="327" t="s">
        <v>3303</v>
      </c>
      <c r="T1434" s="858"/>
    </row>
    <row r="1435" spans="1:20" ht="20.100000000000001" customHeight="1">
      <c r="A1435" s="1230" t="s">
        <v>3934</v>
      </c>
      <c r="B1435" s="1230" t="s">
        <v>3725</v>
      </c>
      <c r="C1435" s="1230" t="s">
        <v>4007</v>
      </c>
      <c r="D1435" s="280">
        <f>D289+100</f>
        <v>625</v>
      </c>
      <c r="E1435" s="280">
        <f>E289+350</f>
        <v>1300</v>
      </c>
      <c r="F1435" s="280">
        <f>F289+350</f>
        <v>1350</v>
      </c>
      <c r="G1435" s="110" t="s">
        <v>19</v>
      </c>
      <c r="H1435" s="56" t="s">
        <v>1233</v>
      </c>
      <c r="I1435" s="38" t="s">
        <v>2443</v>
      </c>
      <c r="J1435" s="30"/>
      <c r="K1435" s="38">
        <v>34</v>
      </c>
      <c r="L1435" s="116" t="s">
        <v>653</v>
      </c>
      <c r="M1435" s="15">
        <v>43073</v>
      </c>
      <c r="N1435" s="15">
        <v>43100</v>
      </c>
      <c r="O1435" s="59" t="s">
        <v>2440</v>
      </c>
      <c r="P1435" s="61"/>
      <c r="Q1435" s="167"/>
      <c r="R1435" s="239" t="s">
        <v>1692</v>
      </c>
      <c r="S1435" s="327" t="s">
        <v>3423</v>
      </c>
      <c r="T1435" s="858"/>
    </row>
    <row r="1436" spans="1:20" ht="20.100000000000001" customHeight="1">
      <c r="A1436" s="1230" t="s">
        <v>3934</v>
      </c>
      <c r="B1436" s="1230" t="s">
        <v>3725</v>
      </c>
      <c r="C1436" s="1230" t="s">
        <v>4007</v>
      </c>
      <c r="D1436" s="262">
        <f>D310+150</f>
        <v>875</v>
      </c>
      <c r="E1436" s="262">
        <f>E310+300</f>
        <v>1550</v>
      </c>
      <c r="F1436" s="262">
        <f>F310+300</f>
        <v>1600</v>
      </c>
      <c r="G1436" s="217" t="s">
        <v>5</v>
      </c>
      <c r="H1436" s="56" t="s">
        <v>729</v>
      </c>
      <c r="I1436" s="10" t="s">
        <v>3724</v>
      </c>
      <c r="J1436" s="30"/>
      <c r="K1436" s="38">
        <v>37</v>
      </c>
      <c r="L1436" s="116" t="s">
        <v>653</v>
      </c>
      <c r="M1436" s="15">
        <v>43054</v>
      </c>
      <c r="N1436" s="15">
        <v>43076</v>
      </c>
      <c r="O1436" s="61" t="s">
        <v>3292</v>
      </c>
      <c r="P1436" s="61"/>
      <c r="Q1436" s="167"/>
      <c r="R1436" s="239" t="s">
        <v>2568</v>
      </c>
      <c r="S1436" s="327" t="s">
        <v>3303</v>
      </c>
      <c r="T1436" s="858"/>
    </row>
    <row r="1437" spans="1:20" ht="20.100000000000001" customHeight="1">
      <c r="A1437" s="1229" t="s">
        <v>2817</v>
      </c>
      <c r="B1437" s="1229" t="s">
        <v>3720</v>
      </c>
      <c r="C1437" s="1229" t="s">
        <v>4006</v>
      </c>
      <c r="D1437" s="195">
        <f>D120+480</f>
        <v>1380</v>
      </c>
      <c r="E1437" s="195">
        <f>E120+750</f>
        <v>2350</v>
      </c>
      <c r="F1437" s="195">
        <f>F120+750</f>
        <v>2400</v>
      </c>
      <c r="G1437" s="110" t="s">
        <v>31</v>
      </c>
      <c r="H1437" s="56" t="s">
        <v>729</v>
      </c>
      <c r="I1437" s="38" t="s">
        <v>3940</v>
      </c>
      <c r="J1437" s="30"/>
      <c r="K1437" s="38">
        <v>44</v>
      </c>
      <c r="L1437" s="116" t="s">
        <v>653</v>
      </c>
      <c r="M1437" s="6">
        <v>43085</v>
      </c>
      <c r="N1437" s="6">
        <v>43100</v>
      </c>
      <c r="O1437" s="61" t="s">
        <v>3721</v>
      </c>
      <c r="P1437" s="61"/>
      <c r="Q1437" s="61"/>
      <c r="R1437" s="239"/>
      <c r="S1437" s="328" t="s">
        <v>1176</v>
      </c>
      <c r="T1437" s="858"/>
    </row>
    <row r="1438" spans="1:20" ht="20.100000000000001" customHeight="1">
      <c r="A1438" s="1229" t="s">
        <v>2817</v>
      </c>
      <c r="B1438" s="1229" t="s">
        <v>3720</v>
      </c>
      <c r="C1438" s="1229" t="s">
        <v>4006</v>
      </c>
      <c r="D1438" s="345">
        <f>D77+150+25</f>
        <v>1025</v>
      </c>
      <c r="E1438" s="345">
        <f>E77+300+50</f>
        <v>1950</v>
      </c>
      <c r="F1438" s="345">
        <f>F77+300+50</f>
        <v>2000</v>
      </c>
      <c r="G1438" s="217" t="s">
        <v>5</v>
      </c>
      <c r="H1438" s="56" t="s">
        <v>2523</v>
      </c>
      <c r="I1438" s="20" t="s">
        <v>2522</v>
      </c>
      <c r="J1438" s="30"/>
      <c r="K1438" s="38"/>
      <c r="L1438" s="116" t="s">
        <v>653</v>
      </c>
      <c r="M1438" s="15">
        <v>43070</v>
      </c>
      <c r="N1438" s="15">
        <v>43100</v>
      </c>
      <c r="O1438" s="59" t="s">
        <v>3705</v>
      </c>
      <c r="P1438" s="61"/>
      <c r="Q1438" s="7"/>
      <c r="R1438" s="239"/>
      <c r="S1438" s="327" t="s">
        <v>3303</v>
      </c>
      <c r="T1438" s="858"/>
    </row>
    <row r="1439" spans="1:20" ht="20.100000000000001" customHeight="1">
      <c r="A1439" s="1229" t="s">
        <v>2817</v>
      </c>
      <c r="B1439" s="1229" t="s">
        <v>3720</v>
      </c>
      <c r="C1439" s="1229" t="s">
        <v>4004</v>
      </c>
      <c r="D1439" s="345">
        <f>D139+150+25</f>
        <v>1025</v>
      </c>
      <c r="E1439" s="345">
        <f>E139+300+50</f>
        <v>1950</v>
      </c>
      <c r="F1439" s="345">
        <f>F139+300+50</f>
        <v>2000</v>
      </c>
      <c r="G1439" s="217" t="s">
        <v>5</v>
      </c>
      <c r="H1439" s="56" t="s">
        <v>2535</v>
      </c>
      <c r="I1439" s="20" t="s">
        <v>2431</v>
      </c>
      <c r="J1439" s="30"/>
      <c r="K1439" s="38"/>
      <c r="L1439" s="116" t="s">
        <v>653</v>
      </c>
      <c r="M1439" s="15">
        <v>43070</v>
      </c>
      <c r="N1439" s="15">
        <v>43100</v>
      </c>
      <c r="O1439" s="59" t="s">
        <v>3705</v>
      </c>
      <c r="P1439" s="61"/>
      <c r="Q1439" s="7"/>
      <c r="R1439" s="239"/>
      <c r="S1439" s="327" t="s">
        <v>3303</v>
      </c>
      <c r="T1439" s="858"/>
    </row>
    <row r="1440" spans="1:20" ht="20.100000000000001" customHeight="1">
      <c r="A1440" s="1229" t="s">
        <v>2817</v>
      </c>
      <c r="B1440" s="1229" t="s">
        <v>3720</v>
      </c>
      <c r="C1440" s="1229" t="s">
        <v>4004</v>
      </c>
      <c r="D1440" s="195">
        <f>D362+915*1.12*1.2</f>
        <v>1954.7600000000002</v>
      </c>
      <c r="E1440" s="195">
        <f>E362+915*1.12*1.2</f>
        <v>2579.7600000000002</v>
      </c>
      <c r="F1440" s="195">
        <f>F362+915*1.12*1.2</f>
        <v>2629.76</v>
      </c>
      <c r="G1440" s="217" t="s">
        <v>51</v>
      </c>
      <c r="H1440" s="56" t="s">
        <v>633</v>
      </c>
      <c r="I1440" s="10" t="s">
        <v>3977</v>
      </c>
      <c r="J1440" s="117" t="s">
        <v>4005</v>
      </c>
      <c r="K1440" s="38"/>
      <c r="L1440" s="116" t="s">
        <v>653</v>
      </c>
      <c r="M1440" s="15">
        <v>43084</v>
      </c>
      <c r="N1440" s="15">
        <v>43100</v>
      </c>
      <c r="O1440" s="61" t="s">
        <v>3292</v>
      </c>
      <c r="P1440" s="61"/>
      <c r="Q1440" s="61" t="s">
        <v>100</v>
      </c>
      <c r="R1440" s="21" t="s">
        <v>3427</v>
      </c>
      <c r="S1440" s="327" t="s">
        <v>3297</v>
      </c>
      <c r="T1440" s="858"/>
    </row>
    <row r="1441" spans="1:20" ht="20.100000000000001" customHeight="1">
      <c r="A1441" s="1229" t="s">
        <v>2817</v>
      </c>
      <c r="B1441" s="1229" t="s">
        <v>3720</v>
      </c>
      <c r="C1441" s="1229" t="s">
        <v>4004</v>
      </c>
      <c r="D1441" s="195">
        <f>D358+755*1.3</f>
        <v>1656.5</v>
      </c>
      <c r="E1441" s="195">
        <f>E358+805*1.3</f>
        <v>2096.5</v>
      </c>
      <c r="F1441" s="195">
        <f>F358+805*1.3</f>
        <v>2096.5</v>
      </c>
      <c r="G1441" s="225" t="s">
        <v>1689</v>
      </c>
      <c r="H1441" s="36" t="s">
        <v>725</v>
      </c>
      <c r="I1441" s="20" t="s">
        <v>3977</v>
      </c>
      <c r="J1441" s="30"/>
      <c r="K1441" s="38" t="s">
        <v>775</v>
      </c>
      <c r="L1441" s="116" t="s">
        <v>653</v>
      </c>
      <c r="M1441" s="6">
        <v>43057</v>
      </c>
      <c r="N1441" s="6">
        <v>43069</v>
      </c>
      <c r="O1441" s="61" t="s">
        <v>3715</v>
      </c>
      <c r="P1441" s="61"/>
      <c r="Q1441" s="14" t="s">
        <v>100</v>
      </c>
      <c r="R1441" s="239" t="s">
        <v>1761</v>
      </c>
      <c r="S1441" s="328" t="s">
        <v>1176</v>
      </c>
      <c r="T1441" s="858"/>
    </row>
    <row r="1442" spans="1:20" ht="20.100000000000001" customHeight="1">
      <c r="A1442" s="1229" t="s">
        <v>2817</v>
      </c>
      <c r="B1442" s="1229" t="s">
        <v>3720</v>
      </c>
      <c r="C1442" s="1229" t="s">
        <v>4004</v>
      </c>
      <c r="D1442" s="195">
        <f>D120+50</f>
        <v>950</v>
      </c>
      <c r="E1442" s="195">
        <f>E120+100</f>
        <v>1700</v>
      </c>
      <c r="F1442" s="195">
        <f>F120+100</f>
        <v>1750</v>
      </c>
      <c r="G1442" s="110" t="s">
        <v>31</v>
      </c>
      <c r="H1442" s="56" t="s">
        <v>729</v>
      </c>
      <c r="I1442" s="38" t="s">
        <v>3940</v>
      </c>
      <c r="J1442" s="30"/>
      <c r="K1442" s="38">
        <v>34</v>
      </c>
      <c r="L1442" s="116" t="s">
        <v>653</v>
      </c>
      <c r="M1442" s="6">
        <v>43085</v>
      </c>
      <c r="N1442" s="6">
        <v>43100</v>
      </c>
      <c r="O1442" s="61" t="s">
        <v>3721</v>
      </c>
      <c r="P1442" s="61"/>
      <c r="Q1442" s="61"/>
      <c r="R1442" s="239"/>
      <c r="S1442" s="328" t="s">
        <v>1176</v>
      </c>
      <c r="T1442" s="858"/>
    </row>
    <row r="1443" spans="1:20" ht="20.100000000000001" customHeight="1">
      <c r="A1443" s="908" t="s">
        <v>2817</v>
      </c>
      <c r="B1443" s="908" t="s">
        <v>3720</v>
      </c>
      <c r="C1443" s="908" t="s">
        <v>4003</v>
      </c>
      <c r="D1443" s="345">
        <f>D150+100+25</f>
        <v>975</v>
      </c>
      <c r="E1443" s="345">
        <f>E150+125+50</f>
        <v>1775</v>
      </c>
      <c r="F1443" s="345">
        <f>F150+125+50</f>
        <v>1825</v>
      </c>
      <c r="G1443" s="217" t="s">
        <v>5</v>
      </c>
      <c r="H1443" s="56" t="s">
        <v>721</v>
      </c>
      <c r="I1443" s="20" t="s">
        <v>4002</v>
      </c>
      <c r="J1443" s="30"/>
      <c r="K1443" s="38"/>
      <c r="L1443" s="116" t="s">
        <v>653</v>
      </c>
      <c r="M1443" s="15">
        <v>43070</v>
      </c>
      <c r="N1443" s="15">
        <v>43100</v>
      </c>
      <c r="O1443" s="59" t="s">
        <v>3705</v>
      </c>
      <c r="P1443" s="61"/>
      <c r="Q1443" s="14" t="s">
        <v>3710</v>
      </c>
      <c r="R1443" s="239" t="s">
        <v>3305</v>
      </c>
      <c r="S1443" s="327" t="s">
        <v>3303</v>
      </c>
      <c r="T1443" s="858"/>
    </row>
    <row r="1444" spans="1:20" ht="20.100000000000001" customHeight="1">
      <c r="A1444" s="1235" t="s">
        <v>2817</v>
      </c>
      <c r="B1444" s="1235" t="s">
        <v>3720</v>
      </c>
      <c r="C1444" s="1235" t="s">
        <v>3723</v>
      </c>
      <c r="D1444" s="195">
        <f>D211+75+25</f>
        <v>825</v>
      </c>
      <c r="E1444" s="195">
        <f>E211+150+50</f>
        <v>1550</v>
      </c>
      <c r="F1444" s="195">
        <f>F211+150+50</f>
        <v>1600</v>
      </c>
      <c r="G1444" s="110" t="s">
        <v>19</v>
      </c>
      <c r="H1444" s="69" t="s">
        <v>656</v>
      </c>
      <c r="I1444" s="38" t="s">
        <v>2522</v>
      </c>
      <c r="J1444" s="30"/>
      <c r="K1444" s="38"/>
      <c r="L1444" s="116" t="s">
        <v>653</v>
      </c>
      <c r="M1444" s="15">
        <v>43084</v>
      </c>
      <c r="N1444" s="15">
        <v>43100</v>
      </c>
      <c r="O1444" s="59" t="s">
        <v>3706</v>
      </c>
      <c r="P1444" s="61"/>
      <c r="Q1444" s="61"/>
      <c r="R1444" s="239"/>
      <c r="S1444" s="327" t="s">
        <v>3423</v>
      </c>
      <c r="T1444" s="858"/>
    </row>
    <row r="1445" spans="1:20" ht="20.100000000000001" customHeight="1">
      <c r="A1445" s="1236" t="s">
        <v>2817</v>
      </c>
      <c r="B1445" s="1236" t="s">
        <v>3720</v>
      </c>
      <c r="C1445" s="1236" t="s">
        <v>3723</v>
      </c>
      <c r="D1445" s="195">
        <f>D120+75</f>
        <v>975</v>
      </c>
      <c r="E1445" s="195">
        <f>E120+150</f>
        <v>1750</v>
      </c>
      <c r="F1445" s="195">
        <f>F120+150</f>
        <v>1800</v>
      </c>
      <c r="G1445" s="110" t="s">
        <v>31</v>
      </c>
      <c r="H1445" s="56" t="s">
        <v>729</v>
      </c>
      <c r="I1445" s="38" t="s">
        <v>3940</v>
      </c>
      <c r="J1445" s="30"/>
      <c r="K1445" s="38">
        <v>44</v>
      </c>
      <c r="L1445" s="116" t="s">
        <v>653</v>
      </c>
      <c r="M1445" s="6">
        <v>43085</v>
      </c>
      <c r="N1445" s="6">
        <v>43100</v>
      </c>
      <c r="O1445" s="61" t="s">
        <v>3721</v>
      </c>
      <c r="P1445" s="61"/>
      <c r="Q1445" s="61"/>
      <c r="R1445" s="239"/>
      <c r="S1445" s="328" t="s">
        <v>1176</v>
      </c>
      <c r="T1445" s="858"/>
    </row>
    <row r="1446" spans="1:20" ht="20.100000000000001" customHeight="1">
      <c r="A1446" s="908" t="s">
        <v>2817</v>
      </c>
      <c r="B1446" s="908" t="s">
        <v>3720</v>
      </c>
      <c r="C1446" s="908" t="s">
        <v>4001</v>
      </c>
      <c r="D1446" s="345">
        <f>D139+150+25</f>
        <v>1025</v>
      </c>
      <c r="E1446" s="345">
        <f>E139+350+50</f>
        <v>2000</v>
      </c>
      <c r="F1446" s="345">
        <f>F139+350+50</f>
        <v>2050</v>
      </c>
      <c r="G1446" s="217" t="s">
        <v>5</v>
      </c>
      <c r="H1446" s="56" t="s">
        <v>2535</v>
      </c>
      <c r="I1446" s="20" t="s">
        <v>2431</v>
      </c>
      <c r="J1446" s="30"/>
      <c r="K1446" s="38"/>
      <c r="L1446" s="116" t="s">
        <v>653</v>
      </c>
      <c r="M1446" s="15">
        <v>43070</v>
      </c>
      <c r="N1446" s="15">
        <v>43100</v>
      </c>
      <c r="O1446" s="59" t="s">
        <v>3705</v>
      </c>
      <c r="P1446" s="61"/>
      <c r="Q1446" s="14" t="s">
        <v>3710</v>
      </c>
      <c r="R1446" s="239"/>
      <c r="S1446" s="327" t="s">
        <v>3303</v>
      </c>
      <c r="T1446" s="858"/>
    </row>
    <row r="1447" spans="1:20" ht="20.100000000000001" customHeight="1">
      <c r="A1447" s="1229" t="s">
        <v>2817</v>
      </c>
      <c r="B1447" s="1229" t="s">
        <v>3720</v>
      </c>
      <c r="C1447" s="1229" t="s">
        <v>4000</v>
      </c>
      <c r="D1447" s="345">
        <f>D139+150+25</f>
        <v>1025</v>
      </c>
      <c r="E1447" s="345">
        <f>E139+300+50</f>
        <v>1950</v>
      </c>
      <c r="F1447" s="345">
        <f>F139+300+50</f>
        <v>2000</v>
      </c>
      <c r="G1447" s="217" t="s">
        <v>5</v>
      </c>
      <c r="H1447" s="56" t="s">
        <v>2535</v>
      </c>
      <c r="I1447" s="20" t="s">
        <v>2431</v>
      </c>
      <c r="J1447" s="30"/>
      <c r="K1447" s="38"/>
      <c r="L1447" s="116" t="s">
        <v>653</v>
      </c>
      <c r="M1447" s="15">
        <v>43070</v>
      </c>
      <c r="N1447" s="15">
        <v>43100</v>
      </c>
      <c r="O1447" s="59" t="s">
        <v>3705</v>
      </c>
      <c r="P1447" s="61"/>
      <c r="Q1447" s="14"/>
      <c r="R1447" s="239"/>
      <c r="S1447" s="327" t="s">
        <v>3303</v>
      </c>
      <c r="T1447" s="858"/>
    </row>
    <row r="1448" spans="1:20" ht="20.100000000000001" customHeight="1">
      <c r="A1448" s="1229" t="s">
        <v>2817</v>
      </c>
      <c r="B1448" s="1229" t="s">
        <v>3720</v>
      </c>
      <c r="C1448" s="1229" t="s">
        <v>4000</v>
      </c>
      <c r="D1448" s="195">
        <f>D140+870*1.12*1.2</f>
        <v>2044.28</v>
      </c>
      <c r="E1448" s="195">
        <f>E140+870*1.12*1.2</f>
        <v>2719.2799999999997</v>
      </c>
      <c r="F1448" s="195">
        <f>F140+870*1.12*1.2</f>
        <v>2769.2799999999997</v>
      </c>
      <c r="G1448" s="217" t="s">
        <v>51</v>
      </c>
      <c r="H1448" s="56" t="s">
        <v>2535</v>
      </c>
      <c r="I1448" s="20" t="s">
        <v>2431</v>
      </c>
      <c r="J1448" s="30" t="s">
        <v>3999</v>
      </c>
      <c r="K1448" s="38"/>
      <c r="L1448" s="116" t="s">
        <v>653</v>
      </c>
      <c r="M1448" s="15">
        <v>43084</v>
      </c>
      <c r="N1448" s="15">
        <v>43100</v>
      </c>
      <c r="O1448" s="61" t="s">
        <v>3711</v>
      </c>
      <c r="P1448" s="61"/>
      <c r="Q1448" s="61" t="s">
        <v>100</v>
      </c>
      <c r="R1448" s="239"/>
      <c r="S1448" s="328" t="s">
        <v>1176</v>
      </c>
      <c r="T1448" s="858"/>
    </row>
    <row r="1449" spans="1:20" ht="20.100000000000001" customHeight="1">
      <c r="A1449" s="908" t="s">
        <v>2817</v>
      </c>
      <c r="B1449" s="908" t="s">
        <v>3720</v>
      </c>
      <c r="C1449" s="908" t="s">
        <v>3998</v>
      </c>
      <c r="D1449" s="195">
        <f>D127+653*1.12*1.2</f>
        <v>1752.6320000000001</v>
      </c>
      <c r="E1449" s="195">
        <f>E127+653*1.12*1.2</f>
        <v>2427.6320000000001</v>
      </c>
      <c r="F1449" s="195">
        <f>F127+653*1.12*1.2</f>
        <v>2477.6320000000001</v>
      </c>
      <c r="G1449" s="217" t="s">
        <v>51</v>
      </c>
      <c r="H1449" s="36" t="s">
        <v>3941</v>
      </c>
      <c r="I1449" s="51" t="s">
        <v>3940</v>
      </c>
      <c r="J1449" s="24" t="s">
        <v>3997</v>
      </c>
      <c r="K1449" s="51"/>
      <c r="L1449" s="116" t="s">
        <v>653</v>
      </c>
      <c r="M1449" s="15">
        <v>43084</v>
      </c>
      <c r="N1449" s="15">
        <v>43100</v>
      </c>
      <c r="O1449" s="61" t="s">
        <v>3711</v>
      </c>
      <c r="P1449" s="61"/>
      <c r="Q1449" s="61" t="s">
        <v>100</v>
      </c>
      <c r="R1449" s="239"/>
      <c r="S1449" s="328" t="s">
        <v>1176</v>
      </c>
      <c r="T1449" s="858"/>
    </row>
    <row r="1450" spans="1:20" ht="20.100000000000001" customHeight="1">
      <c r="A1450" s="1229" t="s">
        <v>2817</v>
      </c>
      <c r="B1450" s="1229" t="s">
        <v>3720</v>
      </c>
      <c r="C1450" s="1229" t="s">
        <v>3995</v>
      </c>
      <c r="D1450" s="345">
        <f>D139+500+25</f>
        <v>1375</v>
      </c>
      <c r="E1450" s="345">
        <f>E139+575+50</f>
        <v>2225</v>
      </c>
      <c r="F1450" s="345">
        <f>F139+575+50</f>
        <v>2275</v>
      </c>
      <c r="G1450" s="217" t="s">
        <v>5</v>
      </c>
      <c r="H1450" s="56" t="s">
        <v>2535</v>
      </c>
      <c r="I1450" s="10" t="s">
        <v>2431</v>
      </c>
      <c r="J1450" s="30"/>
      <c r="K1450" s="38"/>
      <c r="L1450" s="116" t="s">
        <v>653</v>
      </c>
      <c r="M1450" s="15">
        <v>43070</v>
      </c>
      <c r="N1450" s="15">
        <v>43100</v>
      </c>
      <c r="O1450" s="59" t="s">
        <v>3705</v>
      </c>
      <c r="P1450" s="61"/>
      <c r="Q1450" s="14" t="s">
        <v>3710</v>
      </c>
      <c r="R1450" s="239"/>
      <c r="S1450" s="327" t="s">
        <v>3303</v>
      </c>
      <c r="T1450" s="858"/>
    </row>
    <row r="1451" spans="1:20" ht="20.100000000000001" customHeight="1">
      <c r="A1451" s="1229" t="s">
        <v>2817</v>
      </c>
      <c r="B1451" s="1229" t="s">
        <v>3720</v>
      </c>
      <c r="C1451" s="1229" t="s">
        <v>3995</v>
      </c>
      <c r="D1451" s="195">
        <f>D362+695*1.12*1.2</f>
        <v>1659.08</v>
      </c>
      <c r="E1451" s="195">
        <f>E362+695*1.12*1.2</f>
        <v>2284.08</v>
      </c>
      <c r="F1451" s="195">
        <f>F362+695*1.12*1.2</f>
        <v>2334.08</v>
      </c>
      <c r="G1451" s="217" t="s">
        <v>51</v>
      </c>
      <c r="H1451" s="56" t="s">
        <v>633</v>
      </c>
      <c r="I1451" s="10" t="s">
        <v>3977</v>
      </c>
      <c r="J1451" s="117" t="s">
        <v>3996</v>
      </c>
      <c r="K1451" s="38"/>
      <c r="L1451" s="116" t="s">
        <v>653</v>
      </c>
      <c r="M1451" s="15">
        <v>43084</v>
      </c>
      <c r="N1451" s="15">
        <v>43100</v>
      </c>
      <c r="O1451" s="61" t="s">
        <v>3292</v>
      </c>
      <c r="P1451" s="61"/>
      <c r="Q1451" s="61" t="s">
        <v>100</v>
      </c>
      <c r="R1451" s="21" t="s">
        <v>3427</v>
      </c>
      <c r="S1451" s="327" t="s">
        <v>3297</v>
      </c>
      <c r="T1451" s="858"/>
    </row>
    <row r="1452" spans="1:20" ht="20.100000000000001" customHeight="1">
      <c r="A1452" s="1229" t="s">
        <v>2817</v>
      </c>
      <c r="B1452" s="1229" t="s">
        <v>3720</v>
      </c>
      <c r="C1452" s="1229" t="s">
        <v>3995</v>
      </c>
      <c r="D1452" s="195">
        <f>D358+445*1.3</f>
        <v>1253.5</v>
      </c>
      <c r="E1452" s="195">
        <f>E358+475*1.3</f>
        <v>1667.5</v>
      </c>
      <c r="F1452" s="195">
        <f>F358+475*1.3</f>
        <v>1667.5</v>
      </c>
      <c r="G1452" s="225" t="s">
        <v>1689</v>
      </c>
      <c r="H1452" s="36" t="s">
        <v>725</v>
      </c>
      <c r="I1452" s="20" t="s">
        <v>3977</v>
      </c>
      <c r="J1452" s="30"/>
      <c r="K1452" s="38" t="s">
        <v>775</v>
      </c>
      <c r="L1452" s="116" t="s">
        <v>653</v>
      </c>
      <c r="M1452" s="6">
        <v>43057</v>
      </c>
      <c r="N1452" s="6">
        <v>43069</v>
      </c>
      <c r="O1452" s="61" t="s">
        <v>3715</v>
      </c>
      <c r="P1452" s="61"/>
      <c r="Q1452" s="14" t="s">
        <v>100</v>
      </c>
      <c r="R1452" s="239" t="s">
        <v>1761</v>
      </c>
      <c r="S1452" s="328" t="s">
        <v>1176</v>
      </c>
      <c r="T1452" s="858"/>
    </row>
    <row r="1453" spans="1:20" ht="20.100000000000001" customHeight="1">
      <c r="A1453" s="1229" t="s">
        <v>2817</v>
      </c>
      <c r="B1453" s="1229" t="s">
        <v>3720</v>
      </c>
      <c r="C1453" s="1229" t="s">
        <v>3995</v>
      </c>
      <c r="D1453" s="195">
        <f>D356+850+25</f>
        <v>1400</v>
      </c>
      <c r="E1453" s="195">
        <f>E356+950+50</f>
        <v>1950</v>
      </c>
      <c r="F1453" s="195">
        <f>F356+950+50</f>
        <v>2000</v>
      </c>
      <c r="G1453" s="12" t="s">
        <v>37</v>
      </c>
      <c r="H1453" s="48" t="s">
        <v>633</v>
      </c>
      <c r="I1453" s="38" t="s">
        <v>3977</v>
      </c>
      <c r="J1453" s="30"/>
      <c r="K1453" s="38"/>
      <c r="L1453" s="116" t="s">
        <v>653</v>
      </c>
      <c r="M1453" s="15">
        <v>43080</v>
      </c>
      <c r="N1453" s="15">
        <v>43083</v>
      </c>
      <c r="O1453" s="61" t="s">
        <v>2442</v>
      </c>
      <c r="P1453" s="61"/>
      <c r="Q1453" s="61"/>
      <c r="R1453" s="239" t="s">
        <v>3992</v>
      </c>
      <c r="S1453" s="327" t="s">
        <v>3722</v>
      </c>
      <c r="T1453" s="858"/>
    </row>
    <row r="1454" spans="1:20" ht="20.100000000000001" customHeight="1">
      <c r="A1454" s="1229" t="s">
        <v>2817</v>
      </c>
      <c r="B1454" s="1229" t="s">
        <v>3720</v>
      </c>
      <c r="C1454" s="1229" t="s">
        <v>3993</v>
      </c>
      <c r="D1454" s="195">
        <f>D363+(400+180)*1.2</f>
        <v>1346</v>
      </c>
      <c r="E1454" s="195">
        <f>E363+(400+180)*1.2</f>
        <v>1796</v>
      </c>
      <c r="F1454" s="195">
        <f>F363+(400+180)*1.2</f>
        <v>1846</v>
      </c>
      <c r="G1454" s="217" t="s">
        <v>5</v>
      </c>
      <c r="H1454" s="56" t="s">
        <v>725</v>
      </c>
      <c r="I1454" s="10" t="s">
        <v>3977</v>
      </c>
      <c r="J1454" s="140"/>
      <c r="K1454" s="38" t="s">
        <v>835</v>
      </c>
      <c r="L1454" s="116" t="s">
        <v>653</v>
      </c>
      <c r="M1454" s="15">
        <v>43054</v>
      </c>
      <c r="N1454" s="15">
        <v>43076</v>
      </c>
      <c r="O1454" s="61" t="s">
        <v>3292</v>
      </c>
      <c r="P1454" s="61" t="s">
        <v>939</v>
      </c>
      <c r="Q1454" s="61" t="s">
        <v>100</v>
      </c>
      <c r="R1454" s="239" t="s">
        <v>3719</v>
      </c>
      <c r="S1454" s="328" t="s">
        <v>1176</v>
      </c>
      <c r="T1454" s="858"/>
    </row>
    <row r="1455" spans="1:20" ht="20.100000000000001" customHeight="1">
      <c r="A1455" s="1229" t="s">
        <v>2817</v>
      </c>
      <c r="B1455" s="1229" t="s">
        <v>3720</v>
      </c>
      <c r="C1455" s="1229" t="s">
        <v>3993</v>
      </c>
      <c r="D1455" s="195">
        <f>D362+330*1.12*1.2</f>
        <v>1168.52</v>
      </c>
      <c r="E1455" s="195">
        <f>E362+330*1.12*1.2</f>
        <v>1793.52</v>
      </c>
      <c r="F1455" s="195">
        <f>F362+330*1.12*1.2</f>
        <v>1843.52</v>
      </c>
      <c r="G1455" s="217" t="s">
        <v>51</v>
      </c>
      <c r="H1455" s="56" t="s">
        <v>633</v>
      </c>
      <c r="I1455" s="10" t="s">
        <v>3977</v>
      </c>
      <c r="J1455" s="117" t="s">
        <v>3994</v>
      </c>
      <c r="K1455" s="38"/>
      <c r="L1455" s="116" t="s">
        <v>653</v>
      </c>
      <c r="M1455" s="15">
        <v>43084</v>
      </c>
      <c r="N1455" s="15">
        <v>43100</v>
      </c>
      <c r="O1455" s="61" t="s">
        <v>3292</v>
      </c>
      <c r="P1455" s="61"/>
      <c r="Q1455" s="61" t="s">
        <v>100</v>
      </c>
      <c r="R1455" s="21" t="s">
        <v>3427</v>
      </c>
      <c r="S1455" s="327" t="s">
        <v>3297</v>
      </c>
      <c r="T1455" s="858"/>
    </row>
    <row r="1456" spans="1:20" ht="20.100000000000001" customHeight="1">
      <c r="A1456" s="1229" t="s">
        <v>2817</v>
      </c>
      <c r="B1456" s="1229" t="s">
        <v>3720</v>
      </c>
      <c r="C1456" s="1229" t="s">
        <v>3993</v>
      </c>
      <c r="D1456" s="320">
        <f>D357+550</f>
        <v>1100</v>
      </c>
      <c r="E1456" s="320">
        <f>E357+550</f>
        <v>1550</v>
      </c>
      <c r="F1456" s="320">
        <f>F357+550</f>
        <v>1600</v>
      </c>
      <c r="G1456" s="110" t="s">
        <v>233</v>
      </c>
      <c r="H1456" s="48" t="s">
        <v>725</v>
      </c>
      <c r="I1456" s="38" t="s">
        <v>3977</v>
      </c>
      <c r="J1456" s="140"/>
      <c r="K1456" s="38">
        <v>33</v>
      </c>
      <c r="L1456" s="116" t="s">
        <v>653</v>
      </c>
      <c r="M1456" s="6">
        <v>43048</v>
      </c>
      <c r="N1456" s="6">
        <v>43100</v>
      </c>
      <c r="O1456" s="61" t="s">
        <v>2442</v>
      </c>
      <c r="P1456" s="61"/>
      <c r="Q1456" s="7"/>
      <c r="R1456" s="239"/>
      <c r="S1456" s="327" t="s">
        <v>3013</v>
      </c>
      <c r="T1456" s="858"/>
    </row>
    <row r="1457" spans="1:20" ht="20.100000000000001" customHeight="1">
      <c r="A1457" s="1229" t="s">
        <v>2817</v>
      </c>
      <c r="B1457" s="1229" t="s">
        <v>3720</v>
      </c>
      <c r="C1457" s="1229" t="s">
        <v>3993</v>
      </c>
      <c r="D1457" s="195">
        <f>D356+975+25</f>
        <v>1525</v>
      </c>
      <c r="E1457" s="195">
        <f>E356+950+50</f>
        <v>1950</v>
      </c>
      <c r="F1457" s="195">
        <f>F356+950+50</f>
        <v>2000</v>
      </c>
      <c r="G1457" s="12" t="s">
        <v>37</v>
      </c>
      <c r="H1457" s="48" t="s">
        <v>633</v>
      </c>
      <c r="I1457" s="38" t="s">
        <v>3977</v>
      </c>
      <c r="J1457" s="30"/>
      <c r="K1457" s="38"/>
      <c r="L1457" s="116" t="s">
        <v>653</v>
      </c>
      <c r="M1457" s="15">
        <v>43080</v>
      </c>
      <c r="N1457" s="15">
        <v>43083</v>
      </c>
      <c r="O1457" s="61" t="s">
        <v>2442</v>
      </c>
      <c r="P1457" s="61"/>
      <c r="Q1457" s="61"/>
      <c r="R1457" s="239" t="s">
        <v>3992</v>
      </c>
      <c r="S1457" s="327" t="s">
        <v>3722</v>
      </c>
      <c r="T1457" s="858"/>
    </row>
    <row r="1458" spans="1:20" ht="20.100000000000001" customHeight="1">
      <c r="A1458" s="908" t="s">
        <v>3938</v>
      </c>
      <c r="B1458" s="908" t="s">
        <v>3720</v>
      </c>
      <c r="C1458" s="908" t="s">
        <v>3991</v>
      </c>
      <c r="D1458" s="195">
        <f>D127+920*1.12*1.2</f>
        <v>2111.48</v>
      </c>
      <c r="E1458" s="195">
        <f>E127+920*1.12*1.2</f>
        <v>2786.48</v>
      </c>
      <c r="F1458" s="195">
        <f>F127+920*1.12*1.2</f>
        <v>2836.48</v>
      </c>
      <c r="G1458" s="217" t="s">
        <v>51</v>
      </c>
      <c r="H1458" s="36" t="s">
        <v>3941</v>
      </c>
      <c r="I1458" s="51" t="s">
        <v>3940</v>
      </c>
      <c r="J1458" s="24" t="s">
        <v>3990</v>
      </c>
      <c r="K1458" s="51"/>
      <c r="L1458" s="116" t="s">
        <v>653</v>
      </c>
      <c r="M1458" s="15">
        <v>43084</v>
      </c>
      <c r="N1458" s="15">
        <v>43100</v>
      </c>
      <c r="O1458" s="61" t="s">
        <v>3711</v>
      </c>
      <c r="P1458" s="61"/>
      <c r="Q1458" s="61" t="s">
        <v>100</v>
      </c>
      <c r="R1458" s="239"/>
      <c r="S1458" s="328" t="s">
        <v>1176</v>
      </c>
      <c r="T1458" s="858"/>
    </row>
    <row r="1459" spans="1:20" ht="20.100000000000001" customHeight="1">
      <c r="A1459" s="1229" t="s">
        <v>2817</v>
      </c>
      <c r="B1459" s="1229" t="s">
        <v>3720</v>
      </c>
      <c r="C1459" s="1229" t="s">
        <v>3989</v>
      </c>
      <c r="D1459" s="195">
        <f>D1195+50</f>
        <v>900</v>
      </c>
      <c r="E1459" s="195">
        <f>E1195+100</f>
        <v>1800</v>
      </c>
      <c r="F1459" s="195">
        <f>F1195+100</f>
        <v>1850</v>
      </c>
      <c r="G1459" s="110" t="s">
        <v>31</v>
      </c>
      <c r="H1459" s="55" t="s">
        <v>729</v>
      </c>
      <c r="I1459" s="38" t="s">
        <v>3321</v>
      </c>
      <c r="J1459" s="30"/>
      <c r="K1459" s="38">
        <v>34</v>
      </c>
      <c r="L1459" s="116" t="s">
        <v>653</v>
      </c>
      <c r="M1459" s="6">
        <v>43085</v>
      </c>
      <c r="N1459" s="6">
        <v>43100</v>
      </c>
      <c r="O1459" s="61" t="s">
        <v>3721</v>
      </c>
      <c r="P1459" s="61"/>
      <c r="Q1459" s="167"/>
      <c r="R1459" s="239" t="s">
        <v>3309</v>
      </c>
      <c r="S1459" s="328" t="s">
        <v>1176</v>
      </c>
      <c r="T1459" s="858"/>
    </row>
    <row r="1460" spans="1:20" ht="20.100000000000001" customHeight="1">
      <c r="A1460" s="1229" t="s">
        <v>2817</v>
      </c>
      <c r="B1460" s="1229" t="s">
        <v>3720</v>
      </c>
      <c r="C1460" s="1229" t="s">
        <v>3989</v>
      </c>
      <c r="D1460" s="345">
        <f>D139+150+25</f>
        <v>1025</v>
      </c>
      <c r="E1460" s="345">
        <f>E139+300+50</f>
        <v>1950</v>
      </c>
      <c r="F1460" s="345">
        <f>F139+300+50</f>
        <v>2000</v>
      </c>
      <c r="G1460" s="217" t="s">
        <v>5</v>
      </c>
      <c r="H1460" s="56" t="s">
        <v>2535</v>
      </c>
      <c r="I1460" s="20" t="s">
        <v>2431</v>
      </c>
      <c r="J1460" s="30"/>
      <c r="K1460" s="38"/>
      <c r="L1460" s="116" t="s">
        <v>653</v>
      </c>
      <c r="M1460" s="15">
        <v>43070</v>
      </c>
      <c r="N1460" s="15">
        <v>43100</v>
      </c>
      <c r="O1460" s="59" t="s">
        <v>3705</v>
      </c>
      <c r="P1460" s="61"/>
      <c r="Q1460" s="7"/>
      <c r="R1460" s="239"/>
      <c r="S1460" s="327" t="s">
        <v>3303</v>
      </c>
      <c r="T1460" s="858"/>
    </row>
    <row r="1461" spans="1:20" ht="20.100000000000001" customHeight="1">
      <c r="A1461" s="908" t="s">
        <v>2817</v>
      </c>
      <c r="B1461" s="908" t="s">
        <v>3720</v>
      </c>
      <c r="C1461" s="908" t="s">
        <v>3988</v>
      </c>
      <c r="D1461" s="195">
        <f>D127+1020*1.12*1.2</f>
        <v>2245.88</v>
      </c>
      <c r="E1461" s="195">
        <f>E127+1020*1.12*1.2</f>
        <v>2920.88</v>
      </c>
      <c r="F1461" s="195">
        <f>F127+1020*1.12*1.2</f>
        <v>2970.88</v>
      </c>
      <c r="G1461" s="217" t="s">
        <v>51</v>
      </c>
      <c r="H1461" s="36" t="s">
        <v>3941</v>
      </c>
      <c r="I1461" s="51" t="s">
        <v>3940</v>
      </c>
      <c r="J1461" s="24" t="s">
        <v>3987</v>
      </c>
      <c r="K1461" s="51"/>
      <c r="L1461" s="116" t="s">
        <v>653</v>
      </c>
      <c r="M1461" s="15">
        <v>43084</v>
      </c>
      <c r="N1461" s="15">
        <v>43100</v>
      </c>
      <c r="O1461" s="61" t="s">
        <v>3711</v>
      </c>
      <c r="P1461" s="61"/>
      <c r="Q1461" s="61" t="s">
        <v>100</v>
      </c>
      <c r="R1461" s="239"/>
      <c r="S1461" s="328" t="s">
        <v>1176</v>
      </c>
      <c r="T1461" s="858"/>
    </row>
    <row r="1462" spans="1:20" ht="20.100000000000001" customHeight="1">
      <c r="A1462" s="1229" t="s">
        <v>2817</v>
      </c>
      <c r="B1462" s="1229" t="s">
        <v>3720</v>
      </c>
      <c r="C1462" s="1229" t="s">
        <v>3986</v>
      </c>
      <c r="D1462" s="196">
        <f>D139+(206+195)*1.2</f>
        <v>1331.2</v>
      </c>
      <c r="E1462" s="196">
        <f>E139+(254+195)*1.2</f>
        <v>2138.8000000000002</v>
      </c>
      <c r="F1462" s="196">
        <f>F139+(254+195)*1.2</f>
        <v>2188.8000000000002</v>
      </c>
      <c r="G1462" s="217" t="s">
        <v>5</v>
      </c>
      <c r="H1462" s="56" t="s">
        <v>2535</v>
      </c>
      <c r="I1462" s="10" t="s">
        <v>2431</v>
      </c>
      <c r="J1462" s="30"/>
      <c r="K1462" s="38"/>
      <c r="L1462" s="116" t="s">
        <v>653</v>
      </c>
      <c r="M1462" s="15">
        <v>43070</v>
      </c>
      <c r="N1462" s="15">
        <v>43100</v>
      </c>
      <c r="O1462" s="59" t="s">
        <v>3705</v>
      </c>
      <c r="P1462" s="61" t="s">
        <v>939</v>
      </c>
      <c r="Q1462" s="14" t="s">
        <v>3710</v>
      </c>
      <c r="R1462" s="239"/>
      <c r="S1462" s="327" t="s">
        <v>3303</v>
      </c>
      <c r="T1462" s="858"/>
    </row>
    <row r="1463" spans="1:20" ht="20.100000000000001" customHeight="1">
      <c r="A1463" s="1229" t="s">
        <v>2817</v>
      </c>
      <c r="B1463" s="1229" t="s">
        <v>3720</v>
      </c>
      <c r="C1463" s="1229" t="s">
        <v>3986</v>
      </c>
      <c r="D1463" s="196">
        <f>D139+(413+195)*1.2</f>
        <v>1579.6</v>
      </c>
      <c r="E1463" s="196">
        <f>E139+(492+195)*1.2</f>
        <v>2424.4</v>
      </c>
      <c r="F1463" s="196">
        <f>F139+(492+195)*1.2</f>
        <v>2474.4</v>
      </c>
      <c r="G1463" s="217" t="s">
        <v>5</v>
      </c>
      <c r="H1463" s="56" t="s">
        <v>2535</v>
      </c>
      <c r="I1463" s="10" t="s">
        <v>2431</v>
      </c>
      <c r="J1463" s="30"/>
      <c r="K1463" s="38"/>
      <c r="L1463" s="116" t="s">
        <v>653</v>
      </c>
      <c r="M1463" s="15">
        <v>43070</v>
      </c>
      <c r="N1463" s="15">
        <v>43100</v>
      </c>
      <c r="O1463" s="59" t="s">
        <v>3705</v>
      </c>
      <c r="P1463" s="61" t="s">
        <v>939</v>
      </c>
      <c r="Q1463" s="14" t="s">
        <v>100</v>
      </c>
      <c r="R1463" s="239"/>
      <c r="S1463" s="327" t="s">
        <v>3303</v>
      </c>
      <c r="T1463" s="858"/>
    </row>
    <row r="1464" spans="1:20" ht="20.100000000000001" customHeight="1">
      <c r="A1464" s="1229" t="s">
        <v>2817</v>
      </c>
      <c r="B1464" s="1229" t="s">
        <v>3720</v>
      </c>
      <c r="C1464" s="1229" t="s">
        <v>3986</v>
      </c>
      <c r="D1464" s="196">
        <f>D140+530*1.12*1.2</f>
        <v>1587.3200000000002</v>
      </c>
      <c r="E1464" s="196">
        <f>E140+530*1.12*1.2</f>
        <v>2262.3200000000002</v>
      </c>
      <c r="F1464" s="196">
        <f>F140+530*1.12*1.2</f>
        <v>2312.3200000000002</v>
      </c>
      <c r="G1464" s="217" t="s">
        <v>51</v>
      </c>
      <c r="H1464" s="56" t="s">
        <v>2535</v>
      </c>
      <c r="I1464" s="20" t="s">
        <v>2431</v>
      </c>
      <c r="J1464" s="30" t="s">
        <v>3985</v>
      </c>
      <c r="K1464" s="38"/>
      <c r="L1464" s="116" t="s">
        <v>653</v>
      </c>
      <c r="M1464" s="15">
        <v>43084</v>
      </c>
      <c r="N1464" s="15">
        <v>43100</v>
      </c>
      <c r="O1464" s="61" t="s">
        <v>3711</v>
      </c>
      <c r="P1464" s="61"/>
      <c r="Q1464" s="61" t="s">
        <v>100</v>
      </c>
      <c r="R1464" s="239"/>
      <c r="S1464" s="328" t="s">
        <v>1176</v>
      </c>
      <c r="T1464" s="858"/>
    </row>
    <row r="1465" spans="1:20" ht="20.100000000000001" customHeight="1">
      <c r="A1465" s="908" t="s">
        <v>2817</v>
      </c>
      <c r="B1465" s="908" t="s">
        <v>3720</v>
      </c>
      <c r="C1465" s="908" t="s">
        <v>3984</v>
      </c>
      <c r="D1465" s="247"/>
      <c r="E1465" s="247"/>
      <c r="F1465" s="247"/>
      <c r="G1465" s="12"/>
      <c r="H1465" s="36"/>
      <c r="I1465" s="51"/>
      <c r="J1465" s="24"/>
      <c r="K1465" s="51"/>
      <c r="L1465" s="118"/>
      <c r="M1465" s="118"/>
      <c r="N1465" s="15"/>
      <c r="O1465" s="59"/>
      <c r="P1465" s="59"/>
      <c r="Q1465" s="59"/>
      <c r="R1465" s="21"/>
      <c r="S1465" s="328"/>
      <c r="T1465" s="858"/>
    </row>
    <row r="1466" spans="1:20" ht="20.100000000000001" customHeight="1">
      <c r="A1466" s="1229" t="s">
        <v>2817</v>
      </c>
      <c r="B1466" s="1229" t="s">
        <v>3720</v>
      </c>
      <c r="C1466" s="1229" t="s">
        <v>3982</v>
      </c>
      <c r="D1466" s="195">
        <f>D134+50</f>
        <v>950</v>
      </c>
      <c r="E1466" s="195">
        <f>E134+50</f>
        <v>1650</v>
      </c>
      <c r="F1466" s="195">
        <f>F134+50</f>
        <v>1700</v>
      </c>
      <c r="G1466" s="110" t="s">
        <v>31</v>
      </c>
      <c r="H1466" s="36" t="s">
        <v>729</v>
      </c>
      <c r="I1466" s="38" t="s">
        <v>2431</v>
      </c>
      <c r="J1466" s="140"/>
      <c r="K1466" s="38">
        <v>32</v>
      </c>
      <c r="L1466" s="116" t="s">
        <v>653</v>
      </c>
      <c r="M1466" s="6">
        <v>43085</v>
      </c>
      <c r="N1466" s="6">
        <v>43100</v>
      </c>
      <c r="O1466" s="61" t="s">
        <v>3721</v>
      </c>
      <c r="P1466" s="61"/>
      <c r="Q1466" s="61"/>
      <c r="R1466" s="239"/>
      <c r="S1466" s="328" t="s">
        <v>1176</v>
      </c>
      <c r="T1466" s="858"/>
    </row>
    <row r="1467" spans="1:20" ht="20.100000000000001" customHeight="1">
      <c r="A1467" s="1229" t="s">
        <v>2817</v>
      </c>
      <c r="B1467" s="1229" t="s">
        <v>3720</v>
      </c>
      <c r="C1467" s="1229" t="s">
        <v>3982</v>
      </c>
      <c r="D1467" s="195">
        <f>D140+309*1.12*1.2</f>
        <v>1290.296</v>
      </c>
      <c r="E1467" s="195">
        <f>E140+309*1.12*1.2</f>
        <v>1965.296</v>
      </c>
      <c r="F1467" s="195">
        <f>F140+309*1.12*1.2</f>
        <v>2015.296</v>
      </c>
      <c r="G1467" s="217" t="s">
        <v>51</v>
      </c>
      <c r="H1467" s="56" t="s">
        <v>2535</v>
      </c>
      <c r="I1467" s="20" t="s">
        <v>2431</v>
      </c>
      <c r="J1467" s="30" t="s">
        <v>3983</v>
      </c>
      <c r="K1467" s="38"/>
      <c r="L1467" s="116" t="s">
        <v>653</v>
      </c>
      <c r="M1467" s="15">
        <v>43084</v>
      </c>
      <c r="N1467" s="15">
        <v>43100</v>
      </c>
      <c r="O1467" s="61" t="s">
        <v>3711</v>
      </c>
      <c r="P1467" s="61"/>
      <c r="Q1467" s="61" t="s">
        <v>100</v>
      </c>
      <c r="R1467" s="239"/>
      <c r="S1467" s="328" t="s">
        <v>1176</v>
      </c>
      <c r="T1467" s="858"/>
    </row>
    <row r="1468" spans="1:20" ht="20.100000000000001" customHeight="1">
      <c r="A1468" s="1229" t="s">
        <v>2817</v>
      </c>
      <c r="B1468" s="1229" t="s">
        <v>3720</v>
      </c>
      <c r="C1468" s="1229" t="s">
        <v>3982</v>
      </c>
      <c r="D1468" s="345">
        <f>D139+150+25</f>
        <v>1025</v>
      </c>
      <c r="E1468" s="345">
        <f>E139+200+50</f>
        <v>1850</v>
      </c>
      <c r="F1468" s="345">
        <f>F139+200+50</f>
        <v>1900</v>
      </c>
      <c r="G1468" s="217" t="s">
        <v>5</v>
      </c>
      <c r="H1468" s="56" t="s">
        <v>2535</v>
      </c>
      <c r="I1468" s="10" t="s">
        <v>2431</v>
      </c>
      <c r="J1468" s="30"/>
      <c r="K1468" s="38"/>
      <c r="L1468" s="116" t="s">
        <v>653</v>
      </c>
      <c r="M1468" s="15">
        <v>43070</v>
      </c>
      <c r="N1468" s="15">
        <v>43100</v>
      </c>
      <c r="O1468" s="59" t="s">
        <v>3705</v>
      </c>
      <c r="P1468" s="61"/>
      <c r="Q1468" s="7"/>
      <c r="R1468" s="239"/>
      <c r="S1468" s="327" t="s">
        <v>3303</v>
      </c>
      <c r="T1468" s="858"/>
    </row>
    <row r="1469" spans="1:20" ht="20.100000000000001" customHeight="1">
      <c r="A1469" s="908" t="s">
        <v>2817</v>
      </c>
      <c r="B1469" s="908" t="s">
        <v>3720</v>
      </c>
      <c r="C1469" s="908" t="s">
        <v>3981</v>
      </c>
      <c r="D1469" s="345">
        <f>D139+280+25</f>
        <v>1155</v>
      </c>
      <c r="E1469" s="345">
        <f>E139+330+50</f>
        <v>1980</v>
      </c>
      <c r="F1469" s="345">
        <f>F139+330+50</f>
        <v>2030</v>
      </c>
      <c r="G1469" s="217" t="s">
        <v>5</v>
      </c>
      <c r="H1469" s="56" t="s">
        <v>2535</v>
      </c>
      <c r="I1469" s="10" t="s">
        <v>2431</v>
      </c>
      <c r="J1469" s="30"/>
      <c r="K1469" s="38"/>
      <c r="L1469" s="116" t="s">
        <v>653</v>
      </c>
      <c r="M1469" s="15">
        <v>43070</v>
      </c>
      <c r="N1469" s="15">
        <v>43100</v>
      </c>
      <c r="O1469" s="59" t="s">
        <v>3705</v>
      </c>
      <c r="P1469" s="61"/>
      <c r="Q1469" s="61" t="s">
        <v>3710</v>
      </c>
      <c r="R1469" s="239"/>
      <c r="S1469" s="327" t="s">
        <v>3303</v>
      </c>
      <c r="T1469" s="858"/>
    </row>
    <row r="1470" spans="1:20" ht="20.100000000000001" customHeight="1">
      <c r="A1470" s="1229" t="s">
        <v>2817</v>
      </c>
      <c r="B1470" s="1229" t="s">
        <v>3720</v>
      </c>
      <c r="C1470" s="1229" t="s">
        <v>3979</v>
      </c>
      <c r="D1470" s="195">
        <f>D362+950*1.12*1.2</f>
        <v>2001.8</v>
      </c>
      <c r="E1470" s="195">
        <f>E362+950*1.12*1.2</f>
        <v>2626.8</v>
      </c>
      <c r="F1470" s="195">
        <f>F362+950*1.12*1.2</f>
        <v>2676.8</v>
      </c>
      <c r="G1470" s="217" t="s">
        <v>51</v>
      </c>
      <c r="H1470" s="56" t="s">
        <v>633</v>
      </c>
      <c r="I1470" s="10" t="s">
        <v>3977</v>
      </c>
      <c r="J1470" s="117" t="s">
        <v>3980</v>
      </c>
      <c r="K1470" s="38"/>
      <c r="L1470" s="116" t="s">
        <v>653</v>
      </c>
      <c r="M1470" s="15">
        <v>43084</v>
      </c>
      <c r="N1470" s="15">
        <v>43100</v>
      </c>
      <c r="O1470" s="61" t="s">
        <v>3292</v>
      </c>
      <c r="P1470" s="61"/>
      <c r="Q1470" s="61" t="s">
        <v>100</v>
      </c>
      <c r="R1470" s="21" t="s">
        <v>3427</v>
      </c>
      <c r="S1470" s="327" t="s">
        <v>3297</v>
      </c>
      <c r="T1470" s="858"/>
    </row>
    <row r="1471" spans="1:20" ht="20.100000000000001" customHeight="1">
      <c r="A1471" s="1229" t="s">
        <v>2817</v>
      </c>
      <c r="B1471" s="1229" t="s">
        <v>3720</v>
      </c>
      <c r="C1471" s="1229" t="s">
        <v>3979</v>
      </c>
      <c r="D1471" s="195">
        <f>D358+520*1.3</f>
        <v>1351</v>
      </c>
      <c r="E1471" s="195">
        <f>E358+545*1.3</f>
        <v>1758.5</v>
      </c>
      <c r="F1471" s="195">
        <f>F358+545*1.3</f>
        <v>1758.5</v>
      </c>
      <c r="G1471" s="225" t="s">
        <v>1689</v>
      </c>
      <c r="H1471" s="36" t="s">
        <v>725</v>
      </c>
      <c r="I1471" s="20" t="s">
        <v>3977</v>
      </c>
      <c r="J1471" s="30"/>
      <c r="K1471" s="38" t="s">
        <v>775</v>
      </c>
      <c r="L1471" s="116" t="s">
        <v>653</v>
      </c>
      <c r="M1471" s="6">
        <v>43057</v>
      </c>
      <c r="N1471" s="6">
        <v>43069</v>
      </c>
      <c r="O1471" s="61" t="s">
        <v>3715</v>
      </c>
      <c r="P1471" s="61"/>
      <c r="Q1471" s="14" t="s">
        <v>100</v>
      </c>
      <c r="R1471" s="239" t="s">
        <v>1761</v>
      </c>
      <c r="S1471" s="328" t="s">
        <v>1176</v>
      </c>
      <c r="T1471" s="858"/>
    </row>
    <row r="1472" spans="1:20" ht="20.100000000000001" customHeight="1">
      <c r="A1472" s="908" t="s">
        <v>3938</v>
      </c>
      <c r="B1472" s="908" t="s">
        <v>3720</v>
      </c>
      <c r="C1472" s="908" t="s">
        <v>3978</v>
      </c>
      <c r="D1472" s="247"/>
      <c r="E1472" s="247"/>
      <c r="F1472" s="247"/>
      <c r="G1472" s="217" t="s">
        <v>5</v>
      </c>
      <c r="H1472" s="56" t="s">
        <v>725</v>
      </c>
      <c r="I1472" s="10" t="s">
        <v>3977</v>
      </c>
      <c r="J1472" s="140"/>
      <c r="K1472" s="38" t="s">
        <v>835</v>
      </c>
      <c r="L1472" s="116" t="s">
        <v>653</v>
      </c>
      <c r="M1472" s="15">
        <v>43054</v>
      </c>
      <c r="N1472" s="15">
        <v>43076</v>
      </c>
      <c r="O1472" s="61" t="s">
        <v>3292</v>
      </c>
      <c r="P1472" s="61" t="s">
        <v>939</v>
      </c>
      <c r="Q1472" s="61" t="s">
        <v>100</v>
      </c>
      <c r="R1472" s="239" t="s">
        <v>3719</v>
      </c>
      <c r="S1472" s="328" t="s">
        <v>1176</v>
      </c>
      <c r="T1472" s="858"/>
    </row>
    <row r="1473" spans="1:20" ht="20.100000000000001" customHeight="1">
      <c r="A1473" s="908" t="s">
        <v>2817</v>
      </c>
      <c r="B1473" s="908" t="s">
        <v>3717</v>
      </c>
      <c r="C1473" s="908" t="s">
        <v>3976</v>
      </c>
      <c r="D1473" s="345">
        <f>D77+110+25</f>
        <v>985</v>
      </c>
      <c r="E1473" s="345">
        <f>E77+140+50</f>
        <v>1790</v>
      </c>
      <c r="F1473" s="345">
        <f>F77+140+50</f>
        <v>1840</v>
      </c>
      <c r="G1473" s="217" t="s">
        <v>5</v>
      </c>
      <c r="H1473" s="56" t="s">
        <v>2523</v>
      </c>
      <c r="I1473" s="10" t="s">
        <v>2522</v>
      </c>
      <c r="J1473" s="30"/>
      <c r="K1473" s="38"/>
      <c r="L1473" s="116" t="s">
        <v>653</v>
      </c>
      <c r="M1473" s="15">
        <v>43070</v>
      </c>
      <c r="N1473" s="15">
        <v>43100</v>
      </c>
      <c r="O1473" s="59" t="s">
        <v>3705</v>
      </c>
      <c r="P1473" s="61"/>
      <c r="Q1473" s="7"/>
      <c r="R1473" s="239"/>
      <c r="S1473" s="327" t="s">
        <v>3303</v>
      </c>
      <c r="T1473" s="858"/>
    </row>
    <row r="1474" spans="1:20" ht="20.100000000000001" customHeight="1">
      <c r="A1474" s="908" t="s">
        <v>2817</v>
      </c>
      <c r="B1474" s="908" t="s">
        <v>3717</v>
      </c>
      <c r="C1474" s="908" t="s">
        <v>3975</v>
      </c>
      <c r="D1474" s="247"/>
      <c r="E1474" s="247"/>
      <c r="F1474" s="247"/>
      <c r="G1474" s="12"/>
      <c r="H1474" s="56"/>
      <c r="I1474" s="51"/>
      <c r="J1474" s="24"/>
      <c r="K1474" s="51"/>
      <c r="L1474" s="118"/>
      <c r="M1474" s="118"/>
      <c r="N1474" s="15"/>
      <c r="O1474" s="59"/>
      <c r="P1474" s="59"/>
      <c r="Q1474" s="59"/>
      <c r="R1474" s="21"/>
      <c r="S1474" s="328"/>
      <c r="T1474" s="858"/>
    </row>
    <row r="1475" spans="1:20" ht="20.100000000000001" customHeight="1">
      <c r="A1475" s="908" t="s">
        <v>2817</v>
      </c>
      <c r="B1475" s="908" t="s">
        <v>3717</v>
      </c>
      <c r="C1475" s="908" t="s">
        <v>3974</v>
      </c>
      <c r="D1475" s="247"/>
      <c r="E1475" s="247"/>
      <c r="F1475" s="247"/>
      <c r="G1475" s="12"/>
      <c r="H1475" s="56"/>
      <c r="I1475" s="51"/>
      <c r="J1475" s="24"/>
      <c r="K1475" s="51"/>
      <c r="L1475" s="118"/>
      <c r="M1475" s="118"/>
      <c r="N1475" s="15"/>
      <c r="O1475" s="59"/>
      <c r="P1475" s="59"/>
      <c r="Q1475" s="59"/>
      <c r="R1475" s="21"/>
      <c r="S1475" s="328"/>
      <c r="T1475" s="858"/>
    </row>
    <row r="1476" spans="1:20" ht="20.100000000000001" customHeight="1">
      <c r="A1476" s="908" t="s">
        <v>2817</v>
      </c>
      <c r="B1476" s="908" t="s">
        <v>3717</v>
      </c>
      <c r="C1476" s="908" t="s">
        <v>3973</v>
      </c>
      <c r="D1476" s="247"/>
      <c r="E1476" s="247"/>
      <c r="F1476" s="247"/>
      <c r="G1476" s="12"/>
      <c r="H1476" s="56"/>
      <c r="I1476" s="51"/>
      <c r="J1476" s="24"/>
      <c r="K1476" s="51"/>
      <c r="L1476" s="118"/>
      <c r="M1476" s="118"/>
      <c r="N1476" s="15"/>
      <c r="O1476" s="59"/>
      <c r="P1476" s="59"/>
      <c r="Q1476" s="59"/>
      <c r="R1476" s="21"/>
      <c r="S1476" s="328"/>
      <c r="T1476" s="858"/>
    </row>
    <row r="1477" spans="1:20" ht="20.100000000000001" customHeight="1">
      <c r="A1477" s="1229" t="s">
        <v>2817</v>
      </c>
      <c r="B1477" s="1229" t="s">
        <v>3717</v>
      </c>
      <c r="C1477" s="1229" t="s">
        <v>3972</v>
      </c>
      <c r="D1477" s="195">
        <f>D97+165</f>
        <v>1040</v>
      </c>
      <c r="E1477" s="195">
        <f>E97+190</f>
        <v>1740</v>
      </c>
      <c r="F1477" s="195">
        <f>F97+190</f>
        <v>1790</v>
      </c>
      <c r="G1477" s="217" t="s">
        <v>51</v>
      </c>
      <c r="H1477" s="48" t="s">
        <v>3951</v>
      </c>
      <c r="I1477" s="38" t="s">
        <v>2522</v>
      </c>
      <c r="J1477" s="30"/>
      <c r="K1477" s="38">
        <v>37</v>
      </c>
      <c r="L1477" s="116" t="s">
        <v>653</v>
      </c>
      <c r="M1477" s="15">
        <v>43084</v>
      </c>
      <c r="N1477" s="15">
        <v>43100</v>
      </c>
      <c r="O1477" s="61" t="s">
        <v>3920</v>
      </c>
      <c r="P1477" s="61"/>
      <c r="Q1477" s="61"/>
      <c r="R1477" s="239"/>
      <c r="S1477" s="328" t="s">
        <v>1176</v>
      </c>
      <c r="T1477" s="858"/>
    </row>
    <row r="1478" spans="1:20" ht="20.100000000000001" customHeight="1">
      <c r="A1478" s="1229" t="s">
        <v>2817</v>
      </c>
      <c r="B1478" s="1229" t="s">
        <v>3717</v>
      </c>
      <c r="C1478" s="1229" t="s">
        <v>3972</v>
      </c>
      <c r="D1478" s="195">
        <f>D72+274*1.3</f>
        <v>1136.2</v>
      </c>
      <c r="E1478" s="195">
        <f>E72+294*1.3</f>
        <v>1839.2</v>
      </c>
      <c r="F1478" s="195">
        <f>F72+294*1.3</f>
        <v>1839.2</v>
      </c>
      <c r="G1478" s="225" t="s">
        <v>1689</v>
      </c>
      <c r="H1478" s="69" t="s">
        <v>3970</v>
      </c>
      <c r="I1478" s="38" t="s">
        <v>2522</v>
      </c>
      <c r="J1478" s="117"/>
      <c r="K1478" s="38" t="s">
        <v>835</v>
      </c>
      <c r="L1478" s="116" t="s">
        <v>653</v>
      </c>
      <c r="M1478" s="6">
        <v>43074</v>
      </c>
      <c r="N1478" s="6">
        <v>43084</v>
      </c>
      <c r="O1478" s="61" t="s">
        <v>3718</v>
      </c>
      <c r="P1478" s="61"/>
      <c r="Q1478" s="61" t="s">
        <v>100</v>
      </c>
      <c r="R1478" s="243"/>
      <c r="S1478" s="328" t="s">
        <v>1176</v>
      </c>
      <c r="T1478" s="858"/>
    </row>
    <row r="1479" spans="1:20" ht="20.100000000000001" customHeight="1">
      <c r="A1479" s="908" t="s">
        <v>2817</v>
      </c>
      <c r="B1479" s="908" t="s">
        <v>3717</v>
      </c>
      <c r="C1479" s="908" t="s">
        <v>3971</v>
      </c>
      <c r="D1479" s="195">
        <f>D72+294*1.3</f>
        <v>1162.2</v>
      </c>
      <c r="E1479" s="195">
        <f>E72+314*1.3</f>
        <v>1865.2</v>
      </c>
      <c r="F1479" s="195">
        <f>F72+314*1.3</f>
        <v>1865.2</v>
      </c>
      <c r="G1479" s="225" t="s">
        <v>1689</v>
      </c>
      <c r="H1479" s="69" t="s">
        <v>3970</v>
      </c>
      <c r="I1479" s="38" t="s">
        <v>2522</v>
      </c>
      <c r="J1479" s="117"/>
      <c r="K1479" s="38" t="s">
        <v>975</v>
      </c>
      <c r="L1479" s="116" t="s">
        <v>653</v>
      </c>
      <c r="M1479" s="6">
        <v>43074</v>
      </c>
      <c r="N1479" s="6">
        <v>43084</v>
      </c>
      <c r="O1479" s="61" t="s">
        <v>3718</v>
      </c>
      <c r="P1479" s="61"/>
      <c r="Q1479" s="61" t="s">
        <v>100</v>
      </c>
      <c r="R1479" s="243"/>
      <c r="S1479" s="328" t="s">
        <v>1176</v>
      </c>
      <c r="T1479" s="858"/>
    </row>
    <row r="1480" spans="1:20" ht="20.100000000000001" customHeight="1">
      <c r="A1480" s="908" t="s">
        <v>2817</v>
      </c>
      <c r="B1480" s="908" t="s">
        <v>3717</v>
      </c>
      <c r="C1480" s="908" t="s">
        <v>3969</v>
      </c>
      <c r="D1480" s="247"/>
      <c r="E1480" s="247"/>
      <c r="F1480" s="247"/>
      <c r="G1480" s="12"/>
      <c r="H1480" s="56"/>
      <c r="I1480" s="51"/>
      <c r="J1480" s="24"/>
      <c r="K1480" s="51"/>
      <c r="L1480" s="118"/>
      <c r="M1480" s="118"/>
      <c r="N1480" s="15"/>
      <c r="O1480" s="59"/>
      <c r="P1480" s="59"/>
      <c r="Q1480" s="59"/>
      <c r="R1480" s="267"/>
      <c r="S1480" s="328"/>
      <c r="T1480" s="858"/>
    </row>
    <row r="1481" spans="1:20" ht="20.100000000000001" customHeight="1">
      <c r="A1481" s="1228" t="s">
        <v>3919</v>
      </c>
      <c r="B1481" s="1228" t="s">
        <v>3953</v>
      </c>
      <c r="C1481" s="1228" t="s">
        <v>3967</v>
      </c>
      <c r="D1481" s="196">
        <f>D97+900</f>
        <v>1775</v>
      </c>
      <c r="E1481" s="196">
        <f>E97+1200</f>
        <v>2750</v>
      </c>
      <c r="F1481" s="196">
        <f>F97+1200</f>
        <v>2800</v>
      </c>
      <c r="G1481" s="217" t="s">
        <v>51</v>
      </c>
      <c r="H1481" s="48" t="s">
        <v>3951</v>
      </c>
      <c r="I1481" s="38" t="s">
        <v>2522</v>
      </c>
      <c r="J1481" s="39" t="s">
        <v>3968</v>
      </c>
      <c r="K1481" s="38"/>
      <c r="L1481" s="116" t="s">
        <v>653</v>
      </c>
      <c r="M1481" s="15">
        <v>43084</v>
      </c>
      <c r="N1481" s="15">
        <v>43100</v>
      </c>
      <c r="O1481" s="61" t="s">
        <v>3920</v>
      </c>
      <c r="P1481" s="61"/>
      <c r="Q1481" s="61"/>
      <c r="R1481" s="239"/>
      <c r="S1481" s="328" t="s">
        <v>1176</v>
      </c>
      <c r="T1481" s="858"/>
    </row>
    <row r="1482" spans="1:20" ht="20.100000000000001" customHeight="1">
      <c r="A1482" s="1228" t="s">
        <v>3919</v>
      </c>
      <c r="B1482" s="1228" t="s">
        <v>3953</v>
      </c>
      <c r="C1482" s="1228" t="s">
        <v>3967</v>
      </c>
      <c r="D1482" s="196">
        <f>D97+1250</f>
        <v>2125</v>
      </c>
      <c r="E1482" s="196">
        <f>E97+1550</f>
        <v>3100</v>
      </c>
      <c r="F1482" s="196">
        <f>F97+1550</f>
        <v>3150</v>
      </c>
      <c r="G1482" s="217" t="s">
        <v>51</v>
      </c>
      <c r="H1482" s="48" t="s">
        <v>3951</v>
      </c>
      <c r="I1482" s="38" t="s">
        <v>2522</v>
      </c>
      <c r="J1482" s="39" t="s">
        <v>3968</v>
      </c>
      <c r="K1482" s="38"/>
      <c r="L1482" s="116" t="s">
        <v>653</v>
      </c>
      <c r="M1482" s="15">
        <v>43084</v>
      </c>
      <c r="N1482" s="15">
        <v>43100</v>
      </c>
      <c r="O1482" s="61" t="s">
        <v>3920</v>
      </c>
      <c r="P1482" s="61"/>
      <c r="Q1482" s="61" t="s">
        <v>100</v>
      </c>
      <c r="R1482" s="239"/>
      <c r="S1482" s="328" t="s">
        <v>1176</v>
      </c>
      <c r="T1482" s="858"/>
    </row>
    <row r="1483" spans="1:20" ht="20.100000000000001" customHeight="1">
      <c r="A1483" s="1228" t="s">
        <v>3919</v>
      </c>
      <c r="B1483" s="1228" t="s">
        <v>3953</v>
      </c>
      <c r="C1483" s="1228" t="s">
        <v>3967</v>
      </c>
      <c r="D1483" s="196">
        <f>D79+975+25</f>
        <v>1775</v>
      </c>
      <c r="E1483" s="196">
        <f>E79+1225+50</f>
        <v>2725</v>
      </c>
      <c r="F1483" s="196">
        <f>F79+1225+50</f>
        <v>2775</v>
      </c>
      <c r="G1483" s="12" t="s">
        <v>37</v>
      </c>
      <c r="H1483" s="69" t="s">
        <v>2523</v>
      </c>
      <c r="I1483" s="38" t="s">
        <v>2522</v>
      </c>
      <c r="J1483" s="140"/>
      <c r="K1483" s="38"/>
      <c r="L1483" s="116" t="s">
        <v>653</v>
      </c>
      <c r="M1483" s="15">
        <v>43084</v>
      </c>
      <c r="N1483" s="15">
        <v>43100</v>
      </c>
      <c r="O1483" s="61" t="s">
        <v>3302</v>
      </c>
      <c r="P1483" s="61"/>
      <c r="Q1483" s="61" t="s">
        <v>100</v>
      </c>
      <c r="R1483" s="239"/>
      <c r="S1483" s="326" t="s">
        <v>3301</v>
      </c>
      <c r="T1483" s="858"/>
    </row>
    <row r="1484" spans="1:20" ht="20.100000000000001" customHeight="1">
      <c r="A1484" s="909" t="s">
        <v>3298</v>
      </c>
      <c r="B1484" s="907" t="s">
        <v>3953</v>
      </c>
      <c r="C1484" s="907" t="s">
        <v>3966</v>
      </c>
      <c r="D1484" s="196">
        <f>D97+1650</f>
        <v>2525</v>
      </c>
      <c r="E1484" s="196">
        <f>E97+2050</f>
        <v>3600</v>
      </c>
      <c r="F1484" s="196">
        <f>F97+2050</f>
        <v>3650</v>
      </c>
      <c r="G1484" s="217" t="s">
        <v>51</v>
      </c>
      <c r="H1484" s="48" t="s">
        <v>3951</v>
      </c>
      <c r="I1484" s="38" t="s">
        <v>2522</v>
      </c>
      <c r="J1484" s="39" t="s">
        <v>3965</v>
      </c>
      <c r="K1484" s="38"/>
      <c r="L1484" s="116" t="s">
        <v>653</v>
      </c>
      <c r="M1484" s="15">
        <v>43084</v>
      </c>
      <c r="N1484" s="15">
        <v>43100</v>
      </c>
      <c r="O1484" s="61" t="s">
        <v>3920</v>
      </c>
      <c r="P1484" s="61"/>
      <c r="Q1484" s="61" t="s">
        <v>100</v>
      </c>
      <c r="R1484" s="239"/>
      <c r="S1484" s="328" t="s">
        <v>1176</v>
      </c>
      <c r="T1484" s="858"/>
    </row>
    <row r="1485" spans="1:20" ht="20.100000000000001" customHeight="1">
      <c r="A1485" s="1228" t="s">
        <v>3919</v>
      </c>
      <c r="B1485" s="1228" t="s">
        <v>3953</v>
      </c>
      <c r="C1485" s="1228" t="s">
        <v>3964</v>
      </c>
      <c r="D1485" s="196">
        <f>D301+463*1.3</f>
        <v>1276.9000000000001</v>
      </c>
      <c r="E1485" s="196">
        <f>E301+658*1.3</f>
        <v>1905.4</v>
      </c>
      <c r="F1485" s="196">
        <f>F301+658*1.3</f>
        <v>1905.4</v>
      </c>
      <c r="G1485" s="225" t="s">
        <v>1689</v>
      </c>
      <c r="H1485" s="69" t="s">
        <v>631</v>
      </c>
      <c r="I1485" s="38" t="s">
        <v>3716</v>
      </c>
      <c r="J1485" s="39"/>
      <c r="K1485" s="38" t="s">
        <v>687</v>
      </c>
      <c r="L1485" s="116" t="s">
        <v>653</v>
      </c>
      <c r="M1485" s="6">
        <v>43057</v>
      </c>
      <c r="N1485" s="6">
        <v>43069</v>
      </c>
      <c r="O1485" s="61" t="s">
        <v>3715</v>
      </c>
      <c r="P1485" s="61"/>
      <c r="Q1485" s="72" t="s">
        <v>3710</v>
      </c>
      <c r="R1485" s="239" t="s">
        <v>3714</v>
      </c>
      <c r="S1485" s="330" t="s">
        <v>1463</v>
      </c>
      <c r="T1485" s="858"/>
    </row>
    <row r="1486" spans="1:20" ht="20.100000000000001" customHeight="1">
      <c r="A1486" s="1228" t="s">
        <v>3919</v>
      </c>
      <c r="B1486" s="1228" t="s">
        <v>3953</v>
      </c>
      <c r="C1486" s="1228" t="s">
        <v>3964</v>
      </c>
      <c r="D1486" s="274">
        <f>D301+474*1.3</f>
        <v>1291.2</v>
      </c>
      <c r="E1486" s="274">
        <f>E301+679*1.3</f>
        <v>1932.7</v>
      </c>
      <c r="F1486" s="274">
        <f>F301+679*1.3</f>
        <v>1932.7</v>
      </c>
      <c r="G1486" s="225" t="s">
        <v>1689</v>
      </c>
      <c r="H1486" s="69" t="s">
        <v>631</v>
      </c>
      <c r="I1486" s="38" t="s">
        <v>3716</v>
      </c>
      <c r="J1486" s="39"/>
      <c r="K1486" s="38" t="s">
        <v>687</v>
      </c>
      <c r="L1486" s="116" t="s">
        <v>653</v>
      </c>
      <c r="M1486" s="6">
        <v>43057</v>
      </c>
      <c r="N1486" s="6">
        <v>43069</v>
      </c>
      <c r="O1486" s="61" t="s">
        <v>3715</v>
      </c>
      <c r="P1486" s="61"/>
      <c r="Q1486" s="72" t="s">
        <v>3710</v>
      </c>
      <c r="R1486" s="239" t="s">
        <v>3714</v>
      </c>
      <c r="S1486" s="330" t="s">
        <v>1462</v>
      </c>
      <c r="T1486" s="858"/>
    </row>
    <row r="1487" spans="1:20" ht="20.100000000000001" customHeight="1">
      <c r="A1487" s="1228" t="s">
        <v>3919</v>
      </c>
      <c r="B1487" s="1228" t="s">
        <v>3953</v>
      </c>
      <c r="C1487" s="1228" t="s">
        <v>3964</v>
      </c>
      <c r="D1487" s="274">
        <f>D301+495*1.3</f>
        <v>1318.5</v>
      </c>
      <c r="E1487" s="274">
        <f>E301+718*1.3</f>
        <v>1983.4</v>
      </c>
      <c r="F1487" s="274">
        <f>F301+718*1.3</f>
        <v>1983.4</v>
      </c>
      <c r="G1487" s="225" t="s">
        <v>1689</v>
      </c>
      <c r="H1487" s="69" t="s">
        <v>631</v>
      </c>
      <c r="I1487" s="38" t="s">
        <v>3716</v>
      </c>
      <c r="J1487" s="39"/>
      <c r="K1487" s="38" t="s">
        <v>687</v>
      </c>
      <c r="L1487" s="116" t="s">
        <v>653</v>
      </c>
      <c r="M1487" s="6">
        <v>43057</v>
      </c>
      <c r="N1487" s="6">
        <v>43069</v>
      </c>
      <c r="O1487" s="61" t="s">
        <v>3715</v>
      </c>
      <c r="P1487" s="61"/>
      <c r="Q1487" s="72" t="s">
        <v>3710</v>
      </c>
      <c r="R1487" s="239" t="s">
        <v>3714</v>
      </c>
      <c r="S1487" s="330" t="s">
        <v>1461</v>
      </c>
      <c r="T1487" s="858"/>
    </row>
    <row r="1488" spans="1:20" ht="20.100000000000001" customHeight="1">
      <c r="A1488" s="909" t="s">
        <v>3298</v>
      </c>
      <c r="B1488" s="907" t="s">
        <v>3953</v>
      </c>
      <c r="C1488" s="907" t="s">
        <v>3963</v>
      </c>
      <c r="D1488" s="274">
        <f>D97+2600</f>
        <v>3475</v>
      </c>
      <c r="E1488" s="274">
        <f>E97+2900</f>
        <v>4450</v>
      </c>
      <c r="F1488" s="274">
        <f>F97+2900</f>
        <v>4500</v>
      </c>
      <c r="G1488" s="217" t="s">
        <v>51</v>
      </c>
      <c r="H1488" s="48" t="s">
        <v>3951</v>
      </c>
      <c r="I1488" s="38" t="s">
        <v>2522</v>
      </c>
      <c r="J1488" s="39" t="s">
        <v>3320</v>
      </c>
      <c r="K1488" s="38"/>
      <c r="L1488" s="116" t="s">
        <v>653</v>
      </c>
      <c r="M1488" s="15">
        <v>43084</v>
      </c>
      <c r="N1488" s="15">
        <v>43100</v>
      </c>
      <c r="O1488" s="61" t="s">
        <v>3920</v>
      </c>
      <c r="P1488" s="61"/>
      <c r="Q1488" s="61" t="s">
        <v>100</v>
      </c>
      <c r="R1488" s="239"/>
      <c r="S1488" s="328" t="s">
        <v>1176</v>
      </c>
      <c r="T1488" s="858"/>
    </row>
    <row r="1489" spans="1:20" ht="20.100000000000001" customHeight="1">
      <c r="A1489" s="909" t="s">
        <v>3298</v>
      </c>
      <c r="B1489" s="907" t="s">
        <v>3953</v>
      </c>
      <c r="C1489" s="907" t="s">
        <v>3962</v>
      </c>
      <c r="D1489" s="274">
        <f>D97+2300</f>
        <v>3175</v>
      </c>
      <c r="E1489" s="274">
        <f>E97+2600</f>
        <v>4150</v>
      </c>
      <c r="F1489" s="274">
        <f>F97+2600</f>
        <v>4200</v>
      </c>
      <c r="G1489" s="217" t="s">
        <v>51</v>
      </c>
      <c r="H1489" s="48" t="s">
        <v>3951</v>
      </c>
      <c r="I1489" s="38" t="s">
        <v>2522</v>
      </c>
      <c r="J1489" s="39" t="s">
        <v>3961</v>
      </c>
      <c r="K1489" s="38"/>
      <c r="L1489" s="116" t="s">
        <v>653</v>
      </c>
      <c r="M1489" s="15">
        <v>43084</v>
      </c>
      <c r="N1489" s="15">
        <v>43100</v>
      </c>
      <c r="O1489" s="61" t="s">
        <v>3920</v>
      </c>
      <c r="P1489" s="61"/>
      <c r="Q1489" s="61" t="s">
        <v>100</v>
      </c>
      <c r="R1489" s="239"/>
      <c r="S1489" s="328" t="s">
        <v>1176</v>
      </c>
      <c r="T1489" s="858"/>
    </row>
    <row r="1490" spans="1:20" ht="20.100000000000001" customHeight="1">
      <c r="A1490" s="909" t="s">
        <v>3298</v>
      </c>
      <c r="B1490" s="907" t="s">
        <v>3953</v>
      </c>
      <c r="C1490" s="907" t="s">
        <v>3960</v>
      </c>
      <c r="D1490" s="274">
        <f>D97+2600</f>
        <v>3475</v>
      </c>
      <c r="E1490" s="274">
        <f>E97+3000</f>
        <v>4550</v>
      </c>
      <c r="F1490" s="274">
        <f>F97+3000</f>
        <v>4600</v>
      </c>
      <c r="G1490" s="217" t="s">
        <v>51</v>
      </c>
      <c r="H1490" s="48" t="s">
        <v>3951</v>
      </c>
      <c r="I1490" s="38" t="s">
        <v>2522</v>
      </c>
      <c r="J1490" s="39" t="s">
        <v>3959</v>
      </c>
      <c r="K1490" s="38"/>
      <c r="L1490" s="116" t="s">
        <v>653</v>
      </c>
      <c r="M1490" s="15">
        <v>43084</v>
      </c>
      <c r="N1490" s="15">
        <v>43100</v>
      </c>
      <c r="O1490" s="61" t="s">
        <v>3920</v>
      </c>
      <c r="P1490" s="61"/>
      <c r="Q1490" s="61" t="s">
        <v>100</v>
      </c>
      <c r="R1490" s="239"/>
      <c r="S1490" s="328" t="s">
        <v>1176</v>
      </c>
      <c r="T1490" s="858"/>
    </row>
    <row r="1491" spans="1:20" ht="20.100000000000001" customHeight="1">
      <c r="A1491" s="909" t="s">
        <v>3298</v>
      </c>
      <c r="B1491" s="907" t="s">
        <v>3953</v>
      </c>
      <c r="C1491" s="907" t="s">
        <v>3958</v>
      </c>
      <c r="D1491" s="274">
        <f>D97+1600</f>
        <v>2475</v>
      </c>
      <c r="E1491" s="274">
        <f>E97+2000</f>
        <v>3550</v>
      </c>
      <c r="F1491" s="274">
        <f>F97+2000</f>
        <v>3600</v>
      </c>
      <c r="G1491" s="217" t="s">
        <v>51</v>
      </c>
      <c r="H1491" s="48" t="s">
        <v>3951</v>
      </c>
      <c r="I1491" s="38" t="s">
        <v>2522</v>
      </c>
      <c r="J1491" s="39" t="s">
        <v>3957</v>
      </c>
      <c r="K1491" s="38"/>
      <c r="L1491" s="116" t="s">
        <v>653</v>
      </c>
      <c r="M1491" s="15">
        <v>43084</v>
      </c>
      <c r="N1491" s="15">
        <v>43100</v>
      </c>
      <c r="O1491" s="61" t="s">
        <v>3920</v>
      </c>
      <c r="P1491" s="61"/>
      <c r="Q1491" s="61" t="s">
        <v>100</v>
      </c>
      <c r="R1491" s="239"/>
      <c r="S1491" s="328" t="s">
        <v>1176</v>
      </c>
      <c r="T1491" s="858"/>
    </row>
    <row r="1492" spans="1:20" ht="20.100000000000001" customHeight="1">
      <c r="A1492" s="909" t="s">
        <v>3298</v>
      </c>
      <c r="B1492" s="907" t="s">
        <v>3953</v>
      </c>
      <c r="C1492" s="907" t="s">
        <v>3956</v>
      </c>
      <c r="D1492" s="274">
        <f>D97+2600</f>
        <v>3475</v>
      </c>
      <c r="E1492" s="274">
        <f>E97+2900</f>
        <v>4450</v>
      </c>
      <c r="F1492" s="274">
        <f>F97+2900</f>
        <v>4500</v>
      </c>
      <c r="G1492" s="217" t="s">
        <v>51</v>
      </c>
      <c r="H1492" s="48" t="s">
        <v>3951</v>
      </c>
      <c r="I1492" s="38" t="s">
        <v>2522</v>
      </c>
      <c r="J1492" s="39" t="s">
        <v>3426</v>
      </c>
      <c r="K1492" s="38"/>
      <c r="L1492" s="116" t="s">
        <v>653</v>
      </c>
      <c r="M1492" s="15">
        <v>43084</v>
      </c>
      <c r="N1492" s="15">
        <v>43100</v>
      </c>
      <c r="O1492" s="61" t="s">
        <v>3920</v>
      </c>
      <c r="P1492" s="61"/>
      <c r="Q1492" s="61" t="s">
        <v>100</v>
      </c>
      <c r="R1492" s="239"/>
      <c r="S1492" s="328" t="s">
        <v>1176</v>
      </c>
      <c r="T1492" s="858"/>
    </row>
    <row r="1493" spans="1:20" ht="20.100000000000001" customHeight="1">
      <c r="A1493" s="909" t="s">
        <v>3298</v>
      </c>
      <c r="B1493" s="907" t="s">
        <v>3953</v>
      </c>
      <c r="C1493" s="907" t="s">
        <v>3955</v>
      </c>
      <c r="D1493" s="274">
        <f>D97+1850</f>
        <v>2725</v>
      </c>
      <c r="E1493" s="274">
        <f>E97+2450</f>
        <v>4000</v>
      </c>
      <c r="F1493" s="274">
        <f>F97+2450</f>
        <v>4050</v>
      </c>
      <c r="G1493" s="217" t="s">
        <v>51</v>
      </c>
      <c r="H1493" s="48" t="s">
        <v>3951</v>
      </c>
      <c r="I1493" s="38" t="s">
        <v>2522</v>
      </c>
      <c r="J1493" s="39" t="s">
        <v>3954</v>
      </c>
      <c r="K1493" s="38"/>
      <c r="L1493" s="116" t="s">
        <v>653</v>
      </c>
      <c r="M1493" s="15">
        <v>43084</v>
      </c>
      <c r="N1493" s="15">
        <v>43100</v>
      </c>
      <c r="O1493" s="61" t="s">
        <v>3920</v>
      </c>
      <c r="P1493" s="61"/>
      <c r="Q1493" s="61" t="s">
        <v>100</v>
      </c>
      <c r="R1493" s="239"/>
      <c r="S1493" s="328" t="s">
        <v>1176</v>
      </c>
      <c r="T1493" s="858"/>
    </row>
    <row r="1494" spans="1:20" ht="20.100000000000001" customHeight="1">
      <c r="A1494" s="907" t="s">
        <v>3919</v>
      </c>
      <c r="B1494" s="907" t="s">
        <v>3953</v>
      </c>
      <c r="C1494" s="907" t="s">
        <v>3952</v>
      </c>
      <c r="D1494" s="197">
        <f>D97+1700</f>
        <v>2575</v>
      </c>
      <c r="E1494" s="197">
        <f>E97+1900</f>
        <v>3450</v>
      </c>
      <c r="F1494" s="197">
        <f>F97+1900</f>
        <v>3500</v>
      </c>
      <c r="G1494" s="217" t="s">
        <v>51</v>
      </c>
      <c r="H1494" s="48" t="s">
        <v>3951</v>
      </c>
      <c r="I1494" s="38" t="s">
        <v>2522</v>
      </c>
      <c r="J1494" s="39" t="s">
        <v>3950</v>
      </c>
      <c r="K1494" s="38"/>
      <c r="L1494" s="116" t="s">
        <v>653</v>
      </c>
      <c r="M1494" s="15">
        <v>43084</v>
      </c>
      <c r="N1494" s="15">
        <v>43100</v>
      </c>
      <c r="O1494" s="61" t="s">
        <v>3920</v>
      </c>
      <c r="P1494" s="61"/>
      <c r="Q1494" s="61" t="s">
        <v>100</v>
      </c>
      <c r="R1494" s="239"/>
      <c r="S1494" s="328" t="s">
        <v>1176</v>
      </c>
      <c r="T1494" s="858"/>
    </row>
    <row r="1495" spans="1:20" ht="20.100000000000001" customHeight="1">
      <c r="A1495" s="1228" t="s">
        <v>3919</v>
      </c>
      <c r="B1495" s="1228" t="s">
        <v>3946</v>
      </c>
      <c r="C1495" s="1228" t="s">
        <v>3949</v>
      </c>
      <c r="D1495" s="195">
        <f>D409+(330+140)*1.2</f>
        <v>1264</v>
      </c>
      <c r="E1495" s="195">
        <f>E409+(485+140)*1.2</f>
        <v>1950</v>
      </c>
      <c r="F1495" s="195">
        <f>F409+(485+140)*1.2</f>
        <v>2000</v>
      </c>
      <c r="G1495" s="217" t="s">
        <v>5</v>
      </c>
      <c r="H1495" s="56" t="s">
        <v>725</v>
      </c>
      <c r="I1495" s="10" t="s">
        <v>2571</v>
      </c>
      <c r="J1495" s="140"/>
      <c r="K1495" s="38">
        <v>35</v>
      </c>
      <c r="L1495" s="116" t="s">
        <v>653</v>
      </c>
      <c r="M1495" s="15">
        <v>43054</v>
      </c>
      <c r="N1495" s="15">
        <v>43076</v>
      </c>
      <c r="O1495" s="61" t="s">
        <v>3292</v>
      </c>
      <c r="P1495" s="61" t="s">
        <v>939</v>
      </c>
      <c r="Q1495" s="61" t="s">
        <v>3710</v>
      </c>
      <c r="R1495" s="239" t="s">
        <v>2439</v>
      </c>
      <c r="S1495" s="328" t="s">
        <v>1176</v>
      </c>
      <c r="T1495" s="858"/>
    </row>
    <row r="1496" spans="1:20" ht="20.100000000000001" customHeight="1">
      <c r="A1496" s="1228" t="s">
        <v>3919</v>
      </c>
      <c r="B1496" s="1228" t="s">
        <v>3946</v>
      </c>
      <c r="C1496" s="1228" t="s">
        <v>3949</v>
      </c>
      <c r="D1496" s="247"/>
      <c r="E1496" s="247"/>
      <c r="F1496" s="247"/>
      <c r="G1496" s="217" t="s">
        <v>5</v>
      </c>
      <c r="H1496" s="56" t="s">
        <v>725</v>
      </c>
      <c r="I1496" s="10" t="s">
        <v>2571</v>
      </c>
      <c r="J1496" s="140"/>
      <c r="K1496" s="38">
        <v>36</v>
      </c>
      <c r="L1496" s="116" t="s">
        <v>653</v>
      </c>
      <c r="M1496" s="15">
        <v>43054</v>
      </c>
      <c r="N1496" s="15">
        <v>43076</v>
      </c>
      <c r="O1496" s="61" t="s">
        <v>3292</v>
      </c>
      <c r="P1496" s="61" t="s">
        <v>939</v>
      </c>
      <c r="Q1496" s="61" t="s">
        <v>100</v>
      </c>
      <c r="R1496" s="239" t="s">
        <v>2439</v>
      </c>
      <c r="S1496" s="328" t="s">
        <v>1176</v>
      </c>
      <c r="T1496" s="858"/>
    </row>
    <row r="1497" spans="1:20" ht="20.100000000000001" customHeight="1">
      <c r="A1497" s="1228" t="s">
        <v>3919</v>
      </c>
      <c r="B1497" s="1228" t="s">
        <v>3946</v>
      </c>
      <c r="C1497" s="1228" t="s">
        <v>3949</v>
      </c>
      <c r="D1497" s="855">
        <f>D537+750</f>
        <v>1525</v>
      </c>
      <c r="E1497" s="855">
        <f>E537+500</f>
        <v>1850</v>
      </c>
      <c r="F1497" s="855">
        <f>F537+500</f>
        <v>1900</v>
      </c>
      <c r="G1497" s="217" t="s">
        <v>51</v>
      </c>
      <c r="H1497" s="22" t="s">
        <v>3422</v>
      </c>
      <c r="I1497" s="10" t="s">
        <v>1520</v>
      </c>
      <c r="J1497" s="140"/>
      <c r="K1497" s="38" t="s">
        <v>662</v>
      </c>
      <c r="L1497" s="116" t="s">
        <v>653</v>
      </c>
      <c r="M1497" s="15">
        <v>43084</v>
      </c>
      <c r="N1497" s="15">
        <v>43100</v>
      </c>
      <c r="O1497" s="61" t="s">
        <v>3292</v>
      </c>
      <c r="P1497" s="61"/>
      <c r="Q1497" s="61" t="s">
        <v>3909</v>
      </c>
      <c r="R1497" s="239" t="s">
        <v>2822</v>
      </c>
      <c r="S1497" s="327" t="s">
        <v>3297</v>
      </c>
      <c r="T1497" s="858"/>
    </row>
    <row r="1498" spans="1:20" ht="20.100000000000001" customHeight="1">
      <c r="A1498" s="1228" t="s">
        <v>3919</v>
      </c>
      <c r="B1498" s="1228" t="s">
        <v>3946</v>
      </c>
      <c r="C1498" s="1228" t="s">
        <v>3949</v>
      </c>
      <c r="D1498" s="275">
        <f>D14+686*1.3</f>
        <v>1671.8000000000002</v>
      </c>
      <c r="E1498" s="275">
        <f>E14+974*1.3</f>
        <v>2723.2</v>
      </c>
      <c r="F1498" s="275">
        <f>F14+974*1.3</f>
        <v>2723.2</v>
      </c>
      <c r="G1498" s="225" t="s">
        <v>1689</v>
      </c>
      <c r="H1498" s="69" t="s">
        <v>3296</v>
      </c>
      <c r="I1498" s="38" t="s">
        <v>3295</v>
      </c>
      <c r="J1498" s="30"/>
      <c r="K1498" s="38" t="s">
        <v>722</v>
      </c>
      <c r="L1498" s="116" t="s">
        <v>653</v>
      </c>
      <c r="M1498" s="6">
        <v>43074</v>
      </c>
      <c r="N1498" s="6">
        <v>43084</v>
      </c>
      <c r="O1498" s="61" t="s">
        <v>3300</v>
      </c>
      <c r="P1498" s="61"/>
      <c r="Q1498" s="61" t="s">
        <v>100</v>
      </c>
      <c r="R1498" s="239"/>
      <c r="S1498" s="328" t="s">
        <v>1176</v>
      </c>
      <c r="T1498" s="858"/>
    </row>
    <row r="1499" spans="1:20" ht="20.100000000000001" customHeight="1">
      <c r="A1499" s="910" t="s">
        <v>3934</v>
      </c>
      <c r="B1499" s="910" t="s">
        <v>3946</v>
      </c>
      <c r="C1499" s="910" t="s">
        <v>3948</v>
      </c>
      <c r="D1499" s="195">
        <f>D409+(560+140)*1.2</f>
        <v>1540</v>
      </c>
      <c r="E1499" s="195">
        <f>E409+(760+140)*1.2</f>
        <v>2280</v>
      </c>
      <c r="F1499" s="195">
        <f>F409+(760+140)*1.2</f>
        <v>2330</v>
      </c>
      <c r="G1499" s="217" t="s">
        <v>5</v>
      </c>
      <c r="H1499" s="56" t="s">
        <v>725</v>
      </c>
      <c r="I1499" s="10" t="s">
        <v>2571</v>
      </c>
      <c r="J1499" s="140"/>
      <c r="K1499" s="38">
        <v>36</v>
      </c>
      <c r="L1499" s="116" t="s">
        <v>653</v>
      </c>
      <c r="M1499" s="15">
        <v>43054</v>
      </c>
      <c r="N1499" s="15">
        <v>43076</v>
      </c>
      <c r="O1499" s="61" t="s">
        <v>3292</v>
      </c>
      <c r="P1499" s="61" t="s">
        <v>939</v>
      </c>
      <c r="Q1499" s="61" t="s">
        <v>100</v>
      </c>
      <c r="R1499" s="239" t="s">
        <v>2439</v>
      </c>
      <c r="S1499" s="328" t="s">
        <v>1176</v>
      </c>
      <c r="T1499" s="858"/>
    </row>
    <row r="1500" spans="1:20" ht="20.100000000000001" customHeight="1">
      <c r="A1500" s="910" t="s">
        <v>3934</v>
      </c>
      <c r="B1500" s="910" t="s">
        <v>3946</v>
      </c>
      <c r="C1500" s="910" t="s">
        <v>3947</v>
      </c>
      <c r="D1500" s="195">
        <f>D409+(560+140)*1.2</f>
        <v>1540</v>
      </c>
      <c r="E1500" s="195">
        <f>E409+(760+140)*1.2</f>
        <v>2280</v>
      </c>
      <c r="F1500" s="195">
        <f>F409+(760+140)*1.2</f>
        <v>2330</v>
      </c>
      <c r="G1500" s="217" t="s">
        <v>5</v>
      </c>
      <c r="H1500" s="56" t="s">
        <v>725</v>
      </c>
      <c r="I1500" s="10" t="s">
        <v>2571</v>
      </c>
      <c r="J1500" s="140"/>
      <c r="K1500" s="38">
        <v>36</v>
      </c>
      <c r="L1500" s="116" t="s">
        <v>653</v>
      </c>
      <c r="M1500" s="15">
        <v>43054</v>
      </c>
      <c r="N1500" s="15">
        <v>43076</v>
      </c>
      <c r="O1500" s="61" t="s">
        <v>3292</v>
      </c>
      <c r="P1500" s="61" t="s">
        <v>939</v>
      </c>
      <c r="Q1500" s="14" t="s">
        <v>100</v>
      </c>
      <c r="R1500" s="239" t="s">
        <v>2439</v>
      </c>
      <c r="S1500" s="328" t="s">
        <v>1176</v>
      </c>
      <c r="T1500" s="858"/>
    </row>
    <row r="1501" spans="1:20" ht="20.100000000000001" customHeight="1">
      <c r="A1501" s="910" t="s">
        <v>3934</v>
      </c>
      <c r="B1501" s="910" t="s">
        <v>3946</v>
      </c>
      <c r="C1501" s="910" t="s">
        <v>3945</v>
      </c>
      <c r="D1501" s="195">
        <f>D409+(560+140)*1.2</f>
        <v>1540</v>
      </c>
      <c r="E1501" s="195">
        <f>E409+(760+140)*1.2</f>
        <v>2280</v>
      </c>
      <c r="F1501" s="195">
        <f>F409+(760+140)*1.2</f>
        <v>2330</v>
      </c>
      <c r="G1501" s="217" t="s">
        <v>5</v>
      </c>
      <c r="H1501" s="56" t="s">
        <v>725</v>
      </c>
      <c r="I1501" s="10" t="s">
        <v>2571</v>
      </c>
      <c r="J1501" s="140"/>
      <c r="K1501" s="38">
        <v>36</v>
      </c>
      <c r="L1501" s="116" t="s">
        <v>653</v>
      </c>
      <c r="M1501" s="15">
        <v>43054</v>
      </c>
      <c r="N1501" s="15">
        <v>43076</v>
      </c>
      <c r="O1501" s="61" t="s">
        <v>3292</v>
      </c>
      <c r="P1501" s="61" t="s">
        <v>939</v>
      </c>
      <c r="Q1501" s="14" t="s">
        <v>100</v>
      </c>
      <c r="R1501" s="239" t="s">
        <v>2439</v>
      </c>
      <c r="S1501" s="328" t="s">
        <v>1176</v>
      </c>
      <c r="T1501" s="858"/>
    </row>
    <row r="1502" spans="1:20" ht="20.100000000000001" customHeight="1">
      <c r="A1502" s="908" t="s">
        <v>3938</v>
      </c>
      <c r="B1502" s="908" t="s">
        <v>3712</v>
      </c>
      <c r="C1502" s="908" t="s">
        <v>3944</v>
      </c>
      <c r="D1502" s="247"/>
      <c r="E1502" s="247"/>
      <c r="F1502" s="247"/>
      <c r="G1502" s="12"/>
      <c r="H1502" s="36"/>
      <c r="I1502" s="51"/>
      <c r="J1502" s="19"/>
      <c r="K1502" s="51"/>
      <c r="L1502" s="118"/>
      <c r="M1502" s="118"/>
      <c r="N1502" s="15"/>
      <c r="O1502" s="59"/>
      <c r="P1502" s="59"/>
      <c r="Q1502" s="59"/>
      <c r="R1502" s="21"/>
      <c r="S1502" s="328"/>
      <c r="T1502" s="858"/>
    </row>
    <row r="1503" spans="1:20" ht="20.100000000000001" customHeight="1">
      <c r="A1503" s="908" t="s">
        <v>2817</v>
      </c>
      <c r="B1503" s="908" t="s">
        <v>3712</v>
      </c>
      <c r="C1503" s="908" t="s">
        <v>3943</v>
      </c>
      <c r="D1503" s="248">
        <f>D127+299*1.08*1.2</f>
        <v>1262.5039999999999</v>
      </c>
      <c r="E1503" s="248">
        <f>E127+299*1.08*1.2</f>
        <v>1937.5039999999999</v>
      </c>
      <c r="F1503" s="248">
        <f>F127+299*1.08*1.2</f>
        <v>1987.5039999999999</v>
      </c>
      <c r="G1503" s="222" t="s">
        <v>51</v>
      </c>
      <c r="H1503" s="56" t="s">
        <v>3941</v>
      </c>
      <c r="I1503" s="51" t="s">
        <v>3940</v>
      </c>
      <c r="J1503" s="19" t="s">
        <v>3713</v>
      </c>
      <c r="K1503" s="51"/>
      <c r="L1503" s="118" t="s">
        <v>653</v>
      </c>
      <c r="M1503" s="15">
        <v>43084</v>
      </c>
      <c r="N1503" s="15">
        <v>43100</v>
      </c>
      <c r="O1503" s="61" t="s">
        <v>3711</v>
      </c>
      <c r="P1503" s="59"/>
      <c r="Q1503" s="59"/>
      <c r="R1503" s="21"/>
      <c r="S1503" s="328" t="s">
        <v>1176</v>
      </c>
      <c r="T1503" s="858"/>
    </row>
    <row r="1504" spans="1:20" ht="20.100000000000001" customHeight="1">
      <c r="A1504" s="908" t="s">
        <v>2817</v>
      </c>
      <c r="B1504" s="908" t="s">
        <v>3712</v>
      </c>
      <c r="C1504" s="908" t="s">
        <v>3942</v>
      </c>
      <c r="D1504" s="246">
        <f>D127+271*1.08*1.2</f>
        <v>1226.2159999999999</v>
      </c>
      <c r="E1504" s="246">
        <f>E127+271*1.08*1.2</f>
        <v>1901.2159999999999</v>
      </c>
      <c r="F1504" s="246">
        <f>F127+271*1.08*1.2</f>
        <v>1951.2159999999999</v>
      </c>
      <c r="G1504" s="222" t="s">
        <v>51</v>
      </c>
      <c r="H1504" s="56" t="s">
        <v>3941</v>
      </c>
      <c r="I1504" s="51" t="s">
        <v>3940</v>
      </c>
      <c r="J1504" s="19" t="s">
        <v>3939</v>
      </c>
      <c r="K1504" s="51"/>
      <c r="L1504" s="118" t="s">
        <v>653</v>
      </c>
      <c r="M1504" s="15">
        <v>43084</v>
      </c>
      <c r="N1504" s="15">
        <v>43100</v>
      </c>
      <c r="O1504" s="61" t="s">
        <v>3711</v>
      </c>
      <c r="P1504" s="59"/>
      <c r="Q1504" s="59"/>
      <c r="R1504" s="21"/>
      <c r="S1504" s="328" t="s">
        <v>1176</v>
      </c>
      <c r="T1504" s="858"/>
    </row>
    <row r="1505" spans="1:20" ht="20.100000000000001" customHeight="1">
      <c r="A1505" s="908" t="s">
        <v>3938</v>
      </c>
      <c r="B1505" s="910" t="s">
        <v>3927</v>
      </c>
      <c r="C1505" s="908" t="s">
        <v>3937</v>
      </c>
      <c r="D1505" s="197">
        <f>D36+284*1.2</f>
        <v>1215.8</v>
      </c>
      <c r="E1505" s="197">
        <f>E36+492*1.2</f>
        <v>2140.4</v>
      </c>
      <c r="F1505" s="197">
        <f>F36+492*1.2</f>
        <v>2190.4</v>
      </c>
      <c r="G1505" s="217" t="s">
        <v>51</v>
      </c>
      <c r="H1505" s="48" t="s">
        <v>2523</v>
      </c>
      <c r="I1505" s="38" t="s">
        <v>3295</v>
      </c>
      <c r="J1505" s="39" t="s">
        <v>3936</v>
      </c>
      <c r="K1505" s="38"/>
      <c r="L1505" s="116" t="s">
        <v>653</v>
      </c>
      <c r="M1505" s="15">
        <v>43084</v>
      </c>
      <c r="N1505" s="15">
        <v>43100</v>
      </c>
      <c r="O1505" s="61" t="s">
        <v>3913</v>
      </c>
      <c r="P1505" s="61" t="s">
        <v>3929</v>
      </c>
      <c r="Q1505" s="61"/>
      <c r="R1505" s="239"/>
      <c r="S1505" s="328" t="s">
        <v>1176</v>
      </c>
      <c r="T1505" s="858"/>
    </row>
    <row r="1506" spans="1:20" ht="20.100000000000001" customHeight="1">
      <c r="A1506" s="1232" t="s">
        <v>3934</v>
      </c>
      <c r="B1506" s="1232" t="s">
        <v>3927</v>
      </c>
      <c r="C1506" s="1232" t="s">
        <v>3935</v>
      </c>
      <c r="D1506" s="195">
        <f>D409+(535+140)*1.2</f>
        <v>1510</v>
      </c>
      <c r="E1506" s="195">
        <f>E409+(810+140)*1.2</f>
        <v>2340</v>
      </c>
      <c r="F1506" s="195">
        <f>F409+(810+140)*1.2</f>
        <v>2390</v>
      </c>
      <c r="G1506" s="217" t="s">
        <v>5</v>
      </c>
      <c r="H1506" s="56" t="s">
        <v>725</v>
      </c>
      <c r="I1506" s="10" t="s">
        <v>2571</v>
      </c>
      <c r="J1506" s="140"/>
      <c r="K1506" s="38">
        <v>36</v>
      </c>
      <c r="L1506" s="116" t="s">
        <v>653</v>
      </c>
      <c r="M1506" s="15">
        <v>43054</v>
      </c>
      <c r="N1506" s="15">
        <v>43076</v>
      </c>
      <c r="O1506" s="61" t="s">
        <v>3292</v>
      </c>
      <c r="P1506" s="61" t="s">
        <v>939</v>
      </c>
      <c r="Q1506" s="14" t="s">
        <v>100</v>
      </c>
      <c r="R1506" s="239" t="s">
        <v>2439</v>
      </c>
      <c r="S1506" s="328" t="s">
        <v>1176</v>
      </c>
      <c r="T1506" s="858"/>
    </row>
    <row r="1507" spans="1:20" ht="20.100000000000001" customHeight="1">
      <c r="A1507" s="1232" t="s">
        <v>3934</v>
      </c>
      <c r="B1507" s="1232" t="s">
        <v>3927</v>
      </c>
      <c r="C1507" s="1232" t="s">
        <v>3935</v>
      </c>
      <c r="D1507" s="197">
        <f>D410+313*1.2</f>
        <v>1150.5999999999999</v>
      </c>
      <c r="E1507" s="197">
        <f>E410+407*1.2</f>
        <v>1938.4</v>
      </c>
      <c r="F1507" s="197">
        <f>F410+407*1.2</f>
        <v>1988.4</v>
      </c>
      <c r="G1507" s="217" t="s">
        <v>51</v>
      </c>
      <c r="H1507" s="69" t="s">
        <v>725</v>
      </c>
      <c r="I1507" s="10" t="s">
        <v>2571</v>
      </c>
      <c r="J1507" s="117">
        <v>8402</v>
      </c>
      <c r="K1507" s="38"/>
      <c r="L1507" s="116" t="s">
        <v>653</v>
      </c>
      <c r="M1507" s="15">
        <v>43084</v>
      </c>
      <c r="N1507" s="15">
        <v>43100</v>
      </c>
      <c r="O1507" s="61" t="s">
        <v>3928</v>
      </c>
      <c r="P1507" s="61"/>
      <c r="Q1507" s="171"/>
      <c r="R1507" s="239" t="s">
        <v>3709</v>
      </c>
      <c r="S1507" s="327" t="s">
        <v>3297</v>
      </c>
      <c r="T1507" s="858"/>
    </row>
    <row r="1508" spans="1:20" ht="20.100000000000001" customHeight="1">
      <c r="A1508" s="910" t="s">
        <v>3934</v>
      </c>
      <c r="B1508" s="910" t="s">
        <v>3927</v>
      </c>
      <c r="C1508" s="908" t="s">
        <v>3933</v>
      </c>
      <c r="D1508" s="247"/>
      <c r="E1508" s="247"/>
      <c r="F1508" s="247"/>
      <c r="G1508" s="12"/>
      <c r="H1508" s="56"/>
      <c r="I1508" s="51"/>
      <c r="J1508" s="19"/>
      <c r="K1508" s="51"/>
      <c r="L1508" s="118"/>
      <c r="M1508" s="118"/>
      <c r="N1508" s="15"/>
      <c r="O1508" s="59"/>
      <c r="P1508" s="59"/>
      <c r="Q1508" s="59"/>
      <c r="R1508" s="21"/>
      <c r="S1508" s="328"/>
      <c r="T1508" s="858"/>
    </row>
    <row r="1509" spans="1:20" ht="20.100000000000001" customHeight="1">
      <c r="A1509" s="1229" t="s">
        <v>2817</v>
      </c>
      <c r="B1509" s="1229" t="s">
        <v>3927</v>
      </c>
      <c r="C1509" s="1229" t="s">
        <v>3932</v>
      </c>
      <c r="D1509" s="345">
        <f>D20+310+25</f>
        <v>1185</v>
      </c>
      <c r="E1509" s="345">
        <f>E20+500+50</f>
        <v>2150</v>
      </c>
      <c r="F1509" s="345">
        <f>F20+500+50</f>
        <v>2200</v>
      </c>
      <c r="G1509" s="217" t="s">
        <v>5</v>
      </c>
      <c r="H1509" s="56" t="s">
        <v>2523</v>
      </c>
      <c r="I1509" s="10" t="s">
        <v>3295</v>
      </c>
      <c r="J1509" s="30"/>
      <c r="K1509" s="38"/>
      <c r="L1509" s="116" t="s">
        <v>653</v>
      </c>
      <c r="M1509" s="15">
        <v>43070</v>
      </c>
      <c r="N1509" s="15">
        <v>43100</v>
      </c>
      <c r="O1509" s="59" t="s">
        <v>3705</v>
      </c>
      <c r="P1509" s="61"/>
      <c r="Q1509" s="14" t="s">
        <v>3710</v>
      </c>
      <c r="R1509" s="239"/>
      <c r="S1509" s="327" t="s">
        <v>3303</v>
      </c>
      <c r="T1509" s="858"/>
    </row>
    <row r="1510" spans="1:20" ht="20.100000000000001" customHeight="1">
      <c r="A1510" s="1229" t="s">
        <v>2817</v>
      </c>
      <c r="B1510" s="1229" t="s">
        <v>3927</v>
      </c>
      <c r="C1510" s="1229" t="s">
        <v>3932</v>
      </c>
      <c r="D1510" s="195">
        <f>D20+(554+220)*1.2</f>
        <v>1778.8</v>
      </c>
      <c r="E1510" s="195">
        <f>E20+(701+220)*1.2</f>
        <v>2705.2</v>
      </c>
      <c r="F1510" s="195">
        <f>F20+(701+220)*1.2</f>
        <v>2755.2</v>
      </c>
      <c r="G1510" s="217" t="s">
        <v>5</v>
      </c>
      <c r="H1510" s="56" t="s">
        <v>2523</v>
      </c>
      <c r="I1510" s="10" t="s">
        <v>3295</v>
      </c>
      <c r="J1510" s="30"/>
      <c r="K1510" s="38"/>
      <c r="L1510" s="116" t="s">
        <v>653</v>
      </c>
      <c r="M1510" s="15">
        <v>43070</v>
      </c>
      <c r="N1510" s="15">
        <v>43100</v>
      </c>
      <c r="O1510" s="59" t="s">
        <v>3705</v>
      </c>
      <c r="P1510" s="61" t="s">
        <v>939</v>
      </c>
      <c r="Q1510" s="7" t="s">
        <v>3930</v>
      </c>
      <c r="R1510" s="239"/>
      <c r="S1510" s="327" t="s">
        <v>3303</v>
      </c>
      <c r="T1510" s="858"/>
    </row>
    <row r="1511" spans="1:20" ht="20.100000000000001" customHeight="1">
      <c r="A1511" s="1229" t="s">
        <v>2817</v>
      </c>
      <c r="B1511" s="1229" t="s">
        <v>3927</v>
      </c>
      <c r="C1511" s="1229" t="s">
        <v>3932</v>
      </c>
      <c r="D1511" s="273">
        <f>D14+648*1.3</f>
        <v>1622.4</v>
      </c>
      <c r="E1511" s="273">
        <f>E14+726*1.3</f>
        <v>2400.8000000000002</v>
      </c>
      <c r="F1511" s="273">
        <f>F14+726*1.3</f>
        <v>2400.8000000000002</v>
      </c>
      <c r="G1511" s="225" t="s">
        <v>1689</v>
      </c>
      <c r="H1511" s="69" t="s">
        <v>3296</v>
      </c>
      <c r="I1511" s="38" t="s">
        <v>3295</v>
      </c>
      <c r="J1511" s="30"/>
      <c r="K1511" s="38" t="s">
        <v>731</v>
      </c>
      <c r="L1511" s="116" t="s">
        <v>653</v>
      </c>
      <c r="M1511" s="6">
        <v>43074</v>
      </c>
      <c r="N1511" s="6">
        <v>43084</v>
      </c>
      <c r="O1511" s="61" t="s">
        <v>3300</v>
      </c>
      <c r="P1511" s="61"/>
      <c r="Q1511" s="61" t="s">
        <v>100</v>
      </c>
      <c r="R1511" s="239"/>
      <c r="S1511" s="328" t="s">
        <v>1176</v>
      </c>
      <c r="T1511" s="858"/>
    </row>
    <row r="1512" spans="1:20" ht="20.100000000000001" customHeight="1">
      <c r="A1512" s="1229" t="s">
        <v>2817</v>
      </c>
      <c r="B1512" s="1229" t="s">
        <v>3927</v>
      </c>
      <c r="C1512" s="1229" t="s">
        <v>3931</v>
      </c>
      <c r="D1512" s="195">
        <f>D409+(685+140)*1.2</f>
        <v>1690</v>
      </c>
      <c r="E1512" s="195">
        <f>E409+(910+140)*1.2</f>
        <v>2460</v>
      </c>
      <c r="F1512" s="195">
        <f>F409+(910+140)*1.2</f>
        <v>2510</v>
      </c>
      <c r="G1512" s="217" t="s">
        <v>5</v>
      </c>
      <c r="H1512" s="56" t="s">
        <v>725</v>
      </c>
      <c r="I1512" s="10" t="s">
        <v>2571</v>
      </c>
      <c r="J1512" s="140"/>
      <c r="K1512" s="38">
        <v>36</v>
      </c>
      <c r="L1512" s="116" t="s">
        <v>653</v>
      </c>
      <c r="M1512" s="15">
        <v>43054</v>
      </c>
      <c r="N1512" s="15">
        <v>43076</v>
      </c>
      <c r="O1512" s="61" t="s">
        <v>3292</v>
      </c>
      <c r="P1512" s="61" t="s">
        <v>939</v>
      </c>
      <c r="Q1512" s="14" t="s">
        <v>100</v>
      </c>
      <c r="R1512" s="239" t="s">
        <v>2439</v>
      </c>
      <c r="S1512" s="328" t="s">
        <v>1176</v>
      </c>
      <c r="T1512" s="858"/>
    </row>
    <row r="1513" spans="1:20" ht="20.100000000000001" customHeight="1">
      <c r="A1513" s="1229" t="s">
        <v>2817</v>
      </c>
      <c r="B1513" s="1229" t="s">
        <v>3927</v>
      </c>
      <c r="C1513" s="1229" t="s">
        <v>3931</v>
      </c>
      <c r="D1513" s="345">
        <f>D20+300+25</f>
        <v>1175</v>
      </c>
      <c r="E1513" s="345">
        <f>E20+560+50</f>
        <v>2210</v>
      </c>
      <c r="F1513" s="345">
        <f>F20+560+50</f>
        <v>2260</v>
      </c>
      <c r="G1513" s="217" t="s">
        <v>5</v>
      </c>
      <c r="H1513" s="56" t="s">
        <v>2523</v>
      </c>
      <c r="I1513" s="10" t="s">
        <v>3295</v>
      </c>
      <c r="J1513" s="30"/>
      <c r="K1513" s="38"/>
      <c r="L1513" s="116" t="s">
        <v>653</v>
      </c>
      <c r="M1513" s="15">
        <v>43070</v>
      </c>
      <c r="N1513" s="15">
        <v>43100</v>
      </c>
      <c r="O1513" s="59" t="s">
        <v>3705</v>
      </c>
      <c r="P1513" s="61"/>
      <c r="Q1513" s="14" t="s">
        <v>3710</v>
      </c>
      <c r="R1513" s="239"/>
      <c r="S1513" s="327" t="s">
        <v>3303</v>
      </c>
      <c r="T1513" s="858"/>
    </row>
    <row r="1514" spans="1:20" ht="20.100000000000001" customHeight="1">
      <c r="A1514" s="1229" t="s">
        <v>2817</v>
      </c>
      <c r="B1514" s="1229" t="s">
        <v>3927</v>
      </c>
      <c r="C1514" s="1229" t="s">
        <v>3931</v>
      </c>
      <c r="D1514" s="195">
        <f>D20+(443+220)*1.2</f>
        <v>1645.6</v>
      </c>
      <c r="E1514" s="195">
        <f>E20+(607+220)*1.2</f>
        <v>2592.4</v>
      </c>
      <c r="F1514" s="195">
        <f>F20+(607+220)*1.2</f>
        <v>2642.4</v>
      </c>
      <c r="G1514" s="217" t="s">
        <v>5</v>
      </c>
      <c r="H1514" s="56" t="s">
        <v>2523</v>
      </c>
      <c r="I1514" s="10" t="s">
        <v>3295</v>
      </c>
      <c r="J1514" s="30"/>
      <c r="K1514" s="38"/>
      <c r="L1514" s="116" t="s">
        <v>653</v>
      </c>
      <c r="M1514" s="15">
        <v>43070</v>
      </c>
      <c r="N1514" s="15">
        <v>43100</v>
      </c>
      <c r="O1514" s="59" t="s">
        <v>3705</v>
      </c>
      <c r="P1514" s="61" t="s">
        <v>939</v>
      </c>
      <c r="Q1514" s="7" t="s">
        <v>3930</v>
      </c>
      <c r="R1514" s="239"/>
      <c r="S1514" s="327" t="s">
        <v>3303</v>
      </c>
      <c r="T1514" s="858"/>
    </row>
    <row r="1515" spans="1:20" ht="20.100000000000001" customHeight="1">
      <c r="A1515" s="1229" t="s">
        <v>2817</v>
      </c>
      <c r="B1515" s="1229" t="s">
        <v>3927</v>
      </c>
      <c r="C1515" s="1229" t="s">
        <v>3931</v>
      </c>
      <c r="D1515" s="195">
        <f>D36+262*1.2</f>
        <v>1189.4000000000001</v>
      </c>
      <c r="E1515" s="195">
        <f>E36+453*1.2</f>
        <v>2093.6</v>
      </c>
      <c r="F1515" s="195">
        <f>F36+453*1.2</f>
        <v>2143.6</v>
      </c>
      <c r="G1515" s="217" t="s">
        <v>51</v>
      </c>
      <c r="H1515" s="48" t="s">
        <v>2523</v>
      </c>
      <c r="I1515" s="38" t="s">
        <v>3295</v>
      </c>
      <c r="J1515" s="39">
        <v>5071</v>
      </c>
      <c r="K1515" s="38"/>
      <c r="L1515" s="116" t="s">
        <v>653</v>
      </c>
      <c r="M1515" s="15">
        <v>43084</v>
      </c>
      <c r="N1515" s="15">
        <v>43100</v>
      </c>
      <c r="O1515" s="61" t="s">
        <v>3913</v>
      </c>
      <c r="P1515" s="61" t="s">
        <v>3929</v>
      </c>
      <c r="Q1515" s="61"/>
      <c r="R1515" s="239"/>
      <c r="S1515" s="328" t="s">
        <v>1176</v>
      </c>
      <c r="T1515" s="858"/>
    </row>
    <row r="1516" spans="1:20" ht="20.100000000000001" customHeight="1">
      <c r="A1516" s="1229" t="s">
        <v>2817</v>
      </c>
      <c r="B1516" s="1229" t="s">
        <v>3927</v>
      </c>
      <c r="C1516" s="1229" t="s">
        <v>3931</v>
      </c>
      <c r="D1516" s="195">
        <f>D410+336*1.2</f>
        <v>1178.2</v>
      </c>
      <c r="E1516" s="195">
        <f>E410+534*1.2</f>
        <v>2090.8000000000002</v>
      </c>
      <c r="F1516" s="195">
        <f>F410+534*1.2</f>
        <v>2140.8000000000002</v>
      </c>
      <c r="G1516" s="217" t="s">
        <v>51</v>
      </c>
      <c r="H1516" s="69" t="s">
        <v>725</v>
      </c>
      <c r="I1516" s="10" t="s">
        <v>2571</v>
      </c>
      <c r="J1516" s="39">
        <v>5071</v>
      </c>
      <c r="K1516" s="38"/>
      <c r="L1516" s="116" t="s">
        <v>653</v>
      </c>
      <c r="M1516" s="15">
        <v>43084</v>
      </c>
      <c r="N1516" s="15">
        <v>43100</v>
      </c>
      <c r="O1516" s="61" t="s">
        <v>3928</v>
      </c>
      <c r="P1516" s="61"/>
      <c r="Q1516" s="171"/>
      <c r="R1516" s="239" t="s">
        <v>3709</v>
      </c>
      <c r="S1516" s="327" t="s">
        <v>3297</v>
      </c>
      <c r="T1516" s="858"/>
    </row>
    <row r="1517" spans="1:20" ht="20.100000000000001" customHeight="1">
      <c r="A1517" s="1229" t="s">
        <v>2817</v>
      </c>
      <c r="B1517" s="1229" t="s">
        <v>3927</v>
      </c>
      <c r="C1517" s="1229" t="s">
        <v>3931</v>
      </c>
      <c r="D1517" s="273">
        <f>D14+665*1.3</f>
        <v>1644.5</v>
      </c>
      <c r="E1517" s="273">
        <f>E14+758*1.3</f>
        <v>2442.4</v>
      </c>
      <c r="F1517" s="273">
        <f>F14+758*1.3</f>
        <v>2442.4</v>
      </c>
      <c r="G1517" s="225" t="s">
        <v>1689</v>
      </c>
      <c r="H1517" s="69" t="s">
        <v>3296</v>
      </c>
      <c r="I1517" s="38" t="s">
        <v>3295</v>
      </c>
      <c r="J1517" s="30"/>
      <c r="K1517" s="38" t="s">
        <v>731</v>
      </c>
      <c r="L1517" s="116" t="s">
        <v>653</v>
      </c>
      <c r="M1517" s="6">
        <v>43074</v>
      </c>
      <c r="N1517" s="6">
        <v>43084</v>
      </c>
      <c r="O1517" s="61" t="s">
        <v>3300</v>
      </c>
      <c r="P1517" s="61"/>
      <c r="Q1517" s="61" t="s">
        <v>100</v>
      </c>
      <c r="R1517" s="239"/>
      <c r="S1517" s="328" t="s">
        <v>1176</v>
      </c>
      <c r="T1517" s="858"/>
    </row>
    <row r="1518" spans="1:20" ht="20.100000000000001" customHeight="1">
      <c r="A1518" s="1229" t="s">
        <v>2817</v>
      </c>
      <c r="B1518" s="1229" t="s">
        <v>3927</v>
      </c>
      <c r="C1518" s="1229" t="s">
        <v>3926</v>
      </c>
      <c r="D1518" s="195">
        <f>D409+(710+140)*1.2</f>
        <v>1720</v>
      </c>
      <c r="E1518" s="195">
        <f>E409+(960+140)*1.2</f>
        <v>2520</v>
      </c>
      <c r="F1518" s="195">
        <f>F409+(960+140)*1.2</f>
        <v>2570</v>
      </c>
      <c r="G1518" s="217" t="s">
        <v>5</v>
      </c>
      <c r="H1518" s="56" t="s">
        <v>725</v>
      </c>
      <c r="I1518" s="10" t="s">
        <v>2571</v>
      </c>
      <c r="J1518" s="140"/>
      <c r="K1518" s="38">
        <v>36</v>
      </c>
      <c r="L1518" s="116" t="s">
        <v>653</v>
      </c>
      <c r="M1518" s="15">
        <v>43054</v>
      </c>
      <c r="N1518" s="15">
        <v>43076</v>
      </c>
      <c r="O1518" s="61" t="s">
        <v>3292</v>
      </c>
      <c r="P1518" s="61" t="s">
        <v>939</v>
      </c>
      <c r="Q1518" s="61" t="s">
        <v>100</v>
      </c>
      <c r="R1518" s="239" t="s">
        <v>2439</v>
      </c>
      <c r="S1518" s="328" t="s">
        <v>1176</v>
      </c>
      <c r="T1518" s="858"/>
    </row>
    <row r="1519" spans="1:20" ht="20.100000000000001" customHeight="1">
      <c r="A1519" s="1229" t="s">
        <v>2817</v>
      </c>
      <c r="B1519" s="1229" t="s">
        <v>3927</v>
      </c>
      <c r="C1519" s="1229" t="s">
        <v>3926</v>
      </c>
      <c r="D1519" s="345">
        <f>D20+220+25</f>
        <v>1095</v>
      </c>
      <c r="E1519" s="345">
        <f>E20+450+50</f>
        <v>2100</v>
      </c>
      <c r="F1519" s="345">
        <f>F20+450+50</f>
        <v>2150</v>
      </c>
      <c r="G1519" s="217" t="s">
        <v>5</v>
      </c>
      <c r="H1519" s="56" t="s">
        <v>2523</v>
      </c>
      <c r="I1519" s="10" t="s">
        <v>3295</v>
      </c>
      <c r="J1519" s="30"/>
      <c r="K1519" s="38"/>
      <c r="L1519" s="116" t="s">
        <v>653</v>
      </c>
      <c r="M1519" s="15">
        <v>43070</v>
      </c>
      <c r="N1519" s="15">
        <v>43100</v>
      </c>
      <c r="O1519" s="59" t="s">
        <v>3705</v>
      </c>
      <c r="P1519" s="61"/>
      <c r="Q1519" s="14" t="s">
        <v>3710</v>
      </c>
      <c r="R1519" s="239"/>
      <c r="S1519" s="327" t="s">
        <v>3303</v>
      </c>
      <c r="T1519" s="858"/>
    </row>
    <row r="1520" spans="1:20" ht="20.100000000000001" customHeight="1">
      <c r="A1520" s="1229" t="s">
        <v>2817</v>
      </c>
      <c r="B1520" s="1229" t="s">
        <v>3927</v>
      </c>
      <c r="C1520" s="1229" t="s">
        <v>3926</v>
      </c>
      <c r="D1520" s="195">
        <f>D20+(588+220)*1.2</f>
        <v>1819.6</v>
      </c>
      <c r="E1520" s="195">
        <f>E20+(736+220)*1.2</f>
        <v>2747.2</v>
      </c>
      <c r="F1520" s="195">
        <f>F20+(736+220)*1.2</f>
        <v>2797.2</v>
      </c>
      <c r="G1520" s="217" t="s">
        <v>5</v>
      </c>
      <c r="H1520" s="56" t="s">
        <v>2523</v>
      </c>
      <c r="I1520" s="10" t="s">
        <v>3295</v>
      </c>
      <c r="J1520" s="30"/>
      <c r="K1520" s="38"/>
      <c r="L1520" s="116" t="s">
        <v>653</v>
      </c>
      <c r="M1520" s="15">
        <v>43070</v>
      </c>
      <c r="N1520" s="15">
        <v>43100</v>
      </c>
      <c r="O1520" s="59" t="s">
        <v>3705</v>
      </c>
      <c r="P1520" s="61" t="s">
        <v>939</v>
      </c>
      <c r="Q1520" s="7" t="s">
        <v>3930</v>
      </c>
      <c r="R1520" s="239"/>
      <c r="S1520" s="327" t="s">
        <v>3303</v>
      </c>
      <c r="T1520" s="858"/>
    </row>
    <row r="1521" spans="1:20" ht="20.100000000000001" customHeight="1">
      <c r="A1521" s="1229" t="s">
        <v>2817</v>
      </c>
      <c r="B1521" s="1229" t="s">
        <v>3927</v>
      </c>
      <c r="C1521" s="1229" t="s">
        <v>3926</v>
      </c>
      <c r="D1521" s="195">
        <f>D36+295*1.2</f>
        <v>1229</v>
      </c>
      <c r="E1521" s="195">
        <f>E36+385*1.2</f>
        <v>2012</v>
      </c>
      <c r="F1521" s="195">
        <f>F36+385*1.2</f>
        <v>2062</v>
      </c>
      <c r="G1521" s="217" t="s">
        <v>51</v>
      </c>
      <c r="H1521" s="48" t="s">
        <v>2523</v>
      </c>
      <c r="I1521" s="38" t="s">
        <v>3295</v>
      </c>
      <c r="J1521" s="39">
        <v>1020</v>
      </c>
      <c r="K1521" s="38"/>
      <c r="L1521" s="116" t="s">
        <v>653</v>
      </c>
      <c r="M1521" s="15">
        <v>43084</v>
      </c>
      <c r="N1521" s="15">
        <v>43100</v>
      </c>
      <c r="O1521" s="61" t="s">
        <v>3913</v>
      </c>
      <c r="P1521" s="61" t="s">
        <v>3929</v>
      </c>
      <c r="Q1521" s="61"/>
      <c r="R1521" s="239"/>
      <c r="S1521" s="328" t="s">
        <v>1176</v>
      </c>
      <c r="T1521" s="858"/>
    </row>
    <row r="1522" spans="1:20" ht="20.100000000000001" customHeight="1">
      <c r="A1522" s="1229" t="s">
        <v>2817</v>
      </c>
      <c r="B1522" s="1229" t="s">
        <v>3927</v>
      </c>
      <c r="C1522" s="1229" t="s">
        <v>3926</v>
      </c>
      <c r="D1522" s="195">
        <f>D410+398*1.2</f>
        <v>1252.5999999999999</v>
      </c>
      <c r="E1522" s="195">
        <f>E410+557*1.2</f>
        <v>2118.4</v>
      </c>
      <c r="F1522" s="195">
        <f>F410+557*1.2</f>
        <v>2168.4</v>
      </c>
      <c r="G1522" s="217" t="s">
        <v>51</v>
      </c>
      <c r="H1522" s="69" t="s">
        <v>725</v>
      </c>
      <c r="I1522" s="10" t="s">
        <v>2571</v>
      </c>
      <c r="J1522" s="39">
        <v>1020</v>
      </c>
      <c r="K1522" s="38"/>
      <c r="L1522" s="116" t="s">
        <v>653</v>
      </c>
      <c r="M1522" s="15">
        <v>43084</v>
      </c>
      <c r="N1522" s="15">
        <v>43100</v>
      </c>
      <c r="O1522" s="61" t="s">
        <v>3928</v>
      </c>
      <c r="P1522" s="61"/>
      <c r="Q1522" s="171"/>
      <c r="R1522" s="239" t="s">
        <v>3709</v>
      </c>
      <c r="S1522" s="327" t="s">
        <v>3297</v>
      </c>
      <c r="T1522" s="858"/>
    </row>
    <row r="1523" spans="1:20" ht="20.100000000000001" customHeight="1">
      <c r="A1523" s="1229" t="s">
        <v>2817</v>
      </c>
      <c r="B1523" s="1229" t="s">
        <v>3927</v>
      </c>
      <c r="C1523" s="1229" t="s">
        <v>3926</v>
      </c>
      <c r="D1523" s="195">
        <f>D19+1084+25</f>
        <v>1884</v>
      </c>
      <c r="E1523" s="195">
        <f>E19+1691+50</f>
        <v>3191</v>
      </c>
      <c r="F1523" s="195">
        <f>F19+1691+50</f>
        <v>3241</v>
      </c>
      <c r="G1523" s="12" t="s">
        <v>37</v>
      </c>
      <c r="H1523" s="69" t="s">
        <v>2523</v>
      </c>
      <c r="I1523" s="38" t="s">
        <v>3295</v>
      </c>
      <c r="J1523" s="30"/>
      <c r="K1523" s="38"/>
      <c r="L1523" s="116" t="s">
        <v>653</v>
      </c>
      <c r="M1523" s="15">
        <v>43084</v>
      </c>
      <c r="N1523" s="15">
        <v>43100</v>
      </c>
      <c r="O1523" s="61" t="s">
        <v>3302</v>
      </c>
      <c r="P1523" s="61"/>
      <c r="Q1523" s="61"/>
      <c r="R1523" s="239"/>
      <c r="S1523" s="326" t="s">
        <v>3301</v>
      </c>
      <c r="T1523" s="858"/>
    </row>
    <row r="1524" spans="1:20" ht="20.100000000000001" customHeight="1">
      <c r="A1524" s="913" t="s">
        <v>3919</v>
      </c>
      <c r="B1524" s="913" t="s">
        <v>3708</v>
      </c>
      <c r="C1524" s="913" t="s">
        <v>3925</v>
      </c>
      <c r="D1524" s="195">
        <f>D518+145*1.2</f>
        <v>949</v>
      </c>
      <c r="E1524" s="195">
        <f>E518+145*1.2</f>
        <v>1524</v>
      </c>
      <c r="F1524" s="195">
        <f>F518+145*1.2</f>
        <v>1574</v>
      </c>
      <c r="G1524" s="217" t="s">
        <v>51</v>
      </c>
      <c r="H1524" s="22" t="s">
        <v>3425</v>
      </c>
      <c r="I1524" s="51" t="s">
        <v>2572</v>
      </c>
      <c r="J1524" s="30"/>
      <c r="K1524" s="30"/>
      <c r="L1524" s="116" t="s">
        <v>653</v>
      </c>
      <c r="M1524" s="15">
        <v>43084</v>
      </c>
      <c r="N1524" s="15">
        <v>43100</v>
      </c>
      <c r="O1524" s="61" t="s">
        <v>3292</v>
      </c>
      <c r="P1524" s="61"/>
      <c r="Q1524" s="901" t="s">
        <v>100</v>
      </c>
      <c r="R1524" s="239" t="s">
        <v>3424</v>
      </c>
      <c r="S1524" s="327" t="s">
        <v>3297</v>
      </c>
      <c r="T1524" s="858"/>
    </row>
    <row r="1525" spans="1:20" ht="20.100000000000001" customHeight="1">
      <c r="A1525" s="913" t="s">
        <v>3919</v>
      </c>
      <c r="B1525" s="913" t="s">
        <v>3708</v>
      </c>
      <c r="C1525" s="912" t="s">
        <v>3924</v>
      </c>
      <c r="D1525" s="195">
        <f>D516+200</f>
        <v>925</v>
      </c>
      <c r="E1525" s="195">
        <f>E516+300</f>
        <v>1650</v>
      </c>
      <c r="F1525" s="195">
        <f>F516+300</f>
        <v>1650</v>
      </c>
      <c r="G1525" s="67" t="s">
        <v>31</v>
      </c>
      <c r="H1525" s="48" t="s">
        <v>1102</v>
      </c>
      <c r="I1525" s="38" t="s">
        <v>1240</v>
      </c>
      <c r="J1525" s="37"/>
      <c r="K1525" s="37">
        <v>32</v>
      </c>
      <c r="L1525" s="116" t="s">
        <v>653</v>
      </c>
      <c r="M1525" s="6">
        <v>43085</v>
      </c>
      <c r="N1525" s="6">
        <v>43100</v>
      </c>
      <c r="O1525" s="61" t="s">
        <v>3292</v>
      </c>
      <c r="P1525" s="61"/>
      <c r="Q1525" s="171"/>
      <c r="R1525" s="239" t="s">
        <v>3707</v>
      </c>
      <c r="S1525" s="328" t="s">
        <v>1176</v>
      </c>
      <c r="T1525" s="858"/>
    </row>
    <row r="1526" spans="1:20" ht="20.100000000000001" customHeight="1">
      <c r="A1526" s="1230" t="s">
        <v>3919</v>
      </c>
      <c r="B1526" s="1230" t="s">
        <v>3708</v>
      </c>
      <c r="C1526" s="1230" t="s">
        <v>3922</v>
      </c>
      <c r="D1526" s="195">
        <f>D518+620*1.2</f>
        <v>1519</v>
      </c>
      <c r="E1526" s="195">
        <f>E518+620*1.2</f>
        <v>2094</v>
      </c>
      <c r="F1526" s="195">
        <f>F518+620*1.2</f>
        <v>2144</v>
      </c>
      <c r="G1526" s="217" t="s">
        <v>51</v>
      </c>
      <c r="H1526" s="22" t="s">
        <v>3425</v>
      </c>
      <c r="I1526" s="51" t="s">
        <v>2572</v>
      </c>
      <c r="J1526" s="30"/>
      <c r="K1526" s="30"/>
      <c r="L1526" s="116" t="s">
        <v>653</v>
      </c>
      <c r="M1526" s="15">
        <v>43084</v>
      </c>
      <c r="N1526" s="15">
        <v>43100</v>
      </c>
      <c r="O1526" s="61" t="s">
        <v>3292</v>
      </c>
      <c r="P1526" s="61"/>
      <c r="Q1526" s="901" t="s">
        <v>100</v>
      </c>
      <c r="R1526" s="239" t="s">
        <v>3424</v>
      </c>
      <c r="S1526" s="327" t="s">
        <v>3297</v>
      </c>
      <c r="T1526" s="858"/>
    </row>
    <row r="1527" spans="1:20" ht="20.100000000000001" customHeight="1">
      <c r="A1527" s="1230" t="s">
        <v>3919</v>
      </c>
      <c r="B1527" s="1230" t="s">
        <v>3708</v>
      </c>
      <c r="C1527" s="1230" t="s">
        <v>3922</v>
      </c>
      <c r="D1527" s="195">
        <f>D543+465*1.2</f>
        <v>1383</v>
      </c>
      <c r="E1527" s="195">
        <f>E543+465*1.2</f>
        <v>2008</v>
      </c>
      <c r="F1527" s="195">
        <f>F543+465*1.2</f>
        <v>2058</v>
      </c>
      <c r="G1527" s="217" t="s">
        <v>51</v>
      </c>
      <c r="H1527" s="22" t="s">
        <v>3425</v>
      </c>
      <c r="I1527" s="51" t="s">
        <v>3923</v>
      </c>
      <c r="J1527" s="30"/>
      <c r="K1527" s="30"/>
      <c r="L1527" s="116" t="s">
        <v>653</v>
      </c>
      <c r="M1527" s="15">
        <v>43084</v>
      </c>
      <c r="N1527" s="15">
        <v>43100</v>
      </c>
      <c r="O1527" s="61" t="s">
        <v>3292</v>
      </c>
      <c r="P1527" s="61"/>
      <c r="Q1527" s="901" t="s">
        <v>100</v>
      </c>
      <c r="R1527" s="239" t="s">
        <v>3424</v>
      </c>
      <c r="S1527" s="327" t="s">
        <v>3297</v>
      </c>
      <c r="T1527" s="858"/>
    </row>
    <row r="1528" spans="1:20" ht="20.100000000000001" customHeight="1">
      <c r="A1528" s="1230" t="s">
        <v>3919</v>
      </c>
      <c r="B1528" s="1230" t="s">
        <v>3708</v>
      </c>
      <c r="C1528" s="1230" t="s">
        <v>3922</v>
      </c>
      <c r="D1528" s="195">
        <f>D516+100</f>
        <v>825</v>
      </c>
      <c r="E1528" s="195">
        <f>E516+150</f>
        <v>1500</v>
      </c>
      <c r="F1528" s="195">
        <f>F516+150</f>
        <v>1500</v>
      </c>
      <c r="G1528" s="67" t="s">
        <v>31</v>
      </c>
      <c r="H1528" s="48" t="s">
        <v>1102</v>
      </c>
      <c r="I1528" s="38" t="s">
        <v>1240</v>
      </c>
      <c r="J1528" s="37"/>
      <c r="K1528" s="37">
        <v>36</v>
      </c>
      <c r="L1528" s="116" t="s">
        <v>653</v>
      </c>
      <c r="M1528" s="6">
        <v>43085</v>
      </c>
      <c r="N1528" s="6">
        <v>43100</v>
      </c>
      <c r="O1528" s="61" t="s">
        <v>3292</v>
      </c>
      <c r="P1528" s="61"/>
      <c r="Q1528" s="171"/>
      <c r="R1528" s="239" t="s">
        <v>3707</v>
      </c>
      <c r="S1528" s="328" t="s">
        <v>1176</v>
      </c>
      <c r="T1528" s="858"/>
    </row>
    <row r="1529" spans="1:20" ht="20.100000000000001" customHeight="1">
      <c r="A1529" s="1229" t="s">
        <v>3919</v>
      </c>
      <c r="B1529" s="1229" t="s">
        <v>3918</v>
      </c>
      <c r="C1529" s="1229" t="s">
        <v>3917</v>
      </c>
      <c r="D1529" s="345">
        <f>D77+1600+25</f>
        <v>2475</v>
      </c>
      <c r="E1529" s="345">
        <f>E77+2500+50</f>
        <v>4150</v>
      </c>
      <c r="F1529" s="345">
        <f>F77+2500+50</f>
        <v>4200</v>
      </c>
      <c r="G1529" s="217" t="s">
        <v>5</v>
      </c>
      <c r="H1529" s="56" t="s">
        <v>2523</v>
      </c>
      <c r="I1529" s="10" t="s">
        <v>2522</v>
      </c>
      <c r="J1529" s="30"/>
      <c r="K1529" s="38"/>
      <c r="L1529" s="116" t="s">
        <v>653</v>
      </c>
      <c r="M1529" s="15">
        <v>43070</v>
      </c>
      <c r="N1529" s="15">
        <v>43100</v>
      </c>
      <c r="O1529" s="59" t="s">
        <v>3705</v>
      </c>
      <c r="P1529" s="61"/>
      <c r="Q1529" s="7" t="s">
        <v>3921</v>
      </c>
      <c r="R1529" s="239"/>
      <c r="S1529" s="327" t="s">
        <v>3303</v>
      </c>
      <c r="T1529" s="858"/>
    </row>
    <row r="1530" spans="1:20" ht="20.100000000000001" customHeight="1">
      <c r="A1530" s="1229" t="s">
        <v>3919</v>
      </c>
      <c r="B1530" s="1229" t="s">
        <v>3918</v>
      </c>
      <c r="C1530" s="1229" t="s">
        <v>3917</v>
      </c>
      <c r="D1530" s="196">
        <f>D97+2325</f>
        <v>3200</v>
      </c>
      <c r="E1530" s="196">
        <f>E97+3375</f>
        <v>4925</v>
      </c>
      <c r="F1530" s="196">
        <f>F97+3375</f>
        <v>4975</v>
      </c>
      <c r="G1530" s="217" t="s">
        <v>51</v>
      </c>
      <c r="H1530" s="48" t="s">
        <v>2523</v>
      </c>
      <c r="I1530" s="38" t="s">
        <v>2522</v>
      </c>
      <c r="J1530" s="39"/>
      <c r="K1530" s="38"/>
      <c r="L1530" s="116" t="s">
        <v>653</v>
      </c>
      <c r="M1530" s="15">
        <v>43084</v>
      </c>
      <c r="N1530" s="15">
        <v>43100</v>
      </c>
      <c r="O1530" s="61" t="s">
        <v>3920</v>
      </c>
      <c r="P1530" s="61"/>
      <c r="Q1530" s="61"/>
      <c r="R1530" s="239"/>
      <c r="S1530" s="328" t="s">
        <v>1176</v>
      </c>
      <c r="T1530" s="858"/>
    </row>
    <row r="1531" spans="1:20" ht="20.100000000000001" customHeight="1">
      <c r="A1531" s="1229" t="s">
        <v>3919</v>
      </c>
      <c r="B1531" s="1229" t="s">
        <v>3918</v>
      </c>
      <c r="C1531" s="1229" t="s">
        <v>3917</v>
      </c>
      <c r="D1531" s="274">
        <f>D211+2950+25</f>
        <v>3700</v>
      </c>
      <c r="E1531" s="274">
        <f>E211+4250+50</f>
        <v>5650</v>
      </c>
      <c r="F1531" s="274">
        <f>F211+4250+50</f>
        <v>5700</v>
      </c>
      <c r="G1531" s="12" t="s">
        <v>19</v>
      </c>
      <c r="H1531" s="69" t="s">
        <v>656</v>
      </c>
      <c r="I1531" s="38" t="s">
        <v>3295</v>
      </c>
      <c r="J1531" s="30"/>
      <c r="K1531" s="38"/>
      <c r="L1531" s="116" t="s">
        <v>653</v>
      </c>
      <c r="M1531" s="15">
        <v>43084</v>
      </c>
      <c r="N1531" s="15">
        <v>43100</v>
      </c>
      <c r="O1531" s="59" t="s">
        <v>3706</v>
      </c>
      <c r="P1531" s="61"/>
      <c r="Q1531" s="61"/>
      <c r="R1531" s="239"/>
      <c r="S1531" s="327" t="s">
        <v>3423</v>
      </c>
      <c r="T1531" s="858"/>
    </row>
    <row r="1532" spans="1:20" ht="20.100000000000001" customHeight="1">
      <c r="A1532" s="907" t="s">
        <v>2273</v>
      </c>
      <c r="B1532" s="907" t="s">
        <v>3916</v>
      </c>
      <c r="C1532" s="908" t="s">
        <v>3916</v>
      </c>
      <c r="D1532" s="247"/>
      <c r="E1532" s="247"/>
      <c r="F1532" s="247"/>
      <c r="G1532" s="12"/>
      <c r="H1532" s="36"/>
      <c r="I1532" s="51"/>
      <c r="J1532" s="127"/>
      <c r="K1532" s="51"/>
      <c r="L1532" s="118"/>
      <c r="M1532" s="118"/>
      <c r="N1532" s="15"/>
      <c r="O1532" s="59"/>
      <c r="P1532" s="59"/>
      <c r="Q1532" s="59"/>
      <c r="R1532" s="21"/>
      <c r="S1532" s="328"/>
      <c r="T1532" s="858"/>
    </row>
    <row r="1533" spans="1:20" ht="20.100000000000001" customHeight="1">
      <c r="A1533" s="909" t="s">
        <v>3298</v>
      </c>
      <c r="B1533" s="907" t="s">
        <v>3299</v>
      </c>
      <c r="C1533" s="908" t="s">
        <v>3915</v>
      </c>
      <c r="D1533" s="273">
        <f>D14+750*1.3</f>
        <v>1755</v>
      </c>
      <c r="E1533" s="273">
        <f>E14+944*1.3</f>
        <v>2684.2</v>
      </c>
      <c r="F1533" s="273">
        <f>F14+944*1.3</f>
        <v>2684.2</v>
      </c>
      <c r="G1533" s="225" t="s">
        <v>1689</v>
      </c>
      <c r="H1533" s="69" t="s">
        <v>3296</v>
      </c>
      <c r="I1533" s="38" t="s">
        <v>3295</v>
      </c>
      <c r="J1533" s="30"/>
      <c r="K1533" s="38" t="s">
        <v>731</v>
      </c>
      <c r="L1533" s="116" t="s">
        <v>653</v>
      </c>
      <c r="M1533" s="6">
        <v>43074</v>
      </c>
      <c r="N1533" s="6">
        <v>43084</v>
      </c>
      <c r="O1533" s="61" t="s">
        <v>3300</v>
      </c>
      <c r="P1533" s="61"/>
      <c r="Q1533" s="61" t="s">
        <v>100</v>
      </c>
      <c r="R1533" s="239"/>
      <c r="S1533" s="328" t="s">
        <v>1176</v>
      </c>
      <c r="T1533" s="858"/>
    </row>
    <row r="1534" spans="1:20" ht="20.100000000000001" customHeight="1">
      <c r="A1534" s="1229" t="s">
        <v>3298</v>
      </c>
      <c r="B1534" s="1229" t="s">
        <v>3299</v>
      </c>
      <c r="C1534" s="1229" t="s">
        <v>3489</v>
      </c>
      <c r="D1534" s="195">
        <f>D36+253*1.2</f>
        <v>1178.5999999999999</v>
      </c>
      <c r="E1534" s="195">
        <f>E36+470*1.2</f>
        <v>2114</v>
      </c>
      <c r="F1534" s="195">
        <f>F36+470*1.2</f>
        <v>2164</v>
      </c>
      <c r="G1534" s="217" t="s">
        <v>51</v>
      </c>
      <c r="H1534" s="48" t="s">
        <v>2523</v>
      </c>
      <c r="I1534" s="38" t="s">
        <v>3295</v>
      </c>
      <c r="J1534" s="39" t="s">
        <v>3914</v>
      </c>
      <c r="K1534" s="38">
        <v>33</v>
      </c>
      <c r="L1534" s="116" t="s">
        <v>653</v>
      </c>
      <c r="M1534" s="15">
        <v>43084</v>
      </c>
      <c r="N1534" s="15">
        <v>43100</v>
      </c>
      <c r="O1534" s="61" t="s">
        <v>3913</v>
      </c>
      <c r="P1534" s="61"/>
      <c r="Q1534" s="61"/>
      <c r="R1534" s="239"/>
      <c r="S1534" s="328" t="s">
        <v>1176</v>
      </c>
      <c r="T1534" s="858"/>
    </row>
    <row r="1535" spans="1:20" ht="20.100000000000001" customHeight="1">
      <c r="A1535" s="1229" t="s">
        <v>2817</v>
      </c>
      <c r="B1535" s="1229" t="s">
        <v>3299</v>
      </c>
      <c r="C1535" s="1229" t="s">
        <v>3489</v>
      </c>
      <c r="D1535" s="195">
        <f>D409+(710+140)*1.2</f>
        <v>1720</v>
      </c>
      <c r="E1535" s="195">
        <f>E409+(1060+140)*1.2</f>
        <v>2640</v>
      </c>
      <c r="F1535" s="195">
        <f>F409+(1060+140)*1.2</f>
        <v>2690</v>
      </c>
      <c r="G1535" s="217" t="s">
        <v>5</v>
      </c>
      <c r="H1535" s="56" t="s">
        <v>725</v>
      </c>
      <c r="I1535" s="10" t="s">
        <v>2571</v>
      </c>
      <c r="J1535" s="140"/>
      <c r="K1535" s="38">
        <v>36</v>
      </c>
      <c r="L1535" s="116" t="s">
        <v>653</v>
      </c>
      <c r="M1535" s="15">
        <v>43054</v>
      </c>
      <c r="N1535" s="15">
        <v>43076</v>
      </c>
      <c r="O1535" s="61" t="s">
        <v>3292</v>
      </c>
      <c r="P1535" s="61" t="s">
        <v>939</v>
      </c>
      <c r="Q1535" s="14" t="s">
        <v>100</v>
      </c>
      <c r="R1535" s="239" t="s">
        <v>2439</v>
      </c>
      <c r="S1535" s="328" t="s">
        <v>1176</v>
      </c>
      <c r="T1535" s="858"/>
    </row>
    <row r="1536" spans="1:20" ht="20.100000000000001" customHeight="1">
      <c r="A1536" s="1229" t="s">
        <v>2817</v>
      </c>
      <c r="B1536" s="1229" t="s">
        <v>3299</v>
      </c>
      <c r="C1536" s="1229" t="s">
        <v>3489</v>
      </c>
      <c r="D1536" s="195">
        <f>D20+(323+220)*1.2</f>
        <v>1501.6</v>
      </c>
      <c r="E1536" s="195">
        <f>E20+(540+220)*1.2</f>
        <v>2512</v>
      </c>
      <c r="F1536" s="195">
        <f>F20+(480+220)*1.2</f>
        <v>2490</v>
      </c>
      <c r="G1536" s="217" t="s">
        <v>5</v>
      </c>
      <c r="H1536" s="56" t="s">
        <v>2523</v>
      </c>
      <c r="I1536" s="10" t="s">
        <v>3295</v>
      </c>
      <c r="J1536" s="292"/>
      <c r="K1536" s="38"/>
      <c r="L1536" s="116" t="s">
        <v>653</v>
      </c>
      <c r="M1536" s="15">
        <v>43070</v>
      </c>
      <c r="N1536" s="15">
        <v>43100</v>
      </c>
      <c r="O1536" s="59" t="s">
        <v>3705</v>
      </c>
      <c r="P1536" s="61" t="s">
        <v>939</v>
      </c>
      <c r="Q1536" s="7" t="s">
        <v>3912</v>
      </c>
      <c r="R1536" s="239"/>
      <c r="S1536" s="327" t="s">
        <v>3303</v>
      </c>
      <c r="T1536" s="858"/>
    </row>
    <row r="1537" spans="1:20" ht="20.100000000000001" customHeight="1">
      <c r="A1537" s="1229" t="s">
        <v>2817</v>
      </c>
      <c r="B1537" s="1229" t="s">
        <v>3299</v>
      </c>
      <c r="C1537" s="1229" t="s">
        <v>3489</v>
      </c>
      <c r="D1537" s="195">
        <f>D20+(427+220)*1.2</f>
        <v>1626.4</v>
      </c>
      <c r="E1537" s="195">
        <f>E20+(643+220)*1.2</f>
        <v>2635.6</v>
      </c>
      <c r="F1537" s="195">
        <f>F20+(583+220)*1.2</f>
        <v>2613.6</v>
      </c>
      <c r="G1537" s="217" t="s">
        <v>5</v>
      </c>
      <c r="H1537" s="56" t="s">
        <v>2523</v>
      </c>
      <c r="I1537" s="10" t="s">
        <v>3295</v>
      </c>
      <c r="J1537" s="30"/>
      <c r="K1537" s="38"/>
      <c r="L1537" s="116" t="s">
        <v>653</v>
      </c>
      <c r="M1537" s="15">
        <v>43070</v>
      </c>
      <c r="N1537" s="15">
        <v>43100</v>
      </c>
      <c r="O1537" s="59" t="s">
        <v>3705</v>
      </c>
      <c r="P1537" s="61" t="s">
        <v>939</v>
      </c>
      <c r="Q1537" s="7" t="s">
        <v>3911</v>
      </c>
      <c r="R1537" s="239"/>
      <c r="S1537" s="327" t="s">
        <v>3303</v>
      </c>
      <c r="T1537" s="858"/>
    </row>
    <row r="1538" spans="1:20" ht="20.100000000000001" customHeight="1">
      <c r="A1538" s="1229" t="s">
        <v>2817</v>
      </c>
      <c r="B1538" s="1229" t="s">
        <v>3299</v>
      </c>
      <c r="C1538" s="1229" t="s">
        <v>3489</v>
      </c>
      <c r="D1538" s="195">
        <f>D19+1525+25</f>
        <v>2325</v>
      </c>
      <c r="E1538" s="195">
        <f>E19+1500+50</f>
        <v>3000</v>
      </c>
      <c r="F1538" s="195">
        <f>F19+1500+50</f>
        <v>3050</v>
      </c>
      <c r="G1538" s="12" t="s">
        <v>37</v>
      </c>
      <c r="H1538" s="69" t="s">
        <v>2523</v>
      </c>
      <c r="I1538" s="38" t="s">
        <v>3295</v>
      </c>
      <c r="J1538" s="30"/>
      <c r="K1538" s="38"/>
      <c r="L1538" s="116" t="s">
        <v>653</v>
      </c>
      <c r="M1538" s="15">
        <v>43084</v>
      </c>
      <c r="N1538" s="15">
        <v>43100</v>
      </c>
      <c r="O1538" s="61" t="s">
        <v>3302</v>
      </c>
      <c r="P1538" s="61"/>
      <c r="Q1538" s="61" t="s">
        <v>100</v>
      </c>
      <c r="R1538" s="239"/>
      <c r="S1538" s="326" t="s">
        <v>3301</v>
      </c>
      <c r="T1538" s="858"/>
    </row>
    <row r="1539" spans="1:20" ht="20.100000000000001" customHeight="1">
      <c r="A1539" s="1229" t="s">
        <v>2817</v>
      </c>
      <c r="B1539" s="1229" t="s">
        <v>3299</v>
      </c>
      <c r="C1539" s="1229" t="s">
        <v>3489</v>
      </c>
      <c r="D1539" s="273">
        <f>D14+511*1.3</f>
        <v>1444.3000000000002</v>
      </c>
      <c r="E1539" s="273">
        <f>E14+642*1.3</f>
        <v>2291.6</v>
      </c>
      <c r="F1539" s="273">
        <f>F14+642*1.3</f>
        <v>2291.6</v>
      </c>
      <c r="G1539" s="225" t="s">
        <v>1689</v>
      </c>
      <c r="H1539" s="69" t="s">
        <v>3296</v>
      </c>
      <c r="I1539" s="38" t="s">
        <v>3295</v>
      </c>
      <c r="J1539" s="30"/>
      <c r="K1539" s="38" t="s">
        <v>731</v>
      </c>
      <c r="L1539" s="116" t="s">
        <v>653</v>
      </c>
      <c r="M1539" s="6">
        <v>43074</v>
      </c>
      <c r="N1539" s="6">
        <v>43084</v>
      </c>
      <c r="O1539" s="61" t="s">
        <v>3300</v>
      </c>
      <c r="P1539" s="61"/>
      <c r="Q1539" s="61" t="s">
        <v>100</v>
      </c>
      <c r="R1539" s="239"/>
      <c r="S1539" s="328" t="s">
        <v>1176</v>
      </c>
      <c r="T1539" s="858"/>
    </row>
    <row r="1540" spans="1:20" ht="20.100000000000001" customHeight="1">
      <c r="A1540" s="911" t="s">
        <v>1457</v>
      </c>
      <c r="B1540" s="908" t="s">
        <v>1458</v>
      </c>
      <c r="C1540" s="908" t="s">
        <v>4533</v>
      </c>
      <c r="D1540" s="273">
        <f>D14+511*1.3</f>
        <v>1444.3000000000002</v>
      </c>
      <c r="E1540" s="273">
        <f>E14+642*1.3</f>
        <v>2291.6</v>
      </c>
      <c r="F1540" s="273">
        <f>F14+642*1.3</f>
        <v>2291.6</v>
      </c>
      <c r="G1540" s="225" t="s">
        <v>1689</v>
      </c>
      <c r="H1540" s="69" t="s">
        <v>3296</v>
      </c>
      <c r="I1540" s="38" t="s">
        <v>3295</v>
      </c>
      <c r="J1540" s="30"/>
      <c r="K1540" s="38" t="s">
        <v>731</v>
      </c>
      <c r="L1540" s="116" t="s">
        <v>653</v>
      </c>
      <c r="M1540" s="6">
        <v>43074</v>
      </c>
      <c r="N1540" s="6">
        <v>43084</v>
      </c>
      <c r="O1540" s="61" t="s">
        <v>3300</v>
      </c>
      <c r="P1540" s="61"/>
      <c r="Q1540" s="61"/>
      <c r="R1540" s="239"/>
      <c r="S1540" s="328" t="s">
        <v>1176</v>
      </c>
      <c r="T1540" s="858"/>
    </row>
    <row r="1541" spans="1:20" ht="20.100000000000001" customHeight="1">
      <c r="A1541" s="911" t="s">
        <v>3298</v>
      </c>
      <c r="B1541" s="908" t="s">
        <v>3299</v>
      </c>
      <c r="C1541" s="908" t="s">
        <v>4532</v>
      </c>
      <c r="D1541" s="195">
        <f>D14+622*1.3</f>
        <v>1588.6</v>
      </c>
      <c r="E1541" s="195">
        <f>E14+816*1.3</f>
        <v>2517.8000000000002</v>
      </c>
      <c r="F1541" s="195">
        <f>F14+816*1.3</f>
        <v>2517.8000000000002</v>
      </c>
      <c r="G1541" s="225" t="s">
        <v>1689</v>
      </c>
      <c r="H1541" s="69" t="s">
        <v>3296</v>
      </c>
      <c r="I1541" s="38" t="s">
        <v>3295</v>
      </c>
      <c r="J1541" s="30"/>
      <c r="K1541" s="38" t="s">
        <v>731</v>
      </c>
      <c r="L1541" s="116" t="s">
        <v>653</v>
      </c>
      <c r="M1541" s="6">
        <v>43074</v>
      </c>
      <c r="N1541" s="6">
        <v>43084</v>
      </c>
      <c r="O1541" s="61" t="s">
        <v>3300</v>
      </c>
      <c r="P1541" s="61"/>
      <c r="Q1541" s="61" t="s">
        <v>100</v>
      </c>
      <c r="R1541" s="239"/>
      <c r="S1541" s="328" t="s">
        <v>1176</v>
      </c>
      <c r="T1541" s="858"/>
    </row>
    <row r="1542" spans="1:20" ht="20.100000000000001" customHeight="1">
      <c r="A1542" s="911" t="s">
        <v>1457</v>
      </c>
      <c r="B1542" s="908" t="s">
        <v>3299</v>
      </c>
      <c r="C1542" s="908" t="s">
        <v>3910</v>
      </c>
      <c r="D1542" s="855">
        <f>D537+1100</f>
        <v>1875</v>
      </c>
      <c r="E1542" s="855">
        <f>E537+950</f>
        <v>2300</v>
      </c>
      <c r="F1542" s="855">
        <f>F537+950</f>
        <v>2350</v>
      </c>
      <c r="G1542" s="225" t="s">
        <v>51</v>
      </c>
      <c r="H1542" s="22" t="s">
        <v>3422</v>
      </c>
      <c r="I1542" s="38" t="s">
        <v>1520</v>
      </c>
      <c r="J1542" s="30"/>
      <c r="K1542" s="38" t="s">
        <v>982</v>
      </c>
      <c r="L1542" s="116" t="s">
        <v>653</v>
      </c>
      <c r="M1542" s="15">
        <v>43084</v>
      </c>
      <c r="N1542" s="15">
        <v>43100</v>
      </c>
      <c r="O1542" s="61" t="s">
        <v>3292</v>
      </c>
      <c r="P1542" s="61"/>
      <c r="Q1542" s="61" t="s">
        <v>3909</v>
      </c>
      <c r="R1542" s="239" t="s">
        <v>2822</v>
      </c>
      <c r="S1542" s="327" t="s">
        <v>3297</v>
      </c>
      <c r="T1542" s="858"/>
    </row>
    <row r="1543" spans="1:20" ht="20.100000000000001" customHeight="1">
      <c r="A1543" s="1229" t="s">
        <v>3298</v>
      </c>
      <c r="B1543" s="1229" t="s">
        <v>3903</v>
      </c>
      <c r="C1543" s="1229" t="s">
        <v>4106</v>
      </c>
      <c r="D1543" s="195">
        <f>D409+(510+140)*1.2</f>
        <v>1480</v>
      </c>
      <c r="E1543" s="195">
        <f>E409+(810+140)*1.2</f>
        <v>2340</v>
      </c>
      <c r="F1543" s="195">
        <f>F409+(810+140)*1.2</f>
        <v>2390</v>
      </c>
      <c r="G1543" s="217" t="s">
        <v>5</v>
      </c>
      <c r="H1543" s="56" t="s">
        <v>725</v>
      </c>
      <c r="I1543" s="10" t="s">
        <v>2571</v>
      </c>
      <c r="J1543" s="140"/>
      <c r="K1543" s="38">
        <v>36</v>
      </c>
      <c r="L1543" s="116" t="s">
        <v>653</v>
      </c>
      <c r="M1543" s="15">
        <v>43054</v>
      </c>
      <c r="N1543" s="15">
        <v>43076</v>
      </c>
      <c r="O1543" s="61" t="s">
        <v>3292</v>
      </c>
      <c r="P1543" s="61" t="s">
        <v>939</v>
      </c>
      <c r="Q1543" s="61" t="s">
        <v>100</v>
      </c>
      <c r="R1543" s="239" t="s">
        <v>2439</v>
      </c>
      <c r="S1543" s="328" t="s">
        <v>1176</v>
      </c>
      <c r="T1543" s="858"/>
    </row>
    <row r="1544" spans="1:20" ht="20.100000000000001" customHeight="1">
      <c r="A1544" s="1229" t="s">
        <v>1457</v>
      </c>
      <c r="B1544" s="1229" t="s">
        <v>3903</v>
      </c>
      <c r="C1544" s="1229" t="s">
        <v>4106</v>
      </c>
      <c r="D1544" s="855">
        <f>D537+1100</f>
        <v>1875</v>
      </c>
      <c r="E1544" s="855">
        <f>E537+950</f>
        <v>2300</v>
      </c>
      <c r="F1544" s="855">
        <f>F537+950</f>
        <v>2350</v>
      </c>
      <c r="G1544" s="217" t="s">
        <v>51</v>
      </c>
      <c r="H1544" s="22" t="s">
        <v>3422</v>
      </c>
      <c r="I1544" s="10" t="s">
        <v>1520</v>
      </c>
      <c r="J1544" s="140"/>
      <c r="K1544" s="38">
        <v>36</v>
      </c>
      <c r="L1544" s="116" t="s">
        <v>653</v>
      </c>
      <c r="M1544" s="15">
        <v>43084</v>
      </c>
      <c r="N1544" s="15">
        <v>43100</v>
      </c>
      <c r="O1544" s="61" t="s">
        <v>3292</v>
      </c>
      <c r="P1544" s="61"/>
      <c r="Q1544" s="61" t="s">
        <v>3909</v>
      </c>
      <c r="R1544" s="239" t="s">
        <v>2822</v>
      </c>
      <c r="S1544" s="327" t="s">
        <v>3297</v>
      </c>
      <c r="T1544" s="858"/>
    </row>
    <row r="1545" spans="1:20" ht="20.100000000000001" customHeight="1">
      <c r="A1545" s="908" t="s">
        <v>2817</v>
      </c>
      <c r="B1545" s="908" t="s">
        <v>3903</v>
      </c>
      <c r="C1545" s="908" t="s">
        <v>4531</v>
      </c>
      <c r="D1545" s="195">
        <f>D14+678*1.3</f>
        <v>1661.4</v>
      </c>
      <c r="E1545" s="195">
        <f>E14+980*1.3</f>
        <v>2731</v>
      </c>
      <c r="F1545" s="195">
        <f>F14+980*1.3</f>
        <v>2731</v>
      </c>
      <c r="G1545" s="225" t="s">
        <v>1689</v>
      </c>
      <c r="H1545" s="69" t="s">
        <v>3296</v>
      </c>
      <c r="I1545" s="38" t="s">
        <v>3295</v>
      </c>
      <c r="J1545" s="30"/>
      <c r="K1545" s="38"/>
      <c r="L1545" s="116" t="s">
        <v>653</v>
      </c>
      <c r="M1545" s="6">
        <v>43074</v>
      </c>
      <c r="N1545" s="6">
        <v>43084</v>
      </c>
      <c r="O1545" s="61" t="s">
        <v>3300</v>
      </c>
      <c r="P1545" s="61"/>
      <c r="Q1545" s="61" t="s">
        <v>100</v>
      </c>
      <c r="R1545" s="239"/>
      <c r="S1545" s="328" t="s">
        <v>1176</v>
      </c>
      <c r="T1545" s="858"/>
    </row>
    <row r="1546" spans="1:20" ht="20.100000000000001" customHeight="1">
      <c r="A1546" s="908" t="s">
        <v>2817</v>
      </c>
      <c r="B1546" s="908" t="s">
        <v>3903</v>
      </c>
      <c r="C1546" s="910" t="s">
        <v>3904</v>
      </c>
      <c r="D1546" s="195">
        <f>D409+(585+140)*1.2</f>
        <v>1570</v>
      </c>
      <c r="E1546" s="195">
        <f>E409+(860+140)*1.2</f>
        <v>2400</v>
      </c>
      <c r="F1546" s="195">
        <f>F409+(860+140)*1.2</f>
        <v>2450</v>
      </c>
      <c r="G1546" s="217" t="s">
        <v>5</v>
      </c>
      <c r="H1546" s="56" t="s">
        <v>725</v>
      </c>
      <c r="I1546" s="10" t="s">
        <v>2571</v>
      </c>
      <c r="J1546" s="140"/>
      <c r="K1546" s="38">
        <v>36</v>
      </c>
      <c r="L1546" s="116" t="s">
        <v>653</v>
      </c>
      <c r="M1546" s="15">
        <v>43054</v>
      </c>
      <c r="N1546" s="15">
        <v>43076</v>
      </c>
      <c r="O1546" s="61" t="s">
        <v>3292</v>
      </c>
      <c r="P1546" s="61" t="s">
        <v>939</v>
      </c>
      <c r="Q1546" s="61" t="s">
        <v>100</v>
      </c>
      <c r="R1546" s="239" t="s">
        <v>2439</v>
      </c>
      <c r="S1546" s="328" t="s">
        <v>1176</v>
      </c>
      <c r="T1546" s="858"/>
    </row>
    <row r="1547" spans="1:20" ht="20.100000000000001" customHeight="1">
      <c r="A1547" s="908" t="s">
        <v>2817</v>
      </c>
      <c r="B1547" s="908" t="s">
        <v>3903</v>
      </c>
      <c r="C1547" s="910" t="s">
        <v>3902</v>
      </c>
      <c r="D1547" s="195">
        <f>D409+(560+140)*1.2</f>
        <v>1540</v>
      </c>
      <c r="E1547" s="195">
        <f>E409+(810+140)*1.2</f>
        <v>2340</v>
      </c>
      <c r="F1547" s="195">
        <f>F409+(810+140)*1.2</f>
        <v>2390</v>
      </c>
      <c r="G1547" s="217" t="s">
        <v>5</v>
      </c>
      <c r="H1547" s="56" t="s">
        <v>725</v>
      </c>
      <c r="I1547" s="10" t="s">
        <v>2571</v>
      </c>
      <c r="J1547" s="140"/>
      <c r="K1547" s="38">
        <v>36</v>
      </c>
      <c r="L1547" s="116" t="s">
        <v>653</v>
      </c>
      <c r="M1547" s="15">
        <v>43054</v>
      </c>
      <c r="N1547" s="15">
        <v>43076</v>
      </c>
      <c r="O1547" s="61" t="s">
        <v>3292</v>
      </c>
      <c r="P1547" s="61" t="s">
        <v>939</v>
      </c>
      <c r="Q1547" s="61" t="s">
        <v>100</v>
      </c>
      <c r="R1547" s="239" t="s">
        <v>2439</v>
      </c>
      <c r="S1547" s="328" t="s">
        <v>1176</v>
      </c>
      <c r="T1547" s="858"/>
    </row>
    <row r="1548" spans="1:20" ht="20.100000000000001" customHeight="1">
      <c r="A1548" s="907" t="s">
        <v>2273</v>
      </c>
      <c r="B1548" s="908" t="s">
        <v>3901</v>
      </c>
      <c r="C1548" s="910" t="s">
        <v>3847</v>
      </c>
      <c r="D1548" s="195">
        <f>D420+(1100+150)*1.2</f>
        <v>2200</v>
      </c>
      <c r="E1548" s="195">
        <f>E420+(1150+150)*1.2</f>
        <v>2760</v>
      </c>
      <c r="F1548" s="195">
        <f>F420+(1150+150)*1.2</f>
        <v>2810</v>
      </c>
      <c r="G1548" s="217" t="s">
        <v>5</v>
      </c>
      <c r="H1548" s="56" t="s">
        <v>725</v>
      </c>
      <c r="I1548" s="10" t="s">
        <v>2354</v>
      </c>
      <c r="J1548" s="95"/>
      <c r="K1548" s="38">
        <v>37</v>
      </c>
      <c r="L1548" s="116" t="s">
        <v>653</v>
      </c>
      <c r="M1548" s="15">
        <v>43054</v>
      </c>
      <c r="N1548" s="15">
        <v>43076</v>
      </c>
      <c r="O1548" s="61" t="s">
        <v>3292</v>
      </c>
      <c r="P1548" s="61" t="s">
        <v>939</v>
      </c>
      <c r="Q1548" s="61" t="s">
        <v>100</v>
      </c>
      <c r="R1548" s="21" t="s">
        <v>2439</v>
      </c>
      <c r="S1548" s="328" t="s">
        <v>1176</v>
      </c>
      <c r="T1548" s="858"/>
    </row>
    <row r="1549" spans="1:20" ht="20.100000000000001" customHeight="1">
      <c r="A1549" s="907" t="s">
        <v>2273</v>
      </c>
      <c r="B1549" s="907" t="s">
        <v>3704</v>
      </c>
      <c r="C1549" s="910" t="s">
        <v>4530</v>
      </c>
      <c r="D1549" s="247"/>
      <c r="E1549" s="247"/>
      <c r="F1549" s="247"/>
      <c r="G1549" s="217" t="s">
        <v>5</v>
      </c>
      <c r="H1549" s="56" t="s">
        <v>725</v>
      </c>
      <c r="I1549" s="10" t="s">
        <v>2571</v>
      </c>
      <c r="J1549" s="140"/>
      <c r="K1549" s="38">
        <v>36</v>
      </c>
      <c r="L1549" s="116" t="s">
        <v>653</v>
      </c>
      <c r="M1549" s="15">
        <v>43054</v>
      </c>
      <c r="N1549" s="15">
        <v>43076</v>
      </c>
      <c r="O1549" s="61" t="s">
        <v>3292</v>
      </c>
      <c r="P1549" s="61" t="s">
        <v>939</v>
      </c>
      <c r="Q1549" s="61" t="s">
        <v>100</v>
      </c>
      <c r="R1549" s="239" t="s">
        <v>2439</v>
      </c>
      <c r="S1549" s="328" t="s">
        <v>1176</v>
      </c>
      <c r="T1549" s="858"/>
    </row>
    <row r="1550" spans="1:20" ht="20.100000000000001" customHeight="1">
      <c r="A1550" s="907" t="s">
        <v>2273</v>
      </c>
      <c r="B1550" s="907" t="s">
        <v>3704</v>
      </c>
      <c r="C1550" s="910" t="s">
        <v>4529</v>
      </c>
      <c r="D1550" s="195">
        <f>D409+(385+140)*1.2</f>
        <v>1330</v>
      </c>
      <c r="E1550" s="195">
        <f>E409+(410+140)*1.2</f>
        <v>1860</v>
      </c>
      <c r="F1550" s="195">
        <f>F409+(410+140)*1.2</f>
        <v>1910</v>
      </c>
      <c r="G1550" s="217" t="s">
        <v>5</v>
      </c>
      <c r="H1550" s="56" t="s">
        <v>725</v>
      </c>
      <c r="I1550" s="10" t="s">
        <v>2571</v>
      </c>
      <c r="J1550" s="140"/>
      <c r="K1550" s="38">
        <v>36</v>
      </c>
      <c r="L1550" s="116" t="s">
        <v>653</v>
      </c>
      <c r="M1550" s="15">
        <v>43054</v>
      </c>
      <c r="N1550" s="15">
        <v>43076</v>
      </c>
      <c r="O1550" s="61" t="s">
        <v>3292</v>
      </c>
      <c r="P1550" s="61" t="s">
        <v>939</v>
      </c>
      <c r="Q1550" s="61" t="s">
        <v>100</v>
      </c>
      <c r="R1550" s="239" t="s">
        <v>2439</v>
      </c>
      <c r="S1550" s="328" t="s">
        <v>1176</v>
      </c>
      <c r="T1550" s="858"/>
    </row>
    <row r="1551" spans="1:20" ht="20.100000000000001" customHeight="1">
      <c r="A1551" s="907" t="s">
        <v>2273</v>
      </c>
      <c r="B1551" s="907" t="s">
        <v>3704</v>
      </c>
      <c r="C1551" s="910" t="s">
        <v>4326</v>
      </c>
      <c r="D1551" s="247"/>
      <c r="E1551" s="247"/>
      <c r="F1551" s="247"/>
      <c r="G1551" s="217" t="s">
        <v>5</v>
      </c>
      <c r="H1551" s="56" t="s">
        <v>725</v>
      </c>
      <c r="I1551" s="10" t="s">
        <v>2571</v>
      </c>
      <c r="J1551" s="140"/>
      <c r="K1551" s="38">
        <v>36</v>
      </c>
      <c r="L1551" s="116" t="s">
        <v>653</v>
      </c>
      <c r="M1551" s="15">
        <v>43054</v>
      </c>
      <c r="N1551" s="15">
        <v>43076</v>
      </c>
      <c r="O1551" s="61" t="s">
        <v>3292</v>
      </c>
      <c r="P1551" s="61" t="s">
        <v>939</v>
      </c>
      <c r="Q1551" s="61" t="s">
        <v>100</v>
      </c>
      <c r="R1551" s="239" t="s">
        <v>2439</v>
      </c>
      <c r="S1551" s="328" t="s">
        <v>1176</v>
      </c>
      <c r="T1551" s="858"/>
    </row>
    <row r="1552" spans="1:20" ht="20.100000000000001" customHeight="1">
      <c r="A1552" s="1232" t="s">
        <v>2273</v>
      </c>
      <c r="B1552" s="1232" t="s">
        <v>3908</v>
      </c>
      <c r="C1552" s="1232" t="s">
        <v>3907</v>
      </c>
      <c r="D1552" s="855">
        <f>D537+750</f>
        <v>1525</v>
      </c>
      <c r="E1552" s="855">
        <f>E537+500</f>
        <v>1850</v>
      </c>
      <c r="F1552" s="855">
        <f>F537+500</f>
        <v>1900</v>
      </c>
      <c r="G1552" s="217" t="s">
        <v>51</v>
      </c>
      <c r="H1552" s="22" t="s">
        <v>3422</v>
      </c>
      <c r="I1552" s="10" t="s">
        <v>1520</v>
      </c>
      <c r="J1552" s="140"/>
      <c r="K1552" s="38" t="s">
        <v>1242</v>
      </c>
      <c r="L1552" s="116" t="s">
        <v>653</v>
      </c>
      <c r="M1552" s="15">
        <v>43084</v>
      </c>
      <c r="N1552" s="15">
        <v>43100</v>
      </c>
      <c r="O1552" s="61" t="s">
        <v>4325</v>
      </c>
      <c r="P1552" s="61"/>
      <c r="Q1552" s="61" t="s">
        <v>3909</v>
      </c>
      <c r="R1552" s="239" t="s">
        <v>2822</v>
      </c>
      <c r="S1552" s="327" t="s">
        <v>3297</v>
      </c>
      <c r="T1552" s="858"/>
    </row>
    <row r="1553" spans="1:20" ht="20.100000000000001" customHeight="1">
      <c r="A1553" s="1232" t="s">
        <v>2273</v>
      </c>
      <c r="B1553" s="1232" t="s">
        <v>3908</v>
      </c>
      <c r="C1553" s="1232" t="s">
        <v>3907</v>
      </c>
      <c r="D1553" s="195">
        <f>D420+(450+150)*1.2</f>
        <v>1420</v>
      </c>
      <c r="E1553" s="195">
        <f>E420+(600+150)*1.2</f>
        <v>2100</v>
      </c>
      <c r="F1553" s="195">
        <f>F420+(600+150)*1.2</f>
        <v>2150</v>
      </c>
      <c r="G1553" s="217" t="s">
        <v>5</v>
      </c>
      <c r="H1553" s="56" t="s">
        <v>725</v>
      </c>
      <c r="I1553" s="10" t="s">
        <v>2354</v>
      </c>
      <c r="J1553" s="95"/>
      <c r="K1553" s="38">
        <v>37</v>
      </c>
      <c r="L1553" s="116" t="s">
        <v>653</v>
      </c>
      <c r="M1553" s="15">
        <v>43054</v>
      </c>
      <c r="N1553" s="15">
        <v>43076</v>
      </c>
      <c r="O1553" s="61" t="s">
        <v>3292</v>
      </c>
      <c r="P1553" s="61" t="s">
        <v>939</v>
      </c>
      <c r="Q1553" s="61" t="s">
        <v>100</v>
      </c>
      <c r="R1553" s="21" t="s">
        <v>2439</v>
      </c>
      <c r="S1553" s="328" t="s">
        <v>1176</v>
      </c>
      <c r="T1553" s="858"/>
    </row>
    <row r="1554" spans="1:20" ht="20.100000000000001" customHeight="1">
      <c r="A1554" s="307"/>
      <c r="B1554" s="307"/>
      <c r="C1554" s="307"/>
      <c r="N1554" s="311"/>
    </row>
    <row r="1555" spans="1:20" ht="20.100000000000001" customHeight="1">
      <c r="A1555" s="307"/>
      <c r="B1555" s="307"/>
      <c r="C1555" s="307"/>
    </row>
    <row r="1556" spans="1:20" ht="20.100000000000001" customHeight="1">
      <c r="A1556" s="307"/>
      <c r="B1556" s="307"/>
      <c r="C1556" s="307"/>
    </row>
    <row r="1557" spans="1:20" ht="20.100000000000001" customHeight="1">
      <c r="A1557" s="307"/>
      <c r="B1557" s="307"/>
      <c r="C1557" s="307"/>
    </row>
    <row r="1558" spans="1:20" ht="20.100000000000001" customHeight="1">
      <c r="A1558" s="307"/>
      <c r="B1558" s="307"/>
      <c r="C1558" s="307"/>
    </row>
    <row r="1559" spans="1:20" ht="20.100000000000001" customHeight="1">
      <c r="A1559" s="307"/>
      <c r="B1559" s="307"/>
      <c r="C1559" s="307"/>
    </row>
    <row r="1560" spans="1:20" ht="20.100000000000001" customHeight="1">
      <c r="A1560" s="307"/>
      <c r="B1560" s="307"/>
      <c r="C1560" s="307"/>
    </row>
    <row r="1561" spans="1:20" ht="20.100000000000001" customHeight="1">
      <c r="A1561" s="307"/>
      <c r="B1561" s="307"/>
      <c r="C1561" s="307"/>
    </row>
    <row r="1562" spans="1:20" ht="20.100000000000001" customHeight="1">
      <c r="A1562" s="307"/>
      <c r="B1562" s="307"/>
      <c r="C1562" s="307"/>
    </row>
    <row r="1563" spans="1:20" ht="20.100000000000001" customHeight="1">
      <c r="A1563" s="307"/>
      <c r="B1563" s="307"/>
      <c r="C1563" s="307"/>
    </row>
    <row r="1564" spans="1:20" ht="20.100000000000001" customHeight="1">
      <c r="A1564" s="307"/>
      <c r="B1564" s="307"/>
      <c r="C1564" s="307"/>
    </row>
    <row r="1565" spans="1:20" ht="20.100000000000001" customHeight="1">
      <c r="A1565"/>
      <c r="B1565"/>
      <c r="C1565"/>
      <c r="D1565"/>
      <c r="E1565"/>
      <c r="F1565"/>
      <c r="G1565" s="720"/>
      <c r="H1565"/>
      <c r="I1565"/>
      <c r="J1565"/>
      <c r="K1565"/>
      <c r="L1565"/>
      <c r="M1565"/>
      <c r="N1565"/>
      <c r="O1565"/>
      <c r="P1565"/>
      <c r="Q1565"/>
      <c r="R1565"/>
      <c r="S1565" s="721"/>
    </row>
    <row r="1566" spans="1:20" ht="20.100000000000001" customHeight="1">
      <c r="A1566"/>
      <c r="B1566"/>
      <c r="C1566"/>
      <c r="D1566"/>
      <c r="E1566"/>
      <c r="F1566"/>
      <c r="G1566" s="720"/>
      <c r="H1566"/>
      <c r="I1566"/>
      <c r="J1566"/>
      <c r="K1566"/>
      <c r="L1566"/>
      <c r="M1566"/>
      <c r="N1566"/>
      <c r="O1566"/>
      <c r="P1566"/>
      <c r="Q1566"/>
      <c r="R1566"/>
      <c r="S1566" s="721"/>
    </row>
    <row r="1567" spans="1:20" ht="20.100000000000001" customHeight="1">
      <c r="A1567"/>
      <c r="B1567"/>
      <c r="C1567"/>
      <c r="D1567"/>
      <c r="E1567"/>
      <c r="F1567"/>
      <c r="G1567" s="720"/>
      <c r="H1567"/>
      <c r="I1567"/>
      <c r="J1567"/>
      <c r="K1567"/>
      <c r="L1567"/>
      <c r="M1567"/>
      <c r="N1567"/>
      <c r="O1567"/>
      <c r="P1567"/>
      <c r="Q1567"/>
      <c r="R1567"/>
      <c r="S1567" s="721"/>
    </row>
    <row r="1568" spans="1:20" ht="20.100000000000001" customHeight="1">
      <c r="A1568"/>
      <c r="B1568"/>
      <c r="C1568"/>
      <c r="D1568"/>
      <c r="E1568"/>
      <c r="F1568"/>
      <c r="G1568" s="720"/>
      <c r="H1568"/>
      <c r="I1568"/>
      <c r="J1568"/>
      <c r="K1568"/>
      <c r="L1568"/>
      <c r="M1568"/>
      <c r="N1568"/>
      <c r="O1568"/>
      <c r="P1568"/>
      <c r="Q1568"/>
      <c r="R1568"/>
      <c r="S1568" s="721"/>
    </row>
    <row r="1569" spans="1:19" ht="20.100000000000001" customHeight="1">
      <c r="A1569"/>
      <c r="B1569"/>
      <c r="C1569"/>
      <c r="D1569"/>
      <c r="E1569"/>
      <c r="F1569"/>
      <c r="G1569" s="720"/>
      <c r="H1569"/>
      <c r="I1569"/>
      <c r="J1569"/>
      <c r="K1569"/>
      <c r="L1569"/>
      <c r="M1569"/>
      <c r="N1569"/>
      <c r="O1569"/>
      <c r="P1569"/>
      <c r="Q1569"/>
      <c r="R1569"/>
      <c r="S1569" s="721"/>
    </row>
    <row r="1570" spans="1:19" ht="20.100000000000001" customHeight="1">
      <c r="A1570"/>
      <c r="B1570"/>
      <c r="C1570"/>
      <c r="D1570"/>
      <c r="E1570"/>
      <c r="F1570"/>
      <c r="G1570" s="720"/>
      <c r="H1570"/>
      <c r="I1570"/>
      <c r="J1570"/>
      <c r="K1570"/>
      <c r="L1570"/>
      <c r="M1570"/>
      <c r="N1570"/>
      <c r="O1570"/>
      <c r="P1570"/>
      <c r="Q1570"/>
      <c r="R1570"/>
      <c r="S1570" s="721"/>
    </row>
    <row r="1571" spans="1:19" ht="20.100000000000001" customHeight="1">
      <c r="A1571"/>
      <c r="B1571"/>
      <c r="C1571"/>
      <c r="D1571"/>
      <c r="E1571"/>
      <c r="F1571"/>
      <c r="G1571" s="720"/>
      <c r="H1571"/>
      <c r="I1571"/>
      <c r="J1571"/>
      <c r="K1571"/>
      <c r="L1571"/>
      <c r="M1571"/>
      <c r="N1571"/>
      <c r="O1571"/>
      <c r="P1571"/>
      <c r="Q1571"/>
      <c r="R1571"/>
      <c r="S1571" s="721"/>
    </row>
    <row r="1572" spans="1:19" ht="20.100000000000001" customHeight="1">
      <c r="A1572"/>
      <c r="B1572"/>
      <c r="C1572"/>
      <c r="D1572"/>
      <c r="E1572"/>
      <c r="F1572"/>
      <c r="G1572" s="720"/>
      <c r="H1572"/>
      <c r="I1572"/>
      <c r="J1572"/>
      <c r="K1572"/>
      <c r="L1572"/>
      <c r="M1572"/>
      <c r="N1572"/>
      <c r="O1572"/>
      <c r="P1572"/>
      <c r="Q1572"/>
      <c r="R1572"/>
      <c r="S1572" s="721"/>
    </row>
    <row r="1573" spans="1:19" ht="20.100000000000001" customHeight="1">
      <c r="A1573"/>
      <c r="B1573"/>
      <c r="C1573"/>
      <c r="D1573"/>
      <c r="E1573"/>
      <c r="F1573"/>
      <c r="G1573" s="720"/>
      <c r="H1573"/>
      <c r="I1573"/>
      <c r="J1573"/>
      <c r="K1573"/>
      <c r="L1573"/>
      <c r="M1573"/>
      <c r="N1573"/>
      <c r="O1573"/>
      <c r="P1573"/>
      <c r="Q1573"/>
      <c r="R1573"/>
      <c r="S1573" s="721"/>
    </row>
    <row r="1574" spans="1:19" ht="20.100000000000001" customHeight="1">
      <c r="A1574"/>
      <c r="B1574"/>
      <c r="C1574"/>
      <c r="D1574"/>
      <c r="E1574"/>
      <c r="F1574"/>
      <c r="G1574" s="720"/>
      <c r="H1574"/>
      <c r="I1574"/>
      <c r="J1574"/>
      <c r="K1574"/>
      <c r="L1574"/>
      <c r="M1574"/>
      <c r="N1574"/>
      <c r="O1574"/>
      <c r="P1574"/>
      <c r="Q1574"/>
      <c r="R1574"/>
      <c r="S1574" s="721"/>
    </row>
    <row r="1575" spans="1:19" ht="20.100000000000001" customHeight="1">
      <c r="A1575"/>
      <c r="B1575"/>
      <c r="C1575"/>
      <c r="D1575"/>
      <c r="E1575"/>
      <c r="F1575"/>
      <c r="G1575" s="720"/>
      <c r="H1575"/>
      <c r="I1575"/>
      <c r="J1575"/>
      <c r="K1575"/>
      <c r="L1575"/>
      <c r="M1575"/>
      <c r="N1575"/>
      <c r="O1575"/>
      <c r="P1575"/>
      <c r="Q1575"/>
      <c r="R1575"/>
      <c r="S1575" s="721"/>
    </row>
    <row r="1576" spans="1:19" ht="20.100000000000001" customHeight="1">
      <c r="A1576"/>
      <c r="B1576"/>
      <c r="C1576"/>
      <c r="D1576"/>
      <c r="E1576"/>
      <c r="F1576"/>
      <c r="G1576" s="720"/>
      <c r="H1576"/>
      <c r="I1576"/>
      <c r="J1576"/>
      <c r="K1576"/>
      <c r="L1576"/>
      <c r="M1576"/>
      <c r="N1576"/>
      <c r="O1576"/>
      <c r="P1576"/>
      <c r="Q1576"/>
      <c r="R1576"/>
      <c r="S1576" s="721"/>
    </row>
    <row r="1577" spans="1:19" ht="20.100000000000001" customHeight="1">
      <c r="A1577"/>
      <c r="B1577"/>
      <c r="C1577"/>
      <c r="D1577"/>
      <c r="E1577"/>
      <c r="F1577"/>
      <c r="G1577" s="720"/>
      <c r="H1577"/>
      <c r="I1577"/>
      <c r="J1577"/>
      <c r="K1577"/>
      <c r="L1577"/>
      <c r="M1577"/>
      <c r="N1577"/>
      <c r="O1577"/>
      <c r="P1577"/>
      <c r="Q1577"/>
      <c r="R1577"/>
      <c r="S1577" s="721"/>
    </row>
    <row r="1578" spans="1:19" ht="20.100000000000001" customHeight="1">
      <c r="A1578"/>
      <c r="B1578"/>
      <c r="C1578"/>
      <c r="D1578"/>
      <c r="E1578"/>
      <c r="F1578"/>
      <c r="G1578" s="720"/>
      <c r="H1578"/>
      <c r="I1578"/>
      <c r="J1578"/>
      <c r="K1578"/>
      <c r="L1578"/>
      <c r="M1578"/>
      <c r="N1578"/>
      <c r="O1578"/>
      <c r="P1578"/>
      <c r="Q1578"/>
      <c r="R1578"/>
      <c r="S1578" s="721"/>
    </row>
    <row r="1579" spans="1:19" ht="20.100000000000001" customHeight="1">
      <c r="A1579"/>
      <c r="B1579"/>
      <c r="C1579"/>
      <c r="D1579"/>
      <c r="E1579"/>
      <c r="F1579"/>
      <c r="G1579" s="720"/>
      <c r="H1579"/>
      <c r="I1579"/>
      <c r="J1579"/>
      <c r="K1579"/>
      <c r="L1579"/>
      <c r="M1579"/>
      <c r="N1579"/>
      <c r="O1579"/>
      <c r="P1579"/>
      <c r="Q1579"/>
      <c r="R1579"/>
      <c r="S1579" s="721"/>
    </row>
    <row r="1580" spans="1:19" ht="20.100000000000001" customHeight="1">
      <c r="A1580"/>
      <c r="B1580"/>
      <c r="C1580"/>
      <c r="D1580"/>
      <c r="E1580"/>
      <c r="F1580"/>
      <c r="G1580" s="720"/>
      <c r="H1580"/>
      <c r="I1580"/>
      <c r="J1580"/>
      <c r="K1580"/>
      <c r="L1580"/>
      <c r="M1580"/>
      <c r="N1580"/>
      <c r="O1580"/>
      <c r="P1580"/>
      <c r="Q1580"/>
      <c r="R1580"/>
      <c r="S1580" s="721"/>
    </row>
    <row r="1581" spans="1:19" ht="20.100000000000001" customHeight="1">
      <c r="A1581"/>
      <c r="B1581"/>
      <c r="C1581"/>
      <c r="D1581"/>
      <c r="E1581"/>
      <c r="F1581"/>
      <c r="G1581" s="720"/>
      <c r="H1581"/>
      <c r="I1581"/>
      <c r="J1581"/>
      <c r="K1581"/>
      <c r="L1581"/>
      <c r="M1581"/>
      <c r="N1581"/>
      <c r="O1581"/>
      <c r="P1581"/>
      <c r="Q1581"/>
      <c r="R1581"/>
      <c r="S1581" s="721"/>
    </row>
    <row r="1582" spans="1:19" ht="20.100000000000001" customHeight="1">
      <c r="A1582"/>
      <c r="B1582"/>
      <c r="C1582"/>
      <c r="D1582"/>
      <c r="E1582"/>
      <c r="F1582"/>
      <c r="G1582" s="720"/>
      <c r="H1582"/>
      <c r="I1582"/>
      <c r="J1582"/>
      <c r="K1582"/>
      <c r="L1582"/>
      <c r="M1582"/>
      <c r="N1582"/>
      <c r="O1582"/>
      <c r="P1582"/>
      <c r="Q1582"/>
      <c r="R1582"/>
      <c r="S1582" s="721"/>
    </row>
    <row r="1583" spans="1:19" ht="20.100000000000001" customHeight="1">
      <c r="A1583"/>
      <c r="B1583"/>
      <c r="C1583"/>
      <c r="D1583"/>
      <c r="E1583"/>
      <c r="F1583"/>
      <c r="G1583" s="720"/>
      <c r="H1583"/>
      <c r="I1583"/>
      <c r="J1583"/>
      <c r="K1583"/>
      <c r="L1583"/>
      <c r="M1583"/>
      <c r="N1583"/>
      <c r="O1583"/>
      <c r="P1583"/>
      <c r="Q1583"/>
      <c r="R1583"/>
      <c r="S1583" s="721"/>
    </row>
    <row r="1584" spans="1:19" ht="20.100000000000001" customHeight="1">
      <c r="A1584"/>
      <c r="B1584"/>
      <c r="C1584"/>
      <c r="D1584"/>
      <c r="E1584"/>
      <c r="F1584"/>
      <c r="G1584" s="720"/>
      <c r="H1584"/>
      <c r="I1584"/>
      <c r="J1584"/>
      <c r="K1584"/>
      <c r="L1584"/>
      <c r="M1584"/>
      <c r="N1584"/>
      <c r="O1584"/>
      <c r="P1584"/>
      <c r="Q1584"/>
      <c r="R1584"/>
      <c r="S1584" s="721"/>
    </row>
    <row r="1585" spans="1:19" ht="20.100000000000001" customHeight="1">
      <c r="A1585"/>
      <c r="B1585"/>
      <c r="C1585"/>
      <c r="D1585"/>
      <c r="E1585"/>
      <c r="F1585"/>
      <c r="G1585" s="720"/>
      <c r="H1585"/>
      <c r="I1585"/>
      <c r="J1585"/>
      <c r="K1585"/>
      <c r="L1585"/>
      <c r="M1585"/>
      <c r="N1585"/>
      <c r="O1585"/>
      <c r="P1585"/>
      <c r="Q1585"/>
      <c r="R1585"/>
      <c r="S1585" s="721"/>
    </row>
    <row r="1586" spans="1:19" ht="20.100000000000001" customHeight="1">
      <c r="A1586"/>
      <c r="B1586"/>
      <c r="C1586"/>
      <c r="D1586"/>
      <c r="E1586"/>
      <c r="F1586"/>
      <c r="G1586" s="720"/>
      <c r="H1586"/>
      <c r="I1586"/>
      <c r="J1586"/>
      <c r="K1586"/>
      <c r="L1586"/>
      <c r="M1586"/>
      <c r="N1586"/>
      <c r="O1586"/>
      <c r="P1586"/>
      <c r="Q1586"/>
      <c r="R1586"/>
      <c r="S1586" s="721"/>
    </row>
    <row r="1587" spans="1:19" ht="20.100000000000001" customHeight="1">
      <c r="A1587"/>
      <c r="B1587"/>
      <c r="C1587"/>
      <c r="D1587"/>
      <c r="E1587"/>
      <c r="F1587"/>
      <c r="G1587" s="720"/>
      <c r="H1587"/>
      <c r="I1587"/>
      <c r="J1587"/>
      <c r="K1587"/>
      <c r="L1587"/>
      <c r="M1587"/>
      <c r="N1587"/>
      <c r="O1587"/>
      <c r="P1587"/>
      <c r="Q1587"/>
      <c r="R1587"/>
      <c r="S1587" s="721"/>
    </row>
    <row r="1588" spans="1:19" ht="20.100000000000001" customHeight="1">
      <c r="A1588"/>
      <c r="B1588"/>
      <c r="C1588"/>
      <c r="D1588"/>
      <c r="E1588"/>
      <c r="F1588"/>
      <c r="G1588" s="720"/>
      <c r="H1588"/>
      <c r="I1588"/>
      <c r="J1588"/>
      <c r="K1588"/>
      <c r="L1588"/>
      <c r="M1588"/>
      <c r="N1588"/>
      <c r="O1588"/>
      <c r="P1588"/>
      <c r="Q1588"/>
      <c r="R1588"/>
      <c r="S1588" s="721"/>
    </row>
    <row r="1589" spans="1:19" ht="20.100000000000001" customHeight="1">
      <c r="A1589"/>
      <c r="B1589"/>
      <c r="C1589"/>
      <c r="D1589"/>
      <c r="E1589"/>
      <c r="F1589"/>
      <c r="G1589" s="720"/>
      <c r="H1589"/>
      <c r="I1589"/>
      <c r="J1589"/>
      <c r="K1589"/>
      <c r="L1589"/>
      <c r="M1589"/>
      <c r="N1589"/>
      <c r="O1589"/>
      <c r="P1589"/>
      <c r="Q1589"/>
      <c r="R1589"/>
      <c r="S1589" s="721"/>
    </row>
    <row r="1590" spans="1:19" ht="20.100000000000001" customHeight="1">
      <c r="A1590"/>
      <c r="B1590"/>
      <c r="C1590"/>
      <c r="D1590"/>
      <c r="E1590"/>
      <c r="F1590"/>
      <c r="G1590" s="720"/>
      <c r="H1590"/>
      <c r="I1590"/>
      <c r="J1590"/>
      <c r="K1590"/>
      <c r="L1590"/>
      <c r="M1590"/>
      <c r="N1590"/>
      <c r="O1590"/>
      <c r="P1590"/>
      <c r="Q1590"/>
      <c r="R1590"/>
      <c r="S1590" s="721"/>
    </row>
    <row r="1591" spans="1:19" ht="20.100000000000001" customHeight="1">
      <c r="A1591"/>
      <c r="B1591"/>
      <c r="C1591"/>
      <c r="D1591"/>
      <c r="E1591"/>
      <c r="F1591"/>
      <c r="G1591" s="720"/>
      <c r="H1591"/>
      <c r="I1591"/>
      <c r="J1591"/>
      <c r="K1591"/>
      <c r="L1591"/>
      <c r="M1591"/>
      <c r="N1591"/>
      <c r="O1591"/>
      <c r="P1591"/>
      <c r="Q1591"/>
      <c r="R1591"/>
      <c r="S1591" s="721"/>
    </row>
    <row r="1592" spans="1:19" ht="20.100000000000001" customHeight="1">
      <c r="A1592"/>
      <c r="B1592"/>
      <c r="C1592"/>
      <c r="D1592"/>
      <c r="E1592"/>
      <c r="F1592"/>
      <c r="G1592" s="720"/>
      <c r="H1592"/>
      <c r="I1592"/>
      <c r="J1592"/>
      <c r="K1592"/>
      <c r="L1592"/>
      <c r="M1592"/>
      <c r="N1592"/>
      <c r="O1592"/>
      <c r="P1592"/>
      <c r="Q1592"/>
      <c r="R1592"/>
      <c r="S1592" s="721"/>
    </row>
    <row r="1593" spans="1:19" ht="20.100000000000001" customHeight="1">
      <c r="A1593"/>
      <c r="B1593"/>
      <c r="C1593"/>
      <c r="D1593"/>
      <c r="E1593"/>
      <c r="F1593"/>
      <c r="G1593" s="720"/>
      <c r="H1593"/>
      <c r="I1593"/>
      <c r="J1593"/>
      <c r="K1593"/>
      <c r="L1593"/>
      <c r="M1593"/>
      <c r="N1593"/>
      <c r="O1593"/>
      <c r="P1593"/>
      <c r="Q1593"/>
      <c r="R1593"/>
      <c r="S1593" s="721"/>
    </row>
    <row r="1594" spans="1:19" ht="20.100000000000001" customHeight="1">
      <c r="A1594"/>
      <c r="B1594"/>
      <c r="C1594"/>
      <c r="D1594"/>
      <c r="E1594"/>
      <c r="F1594"/>
      <c r="G1594" s="720"/>
      <c r="H1594"/>
      <c r="I1594"/>
      <c r="J1594"/>
      <c r="K1594"/>
      <c r="L1594"/>
      <c r="M1594"/>
      <c r="N1594"/>
      <c r="O1594"/>
      <c r="P1594"/>
      <c r="Q1594"/>
      <c r="R1594"/>
      <c r="S1594" s="721"/>
    </row>
    <row r="1595" spans="1:19" ht="20.100000000000001" customHeight="1">
      <c r="A1595"/>
      <c r="B1595"/>
      <c r="C1595"/>
      <c r="D1595"/>
      <c r="E1595"/>
      <c r="F1595"/>
      <c r="G1595" s="720"/>
      <c r="H1595"/>
      <c r="I1595"/>
      <c r="J1595"/>
      <c r="K1595"/>
      <c r="L1595"/>
      <c r="M1595"/>
      <c r="N1595"/>
      <c r="O1595"/>
      <c r="P1595"/>
      <c r="Q1595"/>
      <c r="R1595"/>
      <c r="S1595" s="721"/>
    </row>
    <row r="1596" spans="1:19" ht="20.100000000000001" customHeight="1">
      <c r="A1596"/>
      <c r="B1596"/>
      <c r="C1596"/>
      <c r="D1596"/>
      <c r="E1596"/>
      <c r="F1596"/>
      <c r="G1596" s="720"/>
      <c r="H1596"/>
      <c r="I1596"/>
      <c r="J1596"/>
      <c r="K1596"/>
      <c r="L1596"/>
      <c r="M1596"/>
      <c r="N1596"/>
      <c r="O1596"/>
      <c r="P1596"/>
      <c r="Q1596"/>
      <c r="R1596"/>
      <c r="S1596" s="721"/>
    </row>
    <row r="1597" spans="1:19" ht="20.100000000000001" customHeight="1">
      <c r="A1597"/>
      <c r="B1597"/>
      <c r="C1597"/>
      <c r="D1597"/>
      <c r="E1597"/>
      <c r="F1597"/>
      <c r="G1597" s="720"/>
      <c r="H1597"/>
      <c r="I1597"/>
      <c r="J1597"/>
      <c r="K1597"/>
      <c r="L1597"/>
      <c r="M1597"/>
      <c r="N1597"/>
      <c r="O1597"/>
      <c r="P1597"/>
      <c r="Q1597"/>
      <c r="R1597"/>
      <c r="S1597" s="721"/>
    </row>
    <row r="1598" spans="1:19" ht="20.100000000000001" customHeight="1">
      <c r="A1598"/>
      <c r="B1598"/>
      <c r="C1598"/>
      <c r="D1598"/>
      <c r="E1598"/>
      <c r="F1598"/>
      <c r="G1598" s="720"/>
      <c r="H1598"/>
      <c r="I1598"/>
      <c r="J1598"/>
      <c r="K1598"/>
      <c r="L1598"/>
      <c r="M1598"/>
      <c r="N1598"/>
      <c r="O1598"/>
      <c r="P1598"/>
      <c r="Q1598"/>
      <c r="R1598"/>
      <c r="S1598" s="721"/>
    </row>
    <row r="1599" spans="1:19" ht="20.100000000000001" customHeight="1">
      <c r="A1599"/>
      <c r="B1599"/>
      <c r="C1599"/>
      <c r="D1599"/>
      <c r="E1599"/>
      <c r="F1599"/>
      <c r="G1599" s="720"/>
      <c r="H1599"/>
      <c r="I1599"/>
      <c r="J1599"/>
      <c r="K1599"/>
      <c r="L1599"/>
      <c r="M1599"/>
      <c r="N1599"/>
      <c r="O1599"/>
      <c r="P1599"/>
      <c r="Q1599"/>
      <c r="R1599"/>
      <c r="S1599" s="721"/>
    </row>
    <row r="1600" spans="1:19" ht="20.100000000000001" customHeight="1">
      <c r="A1600"/>
      <c r="B1600"/>
      <c r="C1600"/>
      <c r="D1600"/>
      <c r="E1600"/>
      <c r="F1600"/>
      <c r="G1600" s="720"/>
      <c r="H1600"/>
      <c r="I1600"/>
      <c r="J1600"/>
      <c r="K1600"/>
      <c r="L1600"/>
      <c r="M1600"/>
      <c r="N1600"/>
      <c r="O1600"/>
      <c r="P1600"/>
      <c r="Q1600"/>
      <c r="R1600"/>
      <c r="S1600" s="721"/>
    </row>
    <row r="1601" spans="1:19" ht="20.100000000000001" customHeight="1">
      <c r="A1601"/>
      <c r="B1601"/>
      <c r="C1601"/>
      <c r="D1601"/>
      <c r="E1601"/>
      <c r="F1601"/>
      <c r="G1601" s="720"/>
      <c r="H1601"/>
      <c r="I1601"/>
      <c r="J1601"/>
      <c r="K1601"/>
      <c r="L1601"/>
      <c r="M1601"/>
      <c r="N1601"/>
      <c r="O1601"/>
      <c r="P1601"/>
      <c r="Q1601"/>
      <c r="R1601"/>
      <c r="S1601" s="721"/>
    </row>
    <row r="1602" spans="1:19" ht="20.100000000000001" customHeight="1">
      <c r="A1602"/>
      <c r="B1602"/>
      <c r="C1602"/>
      <c r="D1602"/>
      <c r="E1602"/>
      <c r="F1602"/>
      <c r="G1602" s="720"/>
      <c r="H1602"/>
      <c r="I1602"/>
      <c r="J1602"/>
      <c r="K1602"/>
      <c r="L1602"/>
      <c r="M1602"/>
      <c r="N1602"/>
      <c r="O1602"/>
      <c r="P1602"/>
      <c r="Q1602"/>
      <c r="R1602"/>
      <c r="S1602" s="721"/>
    </row>
    <row r="1603" spans="1:19" ht="20.100000000000001" customHeight="1">
      <c r="A1603"/>
      <c r="B1603"/>
      <c r="C1603"/>
      <c r="D1603"/>
      <c r="E1603"/>
      <c r="F1603"/>
      <c r="G1603" s="720"/>
      <c r="H1603"/>
      <c r="I1603"/>
      <c r="J1603"/>
      <c r="K1603"/>
      <c r="L1603"/>
      <c r="M1603"/>
      <c r="N1603"/>
      <c r="O1603"/>
      <c r="P1603"/>
      <c r="Q1603"/>
      <c r="R1603"/>
      <c r="S1603" s="721"/>
    </row>
    <row r="1604" spans="1:19" ht="20.100000000000001" customHeight="1">
      <c r="A1604"/>
      <c r="B1604"/>
      <c r="C1604"/>
      <c r="D1604"/>
      <c r="E1604"/>
      <c r="F1604"/>
      <c r="G1604" s="720"/>
      <c r="H1604"/>
      <c r="I1604"/>
      <c r="J1604"/>
      <c r="K1604"/>
      <c r="L1604"/>
      <c r="M1604"/>
      <c r="N1604"/>
      <c r="O1604"/>
      <c r="P1604"/>
      <c r="Q1604"/>
      <c r="R1604"/>
      <c r="S1604" s="721"/>
    </row>
    <row r="1605" spans="1:19" ht="20.100000000000001" customHeight="1">
      <c r="A1605"/>
      <c r="B1605"/>
      <c r="C1605"/>
      <c r="D1605"/>
      <c r="E1605"/>
      <c r="F1605"/>
      <c r="G1605" s="720"/>
      <c r="H1605"/>
      <c r="I1605"/>
      <c r="J1605"/>
      <c r="K1605"/>
      <c r="L1605"/>
      <c r="M1605"/>
      <c r="N1605"/>
      <c r="O1605"/>
      <c r="P1605"/>
      <c r="Q1605"/>
      <c r="R1605"/>
      <c r="S1605" s="721"/>
    </row>
    <row r="1606" spans="1:19" ht="20.100000000000001" customHeight="1">
      <c r="A1606"/>
      <c r="B1606"/>
      <c r="C1606"/>
      <c r="D1606"/>
      <c r="E1606"/>
      <c r="F1606"/>
      <c r="G1606" s="720"/>
      <c r="H1606"/>
      <c r="I1606"/>
      <c r="J1606"/>
      <c r="K1606"/>
      <c r="L1606"/>
      <c r="M1606"/>
      <c r="N1606"/>
      <c r="O1606"/>
      <c r="P1606"/>
      <c r="Q1606"/>
      <c r="R1606"/>
      <c r="S1606" s="721"/>
    </row>
    <row r="1607" spans="1:19" ht="20.100000000000001" customHeight="1">
      <c r="A1607"/>
      <c r="B1607"/>
      <c r="C1607"/>
      <c r="D1607"/>
      <c r="E1607"/>
      <c r="F1607"/>
      <c r="G1607" s="720"/>
      <c r="H1607"/>
      <c r="I1607"/>
      <c r="J1607"/>
      <c r="K1607"/>
      <c r="L1607"/>
      <c r="M1607"/>
      <c r="N1607"/>
      <c r="O1607"/>
      <c r="P1607"/>
      <c r="Q1607"/>
      <c r="R1607"/>
      <c r="S1607" s="721"/>
    </row>
    <row r="1608" spans="1:19" ht="20.100000000000001" customHeight="1">
      <c r="A1608"/>
      <c r="B1608"/>
      <c r="C1608"/>
      <c r="D1608"/>
      <c r="E1608"/>
      <c r="F1608"/>
      <c r="G1608" s="720"/>
      <c r="H1608"/>
      <c r="I1608"/>
      <c r="J1608"/>
      <c r="K1608"/>
      <c r="L1608"/>
      <c r="M1608"/>
      <c r="N1608"/>
      <c r="O1608"/>
      <c r="P1608"/>
      <c r="Q1608"/>
      <c r="R1608"/>
      <c r="S1608" s="721"/>
    </row>
    <row r="1609" spans="1:19" ht="20.100000000000001" customHeight="1">
      <c r="A1609"/>
      <c r="B1609"/>
      <c r="C1609"/>
      <c r="D1609"/>
      <c r="E1609"/>
      <c r="F1609"/>
      <c r="G1609" s="720"/>
      <c r="H1609"/>
      <c r="I1609"/>
      <c r="J1609"/>
      <c r="K1609"/>
      <c r="L1609"/>
      <c r="M1609"/>
      <c r="N1609"/>
      <c r="O1609"/>
      <c r="P1609"/>
      <c r="Q1609"/>
      <c r="R1609"/>
      <c r="S1609" s="721"/>
    </row>
    <row r="1610" spans="1:19" ht="20.100000000000001" customHeight="1">
      <c r="A1610"/>
      <c r="B1610"/>
      <c r="C1610"/>
      <c r="D1610"/>
      <c r="E1610"/>
      <c r="F1610"/>
      <c r="G1610" s="720"/>
      <c r="H1610"/>
      <c r="I1610"/>
      <c r="J1610"/>
      <c r="K1610"/>
      <c r="L1610"/>
      <c r="M1610"/>
      <c r="N1610"/>
      <c r="O1610"/>
      <c r="P1610"/>
      <c r="Q1610"/>
      <c r="R1610"/>
      <c r="S1610" s="721"/>
    </row>
    <row r="1611" spans="1:19" ht="20.100000000000001" customHeight="1">
      <c r="A1611"/>
      <c r="B1611"/>
      <c r="C1611"/>
      <c r="D1611"/>
      <c r="E1611"/>
      <c r="F1611"/>
      <c r="G1611" s="720"/>
      <c r="H1611"/>
      <c r="I1611"/>
      <c r="J1611"/>
      <c r="K1611"/>
      <c r="L1611"/>
      <c r="M1611"/>
      <c r="N1611"/>
      <c r="O1611"/>
      <c r="P1611"/>
      <c r="Q1611"/>
      <c r="R1611"/>
      <c r="S1611" s="721"/>
    </row>
    <row r="1612" spans="1:19" ht="20.100000000000001" customHeight="1">
      <c r="A1612"/>
      <c r="B1612"/>
      <c r="C1612"/>
      <c r="D1612"/>
      <c r="E1612"/>
      <c r="F1612"/>
      <c r="G1612" s="720"/>
      <c r="H1612"/>
      <c r="I1612"/>
      <c r="J1612"/>
      <c r="K1612"/>
      <c r="L1612"/>
      <c r="M1612"/>
      <c r="N1612"/>
      <c r="O1612"/>
      <c r="P1612"/>
      <c r="Q1612"/>
      <c r="R1612"/>
      <c r="S1612" s="721"/>
    </row>
    <row r="1613" spans="1:19" ht="20.100000000000001" customHeight="1">
      <c r="A1613"/>
      <c r="B1613"/>
      <c r="C1613"/>
      <c r="D1613"/>
      <c r="E1613"/>
      <c r="F1613"/>
      <c r="G1613" s="720"/>
      <c r="H1613"/>
      <c r="I1613"/>
      <c r="J1613"/>
      <c r="K1613"/>
      <c r="L1613"/>
      <c r="M1613"/>
      <c r="N1613"/>
      <c r="O1613"/>
      <c r="P1613"/>
      <c r="Q1613"/>
      <c r="R1613"/>
      <c r="S1613" s="721"/>
    </row>
    <row r="1614" spans="1:19" ht="20.100000000000001" customHeight="1">
      <c r="A1614"/>
      <c r="B1614"/>
      <c r="C1614"/>
      <c r="D1614"/>
      <c r="E1614"/>
      <c r="F1614"/>
      <c r="G1614" s="720"/>
      <c r="H1614"/>
      <c r="I1614"/>
      <c r="J1614"/>
      <c r="K1614"/>
      <c r="L1614"/>
      <c r="M1614"/>
      <c r="N1614"/>
      <c r="O1614"/>
      <c r="P1614"/>
      <c r="Q1614"/>
      <c r="R1614"/>
      <c r="S1614" s="721"/>
    </row>
    <row r="1615" spans="1:19" ht="20.100000000000001" customHeight="1">
      <c r="A1615"/>
      <c r="B1615"/>
      <c r="C1615"/>
      <c r="D1615"/>
      <c r="E1615"/>
      <c r="F1615"/>
      <c r="G1615" s="720"/>
      <c r="H1615"/>
      <c r="I1615"/>
      <c r="J1615"/>
      <c r="K1615"/>
      <c r="L1615"/>
      <c r="M1615"/>
      <c r="N1615"/>
      <c r="O1615"/>
      <c r="P1615"/>
      <c r="Q1615"/>
      <c r="R1615"/>
      <c r="S1615" s="721"/>
    </row>
    <row r="1616" spans="1:19" ht="20.100000000000001" customHeight="1">
      <c r="A1616"/>
      <c r="B1616"/>
      <c r="C1616"/>
      <c r="D1616"/>
      <c r="E1616"/>
      <c r="F1616"/>
      <c r="G1616" s="720"/>
      <c r="H1616"/>
      <c r="I1616"/>
      <c r="J1616"/>
      <c r="K1616"/>
      <c r="L1616"/>
      <c r="M1616"/>
      <c r="N1616"/>
      <c r="O1616"/>
      <c r="P1616"/>
      <c r="Q1616"/>
      <c r="R1616"/>
      <c r="S1616" s="721"/>
    </row>
    <row r="1617" spans="1:19" ht="20.100000000000001" customHeight="1">
      <c r="A1617"/>
      <c r="B1617"/>
      <c r="C1617"/>
      <c r="D1617"/>
      <c r="E1617"/>
      <c r="F1617"/>
      <c r="G1617" s="720"/>
      <c r="H1617"/>
      <c r="I1617"/>
      <c r="J1617"/>
      <c r="K1617"/>
      <c r="L1617"/>
      <c r="M1617"/>
      <c r="N1617"/>
      <c r="O1617"/>
      <c r="P1617"/>
      <c r="Q1617"/>
      <c r="R1617"/>
      <c r="S1617" s="721"/>
    </row>
    <row r="1618" spans="1:19" ht="20.100000000000001" customHeight="1">
      <c r="A1618" s="307"/>
      <c r="B1618" s="307"/>
      <c r="C1618" s="307"/>
    </row>
  </sheetData>
  <sheetProtection selectLockedCells="1" autoFilter="0" selectUnlockedCells="1"/>
  <autoFilter ref="A2:T1553">
    <filterColumn colId="3" showButton="0"/>
    <filterColumn colId="4" showButton="0"/>
  </autoFilter>
  <mergeCells count="676">
    <mergeCell ref="C1199:C1200"/>
    <mergeCell ref="C1056:C1062"/>
    <mergeCell ref="B1076:B1085"/>
    <mergeCell ref="B1056:B1062"/>
    <mergeCell ref="B1040:B1049"/>
    <mergeCell ref="C1095:C1096"/>
    <mergeCell ref="C1038:C1039"/>
    <mergeCell ref="C968:C974"/>
    <mergeCell ref="C946:C952"/>
    <mergeCell ref="B1116:B1119"/>
    <mergeCell ref="C1116:C1119"/>
    <mergeCell ref="C1107:C1110"/>
    <mergeCell ref="C1144:C1153"/>
    <mergeCell ref="C1141:C1143"/>
    <mergeCell ref="C1131:C1135"/>
    <mergeCell ref="C1127:C1130"/>
    <mergeCell ref="C1137:C1140"/>
    <mergeCell ref="C1019:C1020"/>
    <mergeCell ref="C1112:C1115"/>
    <mergeCell ref="C1092:C1094"/>
    <mergeCell ref="C1040:C1049"/>
    <mergeCell ref="C1050:C1055"/>
    <mergeCell ref="C1120:C1123"/>
    <mergeCell ref="C1154:C1163"/>
    <mergeCell ref="C1287:C1292"/>
    <mergeCell ref="C869:C876"/>
    <mergeCell ref="A834:A843"/>
    <mergeCell ref="C862:C863"/>
    <mergeCell ref="C845:C853"/>
    <mergeCell ref="C834:C843"/>
    <mergeCell ref="B834:B843"/>
    <mergeCell ref="C854:C861"/>
    <mergeCell ref="C864:C868"/>
    <mergeCell ref="A869:A876"/>
    <mergeCell ref="B864:B868"/>
    <mergeCell ref="B862:B863"/>
    <mergeCell ref="A845:A853"/>
    <mergeCell ref="A864:A868"/>
    <mergeCell ref="B869:B876"/>
    <mergeCell ref="A862:A863"/>
    <mergeCell ref="A854:A861"/>
    <mergeCell ref="B845:B853"/>
    <mergeCell ref="B1092:B1094"/>
    <mergeCell ref="A1207:A1208"/>
    <mergeCell ref="C988:C993"/>
    <mergeCell ref="B977:B986"/>
    <mergeCell ref="C935:C944"/>
    <mergeCell ref="A1201:A1202"/>
    <mergeCell ref="C1282:C1284"/>
    <mergeCell ref="B854:B861"/>
    <mergeCell ref="B958:B967"/>
    <mergeCell ref="B1005:B1008"/>
    <mergeCell ref="B1001:B1002"/>
    <mergeCell ref="B1127:B1130"/>
    <mergeCell ref="A1092:A1094"/>
    <mergeCell ref="A1127:A1130"/>
    <mergeCell ref="A1131:A1135"/>
    <mergeCell ref="A1137:A1140"/>
    <mergeCell ref="A878:A883"/>
    <mergeCell ref="B912:B919"/>
    <mergeCell ref="B922:B929"/>
    <mergeCell ref="B878:B883"/>
    <mergeCell ref="A897:A899"/>
    <mergeCell ref="A887:A894"/>
    <mergeCell ref="A895:A896"/>
    <mergeCell ref="A885:A886"/>
    <mergeCell ref="B1137:B1140"/>
    <mergeCell ref="B1131:B1135"/>
    <mergeCell ref="A977:A986"/>
    <mergeCell ref="A912:A919"/>
    <mergeCell ref="A922:A929"/>
    <mergeCell ref="B954:B957"/>
    <mergeCell ref="C830:C833"/>
    <mergeCell ref="B988:B993"/>
    <mergeCell ref="A1063:A1072"/>
    <mergeCell ref="A1040:A1049"/>
    <mergeCell ref="A1005:A1008"/>
    <mergeCell ref="A1038:A1039"/>
    <mergeCell ref="A1050:A1055"/>
    <mergeCell ref="A1112:A1115"/>
    <mergeCell ref="C1063:C1072"/>
    <mergeCell ref="C1034:C1037"/>
    <mergeCell ref="B994:B1000"/>
    <mergeCell ref="C975:C976"/>
    <mergeCell ref="C994:C1000"/>
    <mergeCell ref="C977:C986"/>
    <mergeCell ref="C1086:C1090"/>
    <mergeCell ref="C1009:C1017"/>
    <mergeCell ref="B1009:B1017"/>
    <mergeCell ref="B1034:B1037"/>
    <mergeCell ref="B1024:B1033"/>
    <mergeCell ref="B1050:B1055"/>
    <mergeCell ref="A958:A967"/>
    <mergeCell ref="A954:A957"/>
    <mergeCell ref="A1024:A1033"/>
    <mergeCell ref="C878:C883"/>
    <mergeCell ref="C1430:C1431"/>
    <mergeCell ref="C1450:C1453"/>
    <mergeCell ref="B1437:B1438"/>
    <mergeCell ref="B1430:B1431"/>
    <mergeCell ref="A1421:A1425"/>
    <mergeCell ref="A1485:A1487"/>
    <mergeCell ref="B1485:B1487"/>
    <mergeCell ref="C1485:C1487"/>
    <mergeCell ref="C1495:C1498"/>
    <mergeCell ref="A1444:A1445"/>
    <mergeCell ref="B1444:B1445"/>
    <mergeCell ref="C1444:C1445"/>
    <mergeCell ref="A1481:A1483"/>
    <mergeCell ref="B1470:B1471"/>
    <mergeCell ref="A1466:A1468"/>
    <mergeCell ref="B1466:B1468"/>
    <mergeCell ref="B1421:B1425"/>
    <mergeCell ref="C1421:C1425"/>
    <mergeCell ref="A1439:A1442"/>
    <mergeCell ref="A1430:A1431"/>
    <mergeCell ref="A1447:A1448"/>
    <mergeCell ref="C1447:C1448"/>
    <mergeCell ref="A1462:A1464"/>
    <mergeCell ref="B1462:B1464"/>
    <mergeCell ref="C1552:C1553"/>
    <mergeCell ref="B1322:B1323"/>
    <mergeCell ref="C1191:C1192"/>
    <mergeCell ref="A1095:A1096"/>
    <mergeCell ref="B1144:B1153"/>
    <mergeCell ref="A1144:A1153"/>
    <mergeCell ref="C1210:C1211"/>
    <mergeCell ref="B1214:B1215"/>
    <mergeCell ref="C1274:C1278"/>
    <mergeCell ref="C1244:C1252"/>
    <mergeCell ref="B1235:B1243"/>
    <mergeCell ref="C1214:C1215"/>
    <mergeCell ref="A1214:A1215"/>
    <mergeCell ref="C1335:C1336"/>
    <mergeCell ref="B1447:B1448"/>
    <mergeCell ref="A1552:A1553"/>
    <mergeCell ref="B1552:B1553"/>
    <mergeCell ref="B1176:B1186"/>
    <mergeCell ref="B1477:B1478"/>
    <mergeCell ref="A1335:A1336"/>
    <mergeCell ref="A1393:A1395"/>
    <mergeCell ref="B1095:B1096"/>
    <mergeCell ref="B1097:B1106"/>
    <mergeCell ref="C1124:C1126"/>
    <mergeCell ref="C885:C886"/>
    <mergeCell ref="C895:C896"/>
    <mergeCell ref="C897:C899"/>
    <mergeCell ref="B897:B899"/>
    <mergeCell ref="B885:B886"/>
    <mergeCell ref="B887:B894"/>
    <mergeCell ref="B902:B911"/>
    <mergeCell ref="C920:C921"/>
    <mergeCell ref="B895:B896"/>
    <mergeCell ref="C902:C911"/>
    <mergeCell ref="B920:B921"/>
    <mergeCell ref="C912:C919"/>
    <mergeCell ref="C887:C894"/>
    <mergeCell ref="C922:C929"/>
    <mergeCell ref="B935:B944"/>
    <mergeCell ref="B946:B952"/>
    <mergeCell ref="B1107:B1110"/>
    <mergeCell ref="B1086:B1090"/>
    <mergeCell ref="C1024:C1033"/>
    <mergeCell ref="C1076:C1085"/>
    <mergeCell ref="C1005:C1008"/>
    <mergeCell ref="A931:A934"/>
    <mergeCell ref="C931:C934"/>
    <mergeCell ref="A946:A952"/>
    <mergeCell ref="A988:A993"/>
    <mergeCell ref="A994:A1000"/>
    <mergeCell ref="A1001:A1002"/>
    <mergeCell ref="A1097:A1106"/>
    <mergeCell ref="B1063:B1072"/>
    <mergeCell ref="A1003:A1004"/>
    <mergeCell ref="C954:C957"/>
    <mergeCell ref="C1003:C1004"/>
    <mergeCell ref="B931:B934"/>
    <mergeCell ref="C958:C967"/>
    <mergeCell ref="C1001:C1002"/>
    <mergeCell ref="A1107:A1110"/>
    <mergeCell ref="C1207:C1208"/>
    <mergeCell ref="C1212:C1213"/>
    <mergeCell ref="C1097:C1106"/>
    <mergeCell ref="C1509:C1511"/>
    <mergeCell ref="C1529:C1531"/>
    <mergeCell ref="A1086:A1090"/>
    <mergeCell ref="A1009:A1017"/>
    <mergeCell ref="B1019:B1020"/>
    <mergeCell ref="B1003:B1004"/>
    <mergeCell ref="A1019:A1020"/>
    <mergeCell ref="C1386:C1388"/>
    <mergeCell ref="C1216:C1217"/>
    <mergeCell ref="A1397:A1401"/>
    <mergeCell ref="C1389:C1390"/>
    <mergeCell ref="C1203:C1206"/>
    <mergeCell ref="B1218:B1228"/>
    <mergeCell ref="A1235:A1243"/>
    <mergeCell ref="C1526:C1528"/>
    <mergeCell ref="A1495:A1498"/>
    <mergeCell ref="B1495:B1498"/>
    <mergeCell ref="B1454:B1457"/>
    <mergeCell ref="B1164:B1175"/>
    <mergeCell ref="B1154:B1163"/>
    <mergeCell ref="B1308:B1310"/>
    <mergeCell ref="B1543:B1544"/>
    <mergeCell ref="C1543:C1544"/>
    <mergeCell ref="A1543:A1544"/>
    <mergeCell ref="A1534:A1539"/>
    <mergeCell ref="C1534:C1539"/>
    <mergeCell ref="B1512:B1517"/>
    <mergeCell ref="A1509:A1511"/>
    <mergeCell ref="A1506:A1507"/>
    <mergeCell ref="A1529:A1531"/>
    <mergeCell ref="C1512:C1517"/>
    <mergeCell ref="C1506:C1507"/>
    <mergeCell ref="B1509:B1511"/>
    <mergeCell ref="B1506:B1507"/>
    <mergeCell ref="A1518:A1523"/>
    <mergeCell ref="B1518:B1523"/>
    <mergeCell ref="C1518:C1523"/>
    <mergeCell ref="B1529:B1531"/>
    <mergeCell ref="A1512:A1517"/>
    <mergeCell ref="A1526:A1528"/>
    <mergeCell ref="B1526:B1528"/>
    <mergeCell ref="B1534:B1539"/>
    <mergeCell ref="A920:A921"/>
    <mergeCell ref="A902:A911"/>
    <mergeCell ref="B975:B976"/>
    <mergeCell ref="A975:A976"/>
    <mergeCell ref="A968:A974"/>
    <mergeCell ref="B968:B974"/>
    <mergeCell ref="A935:A944"/>
    <mergeCell ref="A1403:A1412"/>
    <mergeCell ref="B1397:B1401"/>
    <mergeCell ref="A1389:A1390"/>
    <mergeCell ref="A1386:A1388"/>
    <mergeCell ref="A1364:A1366"/>
    <mergeCell ref="B1364:B1366"/>
    <mergeCell ref="A1377:A1381"/>
    <mergeCell ref="B1320:B1321"/>
    <mergeCell ref="B1199:B1200"/>
    <mergeCell ref="A1342:A1343"/>
    <mergeCell ref="A1313:A1314"/>
    <mergeCell ref="A1212:A1213"/>
    <mergeCell ref="B1212:B1213"/>
    <mergeCell ref="A1199:A1200"/>
    <mergeCell ref="B1201:B1202"/>
    <mergeCell ref="A1034:A1037"/>
    <mergeCell ref="B1038:B1039"/>
    <mergeCell ref="A1116:A1119"/>
    <mergeCell ref="A1076:A1085"/>
    <mergeCell ref="A1056:A1062"/>
    <mergeCell ref="B1191:B1192"/>
    <mergeCell ref="B1303:B1306"/>
    <mergeCell ref="B1299:B1300"/>
    <mergeCell ref="A1308:A1310"/>
    <mergeCell ref="B1296:B1297"/>
    <mergeCell ref="B1274:B1278"/>
    <mergeCell ref="B1282:B1284"/>
    <mergeCell ref="A1229:A1234"/>
    <mergeCell ref="A1176:A1186"/>
    <mergeCell ref="A1124:A1126"/>
    <mergeCell ref="A1191:A1192"/>
    <mergeCell ref="A1164:A1175"/>
    <mergeCell ref="A1154:A1163"/>
    <mergeCell ref="A1141:A1143"/>
    <mergeCell ref="A1193:A1196"/>
    <mergeCell ref="A1120:A1123"/>
    <mergeCell ref="B1112:B1115"/>
    <mergeCell ref="B1120:B1123"/>
    <mergeCell ref="B1124:B1126"/>
    <mergeCell ref="B1141:B1143"/>
    <mergeCell ref="B1216:B1217"/>
    <mergeCell ref="A1287:A1292"/>
    <mergeCell ref="A1299:A1300"/>
    <mergeCell ref="A1264:A1273"/>
    <mergeCell ref="A1282:A1284"/>
    <mergeCell ref="A1274:A1278"/>
    <mergeCell ref="B1193:B1196"/>
    <mergeCell ref="B1203:B1206"/>
    <mergeCell ref="B1207:B1208"/>
    <mergeCell ref="B1332:B1333"/>
    <mergeCell ref="A1216:A1217"/>
    <mergeCell ref="C1193:C1196"/>
    <mergeCell ref="A1262:A1263"/>
    <mergeCell ref="A1244:A1252"/>
    <mergeCell ref="A1253:A1261"/>
    <mergeCell ref="A1296:A1297"/>
    <mergeCell ref="A1218:A1228"/>
    <mergeCell ref="C1339:C1341"/>
    <mergeCell ref="A1329:A1331"/>
    <mergeCell ref="A1303:A1306"/>
    <mergeCell ref="B1264:B1273"/>
    <mergeCell ref="C1264:C1273"/>
    <mergeCell ref="A1320:A1321"/>
    <mergeCell ref="B1293:B1295"/>
    <mergeCell ref="A1325:A1328"/>
    <mergeCell ref="A1322:A1323"/>
    <mergeCell ref="A1293:A1295"/>
    <mergeCell ref="A1332:A1333"/>
    <mergeCell ref="B1313:B1314"/>
    <mergeCell ref="B1329:B1331"/>
    <mergeCell ref="B1325:B1328"/>
    <mergeCell ref="A1210:A1211"/>
    <mergeCell ref="A1203:A1206"/>
    <mergeCell ref="B1229:B1234"/>
    <mergeCell ref="A1339:A1341"/>
    <mergeCell ref="B1426:B1428"/>
    <mergeCell ref="B1350:B1360"/>
    <mergeCell ref="B1347:B1349"/>
    <mergeCell ref="B1361:B1363"/>
    <mergeCell ref="C1382:C1385"/>
    <mergeCell ref="B1413:B1415"/>
    <mergeCell ref="C1377:C1381"/>
    <mergeCell ref="C1370:C1375"/>
    <mergeCell ref="C1332:C1333"/>
    <mergeCell ref="B1339:B1341"/>
    <mergeCell ref="B1342:B1343"/>
    <mergeCell ref="C1403:C1412"/>
    <mergeCell ref="B1382:B1385"/>
    <mergeCell ref="B1393:B1395"/>
    <mergeCell ref="B1389:B1390"/>
    <mergeCell ref="C1361:C1363"/>
    <mergeCell ref="B1335:B1336"/>
    <mergeCell ref="C1176:C1186"/>
    <mergeCell ref="C1164:C1175"/>
    <mergeCell ref="C1235:C1243"/>
    <mergeCell ref="C1262:C1263"/>
    <mergeCell ref="C1218:C1228"/>
    <mergeCell ref="B1262:B1263"/>
    <mergeCell ref="C1313:C1314"/>
    <mergeCell ref="B1287:B1292"/>
    <mergeCell ref="C1342:C1343"/>
    <mergeCell ref="C1329:C1331"/>
    <mergeCell ref="C1201:C1202"/>
    <mergeCell ref="B1210:B1211"/>
    <mergeCell ref="C1320:C1321"/>
    <mergeCell ref="B1244:B1252"/>
    <mergeCell ref="B1253:B1261"/>
    <mergeCell ref="C1293:C1295"/>
    <mergeCell ref="C1229:C1234"/>
    <mergeCell ref="C1299:C1300"/>
    <mergeCell ref="C1296:C1297"/>
    <mergeCell ref="C1322:C1323"/>
    <mergeCell ref="C1253:C1261"/>
    <mergeCell ref="C1308:C1310"/>
    <mergeCell ref="C1303:C1306"/>
    <mergeCell ref="C1325:C1328"/>
    <mergeCell ref="A1413:A1415"/>
    <mergeCell ref="A1370:A1375"/>
    <mergeCell ref="A1382:A1385"/>
    <mergeCell ref="A1347:A1349"/>
    <mergeCell ref="C1347:C1349"/>
    <mergeCell ref="C1364:C1366"/>
    <mergeCell ref="B1416:B1419"/>
    <mergeCell ref="C1397:C1401"/>
    <mergeCell ref="B1377:B1381"/>
    <mergeCell ref="C1413:C1415"/>
    <mergeCell ref="B1386:B1388"/>
    <mergeCell ref="B1403:B1412"/>
    <mergeCell ref="C1393:C1395"/>
    <mergeCell ref="B1370:B1375"/>
    <mergeCell ref="C1416:C1419"/>
    <mergeCell ref="C1350:C1360"/>
    <mergeCell ref="A1416:A1419"/>
    <mergeCell ref="A1350:A1360"/>
    <mergeCell ref="A1361:A1363"/>
    <mergeCell ref="A1426:A1428"/>
    <mergeCell ref="B1481:B1483"/>
    <mergeCell ref="A1437:A1438"/>
    <mergeCell ref="B1435:B1436"/>
    <mergeCell ref="C1435:C1436"/>
    <mergeCell ref="C1459:C1460"/>
    <mergeCell ref="C1462:C1464"/>
    <mergeCell ref="A1470:A1471"/>
    <mergeCell ref="C1439:C1442"/>
    <mergeCell ref="B1439:B1442"/>
    <mergeCell ref="B1450:B1453"/>
    <mergeCell ref="C1481:C1483"/>
    <mergeCell ref="C1470:C1471"/>
    <mergeCell ref="C1466:C1468"/>
    <mergeCell ref="C1437:C1438"/>
    <mergeCell ref="C1477:C1478"/>
    <mergeCell ref="A1454:A1457"/>
    <mergeCell ref="A1450:A1453"/>
    <mergeCell ref="A1477:A1478"/>
    <mergeCell ref="B1459:B1460"/>
    <mergeCell ref="A1435:A1436"/>
    <mergeCell ref="C1454:C1457"/>
    <mergeCell ref="A1459:A1460"/>
    <mergeCell ref="C1426:C1428"/>
    <mergeCell ref="C4:C38"/>
    <mergeCell ref="B100:B104"/>
    <mergeCell ref="A268:A270"/>
    <mergeCell ref="A100:A104"/>
    <mergeCell ref="A293:A309"/>
    <mergeCell ref="C271:C292"/>
    <mergeCell ref="C179:C199"/>
    <mergeCell ref="A179:A199"/>
    <mergeCell ref="C293:C309"/>
    <mergeCell ref="C200:C202"/>
    <mergeCell ref="A319:A327"/>
    <mergeCell ref="A331:A332"/>
    <mergeCell ref="B310:B318"/>
    <mergeCell ref="A328:A330"/>
    <mergeCell ref="B328:B330"/>
    <mergeCell ref="C331:C332"/>
    <mergeCell ref="C319:C327"/>
    <mergeCell ref="C328:C330"/>
    <mergeCell ref="C335:C337"/>
    <mergeCell ref="B331:B332"/>
    <mergeCell ref="B319:B327"/>
    <mergeCell ref="N2:N3"/>
    <mergeCell ref="R2:R3"/>
    <mergeCell ref="O2:O3"/>
    <mergeCell ref="G2:G3"/>
    <mergeCell ref="C100:C104"/>
    <mergeCell ref="B150:B154"/>
    <mergeCell ref="C203:C208"/>
    <mergeCell ref="C268:C270"/>
    <mergeCell ref="C212:C237"/>
    <mergeCell ref="C209:C210"/>
    <mergeCell ref="C238:C258"/>
    <mergeCell ref="Q2:Q3"/>
    <mergeCell ref="P2:P3"/>
    <mergeCell ref="L2:L3"/>
    <mergeCell ref="J2:J3"/>
    <mergeCell ref="K2:K3"/>
    <mergeCell ref="B209:B210"/>
    <mergeCell ref="B203:B208"/>
    <mergeCell ref="B238:B258"/>
    <mergeCell ref="B268:B270"/>
    <mergeCell ref="B212:B237"/>
    <mergeCell ref="H2:H3"/>
    <mergeCell ref="B200:B202"/>
    <mergeCell ref="B4:B38"/>
    <mergeCell ref="A1:T1"/>
    <mergeCell ref="A155:A178"/>
    <mergeCell ref="B155:B178"/>
    <mergeCell ref="C155:C178"/>
    <mergeCell ref="A39:A47"/>
    <mergeCell ref="B39:B47"/>
    <mergeCell ref="C39:C47"/>
    <mergeCell ref="A132:A149"/>
    <mergeCell ref="B132:B149"/>
    <mergeCell ref="C132:C149"/>
    <mergeCell ref="C48:C54"/>
    <mergeCell ref="B55:B99"/>
    <mergeCell ref="A55:A99"/>
    <mergeCell ref="C55:C99"/>
    <mergeCell ref="A105:A131"/>
    <mergeCell ref="B105:B131"/>
    <mergeCell ref="A4:A38"/>
    <mergeCell ref="S2:S3"/>
    <mergeCell ref="C150:C154"/>
    <mergeCell ref="I2:I3"/>
    <mergeCell ref="A2:A3"/>
    <mergeCell ref="B2:B3"/>
    <mergeCell ref="C2:C3"/>
    <mergeCell ref="T2:T3"/>
    <mergeCell ref="D2:F2"/>
    <mergeCell ref="A333:A334"/>
    <mergeCell ref="B333:B334"/>
    <mergeCell ref="B335:B337"/>
    <mergeCell ref="A48:A54"/>
    <mergeCell ref="A150:A154"/>
    <mergeCell ref="A212:A237"/>
    <mergeCell ref="A203:A208"/>
    <mergeCell ref="A238:A258"/>
    <mergeCell ref="B179:B199"/>
    <mergeCell ref="A259:A267"/>
    <mergeCell ref="B259:B267"/>
    <mergeCell ref="B48:B54"/>
    <mergeCell ref="C105:C131"/>
    <mergeCell ref="A335:A337"/>
    <mergeCell ref="A200:A202"/>
    <mergeCell ref="C310:C318"/>
    <mergeCell ref="C259:C267"/>
    <mergeCell ref="A310:A318"/>
    <mergeCell ref="C333:C334"/>
    <mergeCell ref="B293:B309"/>
    <mergeCell ref="A271:A292"/>
    <mergeCell ref="A209:A210"/>
    <mergeCell ref="B271:B292"/>
    <mergeCell ref="C338:C343"/>
    <mergeCell ref="A338:A343"/>
    <mergeCell ref="A414:A422"/>
    <mergeCell ref="A433:A435"/>
    <mergeCell ref="C433:C435"/>
    <mergeCell ref="B402:B413"/>
    <mergeCell ref="A402:A413"/>
    <mergeCell ref="B414:B422"/>
    <mergeCell ref="C427:C428"/>
    <mergeCell ref="C414:C422"/>
    <mergeCell ref="C345:C350"/>
    <mergeCell ref="C351:C369"/>
    <mergeCell ref="A345:A350"/>
    <mergeCell ref="C390:C395"/>
    <mergeCell ref="C402:C413"/>
    <mergeCell ref="A396:A401"/>
    <mergeCell ref="B338:B343"/>
    <mergeCell ref="B390:B395"/>
    <mergeCell ref="A390:A395"/>
    <mergeCell ref="A377:A389"/>
    <mergeCell ref="B345:B350"/>
    <mergeCell ref="A370:A376"/>
    <mergeCell ref="B396:B401"/>
    <mergeCell ref="B351:B369"/>
    <mergeCell ref="A351:A369"/>
    <mergeCell ref="C370:C376"/>
    <mergeCell ref="C396:C401"/>
    <mergeCell ref="C377:C389"/>
    <mergeCell ref="B377:B389"/>
    <mergeCell ref="B370:B376"/>
    <mergeCell ref="A424:A426"/>
    <mergeCell ref="C424:C426"/>
    <mergeCell ref="C429:C432"/>
    <mergeCell ref="B424:B426"/>
    <mergeCell ref="B429:B432"/>
    <mergeCell ref="A427:A428"/>
    <mergeCell ref="B427:B428"/>
    <mergeCell ref="A429:A432"/>
    <mergeCell ref="A471:A481"/>
    <mergeCell ref="A436:A446"/>
    <mergeCell ref="B447:B456"/>
    <mergeCell ref="C471:C481"/>
    <mergeCell ref="A447:A456"/>
    <mergeCell ref="B436:B446"/>
    <mergeCell ref="B457:B470"/>
    <mergeCell ref="A499:A508"/>
    <mergeCell ref="C457:C470"/>
    <mergeCell ref="B482:B489"/>
    <mergeCell ref="C490:C498"/>
    <mergeCell ref="A490:A498"/>
    <mergeCell ref="A482:A489"/>
    <mergeCell ref="C482:C489"/>
    <mergeCell ref="C447:C456"/>
    <mergeCell ref="B499:B508"/>
    <mergeCell ref="C592:C598"/>
    <mergeCell ref="B569:B576"/>
    <mergeCell ref="A599:A613"/>
    <mergeCell ref="B577:B591"/>
    <mergeCell ref="C577:C591"/>
    <mergeCell ref="A569:A576"/>
    <mergeCell ref="A562:A563"/>
    <mergeCell ref="B562:B563"/>
    <mergeCell ref="B433:B435"/>
    <mergeCell ref="C499:C508"/>
    <mergeCell ref="C509:C514"/>
    <mergeCell ref="C539:C547"/>
    <mergeCell ref="B539:B547"/>
    <mergeCell ref="C548:C561"/>
    <mergeCell ref="A539:A547"/>
    <mergeCell ref="A548:A561"/>
    <mergeCell ref="B548:B561"/>
    <mergeCell ref="C569:C576"/>
    <mergeCell ref="B490:B498"/>
    <mergeCell ref="B509:B514"/>
    <mergeCell ref="A509:A514"/>
    <mergeCell ref="C436:C446"/>
    <mergeCell ref="A457:A470"/>
    <mergeCell ref="B471:B481"/>
    <mergeCell ref="C777:C780"/>
    <mergeCell ref="A812:A817"/>
    <mergeCell ref="A818:A822"/>
    <mergeCell ref="C818:C822"/>
    <mergeCell ref="C809:C811"/>
    <mergeCell ref="C562:C563"/>
    <mergeCell ref="A762:A766"/>
    <mergeCell ref="B762:B766"/>
    <mergeCell ref="C762:C766"/>
    <mergeCell ref="C768:C776"/>
    <mergeCell ref="B768:B776"/>
    <mergeCell ref="A777:A780"/>
    <mergeCell ref="B777:B780"/>
    <mergeCell ref="B809:B811"/>
    <mergeCell ref="B652:B659"/>
    <mergeCell ref="A652:A659"/>
    <mergeCell ref="B714:B716"/>
    <mergeCell ref="B647:B651"/>
    <mergeCell ref="A736:A741"/>
    <mergeCell ref="A698:A699"/>
    <mergeCell ref="A718:A725"/>
    <mergeCell ref="B718:B725"/>
    <mergeCell ref="A714:A716"/>
    <mergeCell ref="B688:B697"/>
    <mergeCell ref="A827:A829"/>
    <mergeCell ref="B827:B829"/>
    <mergeCell ref="A782:A787"/>
    <mergeCell ref="C799:C807"/>
    <mergeCell ref="B791:B795"/>
    <mergeCell ref="C791:C795"/>
    <mergeCell ref="B799:B807"/>
    <mergeCell ref="C823:C826"/>
    <mergeCell ref="B823:B826"/>
    <mergeCell ref="B812:B817"/>
    <mergeCell ref="C827:C829"/>
    <mergeCell ref="B788:B790"/>
    <mergeCell ref="A788:A790"/>
    <mergeCell ref="A823:A826"/>
    <mergeCell ref="C812:C817"/>
    <mergeCell ref="C782:C787"/>
    <mergeCell ref="B818:B822"/>
    <mergeCell ref="C788:C790"/>
    <mergeCell ref="A809:A811"/>
    <mergeCell ref="A791:A795"/>
    <mergeCell ref="B782:B787"/>
    <mergeCell ref="A830:A833"/>
    <mergeCell ref="B830:B833"/>
    <mergeCell ref="A592:A598"/>
    <mergeCell ref="A564:A567"/>
    <mergeCell ref="B564:B567"/>
    <mergeCell ref="C564:C567"/>
    <mergeCell ref="A577:A591"/>
    <mergeCell ref="B592:B598"/>
    <mergeCell ref="C599:C613"/>
    <mergeCell ref="B599:B613"/>
    <mergeCell ref="A799:A807"/>
    <mergeCell ref="C736:C741"/>
    <mergeCell ref="C745:C754"/>
    <mergeCell ref="C743:C744"/>
    <mergeCell ref="B700:B712"/>
    <mergeCell ref="C663:C665"/>
    <mergeCell ref="A626:A637"/>
    <mergeCell ref="A745:A754"/>
    <mergeCell ref="B743:B744"/>
    <mergeCell ref="B727:B735"/>
    <mergeCell ref="A686:A687"/>
    <mergeCell ref="A638:A646"/>
    <mergeCell ref="A647:A651"/>
    <mergeCell ref="A660:A662"/>
    <mergeCell ref="B755:B761"/>
    <mergeCell ref="A743:A744"/>
    <mergeCell ref="C755:C761"/>
    <mergeCell ref="B614:B625"/>
    <mergeCell ref="C614:C625"/>
    <mergeCell ref="B638:B646"/>
    <mergeCell ref="A673:A685"/>
    <mergeCell ref="B673:B685"/>
    <mergeCell ref="C638:C646"/>
    <mergeCell ref="A688:A697"/>
    <mergeCell ref="C652:C659"/>
    <mergeCell ref="C688:C697"/>
    <mergeCell ref="C698:C699"/>
    <mergeCell ref="C626:C637"/>
    <mergeCell ref="A700:A712"/>
    <mergeCell ref="A671:A672"/>
    <mergeCell ref="B660:B662"/>
    <mergeCell ref="A663:A665"/>
    <mergeCell ref="B663:B665"/>
    <mergeCell ref="C671:C672"/>
    <mergeCell ref="B671:B672"/>
    <mergeCell ref="M2:M3"/>
    <mergeCell ref="C714:C716"/>
    <mergeCell ref="B686:B687"/>
    <mergeCell ref="B698:B699"/>
    <mergeCell ref="B666:B670"/>
    <mergeCell ref="A755:A761"/>
    <mergeCell ref="A727:A735"/>
    <mergeCell ref="B745:B754"/>
    <mergeCell ref="A768:A776"/>
    <mergeCell ref="C647:C651"/>
    <mergeCell ref="B626:B637"/>
    <mergeCell ref="C660:C662"/>
    <mergeCell ref="C700:C712"/>
    <mergeCell ref="B736:B741"/>
    <mergeCell ref="C727:C735"/>
    <mergeCell ref="C718:C725"/>
    <mergeCell ref="A614:A625"/>
    <mergeCell ref="C686:C687"/>
    <mergeCell ref="C666:C670"/>
    <mergeCell ref="A666:A670"/>
    <mergeCell ref="C673:C685"/>
    <mergeCell ref="A515:A538"/>
    <mergeCell ref="B515:B538"/>
    <mergeCell ref="C515:C538"/>
  </mergeCells>
  <phoneticPr fontId="3" type="noConversion"/>
  <pageMargins left="0.46" right="0.27" top="1" bottom="1" header="0.5" footer="0.5"/>
  <pageSetup paperSize="9" orientation="landscape" verticalDpi="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indexed="33"/>
  </sheetPr>
  <dimension ref="A1:AF592"/>
  <sheetViews>
    <sheetView showGridLines="0" topLeftCell="I1" zoomScale="95" zoomScaleNormal="95" workbookViewId="0">
      <pane ySplit="3" topLeftCell="A4" activePane="bottomLeft" state="frozen"/>
      <selection activeCell="A5" sqref="A5:G5"/>
      <selection pane="bottomLeft" activeCell="V6" sqref="V6"/>
    </sheetView>
  </sheetViews>
  <sheetFormatPr defaultColWidth="9" defaultRowHeight="20.100000000000001" customHeight="1"/>
  <cols>
    <col min="1" max="1" width="2.75" style="43" customWidth="1"/>
    <col min="2" max="2" width="11.125" style="43" customWidth="1"/>
    <col min="3" max="3" width="13.5" style="43" customWidth="1"/>
    <col min="4" max="6" width="6.625" style="794" customWidth="1"/>
    <col min="7" max="7" width="7.875" style="41" customWidth="1"/>
    <col min="8" max="8" width="7.625" style="41" customWidth="1"/>
    <col min="9" max="9" width="6.375" style="44" customWidth="1"/>
    <col min="10" max="10" width="6" style="44" customWidth="1"/>
    <col min="11" max="11" width="8.375" style="45" customWidth="1"/>
    <col min="12" max="12" width="9.625" style="41" customWidth="1"/>
    <col min="13" max="13" width="14.375" style="41" customWidth="1"/>
    <col min="14" max="14" width="16.5" style="41" customWidth="1"/>
    <col min="15" max="15" width="14.375" style="44" customWidth="1"/>
    <col min="16" max="16" width="14.125" style="44" customWidth="1"/>
    <col min="17" max="17" width="17" style="44" customWidth="1"/>
    <col min="18" max="18" width="10.25" style="242" customWidth="1"/>
    <col min="19" max="19" width="20.375" style="324" customWidth="1"/>
    <col min="20" max="20" width="11.25" style="44" bestFit="1" customWidth="1"/>
    <col min="21" max="16384" width="9" style="1"/>
  </cols>
  <sheetData>
    <row r="1" spans="1:32" ht="20.100000000000001" customHeight="1">
      <c r="A1" s="1206"/>
      <c r="B1" s="1206"/>
      <c r="C1" s="1206"/>
      <c r="D1" s="1206"/>
      <c r="E1" s="1206"/>
      <c r="F1" s="1206"/>
      <c r="G1" s="1206"/>
      <c r="H1" s="1206"/>
      <c r="I1" s="1206"/>
      <c r="J1" s="1206"/>
      <c r="K1" s="1206"/>
      <c r="L1" s="1206"/>
      <c r="M1" s="1206"/>
      <c r="N1" s="1206"/>
      <c r="O1" s="1206"/>
      <c r="P1" s="1206"/>
      <c r="Q1" s="1206"/>
      <c r="R1" s="1206"/>
      <c r="S1" s="1206"/>
      <c r="T1" s="1206"/>
    </row>
    <row r="2" spans="1:32" s="121" customFormat="1" ht="20.100000000000001" customHeight="1">
      <c r="A2" s="1129" t="s">
        <v>801</v>
      </c>
      <c r="B2" s="1129" t="s">
        <v>802</v>
      </c>
      <c r="C2" s="1129" t="s">
        <v>2880</v>
      </c>
      <c r="D2" s="1246" t="s">
        <v>5386</v>
      </c>
      <c r="E2" s="1246"/>
      <c r="F2" s="1246"/>
      <c r="G2" s="1129" t="s">
        <v>2881</v>
      </c>
      <c r="H2" s="1129" t="s">
        <v>2882</v>
      </c>
      <c r="I2" s="1129" t="s">
        <v>2883</v>
      </c>
      <c r="J2" s="1129" t="s">
        <v>2884</v>
      </c>
      <c r="K2" s="1173" t="s">
        <v>2885</v>
      </c>
      <c r="L2" s="1129" t="s">
        <v>2886</v>
      </c>
      <c r="M2" s="1132" t="s">
        <v>3019</v>
      </c>
      <c r="N2" s="1132" t="s">
        <v>5435</v>
      </c>
      <c r="O2" s="1129" t="s">
        <v>2888</v>
      </c>
      <c r="P2" s="1129" t="s">
        <v>805</v>
      </c>
      <c r="Q2" s="1129" t="s">
        <v>2890</v>
      </c>
      <c r="R2" s="1129" t="s">
        <v>1029</v>
      </c>
      <c r="S2" s="1129" t="s">
        <v>1175</v>
      </c>
      <c r="T2" s="1129" t="s">
        <v>2833</v>
      </c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</row>
    <row r="3" spans="1:32" s="121" customFormat="1" ht="20.100000000000001" customHeight="1">
      <c r="A3" s="1129"/>
      <c r="B3" s="1129"/>
      <c r="C3" s="1129"/>
      <c r="D3" s="902" t="s">
        <v>57</v>
      </c>
      <c r="E3" s="902" t="s">
        <v>58</v>
      </c>
      <c r="F3" s="902" t="s">
        <v>59</v>
      </c>
      <c r="G3" s="1129"/>
      <c r="H3" s="1129"/>
      <c r="I3" s="1129"/>
      <c r="J3" s="1129"/>
      <c r="K3" s="1173"/>
      <c r="L3" s="1129"/>
      <c r="M3" s="1129"/>
      <c r="N3" s="1129"/>
      <c r="O3" s="1129"/>
      <c r="P3" s="1129"/>
      <c r="Q3" s="1129"/>
      <c r="R3" s="1129"/>
      <c r="S3" s="1129"/>
      <c r="T3" s="1129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0"/>
      <c r="AF3" s="120"/>
    </row>
    <row r="4" spans="1:32" s="121" customFormat="1" ht="20.100000000000001" customHeight="1">
      <c r="A4" s="1190" t="s">
        <v>4401</v>
      </c>
      <c r="B4" s="1190" t="s">
        <v>5380</v>
      </c>
      <c r="C4" s="1190" t="s">
        <v>5383</v>
      </c>
      <c r="D4" s="244" t="s">
        <v>3320</v>
      </c>
      <c r="E4" s="244" t="s">
        <v>3465</v>
      </c>
      <c r="F4" s="244" t="s">
        <v>3465</v>
      </c>
      <c r="G4" s="218" t="s">
        <v>51</v>
      </c>
      <c r="H4" s="69">
        <v>2</v>
      </c>
      <c r="I4" s="50" t="s">
        <v>17</v>
      </c>
      <c r="J4" s="37"/>
      <c r="K4" s="50" t="s">
        <v>984</v>
      </c>
      <c r="L4" s="124" t="s">
        <v>1481</v>
      </c>
      <c r="M4" s="108">
        <v>43080</v>
      </c>
      <c r="N4" s="108">
        <v>43100</v>
      </c>
      <c r="O4" s="61"/>
      <c r="P4" s="61"/>
      <c r="Q4" s="167"/>
      <c r="R4" s="238" t="s">
        <v>5369</v>
      </c>
      <c r="S4" s="331"/>
      <c r="T4" s="632" t="s">
        <v>5385</v>
      </c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</row>
    <row r="5" spans="1:32" s="121" customFormat="1" ht="20.100000000000001" customHeight="1">
      <c r="A5" s="1190" t="s">
        <v>4401</v>
      </c>
      <c r="B5" s="1190" t="s">
        <v>5380</v>
      </c>
      <c r="C5" s="1190" t="s">
        <v>5383</v>
      </c>
      <c r="D5" s="934">
        <v>1260</v>
      </c>
      <c r="E5" s="934">
        <v>1660</v>
      </c>
      <c r="F5" s="934">
        <v>1660</v>
      </c>
      <c r="G5" s="218" t="s">
        <v>12</v>
      </c>
      <c r="H5" s="69">
        <v>2</v>
      </c>
      <c r="I5" s="50" t="s">
        <v>17</v>
      </c>
      <c r="J5" s="37"/>
      <c r="K5" s="50" t="s">
        <v>984</v>
      </c>
      <c r="L5" s="124" t="s">
        <v>1481</v>
      </c>
      <c r="M5" s="15">
        <v>43087</v>
      </c>
      <c r="N5" s="15">
        <v>43093</v>
      </c>
      <c r="O5" s="61"/>
      <c r="P5" s="61"/>
      <c r="Q5" s="167"/>
      <c r="R5" s="238" t="s">
        <v>168</v>
      </c>
      <c r="S5" s="331" t="s">
        <v>1176</v>
      </c>
      <c r="T5" s="632"/>
      <c r="U5" s="120"/>
      <c r="V5" s="120"/>
      <c r="W5" s="120"/>
      <c r="X5" s="120"/>
      <c r="Y5" s="120"/>
      <c r="Z5" s="120"/>
      <c r="AA5" s="120"/>
      <c r="AB5" s="120"/>
      <c r="AC5" s="120"/>
      <c r="AD5" s="120"/>
      <c r="AE5" s="120"/>
      <c r="AF5" s="120"/>
    </row>
    <row r="6" spans="1:32" s="121" customFormat="1" ht="20.100000000000001" customHeight="1">
      <c r="A6" s="1190" t="s">
        <v>4401</v>
      </c>
      <c r="B6" s="1190" t="s">
        <v>5380</v>
      </c>
      <c r="C6" s="1190" t="s">
        <v>5383</v>
      </c>
      <c r="D6" s="950">
        <v>1150</v>
      </c>
      <c r="E6" s="950">
        <v>1500</v>
      </c>
      <c r="F6" s="950">
        <v>1500</v>
      </c>
      <c r="G6" s="219" t="s">
        <v>22</v>
      </c>
      <c r="H6" s="69">
        <v>2</v>
      </c>
      <c r="I6" s="50" t="s">
        <v>17</v>
      </c>
      <c r="J6" s="37"/>
      <c r="K6" s="50" t="s">
        <v>984</v>
      </c>
      <c r="L6" s="124" t="s">
        <v>1481</v>
      </c>
      <c r="M6" s="108">
        <v>43081</v>
      </c>
      <c r="N6" s="108">
        <v>43100</v>
      </c>
      <c r="O6" s="59" t="s">
        <v>2545</v>
      </c>
      <c r="P6" s="59"/>
      <c r="Q6" s="167"/>
      <c r="R6" s="238" t="s">
        <v>5368</v>
      </c>
      <c r="S6" s="331" t="s">
        <v>1176</v>
      </c>
      <c r="T6" s="632" t="s">
        <v>3431</v>
      </c>
      <c r="U6" s="120"/>
      <c r="V6" s="120"/>
      <c r="W6" s="120"/>
      <c r="X6" s="120"/>
      <c r="Y6" s="120"/>
      <c r="Z6" s="120"/>
      <c r="AA6" s="120"/>
      <c r="AB6" s="120"/>
      <c r="AC6" s="120"/>
      <c r="AD6" s="120"/>
      <c r="AE6" s="120"/>
      <c r="AF6" s="120"/>
    </row>
    <row r="7" spans="1:32" s="121" customFormat="1" ht="20.100000000000001" customHeight="1">
      <c r="A7" s="1190" t="s">
        <v>4401</v>
      </c>
      <c r="B7" s="1190" t="s">
        <v>5380</v>
      </c>
      <c r="C7" s="1190" t="s">
        <v>5383</v>
      </c>
      <c r="D7" s="934">
        <v>1475</v>
      </c>
      <c r="E7" s="934">
        <v>1900</v>
      </c>
      <c r="F7" s="934">
        <v>1900</v>
      </c>
      <c r="G7" s="219" t="s">
        <v>1446</v>
      </c>
      <c r="H7" s="69" t="s">
        <v>1102</v>
      </c>
      <c r="I7" s="50" t="s">
        <v>4389</v>
      </c>
      <c r="J7" s="37"/>
      <c r="K7" s="50" t="s">
        <v>2565</v>
      </c>
      <c r="L7" s="50" t="s">
        <v>653</v>
      </c>
      <c r="M7" s="6">
        <v>43084</v>
      </c>
      <c r="N7" s="6">
        <v>43100</v>
      </c>
      <c r="O7" s="59" t="s">
        <v>601</v>
      </c>
      <c r="P7" s="59"/>
      <c r="Q7" s="167"/>
      <c r="R7" s="135" t="s">
        <v>3323</v>
      </c>
      <c r="S7" s="331"/>
      <c r="T7" s="632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</row>
    <row r="8" spans="1:32" s="121" customFormat="1" ht="20.100000000000001" customHeight="1">
      <c r="A8" s="1190" t="s">
        <v>4401</v>
      </c>
      <c r="B8" s="1190" t="s">
        <v>5380</v>
      </c>
      <c r="C8" s="1190" t="s">
        <v>5383</v>
      </c>
      <c r="D8" s="950">
        <v>1300</v>
      </c>
      <c r="E8" s="950">
        <v>1700</v>
      </c>
      <c r="F8" s="950">
        <v>1700</v>
      </c>
      <c r="G8" s="218" t="s">
        <v>19</v>
      </c>
      <c r="H8" s="69">
        <v>2</v>
      </c>
      <c r="I8" s="50" t="s">
        <v>3432</v>
      </c>
      <c r="J8" s="37"/>
      <c r="K8" s="50" t="s">
        <v>662</v>
      </c>
      <c r="L8" s="124" t="s">
        <v>653</v>
      </c>
      <c r="M8" s="6">
        <v>43070</v>
      </c>
      <c r="N8" s="6">
        <v>43083</v>
      </c>
      <c r="O8" s="61" t="s">
        <v>2440</v>
      </c>
      <c r="P8" s="61"/>
      <c r="Q8" s="167"/>
      <c r="R8" s="238" t="s">
        <v>1782</v>
      </c>
      <c r="S8" s="315" t="s">
        <v>3469</v>
      </c>
      <c r="T8" s="632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120"/>
    </row>
    <row r="9" spans="1:32" s="121" customFormat="1" ht="20.100000000000001" customHeight="1">
      <c r="A9" s="1190" t="s">
        <v>4401</v>
      </c>
      <c r="B9" s="1190" t="s">
        <v>5380</v>
      </c>
      <c r="C9" s="1190" t="s">
        <v>5383</v>
      </c>
      <c r="D9" s="246">
        <v>1300</v>
      </c>
      <c r="E9" s="246">
        <v>1700</v>
      </c>
      <c r="F9" s="246">
        <v>1700</v>
      </c>
      <c r="G9" s="70" t="s">
        <v>13</v>
      </c>
      <c r="H9" s="36" t="s">
        <v>659</v>
      </c>
      <c r="I9" s="50" t="s">
        <v>17</v>
      </c>
      <c r="J9" s="50"/>
      <c r="K9" s="50" t="s">
        <v>1264</v>
      </c>
      <c r="L9" s="50" t="s">
        <v>847</v>
      </c>
      <c r="M9" s="108">
        <v>43081</v>
      </c>
      <c r="N9" s="108">
        <v>43100</v>
      </c>
      <c r="O9" s="59" t="s">
        <v>601</v>
      </c>
      <c r="P9" s="59"/>
      <c r="Q9" s="167"/>
      <c r="R9" s="238" t="s">
        <v>3468</v>
      </c>
      <c r="S9" s="319" t="s">
        <v>1176</v>
      </c>
      <c r="T9" s="137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</row>
    <row r="10" spans="1:32" s="121" customFormat="1" ht="20.100000000000001" customHeight="1">
      <c r="A10" s="1190" t="s">
        <v>4401</v>
      </c>
      <c r="B10" s="1190" t="s">
        <v>5380</v>
      </c>
      <c r="C10" s="1190" t="s">
        <v>5383</v>
      </c>
      <c r="D10" s="934">
        <v>1260</v>
      </c>
      <c r="E10" s="934">
        <v>1660</v>
      </c>
      <c r="F10" s="934">
        <v>1660</v>
      </c>
      <c r="G10" s="218" t="s">
        <v>12</v>
      </c>
      <c r="H10" s="36" t="s">
        <v>659</v>
      </c>
      <c r="I10" s="50" t="s">
        <v>17</v>
      </c>
      <c r="J10" s="50"/>
      <c r="K10" s="50" t="s">
        <v>1264</v>
      </c>
      <c r="L10" s="50" t="s">
        <v>847</v>
      </c>
      <c r="M10" s="15">
        <v>43087</v>
      </c>
      <c r="N10" s="15">
        <v>43093</v>
      </c>
      <c r="O10" s="59"/>
      <c r="P10" s="59"/>
      <c r="Q10" s="167"/>
      <c r="R10" s="238" t="s">
        <v>5365</v>
      </c>
      <c r="S10" s="331" t="s">
        <v>1176</v>
      </c>
      <c r="T10" s="137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</row>
    <row r="11" spans="1:32" s="121" customFormat="1" ht="20.100000000000001" customHeight="1">
      <c r="A11" s="1190" t="s">
        <v>4401</v>
      </c>
      <c r="B11" s="1190" t="s">
        <v>5380</v>
      </c>
      <c r="C11" s="1190" t="s">
        <v>5383</v>
      </c>
      <c r="D11" s="244" t="s">
        <v>3320</v>
      </c>
      <c r="E11" s="244" t="s">
        <v>3465</v>
      </c>
      <c r="F11" s="244" t="s">
        <v>3465</v>
      </c>
      <c r="G11" s="218" t="s">
        <v>51</v>
      </c>
      <c r="H11" s="36" t="s">
        <v>659</v>
      </c>
      <c r="I11" s="50" t="s">
        <v>17</v>
      </c>
      <c r="J11" s="50"/>
      <c r="K11" s="50" t="s">
        <v>1264</v>
      </c>
      <c r="L11" s="50" t="s">
        <v>847</v>
      </c>
      <c r="M11" s="108">
        <v>43080</v>
      </c>
      <c r="N11" s="108">
        <v>43100</v>
      </c>
      <c r="O11" s="60"/>
      <c r="P11" s="60"/>
      <c r="Q11" s="167"/>
      <c r="R11" s="238" t="s">
        <v>3467</v>
      </c>
      <c r="S11" s="331"/>
      <c r="T11" s="137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</row>
    <row r="12" spans="1:32" s="121" customFormat="1" ht="20.100000000000001" customHeight="1">
      <c r="A12" s="1190" t="s">
        <v>4401</v>
      </c>
      <c r="B12" s="1190" t="s">
        <v>5380</v>
      </c>
      <c r="C12" s="1190" t="s">
        <v>5383</v>
      </c>
      <c r="D12" s="988" t="s">
        <v>4377</v>
      </c>
      <c r="E12" s="988" t="s">
        <v>3713</v>
      </c>
      <c r="F12" s="988" t="s">
        <v>3713</v>
      </c>
      <c r="G12" s="70" t="s">
        <v>31</v>
      </c>
      <c r="H12" s="36">
        <v>5</v>
      </c>
      <c r="I12" s="50" t="s">
        <v>16</v>
      </c>
      <c r="J12" s="37"/>
      <c r="K12" s="50">
        <v>47</v>
      </c>
      <c r="L12" s="50" t="s">
        <v>653</v>
      </c>
      <c r="M12" s="6">
        <v>43080</v>
      </c>
      <c r="N12" s="6">
        <v>43100</v>
      </c>
      <c r="O12" s="141" t="s">
        <v>2427</v>
      </c>
      <c r="P12" s="141"/>
      <c r="Q12" s="167"/>
      <c r="R12" s="238" t="s">
        <v>4402</v>
      </c>
      <c r="S12" s="325" t="s">
        <v>1176</v>
      </c>
      <c r="T12" s="137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</row>
    <row r="13" spans="1:32" s="121" customFormat="1" ht="20.100000000000001" customHeight="1">
      <c r="A13" s="1190" t="s">
        <v>4401</v>
      </c>
      <c r="B13" s="1190" t="s">
        <v>5380</v>
      </c>
      <c r="C13" s="1244" t="s">
        <v>5383</v>
      </c>
      <c r="D13" s="973" t="s">
        <v>4327</v>
      </c>
      <c r="E13" s="973" t="s">
        <v>5384</v>
      </c>
      <c r="F13" s="973" t="str">
        <f>E13</f>
        <v>1800</v>
      </c>
      <c r="G13" s="763" t="s">
        <v>5</v>
      </c>
      <c r="H13" s="36" t="s">
        <v>681</v>
      </c>
      <c r="I13" s="50" t="s">
        <v>17</v>
      </c>
      <c r="J13" s="50"/>
      <c r="K13" s="50" t="s">
        <v>2395</v>
      </c>
      <c r="L13" s="50" t="s">
        <v>649</v>
      </c>
      <c r="M13" s="6">
        <v>43087</v>
      </c>
      <c r="N13" s="6">
        <v>43100</v>
      </c>
      <c r="O13" s="59" t="s">
        <v>1771</v>
      </c>
      <c r="P13" s="59"/>
      <c r="Q13" s="167"/>
      <c r="R13" s="238" t="s">
        <v>4442</v>
      </c>
      <c r="S13" s="315" t="s">
        <v>4452</v>
      </c>
      <c r="T13" s="862">
        <v>7</v>
      </c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</row>
    <row r="14" spans="1:32" s="121" customFormat="1" ht="20.100000000000001" customHeight="1">
      <c r="A14" s="1190" t="s">
        <v>4401</v>
      </c>
      <c r="B14" s="1190" t="s">
        <v>5380</v>
      </c>
      <c r="C14" s="1190" t="s">
        <v>5383</v>
      </c>
      <c r="D14" s="1003">
        <v>1350</v>
      </c>
      <c r="E14" s="1003">
        <v>1900</v>
      </c>
      <c r="F14" s="1003">
        <v>1900</v>
      </c>
      <c r="G14" s="70" t="s">
        <v>18</v>
      </c>
      <c r="H14" s="36" t="s">
        <v>681</v>
      </c>
      <c r="I14" s="50" t="s">
        <v>17</v>
      </c>
      <c r="J14" s="50"/>
      <c r="K14" s="50" t="s">
        <v>2395</v>
      </c>
      <c r="L14" s="50" t="s">
        <v>649</v>
      </c>
      <c r="M14" s="6">
        <v>43080</v>
      </c>
      <c r="N14" s="6">
        <v>43100</v>
      </c>
      <c r="O14" s="124"/>
      <c r="P14" s="124"/>
      <c r="Q14" s="171"/>
      <c r="R14" s="238" t="s">
        <v>3463</v>
      </c>
      <c r="S14" s="316" t="s">
        <v>1176</v>
      </c>
      <c r="T14" s="866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</row>
    <row r="15" spans="1:32" s="121" customFormat="1" ht="20.100000000000001" customHeight="1">
      <c r="A15" s="1190" t="s">
        <v>4401</v>
      </c>
      <c r="B15" s="1190" t="s">
        <v>5380</v>
      </c>
      <c r="C15" s="1190" t="s">
        <v>5379</v>
      </c>
      <c r="D15" s="952">
        <v>2700</v>
      </c>
      <c r="E15" s="952">
        <v>4600</v>
      </c>
      <c r="F15" s="952">
        <v>4600</v>
      </c>
      <c r="G15" s="70" t="s">
        <v>13</v>
      </c>
      <c r="H15" s="36" t="s">
        <v>3397</v>
      </c>
      <c r="I15" s="50" t="s">
        <v>4412</v>
      </c>
      <c r="J15" s="50"/>
      <c r="K15" s="50" t="s">
        <v>986</v>
      </c>
      <c r="L15" s="50" t="s">
        <v>847</v>
      </c>
      <c r="M15" s="108">
        <v>43081</v>
      </c>
      <c r="N15" s="108">
        <v>43100</v>
      </c>
      <c r="O15" s="59" t="s">
        <v>601</v>
      </c>
      <c r="P15" s="59"/>
      <c r="Q15" s="52"/>
      <c r="R15" s="238" t="s">
        <v>4411</v>
      </c>
      <c r="S15" s="319" t="s">
        <v>1176</v>
      </c>
      <c r="T15" s="921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</row>
    <row r="16" spans="1:32" s="121" customFormat="1" ht="20.100000000000001" customHeight="1">
      <c r="A16" s="1190" t="s">
        <v>4401</v>
      </c>
      <c r="B16" s="1190" t="s">
        <v>5380</v>
      </c>
      <c r="C16" s="1190" t="s">
        <v>5379</v>
      </c>
      <c r="D16" s="988" t="s">
        <v>3475</v>
      </c>
      <c r="E16" s="988" t="s">
        <v>5319</v>
      </c>
      <c r="F16" s="988" t="s">
        <v>5319</v>
      </c>
      <c r="G16" s="70" t="s">
        <v>31</v>
      </c>
      <c r="H16" s="36">
        <v>5</v>
      </c>
      <c r="I16" s="50" t="s">
        <v>16</v>
      </c>
      <c r="J16" s="50"/>
      <c r="K16" s="50">
        <v>49</v>
      </c>
      <c r="L16" s="50" t="s">
        <v>653</v>
      </c>
      <c r="M16" s="6">
        <v>43080</v>
      </c>
      <c r="N16" s="6">
        <v>43100</v>
      </c>
      <c r="O16" s="59"/>
      <c r="P16" s="59"/>
      <c r="Q16" s="167"/>
      <c r="R16" s="238" t="s">
        <v>4402</v>
      </c>
      <c r="S16" s="325" t="s">
        <v>1176</v>
      </c>
      <c r="T16" s="921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</row>
    <row r="17" spans="1:32" s="121" customFormat="1" ht="20.100000000000001" customHeight="1">
      <c r="A17" s="1190" t="s">
        <v>4401</v>
      </c>
      <c r="B17" s="1190" t="s">
        <v>5380</v>
      </c>
      <c r="C17" s="1190" t="s">
        <v>5379</v>
      </c>
      <c r="D17" s="991" t="s">
        <v>3465</v>
      </c>
      <c r="E17" s="991" t="s">
        <v>4187</v>
      </c>
      <c r="F17" s="991" t="s">
        <v>4187</v>
      </c>
      <c r="G17" s="70" t="s">
        <v>18</v>
      </c>
      <c r="H17" s="36" t="s">
        <v>721</v>
      </c>
      <c r="I17" s="37" t="s">
        <v>3293</v>
      </c>
      <c r="J17" s="37"/>
      <c r="K17" s="50" t="s">
        <v>2565</v>
      </c>
      <c r="L17" s="50" t="s">
        <v>653</v>
      </c>
      <c r="M17" s="6">
        <v>43080</v>
      </c>
      <c r="N17" s="6">
        <v>43100</v>
      </c>
      <c r="O17" s="142" t="s">
        <v>3292</v>
      </c>
      <c r="P17" s="26"/>
      <c r="Q17" s="167"/>
      <c r="R17" s="238" t="s">
        <v>3306</v>
      </c>
      <c r="S17" s="316" t="s">
        <v>1176</v>
      </c>
      <c r="T17" s="921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</row>
    <row r="18" spans="1:32" s="121" customFormat="1" ht="20.100000000000001" customHeight="1">
      <c r="A18" s="1190" t="s">
        <v>4401</v>
      </c>
      <c r="B18" s="1190" t="s">
        <v>5380</v>
      </c>
      <c r="C18" s="1244" t="s">
        <v>5379</v>
      </c>
      <c r="D18" s="973" t="s">
        <v>5382</v>
      </c>
      <c r="E18" s="973" t="s">
        <v>5381</v>
      </c>
      <c r="F18" s="973" t="str">
        <f>E18</f>
        <v>3450</v>
      </c>
      <c r="G18" s="763" t="s">
        <v>5</v>
      </c>
      <c r="H18" s="36" t="s">
        <v>721</v>
      </c>
      <c r="I18" s="50" t="s">
        <v>3293</v>
      </c>
      <c r="J18" s="50"/>
      <c r="K18" s="50" t="s">
        <v>2151</v>
      </c>
      <c r="L18" s="50" t="s">
        <v>653</v>
      </c>
      <c r="M18" s="6">
        <v>43087</v>
      </c>
      <c r="N18" s="6">
        <v>43100</v>
      </c>
      <c r="O18" s="61" t="s">
        <v>3459</v>
      </c>
      <c r="P18" s="59"/>
      <c r="Q18" s="171"/>
      <c r="R18" s="238" t="s">
        <v>3305</v>
      </c>
      <c r="S18" s="315" t="s">
        <v>4452</v>
      </c>
      <c r="T18" s="922">
        <v>7</v>
      </c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</row>
    <row r="19" spans="1:32" s="121" customFormat="1" ht="20.100000000000001" customHeight="1">
      <c r="A19" s="1190" t="s">
        <v>4401</v>
      </c>
      <c r="B19" s="1190" t="s">
        <v>5380</v>
      </c>
      <c r="C19" s="1190" t="s">
        <v>5379</v>
      </c>
      <c r="D19" s="1005" t="s">
        <v>3475</v>
      </c>
      <c r="E19" s="1005" t="s">
        <v>4130</v>
      </c>
      <c r="F19" s="1005" t="s">
        <v>4130</v>
      </c>
      <c r="G19" s="218" t="s">
        <v>51</v>
      </c>
      <c r="H19" s="36" t="s">
        <v>721</v>
      </c>
      <c r="I19" s="50" t="s">
        <v>3293</v>
      </c>
      <c r="J19" s="50"/>
      <c r="K19" s="50" t="s">
        <v>986</v>
      </c>
      <c r="L19" s="50" t="s">
        <v>653</v>
      </c>
      <c r="M19" s="108">
        <v>43080</v>
      </c>
      <c r="N19" s="108">
        <v>43100</v>
      </c>
      <c r="O19" s="141" t="s">
        <v>3292</v>
      </c>
      <c r="P19" s="61"/>
      <c r="Q19" s="167"/>
      <c r="R19" s="238" t="s">
        <v>2573</v>
      </c>
      <c r="S19" s="316" t="s">
        <v>3297</v>
      </c>
      <c r="T19" s="921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</row>
    <row r="20" spans="1:32" s="121" customFormat="1" ht="20.100000000000001" customHeight="1">
      <c r="A20" s="1190" t="s">
        <v>4401</v>
      </c>
      <c r="B20" s="1190" t="s">
        <v>5378</v>
      </c>
      <c r="C20" s="1190" t="s">
        <v>5377</v>
      </c>
      <c r="D20" s="244" t="s">
        <v>3320</v>
      </c>
      <c r="E20" s="244" t="s">
        <v>3465</v>
      </c>
      <c r="F20" s="244" t="s">
        <v>3465</v>
      </c>
      <c r="G20" s="219" t="s">
        <v>51</v>
      </c>
      <c r="H20" s="36">
        <v>2</v>
      </c>
      <c r="I20" s="50" t="s">
        <v>17</v>
      </c>
      <c r="J20" s="37"/>
      <c r="K20" s="50">
        <v>37</v>
      </c>
      <c r="L20" s="50" t="s">
        <v>847</v>
      </c>
      <c r="M20" s="108">
        <v>43080</v>
      </c>
      <c r="N20" s="108">
        <v>43100</v>
      </c>
      <c r="O20" s="61"/>
      <c r="P20" s="59"/>
      <c r="Q20" s="171"/>
      <c r="R20" s="238" t="s">
        <v>4346</v>
      </c>
      <c r="S20" s="331"/>
      <c r="T20" s="921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</row>
    <row r="21" spans="1:32" s="121" customFormat="1" ht="20.100000000000001" customHeight="1">
      <c r="A21" s="1190" t="s">
        <v>4401</v>
      </c>
      <c r="B21" s="1190" t="s">
        <v>5378</v>
      </c>
      <c r="C21" s="1190" t="s">
        <v>5377</v>
      </c>
      <c r="D21" s="246">
        <v>1300</v>
      </c>
      <c r="E21" s="246">
        <v>1700</v>
      </c>
      <c r="F21" s="246">
        <v>1700</v>
      </c>
      <c r="G21" s="70" t="s">
        <v>13</v>
      </c>
      <c r="H21" s="36">
        <v>2</v>
      </c>
      <c r="I21" s="50" t="s">
        <v>17</v>
      </c>
      <c r="J21" s="37"/>
      <c r="K21" s="50">
        <v>37</v>
      </c>
      <c r="L21" s="50" t="s">
        <v>847</v>
      </c>
      <c r="M21" s="108">
        <v>43081</v>
      </c>
      <c r="N21" s="108">
        <v>43100</v>
      </c>
      <c r="O21" s="59" t="s">
        <v>601</v>
      </c>
      <c r="P21" s="60"/>
      <c r="Q21" s="171"/>
      <c r="R21" s="238" t="s">
        <v>3472</v>
      </c>
      <c r="S21" s="319" t="s">
        <v>1176</v>
      </c>
      <c r="T21" s="923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</row>
    <row r="22" spans="1:32" s="121" customFormat="1" ht="20.100000000000001" customHeight="1">
      <c r="A22" s="1190" t="s">
        <v>4401</v>
      </c>
      <c r="B22" s="1190" t="s">
        <v>5378</v>
      </c>
      <c r="C22" s="1190" t="s">
        <v>5377</v>
      </c>
      <c r="D22" s="244" t="s">
        <v>3320</v>
      </c>
      <c r="E22" s="244" t="s">
        <v>3465</v>
      </c>
      <c r="F22" s="244" t="s">
        <v>3465</v>
      </c>
      <c r="G22" s="219" t="s">
        <v>51</v>
      </c>
      <c r="H22" s="36" t="s">
        <v>659</v>
      </c>
      <c r="I22" s="50" t="s">
        <v>17</v>
      </c>
      <c r="J22" s="50"/>
      <c r="K22" s="50" t="s">
        <v>982</v>
      </c>
      <c r="L22" s="50" t="s">
        <v>847</v>
      </c>
      <c r="M22" s="108">
        <v>43080</v>
      </c>
      <c r="N22" s="108">
        <v>43100</v>
      </c>
      <c r="O22" s="59"/>
      <c r="P22" s="59"/>
      <c r="Q22" s="167"/>
      <c r="R22" s="238" t="s">
        <v>3467</v>
      </c>
      <c r="S22" s="331"/>
      <c r="T22" s="857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</row>
    <row r="23" spans="1:32" s="121" customFormat="1" ht="20.100000000000001" customHeight="1">
      <c r="A23" s="1190" t="s">
        <v>4401</v>
      </c>
      <c r="B23" s="1190" t="s">
        <v>5378</v>
      </c>
      <c r="C23" s="1190" t="s">
        <v>5377</v>
      </c>
      <c r="D23" s="246">
        <v>1300</v>
      </c>
      <c r="E23" s="246">
        <v>1700</v>
      </c>
      <c r="F23" s="246">
        <v>1700</v>
      </c>
      <c r="G23" s="70" t="s">
        <v>13</v>
      </c>
      <c r="H23" s="36" t="s">
        <v>659</v>
      </c>
      <c r="I23" s="50" t="s">
        <v>17</v>
      </c>
      <c r="J23" s="50"/>
      <c r="K23" s="50" t="s">
        <v>982</v>
      </c>
      <c r="L23" s="50" t="s">
        <v>847</v>
      </c>
      <c r="M23" s="108">
        <v>43081</v>
      </c>
      <c r="N23" s="108">
        <v>43100</v>
      </c>
      <c r="O23" s="59" t="s">
        <v>601</v>
      </c>
      <c r="P23" s="59"/>
      <c r="Q23" s="167"/>
      <c r="R23" s="238" t="s">
        <v>3468</v>
      </c>
      <c r="S23" s="319" t="s">
        <v>1176</v>
      </c>
      <c r="T23" s="857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</row>
    <row r="24" spans="1:32" s="121" customFormat="1" ht="20.100000000000001" customHeight="1">
      <c r="A24" s="1190" t="s">
        <v>4401</v>
      </c>
      <c r="B24" s="1190" t="s">
        <v>5378</v>
      </c>
      <c r="C24" s="1190" t="s">
        <v>5377</v>
      </c>
      <c r="D24" s="934">
        <v>1260</v>
      </c>
      <c r="E24" s="934">
        <v>1660</v>
      </c>
      <c r="F24" s="934">
        <v>1660</v>
      </c>
      <c r="G24" s="218" t="s">
        <v>12</v>
      </c>
      <c r="H24" s="36" t="s">
        <v>659</v>
      </c>
      <c r="I24" s="50" t="s">
        <v>17</v>
      </c>
      <c r="J24" s="50"/>
      <c r="K24" s="50" t="s">
        <v>982</v>
      </c>
      <c r="L24" s="50" t="s">
        <v>847</v>
      </c>
      <c r="M24" s="15">
        <v>43087</v>
      </c>
      <c r="N24" s="15">
        <v>43093</v>
      </c>
      <c r="O24" s="59"/>
      <c r="P24" s="59"/>
      <c r="Q24" s="167"/>
      <c r="R24" s="238" t="s">
        <v>5365</v>
      </c>
      <c r="S24" s="331" t="s">
        <v>1176</v>
      </c>
      <c r="T24" s="857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</row>
    <row r="25" spans="1:32" s="121" customFormat="1" ht="20.100000000000001" customHeight="1">
      <c r="A25" s="1190" t="s">
        <v>4401</v>
      </c>
      <c r="B25" s="1190" t="s">
        <v>5378</v>
      </c>
      <c r="C25" s="1190" t="s">
        <v>5377</v>
      </c>
      <c r="D25" s="988" t="s">
        <v>4377</v>
      </c>
      <c r="E25" s="988" t="s">
        <v>3713</v>
      </c>
      <c r="F25" s="988" t="s">
        <v>3713</v>
      </c>
      <c r="G25" s="70" t="s">
        <v>31</v>
      </c>
      <c r="H25" s="36">
        <v>5</v>
      </c>
      <c r="I25" s="50" t="s">
        <v>16</v>
      </c>
      <c r="J25" s="50"/>
      <c r="K25" s="50" t="s">
        <v>722</v>
      </c>
      <c r="L25" s="50" t="s">
        <v>653</v>
      </c>
      <c r="M25" s="6">
        <v>43080</v>
      </c>
      <c r="N25" s="6">
        <v>43100</v>
      </c>
      <c r="O25" s="59"/>
      <c r="P25" s="59"/>
      <c r="Q25" s="167"/>
      <c r="R25" s="238" t="s">
        <v>4402</v>
      </c>
      <c r="S25" s="325" t="s">
        <v>1176</v>
      </c>
      <c r="T25" s="921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</row>
    <row r="26" spans="1:32" s="121" customFormat="1" ht="20.100000000000001" customHeight="1">
      <c r="A26" s="1190" t="s">
        <v>4401</v>
      </c>
      <c r="B26" s="1190" t="s">
        <v>5378</v>
      </c>
      <c r="C26" s="1244" t="s">
        <v>5377</v>
      </c>
      <c r="D26" s="973" t="s">
        <v>4075</v>
      </c>
      <c r="E26" s="973" t="s">
        <v>4382</v>
      </c>
      <c r="F26" s="973" t="str">
        <f>E26</f>
        <v>1900</v>
      </c>
      <c r="G26" s="763" t="s">
        <v>5</v>
      </c>
      <c r="H26" s="36" t="s">
        <v>681</v>
      </c>
      <c r="I26" s="50" t="s">
        <v>17</v>
      </c>
      <c r="J26" s="50"/>
      <c r="K26" s="50" t="s">
        <v>982</v>
      </c>
      <c r="L26" s="50" t="s">
        <v>649</v>
      </c>
      <c r="M26" s="6">
        <v>43087</v>
      </c>
      <c r="N26" s="6">
        <v>43100</v>
      </c>
      <c r="O26" s="59" t="s">
        <v>1771</v>
      </c>
      <c r="P26" s="59"/>
      <c r="Q26" s="167"/>
      <c r="R26" s="238" t="s">
        <v>4442</v>
      </c>
      <c r="S26" s="331" t="s">
        <v>1176</v>
      </c>
      <c r="T26" s="922">
        <v>10</v>
      </c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</row>
    <row r="27" spans="1:32" s="121" customFormat="1" ht="20.100000000000001" customHeight="1">
      <c r="A27" s="1190" t="s">
        <v>4401</v>
      </c>
      <c r="B27" s="1190" t="s">
        <v>5378</v>
      </c>
      <c r="C27" s="1190" t="s">
        <v>5377</v>
      </c>
      <c r="D27" s="1003">
        <v>1350</v>
      </c>
      <c r="E27" s="1003">
        <v>1900</v>
      </c>
      <c r="F27" s="1003">
        <v>1900</v>
      </c>
      <c r="G27" s="70" t="s">
        <v>18</v>
      </c>
      <c r="H27" s="36" t="s">
        <v>681</v>
      </c>
      <c r="I27" s="50" t="s">
        <v>17</v>
      </c>
      <c r="J27" s="50"/>
      <c r="K27" s="50" t="s">
        <v>982</v>
      </c>
      <c r="L27" s="50" t="s">
        <v>649</v>
      </c>
      <c r="M27" s="6">
        <v>43080</v>
      </c>
      <c r="N27" s="6">
        <v>43100</v>
      </c>
      <c r="O27" s="50"/>
      <c r="P27" s="50"/>
      <c r="Q27" s="171"/>
      <c r="R27" s="238" t="s">
        <v>3463</v>
      </c>
      <c r="S27" s="316" t="s">
        <v>1176</v>
      </c>
      <c r="T27" s="859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</row>
    <row r="28" spans="1:32" s="121" customFormat="1" ht="20.100000000000001" customHeight="1">
      <c r="A28" s="1190" t="s">
        <v>4401</v>
      </c>
      <c r="B28" s="1190" t="s">
        <v>5371</v>
      </c>
      <c r="C28" s="1190" t="s">
        <v>5376</v>
      </c>
      <c r="D28" s="244" t="s">
        <v>3320</v>
      </c>
      <c r="E28" s="244" t="s">
        <v>3465</v>
      </c>
      <c r="F28" s="244" t="s">
        <v>3465</v>
      </c>
      <c r="G28" s="218" t="s">
        <v>51</v>
      </c>
      <c r="H28" s="69">
        <v>2</v>
      </c>
      <c r="I28" s="50" t="s">
        <v>17</v>
      </c>
      <c r="J28" s="37"/>
      <c r="K28" s="50" t="s">
        <v>722</v>
      </c>
      <c r="L28" s="124" t="s">
        <v>1481</v>
      </c>
      <c r="M28" s="108">
        <v>43080</v>
      </c>
      <c r="N28" s="108">
        <v>43100</v>
      </c>
      <c r="O28" s="59"/>
      <c r="P28" s="59"/>
      <c r="Q28" s="167"/>
      <c r="R28" s="238" t="s">
        <v>5369</v>
      </c>
      <c r="S28" s="331"/>
      <c r="T28" s="857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</row>
    <row r="29" spans="1:32" s="121" customFormat="1" ht="20.100000000000001" customHeight="1">
      <c r="A29" s="1190" t="s">
        <v>4401</v>
      </c>
      <c r="B29" s="1190" t="s">
        <v>5371</v>
      </c>
      <c r="C29" s="1190" t="s">
        <v>5376</v>
      </c>
      <c r="D29" s="934">
        <v>1260</v>
      </c>
      <c r="E29" s="934">
        <v>1660</v>
      </c>
      <c r="F29" s="934">
        <v>1660</v>
      </c>
      <c r="G29" s="218" t="s">
        <v>12</v>
      </c>
      <c r="H29" s="69">
        <v>2</v>
      </c>
      <c r="I29" s="50" t="s">
        <v>17</v>
      </c>
      <c r="J29" s="37"/>
      <c r="K29" s="50" t="s">
        <v>722</v>
      </c>
      <c r="L29" s="124" t="s">
        <v>1481</v>
      </c>
      <c r="M29" s="15">
        <v>43087</v>
      </c>
      <c r="N29" s="15">
        <v>43093</v>
      </c>
      <c r="O29" s="61"/>
      <c r="P29" s="61"/>
      <c r="Q29" s="167"/>
      <c r="R29" s="238" t="s">
        <v>168</v>
      </c>
      <c r="S29" s="331" t="s">
        <v>1176</v>
      </c>
      <c r="T29" s="857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</row>
    <row r="30" spans="1:32" s="121" customFormat="1" ht="20.100000000000001" customHeight="1">
      <c r="A30" s="1190" t="s">
        <v>4401</v>
      </c>
      <c r="B30" s="1190" t="s">
        <v>5371</v>
      </c>
      <c r="C30" s="1190" t="s">
        <v>5376</v>
      </c>
      <c r="D30" s="950">
        <v>1150</v>
      </c>
      <c r="E30" s="950">
        <v>1500</v>
      </c>
      <c r="F30" s="950">
        <v>1500</v>
      </c>
      <c r="G30" s="219" t="s">
        <v>22</v>
      </c>
      <c r="H30" s="69">
        <v>2</v>
      </c>
      <c r="I30" s="50" t="s">
        <v>17</v>
      </c>
      <c r="J30" s="37"/>
      <c r="K30" s="50" t="s">
        <v>722</v>
      </c>
      <c r="L30" s="124" t="s">
        <v>1481</v>
      </c>
      <c r="M30" s="108">
        <v>43081</v>
      </c>
      <c r="N30" s="108">
        <v>43100</v>
      </c>
      <c r="O30" s="59" t="s">
        <v>2545</v>
      </c>
      <c r="P30" s="59"/>
      <c r="Q30" s="167"/>
      <c r="R30" s="238" t="s">
        <v>5368</v>
      </c>
      <c r="S30" s="331" t="s">
        <v>1176</v>
      </c>
      <c r="T30" s="857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</row>
    <row r="31" spans="1:32" s="121" customFormat="1" ht="20.100000000000001" customHeight="1">
      <c r="A31" s="1190" t="s">
        <v>4401</v>
      </c>
      <c r="B31" s="1190" t="s">
        <v>5371</v>
      </c>
      <c r="C31" s="1190" t="s">
        <v>5376</v>
      </c>
      <c r="D31" s="950">
        <v>1300</v>
      </c>
      <c r="E31" s="950">
        <v>1700</v>
      </c>
      <c r="F31" s="950">
        <v>1700</v>
      </c>
      <c r="G31" s="218" t="s">
        <v>19</v>
      </c>
      <c r="H31" s="69">
        <v>2</v>
      </c>
      <c r="I31" s="50" t="s">
        <v>3432</v>
      </c>
      <c r="J31" s="37"/>
      <c r="K31" s="50" t="s">
        <v>2395</v>
      </c>
      <c r="L31" s="124" t="s">
        <v>653</v>
      </c>
      <c r="M31" s="6">
        <v>43070</v>
      </c>
      <c r="N31" s="6">
        <v>43083</v>
      </c>
      <c r="O31" s="61" t="s">
        <v>2440</v>
      </c>
      <c r="P31" s="61"/>
      <c r="Q31" s="167"/>
      <c r="R31" s="238" t="s">
        <v>1782</v>
      </c>
      <c r="S31" s="315" t="s">
        <v>3469</v>
      </c>
      <c r="T31" s="857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</row>
    <row r="32" spans="1:32" s="121" customFormat="1" ht="20.100000000000001" customHeight="1">
      <c r="A32" s="1190" t="s">
        <v>4401</v>
      </c>
      <c r="B32" s="1190" t="s">
        <v>5371</v>
      </c>
      <c r="C32" s="1190" t="s">
        <v>5376</v>
      </c>
      <c r="D32" s="984">
        <v>1250</v>
      </c>
      <c r="E32" s="984">
        <v>1700</v>
      </c>
      <c r="F32" s="984">
        <v>1700</v>
      </c>
      <c r="G32" s="70" t="s">
        <v>13</v>
      </c>
      <c r="H32" s="36" t="s">
        <v>659</v>
      </c>
      <c r="I32" s="50" t="s">
        <v>17</v>
      </c>
      <c r="J32" s="50"/>
      <c r="K32" s="50" t="s">
        <v>1242</v>
      </c>
      <c r="L32" s="50" t="s">
        <v>847</v>
      </c>
      <c r="M32" s="108">
        <v>43081</v>
      </c>
      <c r="N32" s="108">
        <v>43100</v>
      </c>
      <c r="O32" s="59" t="s">
        <v>601</v>
      </c>
      <c r="P32" s="59"/>
      <c r="Q32" s="167"/>
      <c r="R32" s="238" t="s">
        <v>3468</v>
      </c>
      <c r="S32" s="319" t="s">
        <v>1176</v>
      </c>
      <c r="T32" s="921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</row>
    <row r="33" spans="1:32" s="121" customFormat="1" ht="20.100000000000001" customHeight="1">
      <c r="A33" s="1190" t="s">
        <v>4401</v>
      </c>
      <c r="B33" s="1190" t="s">
        <v>5371</v>
      </c>
      <c r="C33" s="1190" t="s">
        <v>5376</v>
      </c>
      <c r="D33" s="934">
        <v>1260</v>
      </c>
      <c r="E33" s="934">
        <v>1660</v>
      </c>
      <c r="F33" s="934">
        <v>1660</v>
      </c>
      <c r="G33" s="218" t="s">
        <v>12</v>
      </c>
      <c r="H33" s="36" t="s">
        <v>659</v>
      </c>
      <c r="I33" s="50" t="s">
        <v>17</v>
      </c>
      <c r="J33" s="50"/>
      <c r="K33" s="50" t="s">
        <v>1242</v>
      </c>
      <c r="L33" s="50" t="s">
        <v>847</v>
      </c>
      <c r="M33" s="15">
        <v>43087</v>
      </c>
      <c r="N33" s="15">
        <v>43093</v>
      </c>
      <c r="O33" s="59"/>
      <c r="P33" s="59"/>
      <c r="Q33" s="167"/>
      <c r="R33" s="238" t="s">
        <v>5365</v>
      </c>
      <c r="S33" s="331" t="s">
        <v>1176</v>
      </c>
      <c r="T33" s="921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</row>
    <row r="34" spans="1:32" s="121" customFormat="1" ht="20.100000000000001" customHeight="1">
      <c r="A34" s="1190" t="s">
        <v>4401</v>
      </c>
      <c r="B34" s="1190" t="s">
        <v>5371</v>
      </c>
      <c r="C34" s="1190" t="s">
        <v>5376</v>
      </c>
      <c r="D34" s="244" t="s">
        <v>3320</v>
      </c>
      <c r="E34" s="244" t="s">
        <v>3465</v>
      </c>
      <c r="F34" s="244" t="s">
        <v>3465</v>
      </c>
      <c r="G34" s="218" t="s">
        <v>51</v>
      </c>
      <c r="H34" s="36" t="s">
        <v>659</v>
      </c>
      <c r="I34" s="50" t="s">
        <v>17</v>
      </c>
      <c r="J34" s="50"/>
      <c r="K34" s="50" t="s">
        <v>1242</v>
      </c>
      <c r="L34" s="50" t="s">
        <v>847</v>
      </c>
      <c r="M34" s="108">
        <v>43080</v>
      </c>
      <c r="N34" s="108">
        <v>43100</v>
      </c>
      <c r="O34" s="59"/>
      <c r="P34" s="59"/>
      <c r="Q34" s="167"/>
      <c r="R34" s="238" t="s">
        <v>3467</v>
      </c>
      <c r="S34" s="331"/>
      <c r="T34" s="921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</row>
    <row r="35" spans="1:32" s="121" customFormat="1" ht="20.100000000000001" customHeight="1">
      <c r="A35" s="1190" t="s">
        <v>4401</v>
      </c>
      <c r="B35" s="1190" t="s">
        <v>5371</v>
      </c>
      <c r="C35" s="1244" t="s">
        <v>5376</v>
      </c>
      <c r="D35" s="973" t="s">
        <v>4075</v>
      </c>
      <c r="E35" s="973" t="s">
        <v>4382</v>
      </c>
      <c r="F35" s="973" t="str">
        <f>E35</f>
        <v>1900</v>
      </c>
      <c r="G35" s="763" t="s">
        <v>5</v>
      </c>
      <c r="H35" s="36" t="s">
        <v>725</v>
      </c>
      <c r="I35" s="50" t="s">
        <v>17</v>
      </c>
      <c r="J35" s="50"/>
      <c r="K35" s="50">
        <v>36</v>
      </c>
      <c r="L35" s="50" t="s">
        <v>649</v>
      </c>
      <c r="M35" s="6">
        <v>43087</v>
      </c>
      <c r="N35" s="6">
        <v>43100</v>
      </c>
      <c r="O35" s="59" t="s">
        <v>1771</v>
      </c>
      <c r="P35" s="61"/>
      <c r="Q35" s="167"/>
      <c r="R35" s="238" t="s">
        <v>3467</v>
      </c>
      <c r="S35" s="315" t="s">
        <v>4452</v>
      </c>
      <c r="T35" s="922">
        <v>5</v>
      </c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</row>
    <row r="36" spans="1:32" s="121" customFormat="1" ht="20.100000000000001" customHeight="1">
      <c r="A36" s="1190" t="s">
        <v>4401</v>
      </c>
      <c r="B36" s="1190" t="s">
        <v>5371</v>
      </c>
      <c r="C36" s="1190" t="s">
        <v>5376</v>
      </c>
      <c r="D36" s="1003">
        <v>1350</v>
      </c>
      <c r="E36" s="1003">
        <v>1900</v>
      </c>
      <c r="F36" s="1003">
        <v>1900</v>
      </c>
      <c r="G36" s="70" t="s">
        <v>18</v>
      </c>
      <c r="H36" s="55" t="s">
        <v>725</v>
      </c>
      <c r="I36" s="50" t="s">
        <v>17</v>
      </c>
      <c r="J36" s="37"/>
      <c r="K36" s="50">
        <v>36</v>
      </c>
      <c r="L36" s="50" t="s">
        <v>649</v>
      </c>
      <c r="M36" s="6">
        <v>43080</v>
      </c>
      <c r="N36" s="6">
        <v>43100</v>
      </c>
      <c r="O36" s="232"/>
      <c r="P36" s="232"/>
      <c r="Q36" s="147"/>
      <c r="R36" s="238" t="s">
        <v>3471</v>
      </c>
      <c r="S36" s="316" t="s">
        <v>1176</v>
      </c>
      <c r="T36" s="859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</row>
    <row r="37" spans="1:32" s="121" customFormat="1" ht="20.100000000000001" customHeight="1">
      <c r="A37" s="1190" t="s">
        <v>4401</v>
      </c>
      <c r="B37" s="1190" t="s">
        <v>5371</v>
      </c>
      <c r="C37" s="1190" t="s">
        <v>5376</v>
      </c>
      <c r="D37" s="988" t="s">
        <v>4377</v>
      </c>
      <c r="E37" s="988" t="s">
        <v>3713</v>
      </c>
      <c r="F37" s="988" t="s">
        <v>3713</v>
      </c>
      <c r="G37" s="70" t="s">
        <v>31</v>
      </c>
      <c r="H37" s="36">
        <v>5</v>
      </c>
      <c r="I37" s="50" t="s">
        <v>16</v>
      </c>
      <c r="J37" s="50"/>
      <c r="K37" s="50">
        <v>41</v>
      </c>
      <c r="L37" s="50" t="s">
        <v>653</v>
      </c>
      <c r="M37" s="6">
        <v>43080</v>
      </c>
      <c r="N37" s="6">
        <v>43100</v>
      </c>
      <c r="O37" s="144"/>
      <c r="P37" s="144"/>
      <c r="Q37" s="167"/>
      <c r="R37" s="238" t="s">
        <v>4402</v>
      </c>
      <c r="S37" s="325" t="s">
        <v>1176</v>
      </c>
      <c r="T37" s="921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</row>
    <row r="38" spans="1:32" s="121" customFormat="1" ht="20.100000000000001" customHeight="1">
      <c r="A38" s="295" t="s">
        <v>4398</v>
      </c>
      <c r="B38" s="903" t="s">
        <v>4060</v>
      </c>
      <c r="C38" s="903" t="s">
        <v>4059</v>
      </c>
      <c r="D38" s="244" t="s">
        <v>3320</v>
      </c>
      <c r="E38" s="244" t="s">
        <v>3465</v>
      </c>
      <c r="F38" s="244" t="s">
        <v>3465</v>
      </c>
      <c r="G38" s="70" t="s">
        <v>51</v>
      </c>
      <c r="H38" s="36" t="s">
        <v>3397</v>
      </c>
      <c r="I38" s="50" t="s">
        <v>5375</v>
      </c>
      <c r="J38" s="50"/>
      <c r="K38" s="50" t="s">
        <v>986</v>
      </c>
      <c r="L38" s="50" t="s">
        <v>847</v>
      </c>
      <c r="M38" s="108">
        <v>43080</v>
      </c>
      <c r="N38" s="108">
        <v>43100</v>
      </c>
      <c r="O38" s="144"/>
      <c r="P38" s="144"/>
      <c r="Q38" s="167"/>
      <c r="R38" s="238" t="s">
        <v>5374</v>
      </c>
      <c r="S38" s="325"/>
      <c r="T38" s="921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</row>
    <row r="39" spans="1:32" s="121" customFormat="1" ht="20.100000000000001" customHeight="1">
      <c r="A39" s="1190" t="s">
        <v>4401</v>
      </c>
      <c r="B39" s="1190" t="s">
        <v>5371</v>
      </c>
      <c r="C39" s="1190" t="s">
        <v>5373</v>
      </c>
      <c r="D39" s="244" t="s">
        <v>3320</v>
      </c>
      <c r="E39" s="244" t="s">
        <v>3465</v>
      </c>
      <c r="F39" s="244" t="s">
        <v>3465</v>
      </c>
      <c r="G39" s="218" t="s">
        <v>51</v>
      </c>
      <c r="H39" s="69">
        <v>2</v>
      </c>
      <c r="I39" s="50" t="s">
        <v>17</v>
      </c>
      <c r="J39" s="37"/>
      <c r="K39" s="50" t="s">
        <v>683</v>
      </c>
      <c r="L39" s="124" t="s">
        <v>1481</v>
      </c>
      <c r="M39" s="108">
        <v>43080</v>
      </c>
      <c r="N39" s="108">
        <v>43100</v>
      </c>
      <c r="O39" s="59"/>
      <c r="P39" s="59"/>
      <c r="Q39" s="167"/>
      <c r="R39" s="238" t="s">
        <v>5369</v>
      </c>
      <c r="S39" s="331"/>
      <c r="T39" s="857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</row>
    <row r="40" spans="1:32" s="121" customFormat="1" ht="20.100000000000001" customHeight="1">
      <c r="A40" s="1190" t="s">
        <v>4401</v>
      </c>
      <c r="B40" s="1190" t="s">
        <v>5371</v>
      </c>
      <c r="C40" s="1190" t="s">
        <v>5373</v>
      </c>
      <c r="D40" s="934">
        <v>1260</v>
      </c>
      <c r="E40" s="934">
        <v>1660</v>
      </c>
      <c r="F40" s="934">
        <v>1660</v>
      </c>
      <c r="G40" s="218" t="s">
        <v>12</v>
      </c>
      <c r="H40" s="69">
        <v>2</v>
      </c>
      <c r="I40" s="50" t="s">
        <v>17</v>
      </c>
      <c r="J40" s="37"/>
      <c r="K40" s="50" t="s">
        <v>683</v>
      </c>
      <c r="L40" s="124" t="s">
        <v>1481</v>
      </c>
      <c r="M40" s="15">
        <v>43087</v>
      </c>
      <c r="N40" s="15">
        <v>43093</v>
      </c>
      <c r="O40" s="61"/>
      <c r="P40" s="61"/>
      <c r="Q40" s="167"/>
      <c r="R40" s="238" t="s">
        <v>168</v>
      </c>
      <c r="S40" s="331" t="s">
        <v>1176</v>
      </c>
      <c r="T40" s="857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</row>
    <row r="41" spans="1:32" s="121" customFormat="1" ht="20.100000000000001" customHeight="1">
      <c r="A41" s="1190" t="s">
        <v>4401</v>
      </c>
      <c r="B41" s="1190" t="s">
        <v>5371</v>
      </c>
      <c r="C41" s="1190" t="s">
        <v>5373</v>
      </c>
      <c r="D41" s="950">
        <v>1150</v>
      </c>
      <c r="E41" s="950">
        <v>1500</v>
      </c>
      <c r="F41" s="950">
        <v>1500</v>
      </c>
      <c r="G41" s="219" t="s">
        <v>22</v>
      </c>
      <c r="H41" s="69">
        <v>2</v>
      </c>
      <c r="I41" s="50" t="s">
        <v>17</v>
      </c>
      <c r="J41" s="37"/>
      <c r="K41" s="50" t="s">
        <v>683</v>
      </c>
      <c r="L41" s="124" t="s">
        <v>1481</v>
      </c>
      <c r="M41" s="108">
        <v>43081</v>
      </c>
      <c r="N41" s="108">
        <v>43100</v>
      </c>
      <c r="O41" s="59" t="s">
        <v>2545</v>
      </c>
      <c r="P41" s="59"/>
      <c r="Q41" s="167"/>
      <c r="R41" s="238" t="s">
        <v>5368</v>
      </c>
      <c r="S41" s="331" t="s">
        <v>1176</v>
      </c>
      <c r="T41" s="857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</row>
    <row r="42" spans="1:32" s="121" customFormat="1" ht="20.100000000000001" customHeight="1">
      <c r="A42" s="1190" t="s">
        <v>4401</v>
      </c>
      <c r="B42" s="1190" t="s">
        <v>5371</v>
      </c>
      <c r="C42" s="1190" t="s">
        <v>5373</v>
      </c>
      <c r="D42" s="950">
        <v>1300</v>
      </c>
      <c r="E42" s="950">
        <v>1700</v>
      </c>
      <c r="F42" s="950">
        <v>1700</v>
      </c>
      <c r="G42" s="218" t="s">
        <v>19</v>
      </c>
      <c r="H42" s="69">
        <v>2</v>
      </c>
      <c r="I42" s="50" t="s">
        <v>3432</v>
      </c>
      <c r="J42" s="37"/>
      <c r="K42" s="50" t="s">
        <v>2395</v>
      </c>
      <c r="L42" s="124" t="s">
        <v>653</v>
      </c>
      <c r="M42" s="6">
        <v>43070</v>
      </c>
      <c r="N42" s="6">
        <v>43083</v>
      </c>
      <c r="O42" s="61" t="s">
        <v>2440</v>
      </c>
      <c r="P42" s="61"/>
      <c r="Q42" s="167"/>
      <c r="R42" s="238" t="s">
        <v>1782</v>
      </c>
      <c r="S42" s="315" t="s">
        <v>3469</v>
      </c>
      <c r="T42" s="857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</row>
    <row r="43" spans="1:32" s="121" customFormat="1" ht="20.100000000000001" customHeight="1">
      <c r="A43" s="1190" t="s">
        <v>4401</v>
      </c>
      <c r="B43" s="1190" t="s">
        <v>5371</v>
      </c>
      <c r="C43" s="1190" t="s">
        <v>5373</v>
      </c>
      <c r="D43" s="244" t="s">
        <v>3320</v>
      </c>
      <c r="E43" s="244" t="s">
        <v>3465</v>
      </c>
      <c r="F43" s="244" t="s">
        <v>3465</v>
      </c>
      <c r="G43" s="218" t="s">
        <v>51</v>
      </c>
      <c r="H43" s="69">
        <v>2</v>
      </c>
      <c r="I43" s="50" t="s">
        <v>17</v>
      </c>
      <c r="J43" s="50"/>
      <c r="K43" s="50" t="s">
        <v>975</v>
      </c>
      <c r="L43" s="50" t="s">
        <v>847</v>
      </c>
      <c r="M43" s="108">
        <v>43080</v>
      </c>
      <c r="N43" s="108">
        <v>43100</v>
      </c>
      <c r="O43" s="59"/>
      <c r="P43" s="61"/>
      <c r="Q43" s="171"/>
      <c r="R43" s="238" t="s">
        <v>4346</v>
      </c>
      <c r="S43" s="316"/>
      <c r="T43" s="857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</row>
    <row r="44" spans="1:32" s="121" customFormat="1" ht="20.100000000000001" customHeight="1">
      <c r="A44" s="1190" t="s">
        <v>4401</v>
      </c>
      <c r="B44" s="1190" t="s">
        <v>5371</v>
      </c>
      <c r="C44" s="1190" t="s">
        <v>5373</v>
      </c>
      <c r="D44" s="984">
        <v>1250</v>
      </c>
      <c r="E44" s="984">
        <v>1700</v>
      </c>
      <c r="F44" s="984">
        <v>1700</v>
      </c>
      <c r="G44" s="70" t="s">
        <v>13</v>
      </c>
      <c r="H44" s="36">
        <v>2</v>
      </c>
      <c r="I44" s="50" t="s">
        <v>17</v>
      </c>
      <c r="J44" s="50"/>
      <c r="K44" s="50" t="s">
        <v>975</v>
      </c>
      <c r="L44" s="50" t="s">
        <v>847</v>
      </c>
      <c r="M44" s="108">
        <v>43081</v>
      </c>
      <c r="N44" s="108">
        <v>43100</v>
      </c>
      <c r="O44" s="59" t="s">
        <v>601</v>
      </c>
      <c r="P44" s="59"/>
      <c r="Q44" s="171"/>
      <c r="R44" s="238" t="s">
        <v>3472</v>
      </c>
      <c r="S44" s="319" t="s">
        <v>1176</v>
      </c>
      <c r="T44" s="921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</row>
    <row r="45" spans="1:32" s="121" customFormat="1" ht="20.100000000000001" customHeight="1">
      <c r="A45" s="1190" t="s">
        <v>4401</v>
      </c>
      <c r="B45" s="1190" t="s">
        <v>5371</v>
      </c>
      <c r="C45" s="1244" t="s">
        <v>5373</v>
      </c>
      <c r="D45" s="973" t="s">
        <v>4075</v>
      </c>
      <c r="E45" s="973" t="s">
        <v>4382</v>
      </c>
      <c r="F45" s="973" t="str">
        <f>E45</f>
        <v>1900</v>
      </c>
      <c r="G45" s="763" t="s">
        <v>5</v>
      </c>
      <c r="H45" s="36" t="s">
        <v>725</v>
      </c>
      <c r="I45" s="50" t="s">
        <v>17</v>
      </c>
      <c r="J45" s="50"/>
      <c r="K45" s="50" t="s">
        <v>975</v>
      </c>
      <c r="L45" s="50" t="s">
        <v>649</v>
      </c>
      <c r="M45" s="6">
        <v>43087</v>
      </c>
      <c r="N45" s="6">
        <v>43100</v>
      </c>
      <c r="O45" s="59" t="s">
        <v>1771</v>
      </c>
      <c r="P45" s="61"/>
      <c r="Q45" s="167"/>
      <c r="R45" s="238" t="s">
        <v>3467</v>
      </c>
      <c r="S45" s="315" t="s">
        <v>4452</v>
      </c>
      <c r="T45" s="922">
        <v>5</v>
      </c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</row>
    <row r="46" spans="1:32" s="121" customFormat="1" ht="20.100000000000001" customHeight="1">
      <c r="A46" s="1190" t="s">
        <v>4401</v>
      </c>
      <c r="B46" s="1190" t="s">
        <v>5371</v>
      </c>
      <c r="C46" s="1190" t="s">
        <v>5373</v>
      </c>
      <c r="D46" s="1003">
        <v>1350</v>
      </c>
      <c r="E46" s="1003">
        <v>1900</v>
      </c>
      <c r="F46" s="1003">
        <v>1900</v>
      </c>
      <c r="G46" s="70" t="s">
        <v>18</v>
      </c>
      <c r="H46" s="36" t="s">
        <v>725</v>
      </c>
      <c r="I46" s="50" t="s">
        <v>17</v>
      </c>
      <c r="J46" s="37"/>
      <c r="K46" s="50" t="s">
        <v>975</v>
      </c>
      <c r="L46" s="50" t="s">
        <v>649</v>
      </c>
      <c r="M46" s="6">
        <v>43080</v>
      </c>
      <c r="N46" s="6">
        <v>43100</v>
      </c>
      <c r="O46" s="37"/>
      <c r="P46" s="37"/>
      <c r="Q46" s="147"/>
      <c r="R46" s="238" t="s">
        <v>3471</v>
      </c>
      <c r="S46" s="316" t="s">
        <v>1176</v>
      </c>
      <c r="T46" s="858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</row>
    <row r="47" spans="1:32" s="121" customFormat="1" ht="20.100000000000001" customHeight="1">
      <c r="A47" s="1190" t="s">
        <v>4401</v>
      </c>
      <c r="B47" s="1190" t="s">
        <v>5371</v>
      </c>
      <c r="C47" s="1190" t="s">
        <v>5373</v>
      </c>
      <c r="D47" s="988" t="s">
        <v>4377</v>
      </c>
      <c r="E47" s="988" t="s">
        <v>3713</v>
      </c>
      <c r="F47" s="988" t="s">
        <v>3713</v>
      </c>
      <c r="G47" s="70" t="s">
        <v>31</v>
      </c>
      <c r="H47" s="36">
        <v>5</v>
      </c>
      <c r="I47" s="50" t="s">
        <v>16</v>
      </c>
      <c r="J47" s="50"/>
      <c r="K47" s="50">
        <v>56</v>
      </c>
      <c r="L47" s="50" t="s">
        <v>653</v>
      </c>
      <c r="M47" s="6">
        <v>43080</v>
      </c>
      <c r="N47" s="6">
        <v>43100</v>
      </c>
      <c r="O47" s="144"/>
      <c r="P47" s="144"/>
      <c r="Q47" s="167"/>
      <c r="R47" s="238" t="s">
        <v>4402</v>
      </c>
      <c r="S47" s="325" t="s">
        <v>1176</v>
      </c>
      <c r="T47" s="921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</row>
    <row r="48" spans="1:32" s="121" customFormat="1" ht="20.100000000000001" customHeight="1">
      <c r="A48" s="1190" t="s">
        <v>4401</v>
      </c>
      <c r="B48" s="1190" t="s">
        <v>5371</v>
      </c>
      <c r="C48" s="1190" t="s">
        <v>5370</v>
      </c>
      <c r="D48" s="246">
        <v>1350</v>
      </c>
      <c r="E48" s="246">
        <v>1800</v>
      </c>
      <c r="F48" s="246">
        <v>1800</v>
      </c>
      <c r="G48" s="70" t="s">
        <v>13</v>
      </c>
      <c r="H48" s="36">
        <v>2</v>
      </c>
      <c r="I48" s="50" t="s">
        <v>17</v>
      </c>
      <c r="J48" s="50"/>
      <c r="K48" s="50" t="s">
        <v>1242</v>
      </c>
      <c r="L48" s="50" t="s">
        <v>847</v>
      </c>
      <c r="M48" s="108">
        <v>43081</v>
      </c>
      <c r="N48" s="108">
        <v>43100</v>
      </c>
      <c r="O48" s="59" t="s">
        <v>601</v>
      </c>
      <c r="P48" s="59"/>
      <c r="Q48" s="171"/>
      <c r="R48" s="238" t="s">
        <v>3472</v>
      </c>
      <c r="S48" s="319" t="s">
        <v>1176</v>
      </c>
      <c r="T48" s="125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</row>
    <row r="49" spans="1:32" s="121" customFormat="1" ht="20.100000000000001" customHeight="1">
      <c r="A49" s="1190" t="s">
        <v>4401</v>
      </c>
      <c r="B49" s="1190" t="s">
        <v>5371</v>
      </c>
      <c r="C49" s="1190" t="s">
        <v>5370</v>
      </c>
      <c r="D49" s="1004" t="s">
        <v>5372</v>
      </c>
      <c r="E49" s="1004" t="s">
        <v>5309</v>
      </c>
      <c r="F49" s="1004" t="s">
        <v>5309</v>
      </c>
      <c r="G49" s="218" t="s">
        <v>51</v>
      </c>
      <c r="H49" s="69">
        <v>2</v>
      </c>
      <c r="I49" s="50" t="s">
        <v>17</v>
      </c>
      <c r="J49" s="50"/>
      <c r="K49" s="50" t="s">
        <v>1242</v>
      </c>
      <c r="L49" s="50" t="s">
        <v>847</v>
      </c>
      <c r="M49" s="108">
        <v>43080</v>
      </c>
      <c r="N49" s="108">
        <v>43100</v>
      </c>
      <c r="O49" s="59"/>
      <c r="P49" s="59"/>
      <c r="Q49" s="171"/>
      <c r="R49" s="238" t="s">
        <v>4346</v>
      </c>
      <c r="S49" s="331"/>
      <c r="T49" s="125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</row>
    <row r="50" spans="1:32" s="120" customFormat="1" ht="20.100000000000001" customHeight="1">
      <c r="A50" s="1190" t="s">
        <v>4401</v>
      </c>
      <c r="B50" s="1190" t="s">
        <v>5371</v>
      </c>
      <c r="C50" s="1244" t="s">
        <v>5370</v>
      </c>
      <c r="D50" s="973" t="s">
        <v>4377</v>
      </c>
      <c r="E50" s="973" t="s">
        <v>4386</v>
      </c>
      <c r="F50" s="973" t="str">
        <f>E50</f>
        <v>2000</v>
      </c>
      <c r="G50" s="763" t="s">
        <v>5</v>
      </c>
      <c r="H50" s="36" t="s">
        <v>725</v>
      </c>
      <c r="I50" s="50" t="s">
        <v>17</v>
      </c>
      <c r="J50" s="50"/>
      <c r="K50" s="50" t="s">
        <v>2395</v>
      </c>
      <c r="L50" s="50" t="s">
        <v>649</v>
      </c>
      <c r="M50" s="6">
        <v>43087</v>
      </c>
      <c r="N50" s="6">
        <v>43100</v>
      </c>
      <c r="O50" s="59" t="s">
        <v>1771</v>
      </c>
      <c r="P50" s="61"/>
      <c r="Q50" s="167"/>
      <c r="R50" s="238" t="s">
        <v>3467</v>
      </c>
      <c r="S50" s="315" t="s">
        <v>4452</v>
      </c>
      <c r="T50" s="922">
        <v>5</v>
      </c>
    </row>
    <row r="51" spans="1:32" s="120" customFormat="1" ht="20.100000000000001" customHeight="1">
      <c r="A51" s="1190" t="s">
        <v>4401</v>
      </c>
      <c r="B51" s="1190" t="s">
        <v>5371</v>
      </c>
      <c r="C51" s="1190" t="s">
        <v>5370</v>
      </c>
      <c r="D51" s="993" t="s">
        <v>4310</v>
      </c>
      <c r="E51" s="993" t="s">
        <v>4386</v>
      </c>
      <c r="F51" s="993" t="s">
        <v>4386</v>
      </c>
      <c r="G51" s="70" t="s">
        <v>18</v>
      </c>
      <c r="H51" s="36" t="s">
        <v>725</v>
      </c>
      <c r="I51" s="50" t="s">
        <v>17</v>
      </c>
      <c r="J51" s="37"/>
      <c r="K51" s="50" t="s">
        <v>2395</v>
      </c>
      <c r="L51" s="50" t="s">
        <v>649</v>
      </c>
      <c r="M51" s="6">
        <v>43080</v>
      </c>
      <c r="N51" s="6">
        <v>43100</v>
      </c>
      <c r="O51" s="37"/>
      <c r="P51" s="37"/>
      <c r="Q51" s="147"/>
      <c r="R51" s="238" t="s">
        <v>3471</v>
      </c>
      <c r="S51" s="316" t="s">
        <v>1176</v>
      </c>
      <c r="T51" s="859"/>
    </row>
    <row r="52" spans="1:32" s="120" customFormat="1" ht="20.100000000000001" customHeight="1">
      <c r="A52" s="1190" t="s">
        <v>4401</v>
      </c>
      <c r="B52" s="1190" t="s">
        <v>5371</v>
      </c>
      <c r="C52" s="1190" t="s">
        <v>5370</v>
      </c>
      <c r="D52" s="988" t="s">
        <v>4377</v>
      </c>
      <c r="E52" s="988" t="s">
        <v>3713</v>
      </c>
      <c r="F52" s="988" t="s">
        <v>3713</v>
      </c>
      <c r="G52" s="70" t="s">
        <v>31</v>
      </c>
      <c r="H52" s="36">
        <v>5</v>
      </c>
      <c r="I52" s="50" t="s">
        <v>16</v>
      </c>
      <c r="J52" s="50"/>
      <c r="K52" s="50" t="s">
        <v>985</v>
      </c>
      <c r="L52" s="50" t="s">
        <v>653</v>
      </c>
      <c r="M52" s="6">
        <v>43080</v>
      </c>
      <c r="N52" s="6">
        <v>43100</v>
      </c>
      <c r="O52" s="144"/>
      <c r="P52" s="144"/>
      <c r="Q52" s="167"/>
      <c r="R52" s="238" t="s">
        <v>4402</v>
      </c>
      <c r="S52" s="325" t="s">
        <v>1176</v>
      </c>
      <c r="T52" s="859"/>
    </row>
    <row r="53" spans="1:32" s="120" customFormat="1" ht="20.100000000000001" customHeight="1">
      <c r="A53" s="1190" t="s">
        <v>4401</v>
      </c>
      <c r="B53" s="1190" t="s">
        <v>5367</v>
      </c>
      <c r="C53" s="1190" t="s">
        <v>5366</v>
      </c>
      <c r="D53" s="244" t="s">
        <v>3320</v>
      </c>
      <c r="E53" s="244" t="s">
        <v>3465</v>
      </c>
      <c r="F53" s="244" t="s">
        <v>3465</v>
      </c>
      <c r="G53" s="218" t="s">
        <v>51</v>
      </c>
      <c r="H53" s="54">
        <v>2</v>
      </c>
      <c r="I53" s="50" t="s">
        <v>17</v>
      </c>
      <c r="J53" s="37"/>
      <c r="K53" s="50" t="s">
        <v>982</v>
      </c>
      <c r="L53" s="124" t="s">
        <v>1481</v>
      </c>
      <c r="M53" s="108">
        <v>43080</v>
      </c>
      <c r="N53" s="108">
        <v>43100</v>
      </c>
      <c r="O53" s="61"/>
      <c r="P53" s="61"/>
      <c r="Q53" s="167"/>
      <c r="R53" s="238" t="s">
        <v>5369</v>
      </c>
      <c r="S53" s="331"/>
      <c r="T53" s="859"/>
    </row>
    <row r="54" spans="1:32" s="120" customFormat="1" ht="20.100000000000001" customHeight="1">
      <c r="A54" s="1190" t="s">
        <v>4401</v>
      </c>
      <c r="B54" s="1190" t="s">
        <v>5367</v>
      </c>
      <c r="C54" s="1190" t="s">
        <v>5366</v>
      </c>
      <c r="D54" s="950">
        <v>1150</v>
      </c>
      <c r="E54" s="950">
        <v>1500</v>
      </c>
      <c r="F54" s="950">
        <v>1500</v>
      </c>
      <c r="G54" s="218" t="s">
        <v>22</v>
      </c>
      <c r="H54" s="69">
        <v>2</v>
      </c>
      <c r="I54" s="50" t="s">
        <v>17</v>
      </c>
      <c r="J54" s="37"/>
      <c r="K54" s="50" t="s">
        <v>982</v>
      </c>
      <c r="L54" s="124" t="s">
        <v>1481</v>
      </c>
      <c r="M54" s="108">
        <v>43081</v>
      </c>
      <c r="N54" s="108">
        <v>43100</v>
      </c>
      <c r="O54" s="59" t="s">
        <v>2545</v>
      </c>
      <c r="P54" s="59"/>
      <c r="Q54" s="167"/>
      <c r="R54" s="238" t="s">
        <v>5368</v>
      </c>
      <c r="S54" s="331" t="s">
        <v>1176</v>
      </c>
      <c r="T54" s="857"/>
    </row>
    <row r="55" spans="1:32" s="120" customFormat="1" ht="20.100000000000001" customHeight="1">
      <c r="A55" s="1190" t="s">
        <v>4401</v>
      </c>
      <c r="B55" s="1190" t="s">
        <v>5367</v>
      </c>
      <c r="C55" s="1190" t="s">
        <v>5366</v>
      </c>
      <c r="D55" s="934">
        <v>1260</v>
      </c>
      <c r="E55" s="934">
        <v>1660</v>
      </c>
      <c r="F55" s="934">
        <v>1660</v>
      </c>
      <c r="G55" s="218" t="s">
        <v>12</v>
      </c>
      <c r="H55" s="69">
        <v>2</v>
      </c>
      <c r="I55" s="50" t="s">
        <v>17</v>
      </c>
      <c r="J55" s="37"/>
      <c r="K55" s="50" t="s">
        <v>982</v>
      </c>
      <c r="L55" s="124" t="s">
        <v>1481</v>
      </c>
      <c r="M55" s="15">
        <v>43087</v>
      </c>
      <c r="N55" s="15">
        <v>43093</v>
      </c>
      <c r="O55" s="61"/>
      <c r="P55" s="61"/>
      <c r="Q55" s="167"/>
      <c r="R55" s="238" t="s">
        <v>168</v>
      </c>
      <c r="S55" s="331" t="s">
        <v>1176</v>
      </c>
      <c r="T55" s="857"/>
    </row>
    <row r="56" spans="1:32" s="120" customFormat="1" ht="20.100000000000001" customHeight="1">
      <c r="A56" s="1190" t="s">
        <v>4401</v>
      </c>
      <c r="B56" s="1190" t="s">
        <v>5367</v>
      </c>
      <c r="C56" s="1190" t="s">
        <v>5366</v>
      </c>
      <c r="D56" s="950">
        <v>1300</v>
      </c>
      <c r="E56" s="950">
        <v>1700</v>
      </c>
      <c r="F56" s="950">
        <v>1700</v>
      </c>
      <c r="G56" s="218" t="s">
        <v>19</v>
      </c>
      <c r="H56" s="69">
        <v>2</v>
      </c>
      <c r="I56" s="50" t="s">
        <v>3432</v>
      </c>
      <c r="J56" s="37"/>
      <c r="K56" s="50" t="s">
        <v>984</v>
      </c>
      <c r="L56" s="124" t="s">
        <v>653</v>
      </c>
      <c r="M56" s="6">
        <v>43070</v>
      </c>
      <c r="N56" s="6">
        <v>43083</v>
      </c>
      <c r="O56" s="61" t="s">
        <v>2440</v>
      </c>
      <c r="P56" s="61"/>
      <c r="Q56" s="167"/>
      <c r="R56" s="238" t="s">
        <v>1782</v>
      </c>
      <c r="S56" s="315" t="s">
        <v>3469</v>
      </c>
      <c r="T56" s="857"/>
    </row>
    <row r="57" spans="1:32" s="120" customFormat="1" ht="20.100000000000001" customHeight="1">
      <c r="A57" s="1190" t="s">
        <v>4401</v>
      </c>
      <c r="B57" s="1190" t="s">
        <v>5367</v>
      </c>
      <c r="C57" s="1190" t="s">
        <v>5366</v>
      </c>
      <c r="D57" s="244" t="s">
        <v>3320</v>
      </c>
      <c r="E57" s="244" t="s">
        <v>3465</v>
      </c>
      <c r="F57" s="244" t="s">
        <v>3465</v>
      </c>
      <c r="G57" s="218" t="s">
        <v>51</v>
      </c>
      <c r="H57" s="69">
        <v>2</v>
      </c>
      <c r="I57" s="50" t="s">
        <v>17</v>
      </c>
      <c r="J57" s="50"/>
      <c r="K57" s="50" t="s">
        <v>835</v>
      </c>
      <c r="L57" s="50" t="s">
        <v>847</v>
      </c>
      <c r="M57" s="108">
        <v>43080</v>
      </c>
      <c r="N57" s="108">
        <v>43100</v>
      </c>
      <c r="O57" s="59"/>
      <c r="P57" s="61"/>
      <c r="Q57" s="171"/>
      <c r="R57" s="238" t="s">
        <v>4346</v>
      </c>
      <c r="S57" s="316"/>
      <c r="T57" s="857"/>
    </row>
    <row r="58" spans="1:32" s="120" customFormat="1" ht="20.100000000000001" customHeight="1">
      <c r="A58" s="1190" t="s">
        <v>4401</v>
      </c>
      <c r="B58" s="1190" t="s">
        <v>5367</v>
      </c>
      <c r="C58" s="1190" t="s">
        <v>5366</v>
      </c>
      <c r="D58" s="984">
        <v>1250</v>
      </c>
      <c r="E58" s="984">
        <v>1700</v>
      </c>
      <c r="F58" s="984">
        <v>1700</v>
      </c>
      <c r="G58" s="70" t="s">
        <v>13</v>
      </c>
      <c r="H58" s="36">
        <v>2</v>
      </c>
      <c r="I58" s="50" t="s">
        <v>17</v>
      </c>
      <c r="J58" s="50"/>
      <c r="K58" s="50" t="s">
        <v>835</v>
      </c>
      <c r="L58" s="50" t="s">
        <v>847</v>
      </c>
      <c r="M58" s="108">
        <v>43081</v>
      </c>
      <c r="N58" s="108">
        <v>43100</v>
      </c>
      <c r="O58" s="59" t="s">
        <v>601</v>
      </c>
      <c r="P58" s="59"/>
      <c r="Q58" s="171"/>
      <c r="R58" s="238" t="s">
        <v>3472</v>
      </c>
      <c r="S58" s="319" t="s">
        <v>1176</v>
      </c>
      <c r="T58" s="921"/>
    </row>
    <row r="59" spans="1:32" s="120" customFormat="1" ht="20.100000000000001" customHeight="1">
      <c r="A59" s="1190" t="s">
        <v>4401</v>
      </c>
      <c r="B59" s="1190" t="s">
        <v>5367</v>
      </c>
      <c r="C59" s="1244" t="s">
        <v>5366</v>
      </c>
      <c r="D59" s="973" t="s">
        <v>4075</v>
      </c>
      <c r="E59" s="973" t="s">
        <v>4382</v>
      </c>
      <c r="F59" s="973" t="str">
        <f>E59</f>
        <v>1900</v>
      </c>
      <c r="G59" s="763" t="s">
        <v>5</v>
      </c>
      <c r="H59" s="194">
        <v>4</v>
      </c>
      <c r="I59" s="50" t="s">
        <v>17</v>
      </c>
      <c r="J59" s="50"/>
      <c r="K59" s="50" t="s">
        <v>835</v>
      </c>
      <c r="L59" s="50" t="s">
        <v>653</v>
      </c>
      <c r="M59" s="6">
        <v>43087</v>
      </c>
      <c r="N59" s="6">
        <v>43100</v>
      </c>
      <c r="O59" s="59" t="s">
        <v>1771</v>
      </c>
      <c r="P59" s="59"/>
      <c r="Q59" s="167"/>
      <c r="R59" s="238" t="s">
        <v>1694</v>
      </c>
      <c r="S59" s="315" t="s">
        <v>4452</v>
      </c>
      <c r="T59" s="863">
        <v>11</v>
      </c>
    </row>
    <row r="60" spans="1:32" s="120" customFormat="1" ht="20.100000000000001" customHeight="1">
      <c r="A60" s="1190" t="s">
        <v>4401</v>
      </c>
      <c r="B60" s="1190" t="s">
        <v>5367</v>
      </c>
      <c r="C60" s="1190" t="s">
        <v>5366</v>
      </c>
      <c r="D60" s="1003">
        <v>1350</v>
      </c>
      <c r="E60" s="1003">
        <v>1900</v>
      </c>
      <c r="F60" s="1003">
        <v>1900</v>
      </c>
      <c r="G60" s="70" t="s">
        <v>18</v>
      </c>
      <c r="H60" s="36" t="s">
        <v>725</v>
      </c>
      <c r="I60" s="50" t="s">
        <v>17</v>
      </c>
      <c r="J60" s="50"/>
      <c r="K60" s="50" t="s">
        <v>835</v>
      </c>
      <c r="L60" s="50" t="s">
        <v>653</v>
      </c>
      <c r="M60" s="6">
        <v>43080</v>
      </c>
      <c r="N60" s="6">
        <v>43100</v>
      </c>
      <c r="O60" s="124"/>
      <c r="P60" s="124"/>
      <c r="Q60" s="167"/>
      <c r="R60" s="238" t="s">
        <v>3466</v>
      </c>
      <c r="S60" s="316" t="s">
        <v>1176</v>
      </c>
      <c r="T60" s="859"/>
    </row>
    <row r="61" spans="1:32" s="120" customFormat="1" ht="20.100000000000001" customHeight="1">
      <c r="A61" s="1190" t="s">
        <v>4401</v>
      </c>
      <c r="B61" s="1190" t="s">
        <v>5367</v>
      </c>
      <c r="C61" s="1244" t="s">
        <v>5366</v>
      </c>
      <c r="D61" s="973" t="s">
        <v>4075</v>
      </c>
      <c r="E61" s="973" t="s">
        <v>4382</v>
      </c>
      <c r="F61" s="973" t="str">
        <f>E61</f>
        <v>1900</v>
      </c>
      <c r="G61" s="763" t="s">
        <v>5</v>
      </c>
      <c r="H61" s="36" t="s">
        <v>681</v>
      </c>
      <c r="I61" s="50" t="s">
        <v>17</v>
      </c>
      <c r="J61" s="50"/>
      <c r="K61" s="50" t="s">
        <v>2396</v>
      </c>
      <c r="L61" s="50" t="s">
        <v>649</v>
      </c>
      <c r="M61" s="6">
        <v>43087</v>
      </c>
      <c r="N61" s="6">
        <v>43100</v>
      </c>
      <c r="O61" s="59" t="s">
        <v>1771</v>
      </c>
      <c r="P61" s="124"/>
      <c r="Q61" s="167"/>
      <c r="R61" s="238" t="s">
        <v>4442</v>
      </c>
      <c r="S61" s="315" t="s">
        <v>4452</v>
      </c>
      <c r="T61" s="863">
        <v>11</v>
      </c>
    </row>
    <row r="62" spans="1:32" s="120" customFormat="1" ht="20.100000000000001" customHeight="1">
      <c r="A62" s="1190" t="s">
        <v>4401</v>
      </c>
      <c r="B62" s="1190" t="s">
        <v>5367</v>
      </c>
      <c r="C62" s="1190" t="s">
        <v>5366</v>
      </c>
      <c r="D62" s="1003">
        <v>1350</v>
      </c>
      <c r="E62" s="1003">
        <v>1900</v>
      </c>
      <c r="F62" s="1003">
        <v>1900</v>
      </c>
      <c r="G62" s="70" t="s">
        <v>18</v>
      </c>
      <c r="H62" s="194" t="s">
        <v>681</v>
      </c>
      <c r="I62" s="50" t="s">
        <v>17</v>
      </c>
      <c r="J62" s="50"/>
      <c r="K62" s="50" t="s">
        <v>2396</v>
      </c>
      <c r="L62" s="50" t="s">
        <v>649</v>
      </c>
      <c r="M62" s="6">
        <v>43080</v>
      </c>
      <c r="N62" s="6">
        <v>43100</v>
      </c>
      <c r="O62" s="59"/>
      <c r="P62" s="124"/>
      <c r="Q62" s="171"/>
      <c r="R62" s="238" t="s">
        <v>3463</v>
      </c>
      <c r="S62" s="316" t="s">
        <v>1176</v>
      </c>
      <c r="T62" s="859"/>
    </row>
    <row r="63" spans="1:32" s="120" customFormat="1" ht="20.100000000000001" customHeight="1">
      <c r="A63" s="1190" t="s">
        <v>4401</v>
      </c>
      <c r="B63" s="1190" t="s">
        <v>5367</v>
      </c>
      <c r="C63" s="1190" t="s">
        <v>5366</v>
      </c>
      <c r="D63" s="988" t="s">
        <v>4377</v>
      </c>
      <c r="E63" s="988" t="s">
        <v>3713</v>
      </c>
      <c r="F63" s="988" t="s">
        <v>3713</v>
      </c>
      <c r="G63" s="70" t="s">
        <v>31</v>
      </c>
      <c r="H63" s="36">
        <v>5</v>
      </c>
      <c r="I63" s="50" t="s">
        <v>16</v>
      </c>
      <c r="J63" s="50"/>
      <c r="K63" s="50">
        <v>43</v>
      </c>
      <c r="L63" s="50" t="s">
        <v>653</v>
      </c>
      <c r="M63" s="6">
        <v>43080</v>
      </c>
      <c r="N63" s="6">
        <v>43100</v>
      </c>
      <c r="O63" s="144"/>
      <c r="P63" s="144"/>
      <c r="Q63" s="167"/>
      <c r="R63" s="238" t="s">
        <v>4402</v>
      </c>
      <c r="S63" s="325" t="s">
        <v>1176</v>
      </c>
      <c r="T63" s="859"/>
    </row>
    <row r="64" spans="1:32" s="120" customFormat="1" ht="20.100000000000001" customHeight="1">
      <c r="A64" s="1248" t="s">
        <v>4401</v>
      </c>
      <c r="B64" s="1248" t="s">
        <v>5363</v>
      </c>
      <c r="C64" s="1248" t="s">
        <v>5364</v>
      </c>
      <c r="D64" s="950">
        <v>1300</v>
      </c>
      <c r="E64" s="950">
        <v>1700</v>
      </c>
      <c r="F64" s="950">
        <v>1700</v>
      </c>
      <c r="G64" s="218" t="s">
        <v>19</v>
      </c>
      <c r="H64" s="69">
        <v>2</v>
      </c>
      <c r="I64" s="50" t="s">
        <v>3432</v>
      </c>
      <c r="J64" s="37"/>
      <c r="K64" s="50" t="s">
        <v>1242</v>
      </c>
      <c r="L64" s="124" t="s">
        <v>653</v>
      </c>
      <c r="M64" s="6">
        <v>43070</v>
      </c>
      <c r="N64" s="6">
        <v>43083</v>
      </c>
      <c r="O64" s="61" t="s">
        <v>2440</v>
      </c>
      <c r="P64" s="61"/>
      <c r="Q64" s="167"/>
      <c r="R64" s="238" t="s">
        <v>1782</v>
      </c>
      <c r="S64" s="315" t="s">
        <v>3469</v>
      </c>
      <c r="T64" s="923"/>
    </row>
    <row r="65" spans="1:20" s="120" customFormat="1" ht="20.100000000000001" customHeight="1">
      <c r="A65" s="1248" t="s">
        <v>4401</v>
      </c>
      <c r="B65" s="1248" t="s">
        <v>5363</v>
      </c>
      <c r="C65" s="1248" t="s">
        <v>5364</v>
      </c>
      <c r="D65" s="934">
        <v>1475</v>
      </c>
      <c r="E65" s="934">
        <v>1900</v>
      </c>
      <c r="F65" s="934">
        <v>1900</v>
      </c>
      <c r="G65" s="219" t="s">
        <v>1446</v>
      </c>
      <c r="H65" s="69" t="s">
        <v>1102</v>
      </c>
      <c r="I65" s="50" t="s">
        <v>4389</v>
      </c>
      <c r="J65" s="37"/>
      <c r="K65" s="50" t="s">
        <v>2567</v>
      </c>
      <c r="L65" s="50" t="s">
        <v>653</v>
      </c>
      <c r="M65" s="6">
        <v>43084</v>
      </c>
      <c r="N65" s="6">
        <v>43100</v>
      </c>
      <c r="O65" s="59" t="s">
        <v>601</v>
      </c>
      <c r="P65" s="59"/>
      <c r="Q65" s="167"/>
      <c r="R65" s="135" t="s">
        <v>3323</v>
      </c>
      <c r="S65" s="331"/>
      <c r="T65" s="923"/>
    </row>
    <row r="66" spans="1:20" s="120" customFormat="1" ht="20.100000000000001" customHeight="1">
      <c r="A66" s="1248" t="s">
        <v>4401</v>
      </c>
      <c r="B66" s="1248" t="s">
        <v>5363</v>
      </c>
      <c r="C66" s="1248" t="s">
        <v>5364</v>
      </c>
      <c r="D66" s="934">
        <v>1260</v>
      </c>
      <c r="E66" s="934">
        <v>1660</v>
      </c>
      <c r="F66" s="934">
        <v>1660</v>
      </c>
      <c r="G66" s="219" t="s">
        <v>12</v>
      </c>
      <c r="H66" s="69">
        <v>2</v>
      </c>
      <c r="I66" s="50" t="s">
        <v>17</v>
      </c>
      <c r="J66" s="37"/>
      <c r="K66" s="50" t="s">
        <v>1979</v>
      </c>
      <c r="L66" s="124" t="s">
        <v>1481</v>
      </c>
      <c r="M66" s="15">
        <v>43087</v>
      </c>
      <c r="N66" s="15">
        <v>43093</v>
      </c>
      <c r="O66" s="61"/>
      <c r="P66" s="61"/>
      <c r="Q66" s="167"/>
      <c r="R66" s="238" t="s">
        <v>168</v>
      </c>
      <c r="S66" s="331" t="s">
        <v>1176</v>
      </c>
      <c r="T66" s="923"/>
    </row>
    <row r="67" spans="1:20" s="120" customFormat="1" ht="20.100000000000001" customHeight="1">
      <c r="A67" s="1248" t="s">
        <v>4401</v>
      </c>
      <c r="B67" s="1248" t="s">
        <v>5363</v>
      </c>
      <c r="C67" s="1248" t="s">
        <v>5364</v>
      </c>
      <c r="D67" s="244" t="s">
        <v>3320</v>
      </c>
      <c r="E67" s="244" t="s">
        <v>3465</v>
      </c>
      <c r="F67" s="244" t="s">
        <v>3465</v>
      </c>
      <c r="G67" s="219" t="s">
        <v>51</v>
      </c>
      <c r="H67" s="36" t="s">
        <v>659</v>
      </c>
      <c r="I67" s="50" t="s">
        <v>17</v>
      </c>
      <c r="J67" s="24"/>
      <c r="K67" s="50" t="s">
        <v>2396</v>
      </c>
      <c r="L67" s="50" t="s">
        <v>847</v>
      </c>
      <c r="M67" s="108">
        <v>43080</v>
      </c>
      <c r="N67" s="108">
        <v>43100</v>
      </c>
      <c r="O67" s="59"/>
      <c r="P67" s="59"/>
      <c r="Q67" s="167"/>
      <c r="R67" s="238" t="s">
        <v>3467</v>
      </c>
      <c r="S67" s="331"/>
      <c r="T67" s="723"/>
    </row>
    <row r="68" spans="1:20" s="120" customFormat="1" ht="20.100000000000001" customHeight="1">
      <c r="A68" s="1248" t="s">
        <v>4401</v>
      </c>
      <c r="B68" s="1248" t="s">
        <v>5363</v>
      </c>
      <c r="C68" s="1248" t="s">
        <v>5364</v>
      </c>
      <c r="D68" s="950">
        <v>1150</v>
      </c>
      <c r="E68" s="950">
        <v>1500</v>
      </c>
      <c r="F68" s="950">
        <v>1500</v>
      </c>
      <c r="G68" s="219" t="s">
        <v>22</v>
      </c>
      <c r="H68" s="36" t="s">
        <v>659</v>
      </c>
      <c r="I68" s="50" t="s">
        <v>17</v>
      </c>
      <c r="J68" s="24"/>
      <c r="K68" s="50" t="s">
        <v>2396</v>
      </c>
      <c r="L68" s="50" t="s">
        <v>847</v>
      </c>
      <c r="M68" s="108">
        <v>43081</v>
      </c>
      <c r="N68" s="108">
        <v>43100</v>
      </c>
      <c r="O68" s="59" t="s">
        <v>2545</v>
      </c>
      <c r="P68" s="59"/>
      <c r="Q68" s="167"/>
      <c r="R68" s="238" t="s">
        <v>3468</v>
      </c>
      <c r="S68" s="331" t="s">
        <v>1176</v>
      </c>
      <c r="T68" s="923"/>
    </row>
    <row r="69" spans="1:20" s="120" customFormat="1" ht="20.100000000000001" customHeight="1">
      <c r="A69" s="1248" t="s">
        <v>4401</v>
      </c>
      <c r="B69" s="1248" t="s">
        <v>5363</v>
      </c>
      <c r="C69" s="1248" t="s">
        <v>5364</v>
      </c>
      <c r="D69" s="934">
        <v>1260</v>
      </c>
      <c r="E69" s="934">
        <v>1660</v>
      </c>
      <c r="F69" s="934">
        <v>1660</v>
      </c>
      <c r="G69" s="219" t="s">
        <v>12</v>
      </c>
      <c r="H69" s="36" t="s">
        <v>659</v>
      </c>
      <c r="I69" s="50" t="s">
        <v>17</v>
      </c>
      <c r="J69" s="24"/>
      <c r="K69" s="50" t="s">
        <v>2396</v>
      </c>
      <c r="L69" s="50" t="s">
        <v>847</v>
      </c>
      <c r="M69" s="15">
        <v>43087</v>
      </c>
      <c r="N69" s="15">
        <v>43093</v>
      </c>
      <c r="O69" s="59"/>
      <c r="P69" s="59"/>
      <c r="Q69" s="167"/>
      <c r="R69" s="238" t="s">
        <v>5365</v>
      </c>
      <c r="S69" s="331" t="s">
        <v>1176</v>
      </c>
      <c r="T69" s="723"/>
    </row>
    <row r="70" spans="1:20" s="120" customFormat="1" ht="20.100000000000001" customHeight="1">
      <c r="A70" s="1248" t="s">
        <v>4401</v>
      </c>
      <c r="B70" s="1248" t="s">
        <v>5363</v>
      </c>
      <c r="C70" s="1248" t="s">
        <v>5364</v>
      </c>
      <c r="D70" s="984">
        <v>1250</v>
      </c>
      <c r="E70" s="984">
        <v>1700</v>
      </c>
      <c r="F70" s="984">
        <v>1700</v>
      </c>
      <c r="G70" s="70" t="s">
        <v>13</v>
      </c>
      <c r="H70" s="36" t="s">
        <v>659</v>
      </c>
      <c r="I70" s="50" t="s">
        <v>17</v>
      </c>
      <c r="J70" s="24"/>
      <c r="K70" s="50" t="s">
        <v>2396</v>
      </c>
      <c r="L70" s="50" t="s">
        <v>847</v>
      </c>
      <c r="M70" s="108">
        <v>43081</v>
      </c>
      <c r="N70" s="108">
        <v>43100</v>
      </c>
      <c r="O70" s="59" t="s">
        <v>601</v>
      </c>
      <c r="P70" s="59"/>
      <c r="Q70" s="167"/>
      <c r="R70" s="238" t="s">
        <v>3468</v>
      </c>
      <c r="S70" s="319" t="s">
        <v>1176</v>
      </c>
      <c r="T70" s="723"/>
    </row>
    <row r="71" spans="1:20" s="120" customFormat="1" ht="20.100000000000001" customHeight="1">
      <c r="A71" s="1248" t="s">
        <v>4401</v>
      </c>
      <c r="B71" s="1248" t="s">
        <v>5363</v>
      </c>
      <c r="C71" s="1249" t="s">
        <v>5364</v>
      </c>
      <c r="D71" s="973" t="s">
        <v>4075</v>
      </c>
      <c r="E71" s="973" t="s">
        <v>4382</v>
      </c>
      <c r="F71" s="973" t="str">
        <f>E71</f>
        <v>1900</v>
      </c>
      <c r="G71" s="763" t="s">
        <v>5</v>
      </c>
      <c r="H71" s="55">
        <v>4</v>
      </c>
      <c r="I71" s="50" t="s">
        <v>17</v>
      </c>
      <c r="J71" s="50"/>
      <c r="K71" s="50" t="s">
        <v>722</v>
      </c>
      <c r="L71" s="50" t="s">
        <v>653</v>
      </c>
      <c r="M71" s="6">
        <v>43087</v>
      </c>
      <c r="N71" s="6">
        <v>43100</v>
      </c>
      <c r="O71" s="59" t="s">
        <v>1771</v>
      </c>
      <c r="P71" s="59"/>
      <c r="Q71" s="167"/>
      <c r="R71" s="238" t="s">
        <v>1694</v>
      </c>
      <c r="S71" s="315" t="s">
        <v>4452</v>
      </c>
      <c r="T71" s="864">
        <v>7</v>
      </c>
    </row>
    <row r="72" spans="1:20" s="120" customFormat="1" ht="20.100000000000001" customHeight="1">
      <c r="A72" s="1248" t="s">
        <v>4401</v>
      </c>
      <c r="B72" s="1248" t="s">
        <v>5363</v>
      </c>
      <c r="C72" s="1248" t="s">
        <v>5364</v>
      </c>
      <c r="D72" s="1003">
        <v>1350</v>
      </c>
      <c r="E72" s="1003">
        <v>1900</v>
      </c>
      <c r="F72" s="1003">
        <v>1900</v>
      </c>
      <c r="G72" s="70" t="s">
        <v>18</v>
      </c>
      <c r="H72" s="55">
        <v>4</v>
      </c>
      <c r="I72" s="50" t="s">
        <v>17</v>
      </c>
      <c r="J72" s="50"/>
      <c r="K72" s="50" t="s">
        <v>722</v>
      </c>
      <c r="L72" s="50" t="s">
        <v>653</v>
      </c>
      <c r="M72" s="6">
        <v>43080</v>
      </c>
      <c r="N72" s="6">
        <v>43100</v>
      </c>
      <c r="O72" s="59"/>
      <c r="P72" s="59"/>
      <c r="Q72" s="167"/>
      <c r="R72" s="238" t="s">
        <v>3466</v>
      </c>
      <c r="S72" s="316" t="s">
        <v>1176</v>
      </c>
      <c r="T72" s="723"/>
    </row>
    <row r="73" spans="1:20" s="120" customFormat="1" ht="20.100000000000001" customHeight="1">
      <c r="A73" s="1248" t="s">
        <v>4401</v>
      </c>
      <c r="B73" s="1248" t="s">
        <v>5363</v>
      </c>
      <c r="C73" s="1248" t="s">
        <v>5364</v>
      </c>
      <c r="D73" s="988" t="s">
        <v>4377</v>
      </c>
      <c r="E73" s="988" t="s">
        <v>3713</v>
      </c>
      <c r="F73" s="988" t="s">
        <v>3713</v>
      </c>
      <c r="G73" s="70" t="s">
        <v>31</v>
      </c>
      <c r="H73" s="36">
        <v>5</v>
      </c>
      <c r="I73" s="50" t="s">
        <v>16</v>
      </c>
      <c r="J73" s="50"/>
      <c r="K73" s="50">
        <v>54</v>
      </c>
      <c r="L73" s="50" t="s">
        <v>653</v>
      </c>
      <c r="M73" s="6">
        <v>43080</v>
      </c>
      <c r="N73" s="6">
        <v>43100</v>
      </c>
      <c r="O73" s="59"/>
      <c r="P73" s="59"/>
      <c r="Q73" s="167"/>
      <c r="R73" s="238" t="s">
        <v>4402</v>
      </c>
      <c r="S73" s="325" t="s">
        <v>1176</v>
      </c>
      <c r="T73" s="921"/>
    </row>
    <row r="74" spans="1:20" s="120" customFormat="1" ht="20.100000000000001" customHeight="1">
      <c r="A74" s="1138" t="s">
        <v>4401</v>
      </c>
      <c r="B74" s="1138" t="s">
        <v>5363</v>
      </c>
      <c r="C74" s="1138" t="s">
        <v>5362</v>
      </c>
      <c r="D74" s="1003">
        <v>1350</v>
      </c>
      <c r="E74" s="1003">
        <v>1900</v>
      </c>
      <c r="F74" s="1003">
        <v>1900</v>
      </c>
      <c r="G74" s="70" t="s">
        <v>18</v>
      </c>
      <c r="H74" s="36" t="s">
        <v>721</v>
      </c>
      <c r="I74" s="50" t="s">
        <v>3293</v>
      </c>
      <c r="J74" s="37"/>
      <c r="K74" s="50">
        <v>57</v>
      </c>
      <c r="L74" s="50" t="s">
        <v>653</v>
      </c>
      <c r="M74" s="6">
        <v>43080</v>
      </c>
      <c r="N74" s="6">
        <v>43100</v>
      </c>
      <c r="O74" s="142" t="s">
        <v>3292</v>
      </c>
      <c r="P74" s="26"/>
      <c r="Q74" s="167"/>
      <c r="R74" s="238" t="s">
        <v>3306</v>
      </c>
      <c r="S74" s="316" t="s">
        <v>1176</v>
      </c>
      <c r="T74" s="921"/>
    </row>
    <row r="75" spans="1:20" s="120" customFormat="1" ht="20.100000000000001" customHeight="1">
      <c r="A75" s="1138" t="s">
        <v>4401</v>
      </c>
      <c r="B75" s="1138" t="s">
        <v>5363</v>
      </c>
      <c r="C75" s="1138" t="s">
        <v>5362</v>
      </c>
      <c r="D75" s="988" t="s">
        <v>4377</v>
      </c>
      <c r="E75" s="988" t="s">
        <v>3713</v>
      </c>
      <c r="F75" s="988" t="s">
        <v>3713</v>
      </c>
      <c r="G75" s="70" t="s">
        <v>31</v>
      </c>
      <c r="H75" s="36">
        <v>5</v>
      </c>
      <c r="I75" s="50" t="s">
        <v>16</v>
      </c>
      <c r="J75" s="50"/>
      <c r="K75" s="50">
        <v>48</v>
      </c>
      <c r="L75" s="50" t="s">
        <v>653</v>
      </c>
      <c r="M75" s="6">
        <v>43080</v>
      </c>
      <c r="N75" s="6">
        <v>43100</v>
      </c>
      <c r="O75" s="59"/>
      <c r="P75" s="59"/>
      <c r="Q75" s="167"/>
      <c r="R75" s="238" t="s">
        <v>4402</v>
      </c>
      <c r="S75" s="325" t="s">
        <v>1176</v>
      </c>
      <c r="T75" s="921"/>
    </row>
    <row r="76" spans="1:20" s="120" customFormat="1" ht="20.100000000000001" customHeight="1">
      <c r="A76" s="1248" t="s">
        <v>4401</v>
      </c>
      <c r="B76" s="1248" t="s">
        <v>5351</v>
      </c>
      <c r="C76" s="1248" t="s">
        <v>5350</v>
      </c>
      <c r="D76" s="246">
        <v>2150</v>
      </c>
      <c r="E76" s="246">
        <v>3200</v>
      </c>
      <c r="F76" s="246">
        <v>3200</v>
      </c>
      <c r="G76" s="219" t="s">
        <v>22</v>
      </c>
      <c r="H76" s="36" t="s">
        <v>1102</v>
      </c>
      <c r="I76" s="50" t="s">
        <v>3432</v>
      </c>
      <c r="J76" s="50"/>
      <c r="K76" s="50" t="s">
        <v>683</v>
      </c>
      <c r="L76" s="50" t="s">
        <v>653</v>
      </c>
      <c r="M76" s="108">
        <v>43081</v>
      </c>
      <c r="N76" s="108">
        <v>43100</v>
      </c>
      <c r="O76" s="59" t="s">
        <v>5361</v>
      </c>
      <c r="P76" s="72" t="s">
        <v>1411</v>
      </c>
      <c r="Q76" s="167"/>
      <c r="R76" s="238" t="s">
        <v>1782</v>
      </c>
      <c r="S76" s="331" t="s">
        <v>1176</v>
      </c>
      <c r="T76" s="921"/>
    </row>
    <row r="77" spans="1:20" s="120" customFormat="1" ht="20.100000000000001" customHeight="1">
      <c r="A77" s="1248" t="s">
        <v>4401</v>
      </c>
      <c r="B77" s="1248" t="s">
        <v>5351</v>
      </c>
      <c r="C77" s="1248" t="s">
        <v>5350</v>
      </c>
      <c r="D77" s="952">
        <v>1500</v>
      </c>
      <c r="E77" s="952">
        <v>2500</v>
      </c>
      <c r="F77" s="952">
        <v>2500</v>
      </c>
      <c r="G77" s="218" t="s">
        <v>19</v>
      </c>
      <c r="H77" s="36" t="s">
        <v>656</v>
      </c>
      <c r="I77" s="50" t="s">
        <v>5360</v>
      </c>
      <c r="J77" s="50"/>
      <c r="K77" s="50" t="s">
        <v>986</v>
      </c>
      <c r="L77" s="50" t="s">
        <v>653</v>
      </c>
      <c r="M77" s="6">
        <v>43070</v>
      </c>
      <c r="N77" s="6">
        <v>43083</v>
      </c>
      <c r="O77" s="61" t="s">
        <v>2440</v>
      </c>
      <c r="P77" s="52" t="s">
        <v>5359</v>
      </c>
      <c r="Q77" s="7"/>
      <c r="R77" s="238" t="s">
        <v>3428</v>
      </c>
      <c r="S77" s="331"/>
      <c r="T77" s="921"/>
    </row>
    <row r="78" spans="1:20" s="120" customFormat="1" ht="20.100000000000001" customHeight="1">
      <c r="A78" s="1248" t="s">
        <v>4401</v>
      </c>
      <c r="B78" s="1248" t="s">
        <v>5351</v>
      </c>
      <c r="C78" s="1248" t="s">
        <v>5350</v>
      </c>
      <c r="D78" s="990" t="s">
        <v>5358</v>
      </c>
      <c r="E78" s="990" t="s">
        <v>5357</v>
      </c>
      <c r="F78" s="990" t="s">
        <v>5357</v>
      </c>
      <c r="G78" s="70" t="s">
        <v>18</v>
      </c>
      <c r="H78" s="55" t="s">
        <v>659</v>
      </c>
      <c r="I78" s="50" t="s">
        <v>3432</v>
      </c>
      <c r="J78" s="50"/>
      <c r="K78" s="50" t="s">
        <v>835</v>
      </c>
      <c r="L78" s="50" t="s">
        <v>653</v>
      </c>
      <c r="M78" s="6">
        <v>43080</v>
      </c>
      <c r="N78" s="6">
        <v>43100</v>
      </c>
      <c r="O78" s="124"/>
      <c r="P78" s="124"/>
      <c r="Q78" s="260"/>
      <c r="R78" s="238" t="s">
        <v>1274</v>
      </c>
      <c r="S78" s="316" t="s">
        <v>1176</v>
      </c>
      <c r="T78" s="921"/>
    </row>
    <row r="79" spans="1:20" s="120" customFormat="1" ht="20.100000000000001" customHeight="1">
      <c r="A79" s="1248" t="s">
        <v>4401</v>
      </c>
      <c r="B79" s="1248" t="s">
        <v>5351</v>
      </c>
      <c r="C79" s="1248" t="s">
        <v>5350</v>
      </c>
      <c r="D79" s="988" t="s">
        <v>5356</v>
      </c>
      <c r="E79" s="988" t="s">
        <v>5355</v>
      </c>
      <c r="F79" s="988" t="s">
        <v>5355</v>
      </c>
      <c r="G79" s="29" t="s">
        <v>31</v>
      </c>
      <c r="H79" s="36" t="s">
        <v>2292</v>
      </c>
      <c r="I79" s="50" t="s">
        <v>5354</v>
      </c>
      <c r="J79" s="50"/>
      <c r="K79" s="50">
        <v>42</v>
      </c>
      <c r="L79" s="50" t="s">
        <v>653</v>
      </c>
      <c r="M79" s="6">
        <v>43080</v>
      </c>
      <c r="N79" s="6">
        <v>43100</v>
      </c>
      <c r="O79" s="142" t="s">
        <v>3292</v>
      </c>
      <c r="P79" s="144" t="s">
        <v>5353</v>
      </c>
      <c r="Q79" s="174"/>
      <c r="R79" s="239" t="s">
        <v>5352</v>
      </c>
      <c r="S79" s="325" t="s">
        <v>1176</v>
      </c>
      <c r="T79" s="921"/>
    </row>
    <row r="80" spans="1:20" s="120" customFormat="1" ht="20.100000000000001" customHeight="1">
      <c r="A80" s="1248" t="s">
        <v>4401</v>
      </c>
      <c r="B80" s="1248" t="s">
        <v>5351</v>
      </c>
      <c r="C80" s="1249" t="s">
        <v>5350</v>
      </c>
      <c r="D80" s="973" t="s">
        <v>5318</v>
      </c>
      <c r="E80" s="973" t="s">
        <v>5315</v>
      </c>
      <c r="F80" s="973" t="s">
        <v>5315</v>
      </c>
      <c r="G80" s="763" t="s">
        <v>5</v>
      </c>
      <c r="H80" s="36" t="s">
        <v>721</v>
      </c>
      <c r="I80" s="50" t="s">
        <v>3293</v>
      </c>
      <c r="J80" s="37"/>
      <c r="K80" s="50" t="s">
        <v>835</v>
      </c>
      <c r="L80" s="50" t="s">
        <v>653</v>
      </c>
      <c r="M80" s="6">
        <v>43087</v>
      </c>
      <c r="N80" s="6">
        <v>43100</v>
      </c>
      <c r="O80" s="61" t="s">
        <v>3459</v>
      </c>
      <c r="P80" s="61"/>
      <c r="Q80" s="171"/>
      <c r="R80" s="238" t="s">
        <v>3305</v>
      </c>
      <c r="S80" s="331" t="s">
        <v>1176</v>
      </c>
      <c r="T80" s="922">
        <v>10</v>
      </c>
    </row>
    <row r="81" spans="1:20" s="120" customFormat="1" ht="20.100000000000001" customHeight="1">
      <c r="A81" s="1248" t="s">
        <v>4401</v>
      </c>
      <c r="B81" s="1248" t="s">
        <v>5351</v>
      </c>
      <c r="C81" s="1248" t="s">
        <v>5350</v>
      </c>
      <c r="D81" s="1002" t="s">
        <v>3475</v>
      </c>
      <c r="E81" s="1002" t="s">
        <v>4130</v>
      </c>
      <c r="F81" s="1002" t="s">
        <v>4130</v>
      </c>
      <c r="G81" s="218" t="s">
        <v>51</v>
      </c>
      <c r="H81" s="36" t="s">
        <v>721</v>
      </c>
      <c r="I81" s="50" t="s">
        <v>3293</v>
      </c>
      <c r="J81" s="50"/>
      <c r="K81" s="50" t="s">
        <v>986</v>
      </c>
      <c r="L81" s="50" t="s">
        <v>653</v>
      </c>
      <c r="M81" s="108">
        <v>43080</v>
      </c>
      <c r="N81" s="108">
        <v>43100</v>
      </c>
      <c r="O81" s="141" t="s">
        <v>3292</v>
      </c>
      <c r="P81" s="61"/>
      <c r="Q81" s="167"/>
      <c r="R81" s="238" t="s">
        <v>2573</v>
      </c>
      <c r="S81" s="316" t="s">
        <v>3297</v>
      </c>
      <c r="T81" s="921"/>
    </row>
    <row r="82" spans="1:20" s="120" customFormat="1" ht="20.100000000000001" customHeight="1">
      <c r="A82" s="1248" t="s">
        <v>4401</v>
      </c>
      <c r="B82" s="1248" t="s">
        <v>4459</v>
      </c>
      <c r="C82" s="1249" t="s">
        <v>5348</v>
      </c>
      <c r="D82" s="973" t="s">
        <v>4382</v>
      </c>
      <c r="E82" s="973" t="s">
        <v>3965</v>
      </c>
      <c r="F82" s="973" t="s">
        <v>3965</v>
      </c>
      <c r="G82" s="763" t="s">
        <v>5</v>
      </c>
      <c r="H82" s="36" t="s">
        <v>1102</v>
      </c>
      <c r="I82" s="50" t="s">
        <v>4422</v>
      </c>
      <c r="J82" s="50"/>
      <c r="K82" s="50">
        <v>50</v>
      </c>
      <c r="L82" s="50" t="s">
        <v>653</v>
      </c>
      <c r="M82" s="6">
        <v>43087</v>
      </c>
      <c r="N82" s="6">
        <v>43100</v>
      </c>
      <c r="O82" s="61" t="s">
        <v>3459</v>
      </c>
      <c r="P82" s="59" t="s">
        <v>5349</v>
      </c>
      <c r="Q82" s="167"/>
      <c r="R82" s="238" t="s">
        <v>3458</v>
      </c>
      <c r="S82" s="331" t="s">
        <v>1176</v>
      </c>
      <c r="T82" s="922">
        <v>15</v>
      </c>
    </row>
    <row r="83" spans="1:20" s="120" customFormat="1" ht="20.100000000000001" customHeight="1">
      <c r="A83" s="1248" t="s">
        <v>4401</v>
      </c>
      <c r="B83" s="1248" t="s">
        <v>4459</v>
      </c>
      <c r="C83" s="1248" t="s">
        <v>5348</v>
      </c>
      <c r="D83" s="992">
        <v>2150</v>
      </c>
      <c r="E83" s="992">
        <v>3200</v>
      </c>
      <c r="F83" s="992">
        <v>3200</v>
      </c>
      <c r="G83" s="70" t="s">
        <v>13</v>
      </c>
      <c r="H83" s="22" t="s">
        <v>1102</v>
      </c>
      <c r="I83" s="50" t="s">
        <v>4422</v>
      </c>
      <c r="J83" s="50"/>
      <c r="K83" s="50" t="s">
        <v>985</v>
      </c>
      <c r="L83" s="50" t="s">
        <v>653</v>
      </c>
      <c r="M83" s="108">
        <v>43081</v>
      </c>
      <c r="N83" s="108">
        <v>43100</v>
      </c>
      <c r="O83" s="59" t="s">
        <v>601</v>
      </c>
      <c r="P83" s="59"/>
      <c r="Q83" s="167"/>
      <c r="R83" s="238" t="s">
        <v>4423</v>
      </c>
      <c r="S83" s="319" t="s">
        <v>1176</v>
      </c>
      <c r="T83" s="921"/>
    </row>
    <row r="84" spans="1:20" s="120" customFormat="1" ht="20.100000000000001" customHeight="1">
      <c r="A84" s="1248" t="s">
        <v>4401</v>
      </c>
      <c r="B84" s="1248" t="s">
        <v>4459</v>
      </c>
      <c r="C84" s="1248" t="s">
        <v>5348</v>
      </c>
      <c r="D84" s="320">
        <v>1725</v>
      </c>
      <c r="E84" s="320">
        <v>2500</v>
      </c>
      <c r="F84" s="320">
        <v>2500</v>
      </c>
      <c r="G84" s="218" t="s">
        <v>1446</v>
      </c>
      <c r="H84" s="22" t="s">
        <v>1102</v>
      </c>
      <c r="I84" s="50" t="s">
        <v>4389</v>
      </c>
      <c r="J84" s="50"/>
      <c r="K84" s="50" t="s">
        <v>985</v>
      </c>
      <c r="L84" s="50" t="s">
        <v>653</v>
      </c>
      <c r="M84" s="6">
        <v>43084</v>
      </c>
      <c r="N84" s="6">
        <v>43100</v>
      </c>
      <c r="O84" s="59" t="s">
        <v>601</v>
      </c>
      <c r="P84" s="59"/>
      <c r="Q84" s="167"/>
      <c r="R84" s="135" t="s">
        <v>3323</v>
      </c>
      <c r="S84" s="319"/>
      <c r="T84" s="921"/>
    </row>
    <row r="85" spans="1:20" s="120" customFormat="1" ht="20.100000000000001" customHeight="1">
      <c r="A85" s="1248" t="s">
        <v>4401</v>
      </c>
      <c r="B85" s="1248" t="s">
        <v>4459</v>
      </c>
      <c r="C85" s="1248" t="s">
        <v>5348</v>
      </c>
      <c r="D85" s="975" t="s">
        <v>3491</v>
      </c>
      <c r="E85" s="975" t="s">
        <v>3965</v>
      </c>
      <c r="F85" s="975" t="s">
        <v>3965</v>
      </c>
      <c r="G85" s="109" t="s">
        <v>31</v>
      </c>
      <c r="H85" s="36" t="s">
        <v>1102</v>
      </c>
      <c r="I85" s="37" t="s">
        <v>3462</v>
      </c>
      <c r="J85" s="37"/>
      <c r="K85" s="50">
        <v>42</v>
      </c>
      <c r="L85" s="50" t="s">
        <v>653</v>
      </c>
      <c r="M85" s="6">
        <v>43080</v>
      </c>
      <c r="N85" s="6">
        <v>43100</v>
      </c>
      <c r="O85" s="141"/>
      <c r="P85" s="141"/>
      <c r="Q85" s="147"/>
      <c r="R85" s="238" t="s">
        <v>3461</v>
      </c>
      <c r="S85" s="325" t="s">
        <v>1176</v>
      </c>
      <c r="T85" s="921"/>
    </row>
    <row r="86" spans="1:20" s="120" customFormat="1" ht="20.100000000000001" customHeight="1">
      <c r="A86" s="1248" t="s">
        <v>4401</v>
      </c>
      <c r="B86" s="1248" t="s">
        <v>4459</v>
      </c>
      <c r="C86" s="1248" t="s">
        <v>5348</v>
      </c>
      <c r="D86" s="990" t="s">
        <v>3491</v>
      </c>
      <c r="E86" s="990" t="s">
        <v>5317</v>
      </c>
      <c r="F86" s="990" t="s">
        <v>5317</v>
      </c>
      <c r="G86" s="70" t="s">
        <v>18</v>
      </c>
      <c r="H86" s="36" t="s">
        <v>721</v>
      </c>
      <c r="I86" s="50" t="s">
        <v>3293</v>
      </c>
      <c r="J86" s="50"/>
      <c r="K86" s="50" t="s">
        <v>1983</v>
      </c>
      <c r="L86" s="50" t="s">
        <v>653</v>
      </c>
      <c r="M86" s="6">
        <v>43080</v>
      </c>
      <c r="N86" s="6">
        <v>43100</v>
      </c>
      <c r="O86" s="142" t="s">
        <v>3292</v>
      </c>
      <c r="P86" s="124"/>
      <c r="Q86" s="167"/>
      <c r="R86" s="238" t="s">
        <v>3306</v>
      </c>
      <c r="S86" s="316" t="s">
        <v>1176</v>
      </c>
      <c r="T86" s="921"/>
    </row>
    <row r="87" spans="1:20" s="120" customFormat="1" ht="20.100000000000001" customHeight="1">
      <c r="A87" s="1190" t="s">
        <v>4401</v>
      </c>
      <c r="B87" s="1190" t="s">
        <v>4459</v>
      </c>
      <c r="C87" s="1190" t="s">
        <v>5347</v>
      </c>
      <c r="D87" s="984">
        <v>1500</v>
      </c>
      <c r="E87" s="984">
        <v>2000</v>
      </c>
      <c r="F87" s="984">
        <v>2000</v>
      </c>
      <c r="G87" s="70" t="s">
        <v>13</v>
      </c>
      <c r="H87" s="22" t="s">
        <v>1102</v>
      </c>
      <c r="I87" s="50" t="s">
        <v>17</v>
      </c>
      <c r="J87" s="50"/>
      <c r="K87" s="50" t="s">
        <v>984</v>
      </c>
      <c r="L87" s="50" t="s">
        <v>653</v>
      </c>
      <c r="M87" s="108">
        <v>43081</v>
      </c>
      <c r="N87" s="108">
        <v>43100</v>
      </c>
      <c r="O87" s="59" t="s">
        <v>601</v>
      </c>
      <c r="P87" s="59"/>
      <c r="Q87" s="167"/>
      <c r="R87" s="238" t="s">
        <v>4423</v>
      </c>
      <c r="S87" s="319" t="s">
        <v>1176</v>
      </c>
      <c r="T87" s="922">
        <v>15</v>
      </c>
    </row>
    <row r="88" spans="1:20" s="120" customFormat="1" ht="20.100000000000001" customHeight="1">
      <c r="A88" s="1190" t="s">
        <v>4401</v>
      </c>
      <c r="B88" s="1190" t="s">
        <v>4459</v>
      </c>
      <c r="C88" s="1244" t="s">
        <v>5347</v>
      </c>
      <c r="D88" s="973" t="s">
        <v>5309</v>
      </c>
      <c r="E88" s="973" t="s">
        <v>3490</v>
      </c>
      <c r="F88" s="973" t="s">
        <v>3490</v>
      </c>
      <c r="G88" s="763" t="s">
        <v>5</v>
      </c>
      <c r="H88" s="36" t="s">
        <v>1102</v>
      </c>
      <c r="I88" s="50" t="s">
        <v>17</v>
      </c>
      <c r="J88" s="50"/>
      <c r="K88" s="50" t="s">
        <v>984</v>
      </c>
      <c r="L88" s="50" t="s">
        <v>653</v>
      </c>
      <c r="M88" s="6">
        <v>43087</v>
      </c>
      <c r="N88" s="6">
        <v>43100</v>
      </c>
      <c r="O88" s="61" t="s">
        <v>3459</v>
      </c>
      <c r="P88" s="61"/>
      <c r="Q88" s="167"/>
      <c r="R88" s="238" t="s">
        <v>3458</v>
      </c>
      <c r="S88" s="331" t="s">
        <v>1176</v>
      </c>
      <c r="T88" s="922"/>
    </row>
    <row r="89" spans="1:20" s="120" customFormat="1" ht="20.100000000000001" customHeight="1">
      <c r="A89" s="1190" t="s">
        <v>4401</v>
      </c>
      <c r="B89" s="1190" t="s">
        <v>4459</v>
      </c>
      <c r="C89" s="1190" t="s">
        <v>5347</v>
      </c>
      <c r="D89" s="981" t="s">
        <v>3476</v>
      </c>
      <c r="E89" s="981" t="s">
        <v>3426</v>
      </c>
      <c r="F89" s="981" t="s">
        <v>3426</v>
      </c>
      <c r="G89" s="218" t="s">
        <v>51</v>
      </c>
      <c r="H89" s="36" t="s">
        <v>1102</v>
      </c>
      <c r="I89" s="50" t="s">
        <v>17</v>
      </c>
      <c r="J89" s="50"/>
      <c r="K89" s="50" t="s">
        <v>984</v>
      </c>
      <c r="L89" s="50" t="s">
        <v>653</v>
      </c>
      <c r="M89" s="108">
        <v>43080</v>
      </c>
      <c r="N89" s="108">
        <v>43100</v>
      </c>
      <c r="O89" s="61"/>
      <c r="P89" s="61"/>
      <c r="Q89" s="167"/>
      <c r="R89" s="238" t="s">
        <v>4387</v>
      </c>
      <c r="S89" s="331"/>
      <c r="T89" s="923"/>
    </row>
    <row r="90" spans="1:20" s="120" customFormat="1" ht="20.100000000000001" customHeight="1">
      <c r="A90" s="1190" t="s">
        <v>4401</v>
      </c>
      <c r="B90" s="1190" t="s">
        <v>4459</v>
      </c>
      <c r="C90" s="1190" t="s">
        <v>5347</v>
      </c>
      <c r="D90" s="990" t="s">
        <v>3465</v>
      </c>
      <c r="E90" s="990" t="s">
        <v>3713</v>
      </c>
      <c r="F90" s="990" t="s">
        <v>3713</v>
      </c>
      <c r="G90" s="70" t="s">
        <v>18</v>
      </c>
      <c r="H90" s="36" t="s">
        <v>1102</v>
      </c>
      <c r="I90" s="50" t="s">
        <v>17</v>
      </c>
      <c r="J90" s="50"/>
      <c r="K90" s="50" t="s">
        <v>984</v>
      </c>
      <c r="L90" s="50" t="s">
        <v>653</v>
      </c>
      <c r="M90" s="6">
        <v>43080</v>
      </c>
      <c r="N90" s="6">
        <v>43100</v>
      </c>
      <c r="O90" s="37"/>
      <c r="P90" s="37"/>
      <c r="Q90" s="167"/>
      <c r="R90" s="238" t="s">
        <v>4385</v>
      </c>
      <c r="S90" s="316" t="s">
        <v>1176</v>
      </c>
      <c r="T90" s="923"/>
    </row>
    <row r="91" spans="1:20" s="120" customFormat="1" ht="20.100000000000001" customHeight="1">
      <c r="A91" s="1190" t="s">
        <v>4401</v>
      </c>
      <c r="B91" s="1190" t="s">
        <v>4459</v>
      </c>
      <c r="C91" s="1190" t="s">
        <v>5347</v>
      </c>
      <c r="D91" s="998" t="s">
        <v>4441</v>
      </c>
      <c r="E91" s="998" t="s">
        <v>3475</v>
      </c>
      <c r="F91" s="998" t="s">
        <v>3475</v>
      </c>
      <c r="G91" s="218" t="s">
        <v>1446</v>
      </c>
      <c r="H91" s="22" t="s">
        <v>1102</v>
      </c>
      <c r="I91" s="50" t="s">
        <v>17</v>
      </c>
      <c r="J91" s="50"/>
      <c r="K91" s="50" t="s">
        <v>984</v>
      </c>
      <c r="L91" s="50" t="s">
        <v>653</v>
      </c>
      <c r="M91" s="6">
        <v>43084</v>
      </c>
      <c r="N91" s="6">
        <v>43100</v>
      </c>
      <c r="O91" s="59" t="s">
        <v>601</v>
      </c>
      <c r="P91" s="37"/>
      <c r="Q91" s="167"/>
      <c r="R91" s="135" t="s">
        <v>3323</v>
      </c>
      <c r="S91" s="316"/>
      <c r="T91" s="923"/>
    </row>
    <row r="92" spans="1:20" s="120" customFormat="1" ht="20.100000000000001" customHeight="1">
      <c r="A92" s="1190" t="s">
        <v>4401</v>
      </c>
      <c r="B92" s="1190" t="s">
        <v>4459</v>
      </c>
      <c r="C92" s="1190" t="s">
        <v>5347</v>
      </c>
      <c r="D92" s="952"/>
      <c r="E92" s="952"/>
      <c r="F92" s="952"/>
      <c r="G92" s="224" t="s">
        <v>1689</v>
      </c>
      <c r="H92" s="36" t="s">
        <v>659</v>
      </c>
      <c r="I92" s="37" t="s">
        <v>5434</v>
      </c>
      <c r="J92" s="50"/>
      <c r="K92" s="50" t="s">
        <v>731</v>
      </c>
      <c r="L92" s="50" t="s">
        <v>653</v>
      </c>
      <c r="M92" s="50"/>
      <c r="N92" s="6">
        <v>42978</v>
      </c>
      <c r="O92" s="59" t="s">
        <v>1771</v>
      </c>
      <c r="P92" s="61"/>
      <c r="Q92" s="171"/>
      <c r="R92" s="238" t="s">
        <v>4367</v>
      </c>
      <c r="S92" s="331"/>
      <c r="T92" s="859"/>
    </row>
    <row r="93" spans="1:20" s="120" customFormat="1" ht="20.100000000000001" customHeight="1">
      <c r="A93" s="1190" t="s">
        <v>4401</v>
      </c>
      <c r="B93" s="1190" t="s">
        <v>4459</v>
      </c>
      <c r="C93" s="1190" t="s">
        <v>5347</v>
      </c>
      <c r="D93" s="950"/>
      <c r="E93" s="950"/>
      <c r="F93" s="950"/>
      <c r="G93" s="218" t="s">
        <v>19</v>
      </c>
      <c r="H93" s="69">
        <v>4</v>
      </c>
      <c r="I93" s="37" t="s">
        <v>3456</v>
      </c>
      <c r="J93" s="37"/>
      <c r="K93" s="37" t="s">
        <v>2395</v>
      </c>
      <c r="L93" s="50" t="s">
        <v>653</v>
      </c>
      <c r="M93" s="6">
        <v>43070</v>
      </c>
      <c r="N93" s="6">
        <v>43083</v>
      </c>
      <c r="O93" s="59" t="s">
        <v>611</v>
      </c>
      <c r="P93" s="61"/>
      <c r="Q93" s="167"/>
      <c r="R93" s="238" t="s">
        <v>3470</v>
      </c>
      <c r="S93" s="315" t="s">
        <v>3469</v>
      </c>
      <c r="T93" s="921"/>
    </row>
    <row r="94" spans="1:20" s="120" customFormat="1" ht="20.100000000000001" customHeight="1">
      <c r="A94" s="1190" t="s">
        <v>4401</v>
      </c>
      <c r="B94" s="1190" t="s">
        <v>4459</v>
      </c>
      <c r="C94" s="1190" t="s">
        <v>5347</v>
      </c>
      <c r="D94" s="988" t="s">
        <v>4328</v>
      </c>
      <c r="E94" s="988" t="s">
        <v>1631</v>
      </c>
      <c r="F94" s="988" t="s">
        <v>1631</v>
      </c>
      <c r="G94" s="29" t="s">
        <v>31</v>
      </c>
      <c r="H94" s="36" t="s">
        <v>681</v>
      </c>
      <c r="I94" s="50" t="s">
        <v>16</v>
      </c>
      <c r="J94" s="50"/>
      <c r="K94" s="50">
        <v>42</v>
      </c>
      <c r="L94" s="50" t="s">
        <v>653</v>
      </c>
      <c r="M94" s="6">
        <v>43080</v>
      </c>
      <c r="N94" s="6">
        <v>43100</v>
      </c>
      <c r="O94" s="142"/>
      <c r="P94" s="59"/>
      <c r="Q94" s="167"/>
      <c r="R94" s="238" t="s">
        <v>4402</v>
      </c>
      <c r="S94" s="325" t="s">
        <v>1176</v>
      </c>
      <c r="T94" s="859"/>
    </row>
    <row r="95" spans="1:20" s="120" customFormat="1" ht="20.100000000000001" customHeight="1">
      <c r="A95" s="1190" t="s">
        <v>4401</v>
      </c>
      <c r="B95" s="1190" t="s">
        <v>4459</v>
      </c>
      <c r="C95" s="1244" t="s">
        <v>5346</v>
      </c>
      <c r="D95" s="973" t="s">
        <v>4382</v>
      </c>
      <c r="E95" s="973" t="s">
        <v>3965</v>
      </c>
      <c r="F95" s="973" t="s">
        <v>3965</v>
      </c>
      <c r="G95" s="763" t="s">
        <v>5</v>
      </c>
      <c r="H95" s="36" t="s">
        <v>1102</v>
      </c>
      <c r="I95" s="50" t="s">
        <v>4422</v>
      </c>
      <c r="J95" s="50"/>
      <c r="K95" s="50" t="s">
        <v>1285</v>
      </c>
      <c r="L95" s="50" t="s">
        <v>653</v>
      </c>
      <c r="M95" s="6">
        <v>43087</v>
      </c>
      <c r="N95" s="6">
        <v>43100</v>
      </c>
      <c r="O95" s="61" t="s">
        <v>3459</v>
      </c>
      <c r="P95" s="59"/>
      <c r="Q95" s="167"/>
      <c r="R95" s="238" t="s">
        <v>3458</v>
      </c>
      <c r="S95" s="331" t="s">
        <v>1176</v>
      </c>
      <c r="T95" s="863">
        <v>15</v>
      </c>
    </row>
    <row r="96" spans="1:20" s="120" customFormat="1" ht="20.100000000000001" customHeight="1">
      <c r="A96" s="1190" t="s">
        <v>4401</v>
      </c>
      <c r="B96" s="1190" t="s">
        <v>4459</v>
      </c>
      <c r="C96" s="1190" t="s">
        <v>5346</v>
      </c>
      <c r="D96" s="320">
        <v>1725</v>
      </c>
      <c r="E96" s="320">
        <v>2500</v>
      </c>
      <c r="F96" s="320">
        <v>2500</v>
      </c>
      <c r="G96" s="218" t="s">
        <v>1446</v>
      </c>
      <c r="H96" s="22" t="s">
        <v>1102</v>
      </c>
      <c r="I96" s="50" t="s">
        <v>4389</v>
      </c>
      <c r="J96" s="50"/>
      <c r="K96" s="50" t="s">
        <v>1285</v>
      </c>
      <c r="L96" s="50" t="s">
        <v>653</v>
      </c>
      <c r="M96" s="6">
        <v>43084</v>
      </c>
      <c r="N96" s="6">
        <v>43100</v>
      </c>
      <c r="O96" s="59" t="s">
        <v>601</v>
      </c>
      <c r="P96" s="59"/>
      <c r="Q96" s="167"/>
      <c r="R96" s="135" t="s">
        <v>3323</v>
      </c>
      <c r="S96" s="331"/>
      <c r="T96" s="859"/>
    </row>
    <row r="97" spans="1:20" s="120" customFormat="1" ht="20.100000000000001" customHeight="1">
      <c r="A97" s="1190" t="s">
        <v>4401</v>
      </c>
      <c r="B97" s="1190" t="s">
        <v>4459</v>
      </c>
      <c r="C97" s="1190" t="s">
        <v>5346</v>
      </c>
      <c r="D97" s="990" t="s">
        <v>3491</v>
      </c>
      <c r="E97" s="990" t="s">
        <v>5317</v>
      </c>
      <c r="F97" s="990" t="s">
        <v>5317</v>
      </c>
      <c r="G97" s="109" t="s">
        <v>18</v>
      </c>
      <c r="H97" s="36" t="s">
        <v>2292</v>
      </c>
      <c r="I97" s="50" t="s">
        <v>4431</v>
      </c>
      <c r="J97" s="50"/>
      <c r="K97" s="50" t="s">
        <v>2396</v>
      </c>
      <c r="L97" s="50" t="s">
        <v>3453</v>
      </c>
      <c r="M97" s="6">
        <v>43080</v>
      </c>
      <c r="N97" s="6">
        <v>43100</v>
      </c>
      <c r="O97" s="141"/>
      <c r="P97" s="141"/>
      <c r="Q97" s="147"/>
      <c r="R97" s="238" t="s">
        <v>4429</v>
      </c>
      <c r="S97" s="316" t="s">
        <v>1176</v>
      </c>
      <c r="T97" s="859"/>
    </row>
    <row r="98" spans="1:20" s="120" customFormat="1" ht="20.100000000000001" customHeight="1">
      <c r="A98" s="1190" t="s">
        <v>4401</v>
      </c>
      <c r="B98" s="1190" t="s">
        <v>4459</v>
      </c>
      <c r="C98" s="1190" t="s">
        <v>5346</v>
      </c>
      <c r="D98" s="975" t="s">
        <v>3491</v>
      </c>
      <c r="E98" s="975" t="s">
        <v>3965</v>
      </c>
      <c r="F98" s="975" t="s">
        <v>3965</v>
      </c>
      <c r="G98" s="109" t="s">
        <v>31</v>
      </c>
      <c r="H98" s="36" t="s">
        <v>681</v>
      </c>
      <c r="I98" s="50" t="s">
        <v>16</v>
      </c>
      <c r="J98" s="37"/>
      <c r="K98" s="37">
        <v>42</v>
      </c>
      <c r="L98" s="50" t="s">
        <v>653</v>
      </c>
      <c r="M98" s="6">
        <v>43080</v>
      </c>
      <c r="N98" s="6">
        <v>43100</v>
      </c>
      <c r="O98" s="61"/>
      <c r="P98" s="61"/>
      <c r="Q98" s="167"/>
      <c r="R98" s="238" t="s">
        <v>4402</v>
      </c>
      <c r="S98" s="325" t="s">
        <v>1176</v>
      </c>
      <c r="T98" s="921"/>
    </row>
    <row r="99" spans="1:20" s="120" customFormat="1" ht="20.100000000000001" customHeight="1">
      <c r="A99" s="1138" t="s">
        <v>4398</v>
      </c>
      <c r="B99" s="1138" t="s">
        <v>4459</v>
      </c>
      <c r="C99" s="1245" t="s">
        <v>4463</v>
      </c>
      <c r="D99" s="973" t="s">
        <v>5345</v>
      </c>
      <c r="E99" s="973" t="s">
        <v>5344</v>
      </c>
      <c r="F99" s="973" t="s">
        <v>5344</v>
      </c>
      <c r="G99" s="763" t="s">
        <v>5</v>
      </c>
      <c r="H99" s="36" t="s">
        <v>1102</v>
      </c>
      <c r="I99" s="50" t="s">
        <v>4422</v>
      </c>
      <c r="J99" s="50"/>
      <c r="K99" s="50" t="s">
        <v>2565</v>
      </c>
      <c r="L99" s="50" t="s">
        <v>653</v>
      </c>
      <c r="M99" s="6">
        <v>43087</v>
      </c>
      <c r="N99" s="6">
        <v>43100</v>
      </c>
      <c r="O99" s="61" t="s">
        <v>3459</v>
      </c>
      <c r="P99" s="61" t="s">
        <v>1663</v>
      </c>
      <c r="Q99" s="167"/>
      <c r="R99" s="238" t="s">
        <v>3458</v>
      </c>
      <c r="S99" s="331" t="s">
        <v>1176</v>
      </c>
      <c r="T99" s="922">
        <v>15</v>
      </c>
    </row>
    <row r="100" spans="1:20" s="120" customFormat="1" ht="20.100000000000001" customHeight="1">
      <c r="A100" s="1138" t="s">
        <v>4401</v>
      </c>
      <c r="B100" s="1138" t="s">
        <v>4459</v>
      </c>
      <c r="C100" s="1138" t="s">
        <v>4463</v>
      </c>
      <c r="D100" s="993" t="s">
        <v>1631</v>
      </c>
      <c r="E100" s="993" t="s">
        <v>5343</v>
      </c>
      <c r="F100" s="993" t="s">
        <v>5343</v>
      </c>
      <c r="G100" s="70" t="s">
        <v>18</v>
      </c>
      <c r="H100" s="36" t="s">
        <v>657</v>
      </c>
      <c r="I100" s="50" t="s">
        <v>4422</v>
      </c>
      <c r="J100" s="50"/>
      <c r="K100" s="50" t="s">
        <v>2565</v>
      </c>
      <c r="L100" s="50" t="s">
        <v>653</v>
      </c>
      <c r="M100" s="6">
        <v>43080</v>
      </c>
      <c r="N100" s="6">
        <v>43100</v>
      </c>
      <c r="O100" s="26"/>
      <c r="P100" s="26"/>
      <c r="Q100" s="147"/>
      <c r="R100" s="238" t="s">
        <v>4421</v>
      </c>
      <c r="S100" s="316" t="s">
        <v>1176</v>
      </c>
      <c r="T100" s="921"/>
    </row>
    <row r="101" spans="1:20" s="120" customFormat="1" ht="20.100000000000001" customHeight="1">
      <c r="A101" s="1138" t="s">
        <v>1450</v>
      </c>
      <c r="B101" s="1138" t="s">
        <v>1451</v>
      </c>
      <c r="C101" s="1138" t="s">
        <v>1452</v>
      </c>
      <c r="D101" s="1001" t="s">
        <v>4462</v>
      </c>
      <c r="E101" s="1001" t="s">
        <v>4461</v>
      </c>
      <c r="F101" s="1001" t="s">
        <v>4461</v>
      </c>
      <c r="G101" s="218" t="s">
        <v>1446</v>
      </c>
      <c r="H101" s="22" t="s">
        <v>1102</v>
      </c>
      <c r="I101" s="50" t="s">
        <v>4460</v>
      </c>
      <c r="J101" s="50"/>
      <c r="K101" s="50" t="s">
        <v>2565</v>
      </c>
      <c r="L101" s="50" t="s">
        <v>653</v>
      </c>
      <c r="M101" s="6">
        <v>43070</v>
      </c>
      <c r="N101" s="6">
        <v>43100</v>
      </c>
      <c r="O101" s="59" t="s">
        <v>601</v>
      </c>
      <c r="P101" s="26"/>
      <c r="Q101" s="167"/>
      <c r="R101" s="135" t="s">
        <v>3323</v>
      </c>
      <c r="S101" s="316"/>
      <c r="T101" s="921"/>
    </row>
    <row r="102" spans="1:20" s="120" customFormat="1" ht="20.100000000000001" customHeight="1">
      <c r="A102" s="1138" t="s">
        <v>4398</v>
      </c>
      <c r="B102" s="1138" t="s">
        <v>4459</v>
      </c>
      <c r="C102" s="1245" t="s">
        <v>4458</v>
      </c>
      <c r="D102" s="999"/>
      <c r="E102" s="999"/>
      <c r="F102" s="999"/>
      <c r="G102" s="763" t="s">
        <v>5</v>
      </c>
      <c r="H102" s="36" t="s">
        <v>1102</v>
      </c>
      <c r="I102" s="50" t="s">
        <v>4422</v>
      </c>
      <c r="J102" s="50"/>
      <c r="K102" s="50">
        <v>52</v>
      </c>
      <c r="L102" s="50" t="s">
        <v>653</v>
      </c>
      <c r="M102" s="6">
        <v>43087</v>
      </c>
      <c r="N102" s="6">
        <v>43100</v>
      </c>
      <c r="O102" s="61" t="s">
        <v>3459</v>
      </c>
      <c r="P102" s="61"/>
      <c r="Q102" s="10" t="s">
        <v>1025</v>
      </c>
      <c r="R102" s="238" t="s">
        <v>3458</v>
      </c>
      <c r="S102" s="331" t="s">
        <v>1176</v>
      </c>
      <c r="T102" s="922">
        <v>15</v>
      </c>
    </row>
    <row r="103" spans="1:20" s="120" customFormat="1" ht="20.100000000000001" customHeight="1">
      <c r="A103" s="1138" t="s">
        <v>4401</v>
      </c>
      <c r="B103" s="1138" t="s">
        <v>4459</v>
      </c>
      <c r="C103" s="1138" t="s">
        <v>4458</v>
      </c>
      <c r="D103" s="1000" t="s">
        <v>4457</v>
      </c>
      <c r="E103" s="1000" t="s">
        <v>4456</v>
      </c>
      <c r="F103" s="1000" t="s">
        <v>4456</v>
      </c>
      <c r="G103" s="218" t="s">
        <v>1446</v>
      </c>
      <c r="H103" s="22" t="s">
        <v>1102</v>
      </c>
      <c r="I103" s="50" t="s">
        <v>4389</v>
      </c>
      <c r="J103" s="50"/>
      <c r="K103" s="50" t="s">
        <v>3325</v>
      </c>
      <c r="L103" s="50" t="s">
        <v>653</v>
      </c>
      <c r="M103" s="6">
        <v>43059</v>
      </c>
      <c r="N103" s="6">
        <v>43100</v>
      </c>
      <c r="O103" s="59" t="s">
        <v>601</v>
      </c>
      <c r="P103" s="61"/>
      <c r="Q103" s="167"/>
      <c r="R103" s="135" t="s">
        <v>3323</v>
      </c>
      <c r="S103" s="331"/>
      <c r="T103" s="921"/>
    </row>
    <row r="104" spans="1:20" s="120" customFormat="1" ht="20.100000000000001" customHeight="1">
      <c r="A104" s="906" t="s">
        <v>1450</v>
      </c>
      <c r="B104" s="899" t="s">
        <v>1451</v>
      </c>
      <c r="C104" s="899" t="s">
        <v>4455</v>
      </c>
      <c r="D104" s="999" t="s">
        <v>4454</v>
      </c>
      <c r="E104" s="999">
        <v>8750</v>
      </c>
      <c r="F104" s="999">
        <v>8750</v>
      </c>
      <c r="G104" s="218" t="s">
        <v>1446</v>
      </c>
      <c r="H104" s="22" t="s">
        <v>1102</v>
      </c>
      <c r="I104" s="50" t="s">
        <v>4389</v>
      </c>
      <c r="J104" s="50"/>
      <c r="K104" s="50" t="s">
        <v>2567</v>
      </c>
      <c r="L104" s="50" t="s">
        <v>653</v>
      </c>
      <c r="M104" s="6">
        <v>43059</v>
      </c>
      <c r="N104" s="6">
        <v>43100</v>
      </c>
      <c r="O104" s="59" t="s">
        <v>601</v>
      </c>
      <c r="P104" s="61"/>
      <c r="Q104" s="167"/>
      <c r="R104" s="135" t="s">
        <v>3323</v>
      </c>
      <c r="S104" s="331"/>
      <c r="T104" s="921"/>
    </row>
    <row r="105" spans="1:20" s="120" customFormat="1" ht="20.100000000000001" customHeight="1">
      <c r="A105" s="1190" t="s">
        <v>4401</v>
      </c>
      <c r="B105" s="1190" t="s">
        <v>4450</v>
      </c>
      <c r="C105" s="1190" t="s">
        <v>4449</v>
      </c>
      <c r="D105" s="246">
        <v>1450</v>
      </c>
      <c r="E105" s="246">
        <v>2000</v>
      </c>
      <c r="F105" s="246">
        <v>2000</v>
      </c>
      <c r="G105" s="70" t="s">
        <v>13</v>
      </c>
      <c r="H105" s="36" t="s">
        <v>3397</v>
      </c>
      <c r="I105" s="50" t="s">
        <v>4412</v>
      </c>
      <c r="J105" s="50"/>
      <c r="K105" s="50">
        <v>47</v>
      </c>
      <c r="L105" s="50" t="s">
        <v>847</v>
      </c>
      <c r="M105" s="108">
        <v>43081</v>
      </c>
      <c r="N105" s="108">
        <v>43100</v>
      </c>
      <c r="O105" s="59" t="s">
        <v>601</v>
      </c>
      <c r="P105" s="59"/>
      <c r="Q105" s="52"/>
      <c r="R105" s="238" t="s">
        <v>4411</v>
      </c>
      <c r="S105" s="319" t="s">
        <v>1176</v>
      </c>
      <c r="T105" s="921" t="s">
        <v>4447</v>
      </c>
    </row>
    <row r="106" spans="1:20" s="120" customFormat="1" ht="20.100000000000001" customHeight="1">
      <c r="A106" s="1190" t="s">
        <v>4401</v>
      </c>
      <c r="B106" s="1190" t="s">
        <v>4450</v>
      </c>
      <c r="C106" s="1190" t="s">
        <v>4449</v>
      </c>
      <c r="D106" s="998" t="s">
        <v>5339</v>
      </c>
      <c r="E106" s="998" t="s">
        <v>4382</v>
      </c>
      <c r="F106" s="998" t="s">
        <v>4382</v>
      </c>
      <c r="G106" s="218" t="s">
        <v>1446</v>
      </c>
      <c r="H106" s="22" t="s">
        <v>1102</v>
      </c>
      <c r="I106" s="50" t="s">
        <v>4389</v>
      </c>
      <c r="J106" s="50"/>
      <c r="K106" s="50" t="s">
        <v>1265</v>
      </c>
      <c r="L106" s="50" t="s">
        <v>653</v>
      </c>
      <c r="M106" s="6">
        <v>43084</v>
      </c>
      <c r="N106" s="6">
        <v>43100</v>
      </c>
      <c r="O106" s="59" t="s">
        <v>601</v>
      </c>
      <c r="P106" s="59"/>
      <c r="Q106" s="167"/>
      <c r="R106" s="135" t="s">
        <v>3323</v>
      </c>
      <c r="S106" s="319"/>
      <c r="T106" s="921" t="s">
        <v>4453</v>
      </c>
    </row>
    <row r="107" spans="1:20" s="120" customFormat="1" ht="20.100000000000001" customHeight="1">
      <c r="A107" s="1190" t="s">
        <v>4401</v>
      </c>
      <c r="B107" s="1190" t="s">
        <v>4450</v>
      </c>
      <c r="C107" s="1190" t="s">
        <v>4449</v>
      </c>
      <c r="D107" s="244" t="s">
        <v>3320</v>
      </c>
      <c r="E107" s="244" t="s">
        <v>3465</v>
      </c>
      <c r="F107" s="244" t="s">
        <v>3465</v>
      </c>
      <c r="G107" s="218" t="s">
        <v>51</v>
      </c>
      <c r="H107" s="36" t="s">
        <v>659</v>
      </c>
      <c r="I107" s="50" t="s">
        <v>4412</v>
      </c>
      <c r="J107" s="50"/>
      <c r="K107" s="50" t="s">
        <v>987</v>
      </c>
      <c r="L107" s="50" t="s">
        <v>847</v>
      </c>
      <c r="M107" s="108">
        <v>43080</v>
      </c>
      <c r="N107" s="108">
        <v>43100</v>
      </c>
      <c r="O107" s="59"/>
      <c r="P107" s="59"/>
      <c r="Q107" s="167"/>
      <c r="R107" s="238" t="s">
        <v>3467</v>
      </c>
      <c r="S107" s="331"/>
      <c r="T107" s="921"/>
    </row>
    <row r="108" spans="1:20" s="120" customFormat="1" ht="20.100000000000001" customHeight="1">
      <c r="A108" s="1190" t="s">
        <v>4401</v>
      </c>
      <c r="B108" s="1190" t="s">
        <v>4450</v>
      </c>
      <c r="C108" s="1244" t="s">
        <v>4449</v>
      </c>
      <c r="D108" s="973" t="s">
        <v>3465</v>
      </c>
      <c r="E108" s="973" t="s">
        <v>5321</v>
      </c>
      <c r="F108" s="973" t="str">
        <f>E108</f>
        <v>2050</v>
      </c>
      <c r="G108" s="763" t="s">
        <v>5</v>
      </c>
      <c r="H108" s="36">
        <v>4</v>
      </c>
      <c r="I108" s="50" t="s">
        <v>17</v>
      </c>
      <c r="J108" s="50"/>
      <c r="K108" s="50" t="s">
        <v>984</v>
      </c>
      <c r="L108" s="50" t="s">
        <v>653</v>
      </c>
      <c r="M108" s="6">
        <v>43087</v>
      </c>
      <c r="N108" s="6">
        <v>43100</v>
      </c>
      <c r="O108" s="59" t="s">
        <v>1771</v>
      </c>
      <c r="P108" s="61"/>
      <c r="Q108" s="167"/>
      <c r="R108" s="238" t="s">
        <v>1694</v>
      </c>
      <c r="S108" s="315" t="s">
        <v>4452</v>
      </c>
      <c r="T108" s="922" t="s">
        <v>4451</v>
      </c>
    </row>
    <row r="109" spans="1:20" s="120" customFormat="1" ht="20.100000000000001" customHeight="1">
      <c r="A109" s="1190" t="s">
        <v>4401</v>
      </c>
      <c r="B109" s="1190" t="s">
        <v>4450</v>
      </c>
      <c r="C109" s="1190" t="s">
        <v>4449</v>
      </c>
      <c r="D109" s="993" t="s">
        <v>5329</v>
      </c>
      <c r="E109" s="993" t="s">
        <v>3475</v>
      </c>
      <c r="F109" s="993" t="s">
        <v>3475</v>
      </c>
      <c r="G109" s="70" t="s">
        <v>18</v>
      </c>
      <c r="H109" s="36">
        <v>4</v>
      </c>
      <c r="I109" s="50" t="s">
        <v>17</v>
      </c>
      <c r="J109" s="37"/>
      <c r="K109" s="50" t="s">
        <v>984</v>
      </c>
      <c r="L109" s="50" t="s">
        <v>653</v>
      </c>
      <c r="M109" s="6">
        <v>43080</v>
      </c>
      <c r="N109" s="6">
        <v>43100</v>
      </c>
      <c r="O109" s="232"/>
      <c r="P109" s="232"/>
      <c r="Q109" s="167"/>
      <c r="R109" s="238" t="s">
        <v>3466</v>
      </c>
      <c r="S109" s="316" t="s">
        <v>1176</v>
      </c>
      <c r="T109" s="859"/>
    </row>
    <row r="110" spans="1:20" s="120" customFormat="1" ht="20.100000000000001" customHeight="1">
      <c r="A110" s="1190" t="s">
        <v>4401</v>
      </c>
      <c r="B110" s="1190" t="s">
        <v>4450</v>
      </c>
      <c r="C110" s="1190" t="s">
        <v>4449</v>
      </c>
      <c r="D110" s="975" t="s">
        <v>4377</v>
      </c>
      <c r="E110" s="975" t="s">
        <v>3713</v>
      </c>
      <c r="F110" s="975" t="s">
        <v>3713</v>
      </c>
      <c r="G110" s="70" t="s">
        <v>31</v>
      </c>
      <c r="H110" s="36">
        <v>5</v>
      </c>
      <c r="I110" s="50" t="s">
        <v>16</v>
      </c>
      <c r="J110" s="50"/>
      <c r="K110" s="50">
        <v>46</v>
      </c>
      <c r="L110" s="50" t="s">
        <v>653</v>
      </c>
      <c r="M110" s="6">
        <v>43080</v>
      </c>
      <c r="N110" s="6">
        <v>43100</v>
      </c>
      <c r="O110" s="144"/>
      <c r="P110" s="61" t="s">
        <v>4448</v>
      </c>
      <c r="Q110" s="167"/>
      <c r="R110" s="238" t="s">
        <v>4402</v>
      </c>
      <c r="S110" s="325" t="s">
        <v>1176</v>
      </c>
      <c r="T110" s="921" t="s">
        <v>4447</v>
      </c>
    </row>
    <row r="111" spans="1:20" s="120" customFormat="1" ht="20.100000000000001" customHeight="1">
      <c r="A111" s="1190" t="s">
        <v>4401</v>
      </c>
      <c r="B111" s="1190" t="s">
        <v>4445</v>
      </c>
      <c r="C111" s="1190" t="s">
        <v>4446</v>
      </c>
      <c r="D111" s="990" t="s">
        <v>5338</v>
      </c>
      <c r="E111" s="990" t="s">
        <v>4386</v>
      </c>
      <c r="F111" s="990" t="s">
        <v>4386</v>
      </c>
      <c r="G111" s="70" t="s">
        <v>18</v>
      </c>
      <c r="H111" s="36" t="s">
        <v>657</v>
      </c>
      <c r="I111" s="50" t="s">
        <v>4422</v>
      </c>
      <c r="J111" s="50"/>
      <c r="K111" s="37">
        <v>48</v>
      </c>
      <c r="L111" s="50" t="s">
        <v>653</v>
      </c>
      <c r="M111" s="6">
        <v>43080</v>
      </c>
      <c r="N111" s="6">
        <v>43100</v>
      </c>
      <c r="O111" s="26"/>
      <c r="P111" s="26"/>
      <c r="Q111" s="147"/>
      <c r="R111" s="238" t="s">
        <v>4421</v>
      </c>
      <c r="S111" s="316" t="s">
        <v>1176</v>
      </c>
      <c r="T111" s="859"/>
    </row>
    <row r="112" spans="1:20" s="120" customFormat="1" ht="20.100000000000001" customHeight="1">
      <c r="A112" s="1190" t="s">
        <v>4401</v>
      </c>
      <c r="B112" s="1190" t="s">
        <v>4445</v>
      </c>
      <c r="C112" s="1190" t="s">
        <v>4446</v>
      </c>
      <c r="D112" s="246">
        <v>1550</v>
      </c>
      <c r="E112" s="246">
        <v>2000</v>
      </c>
      <c r="F112" s="246">
        <v>2000</v>
      </c>
      <c r="G112" s="70" t="s">
        <v>13</v>
      </c>
      <c r="H112" s="36" t="s">
        <v>3397</v>
      </c>
      <c r="I112" s="50" t="s">
        <v>4412</v>
      </c>
      <c r="J112" s="50"/>
      <c r="K112" s="50">
        <v>47</v>
      </c>
      <c r="L112" s="50" t="s">
        <v>847</v>
      </c>
      <c r="M112" s="108">
        <v>43081</v>
      </c>
      <c r="N112" s="108">
        <v>43100</v>
      </c>
      <c r="O112" s="59" t="s">
        <v>601</v>
      </c>
      <c r="P112" s="59"/>
      <c r="Q112" s="52"/>
      <c r="R112" s="238" t="s">
        <v>4411</v>
      </c>
      <c r="S112" s="319" t="s">
        <v>1176</v>
      </c>
      <c r="T112" s="859"/>
    </row>
    <row r="113" spans="1:20" s="120" customFormat="1" ht="20.100000000000001" customHeight="1">
      <c r="A113" s="1190" t="s">
        <v>4401</v>
      </c>
      <c r="B113" s="1190" t="s">
        <v>4445</v>
      </c>
      <c r="C113" s="1190" t="s">
        <v>4446</v>
      </c>
      <c r="D113" s="998" t="s">
        <v>5339</v>
      </c>
      <c r="E113" s="998" t="s">
        <v>4386</v>
      </c>
      <c r="F113" s="998" t="s">
        <v>4386</v>
      </c>
      <c r="G113" s="218" t="s">
        <v>1446</v>
      </c>
      <c r="H113" s="22" t="s">
        <v>1102</v>
      </c>
      <c r="I113" s="50" t="s">
        <v>4389</v>
      </c>
      <c r="J113" s="50"/>
      <c r="K113" s="50" t="s">
        <v>1265</v>
      </c>
      <c r="L113" s="50" t="s">
        <v>653</v>
      </c>
      <c r="M113" s="6">
        <v>43084</v>
      </c>
      <c r="N113" s="6">
        <v>43100</v>
      </c>
      <c r="O113" s="59" t="s">
        <v>601</v>
      </c>
      <c r="P113" s="59"/>
      <c r="Q113" s="167"/>
      <c r="R113" s="135" t="s">
        <v>3323</v>
      </c>
      <c r="S113" s="319"/>
      <c r="T113" s="859"/>
    </row>
    <row r="114" spans="1:20" s="120" customFormat="1" ht="20.100000000000001" customHeight="1">
      <c r="A114" s="1190" t="s">
        <v>4401</v>
      </c>
      <c r="B114" s="1190" t="s">
        <v>4445</v>
      </c>
      <c r="C114" s="1244" t="s">
        <v>4446</v>
      </c>
      <c r="D114" s="973" t="s">
        <v>4377</v>
      </c>
      <c r="E114" s="973" t="s">
        <v>3475</v>
      </c>
      <c r="F114" s="973" t="str">
        <f>E114</f>
        <v>2200</v>
      </c>
      <c r="G114" s="763" t="s">
        <v>5</v>
      </c>
      <c r="H114" s="36" t="s">
        <v>1102</v>
      </c>
      <c r="I114" s="50" t="s">
        <v>4422</v>
      </c>
      <c r="J114" s="50"/>
      <c r="K114" s="50">
        <v>45</v>
      </c>
      <c r="L114" s="50" t="s">
        <v>653</v>
      </c>
      <c r="M114" s="6">
        <v>43087</v>
      </c>
      <c r="N114" s="6">
        <v>43100</v>
      </c>
      <c r="O114" s="59" t="s">
        <v>1771</v>
      </c>
      <c r="P114" s="59"/>
      <c r="Q114" s="167"/>
      <c r="R114" s="238" t="s">
        <v>3458</v>
      </c>
      <c r="S114" s="331" t="s">
        <v>1176</v>
      </c>
      <c r="T114" s="863">
        <v>11</v>
      </c>
    </row>
    <row r="115" spans="1:20" s="120" customFormat="1" ht="20.100000000000001" customHeight="1">
      <c r="A115" s="1190" t="s">
        <v>4401</v>
      </c>
      <c r="B115" s="1190" t="s">
        <v>4445</v>
      </c>
      <c r="C115" s="1190" t="s">
        <v>4446</v>
      </c>
      <c r="D115" s="972" t="s">
        <v>4310</v>
      </c>
      <c r="E115" s="972" t="s">
        <v>5318</v>
      </c>
      <c r="F115" s="972" t="s">
        <v>5318</v>
      </c>
      <c r="G115" s="70" t="s">
        <v>31</v>
      </c>
      <c r="H115" s="36">
        <v>5</v>
      </c>
      <c r="I115" s="50" t="s">
        <v>16</v>
      </c>
      <c r="J115" s="50"/>
      <c r="K115" s="50">
        <v>46</v>
      </c>
      <c r="L115" s="50" t="s">
        <v>653</v>
      </c>
      <c r="M115" s="6">
        <v>43080</v>
      </c>
      <c r="N115" s="6">
        <v>43100</v>
      </c>
      <c r="O115" s="144"/>
      <c r="P115" s="144"/>
      <c r="Q115" s="167"/>
      <c r="R115" s="238" t="s">
        <v>4402</v>
      </c>
      <c r="S115" s="325" t="s">
        <v>1176</v>
      </c>
      <c r="T115" s="859"/>
    </row>
    <row r="116" spans="1:20" s="120" customFormat="1" ht="20.100000000000001" customHeight="1">
      <c r="A116" s="1190" t="s">
        <v>4401</v>
      </c>
      <c r="B116" s="1190" t="s">
        <v>4445</v>
      </c>
      <c r="C116" s="1190" t="s">
        <v>4444</v>
      </c>
      <c r="D116" s="986">
        <v>4025</v>
      </c>
      <c r="E116" s="986">
        <v>7050</v>
      </c>
      <c r="F116" s="986">
        <v>7050</v>
      </c>
      <c r="G116" s="218" t="s">
        <v>1446</v>
      </c>
      <c r="H116" s="22" t="s">
        <v>1102</v>
      </c>
      <c r="I116" s="50" t="s">
        <v>4389</v>
      </c>
      <c r="J116" s="50"/>
      <c r="K116" s="50" t="s">
        <v>2396</v>
      </c>
      <c r="L116" s="50" t="s">
        <v>653</v>
      </c>
      <c r="M116" s="6">
        <v>43059</v>
      </c>
      <c r="N116" s="6">
        <v>43100</v>
      </c>
      <c r="O116" s="59" t="s">
        <v>601</v>
      </c>
      <c r="P116" s="144"/>
      <c r="Q116" s="167"/>
      <c r="R116" s="135" t="s">
        <v>3323</v>
      </c>
      <c r="S116" s="325"/>
      <c r="T116" s="859"/>
    </row>
    <row r="117" spans="1:20" s="120" customFormat="1" ht="20.100000000000001" customHeight="1">
      <c r="A117" s="1190" t="s">
        <v>4401</v>
      </c>
      <c r="B117" s="1190" t="s">
        <v>4445</v>
      </c>
      <c r="C117" s="1244" t="s">
        <v>4444</v>
      </c>
      <c r="D117" s="973" t="s">
        <v>1634</v>
      </c>
      <c r="E117" s="973" t="s">
        <v>5342</v>
      </c>
      <c r="F117" s="973" t="str">
        <f>E117</f>
        <v>3050</v>
      </c>
      <c r="G117" s="763" t="s">
        <v>5</v>
      </c>
      <c r="H117" s="36" t="s">
        <v>681</v>
      </c>
      <c r="I117" s="50" t="s">
        <v>4412</v>
      </c>
      <c r="J117" s="50"/>
      <c r="K117" s="50">
        <v>45</v>
      </c>
      <c r="L117" s="50" t="s">
        <v>649</v>
      </c>
      <c r="M117" s="6">
        <v>43087</v>
      </c>
      <c r="N117" s="6">
        <v>43100</v>
      </c>
      <c r="O117" s="59" t="s">
        <v>1771</v>
      </c>
      <c r="P117" s="61" t="s">
        <v>4443</v>
      </c>
      <c r="Q117" s="167"/>
      <c r="R117" s="238" t="s">
        <v>4442</v>
      </c>
      <c r="S117" s="331" t="s">
        <v>1176</v>
      </c>
      <c r="T117" s="922">
        <v>11</v>
      </c>
    </row>
    <row r="118" spans="1:20" s="120" customFormat="1" ht="20.100000000000001" customHeight="1">
      <c r="A118" s="1138" t="s">
        <v>4401</v>
      </c>
      <c r="B118" s="1138" t="s">
        <v>4440</v>
      </c>
      <c r="C118" s="1138" t="s">
        <v>4439</v>
      </c>
      <c r="D118" s="246">
        <v>1550</v>
      </c>
      <c r="E118" s="246">
        <v>2000</v>
      </c>
      <c r="F118" s="246">
        <v>2000</v>
      </c>
      <c r="G118" s="70" t="s">
        <v>13</v>
      </c>
      <c r="H118" s="22" t="s">
        <v>1102</v>
      </c>
      <c r="I118" s="50" t="s">
        <v>17</v>
      </c>
      <c r="J118" s="50"/>
      <c r="K118" s="50" t="s">
        <v>722</v>
      </c>
      <c r="L118" s="50" t="s">
        <v>653</v>
      </c>
      <c r="M118" s="108">
        <v>43081</v>
      </c>
      <c r="N118" s="108">
        <v>43100</v>
      </c>
      <c r="O118" s="59" t="s">
        <v>601</v>
      </c>
      <c r="P118" s="59"/>
      <c r="Q118" s="167"/>
      <c r="R118" s="238" t="s">
        <v>4423</v>
      </c>
      <c r="S118" s="319" t="s">
        <v>1176</v>
      </c>
      <c r="T118" s="922"/>
    </row>
    <row r="119" spans="1:20" s="120" customFormat="1" ht="20.100000000000001" customHeight="1">
      <c r="A119" s="1138" t="s">
        <v>4401</v>
      </c>
      <c r="B119" s="1138" t="s">
        <v>4440</v>
      </c>
      <c r="C119" s="1245" t="s">
        <v>4439</v>
      </c>
      <c r="D119" s="973" t="s">
        <v>4377</v>
      </c>
      <c r="E119" s="973" t="s">
        <v>3475</v>
      </c>
      <c r="F119" s="973" t="str">
        <f>E119</f>
        <v>2200</v>
      </c>
      <c r="G119" s="763" t="s">
        <v>5</v>
      </c>
      <c r="H119" s="36" t="s">
        <v>1102</v>
      </c>
      <c r="I119" s="50" t="s">
        <v>17</v>
      </c>
      <c r="J119" s="50"/>
      <c r="K119" s="50" t="s">
        <v>722</v>
      </c>
      <c r="L119" s="50" t="s">
        <v>653</v>
      </c>
      <c r="M119" s="6">
        <v>43087</v>
      </c>
      <c r="N119" s="6">
        <v>43100</v>
      </c>
      <c r="O119" s="61" t="s">
        <v>3459</v>
      </c>
      <c r="P119" s="61"/>
      <c r="Q119" s="167"/>
      <c r="R119" s="238" t="s">
        <v>3458</v>
      </c>
      <c r="S119" s="331" t="s">
        <v>1176</v>
      </c>
      <c r="T119" s="922">
        <v>11</v>
      </c>
    </row>
    <row r="120" spans="1:20" s="120" customFormat="1" ht="20.100000000000001" customHeight="1">
      <c r="A120" s="1138" t="s">
        <v>4401</v>
      </c>
      <c r="B120" s="1138" t="s">
        <v>4440</v>
      </c>
      <c r="C120" s="1138" t="s">
        <v>4439</v>
      </c>
      <c r="D120" s="981" t="s">
        <v>5341</v>
      </c>
      <c r="E120" s="981" t="s">
        <v>5340</v>
      </c>
      <c r="F120" s="981" t="s">
        <v>5340</v>
      </c>
      <c r="G120" s="218" t="s">
        <v>51</v>
      </c>
      <c r="H120" s="36" t="s">
        <v>1102</v>
      </c>
      <c r="I120" s="50" t="s">
        <v>17</v>
      </c>
      <c r="J120" s="50"/>
      <c r="K120" s="50" t="s">
        <v>722</v>
      </c>
      <c r="L120" s="50" t="s">
        <v>653</v>
      </c>
      <c r="M120" s="108">
        <v>43080</v>
      </c>
      <c r="N120" s="108">
        <v>43100</v>
      </c>
      <c r="O120" s="61"/>
      <c r="P120" s="61"/>
      <c r="Q120" s="167"/>
      <c r="R120" s="238" t="s">
        <v>4387</v>
      </c>
      <c r="S120" s="331"/>
      <c r="T120" s="923"/>
    </row>
    <row r="121" spans="1:20" s="120" customFormat="1" ht="20.100000000000001" customHeight="1">
      <c r="A121" s="1138" t="s">
        <v>4401</v>
      </c>
      <c r="B121" s="1138" t="s">
        <v>4440</v>
      </c>
      <c r="C121" s="1138" t="s">
        <v>4439</v>
      </c>
      <c r="D121" s="990" t="s">
        <v>5338</v>
      </c>
      <c r="E121" s="990" t="s">
        <v>4386</v>
      </c>
      <c r="F121" s="990" t="s">
        <v>4386</v>
      </c>
      <c r="G121" s="70" t="s">
        <v>18</v>
      </c>
      <c r="H121" s="36" t="s">
        <v>1102</v>
      </c>
      <c r="I121" s="50" t="s">
        <v>17</v>
      </c>
      <c r="J121" s="50"/>
      <c r="K121" s="50" t="s">
        <v>722</v>
      </c>
      <c r="L121" s="50" t="s">
        <v>653</v>
      </c>
      <c r="M121" s="6">
        <v>43080</v>
      </c>
      <c r="N121" s="6">
        <v>43100</v>
      </c>
      <c r="O121" s="59"/>
      <c r="P121" s="59"/>
      <c r="Q121" s="167"/>
      <c r="R121" s="238" t="s">
        <v>4385</v>
      </c>
      <c r="S121" s="316" t="s">
        <v>1176</v>
      </c>
      <c r="T121" s="923"/>
    </row>
    <row r="122" spans="1:20" s="120" customFormat="1" ht="20.100000000000001" customHeight="1">
      <c r="A122" s="1138" t="s">
        <v>4401</v>
      </c>
      <c r="B122" s="1138" t="s">
        <v>4440</v>
      </c>
      <c r="C122" s="1138" t="s">
        <v>4439</v>
      </c>
      <c r="D122" s="998" t="s">
        <v>5339</v>
      </c>
      <c r="E122" s="998" t="s">
        <v>4386</v>
      </c>
      <c r="F122" s="998" t="s">
        <v>4386</v>
      </c>
      <c r="G122" s="218" t="s">
        <v>1446</v>
      </c>
      <c r="H122" s="22" t="s">
        <v>1102</v>
      </c>
      <c r="I122" s="50" t="s">
        <v>17</v>
      </c>
      <c r="J122" s="50"/>
      <c r="K122" s="50" t="s">
        <v>722</v>
      </c>
      <c r="L122" s="50" t="s">
        <v>653</v>
      </c>
      <c r="M122" s="6">
        <v>43084</v>
      </c>
      <c r="N122" s="6">
        <v>43100</v>
      </c>
      <c r="O122" s="59" t="s">
        <v>601</v>
      </c>
      <c r="P122" s="59"/>
      <c r="Q122" s="167"/>
      <c r="R122" s="135" t="s">
        <v>3323</v>
      </c>
      <c r="S122" s="316"/>
      <c r="T122" s="923"/>
    </row>
    <row r="123" spans="1:20" s="120" customFormat="1" ht="20.100000000000001" customHeight="1">
      <c r="A123" s="1138" t="s">
        <v>4401</v>
      </c>
      <c r="B123" s="1138" t="s">
        <v>4440</v>
      </c>
      <c r="C123" s="1138" t="s">
        <v>4439</v>
      </c>
      <c r="D123" s="952"/>
      <c r="E123" s="952"/>
      <c r="F123" s="952"/>
      <c r="G123" s="224" t="s">
        <v>1689</v>
      </c>
      <c r="H123" s="36" t="s">
        <v>659</v>
      </c>
      <c r="I123" s="37" t="s">
        <v>3456</v>
      </c>
      <c r="J123" s="50"/>
      <c r="K123" s="50" t="s">
        <v>1242</v>
      </c>
      <c r="L123" s="50" t="s">
        <v>653</v>
      </c>
      <c r="M123" s="50"/>
      <c r="N123" s="6">
        <v>42978</v>
      </c>
      <c r="O123" s="59" t="s">
        <v>1771</v>
      </c>
      <c r="P123" s="59"/>
      <c r="Q123" s="171"/>
      <c r="R123" s="238" t="s">
        <v>4367</v>
      </c>
      <c r="S123" s="331"/>
      <c r="T123" s="923"/>
    </row>
    <row r="124" spans="1:20" s="120" customFormat="1" ht="20.100000000000001" customHeight="1">
      <c r="A124" s="1138" t="s">
        <v>4401</v>
      </c>
      <c r="B124" s="1138" t="s">
        <v>4440</v>
      </c>
      <c r="C124" s="1138" t="s">
        <v>4439</v>
      </c>
      <c r="D124" s="990" t="s">
        <v>5338</v>
      </c>
      <c r="E124" s="990" t="s">
        <v>4386</v>
      </c>
      <c r="F124" s="990" t="s">
        <v>4386</v>
      </c>
      <c r="G124" s="70" t="s">
        <v>18</v>
      </c>
      <c r="H124" s="194" t="s">
        <v>725</v>
      </c>
      <c r="I124" s="50" t="s">
        <v>17</v>
      </c>
      <c r="J124" s="50"/>
      <c r="K124" s="50"/>
      <c r="L124" s="50" t="s">
        <v>653</v>
      </c>
      <c r="M124" s="6">
        <v>43080</v>
      </c>
      <c r="N124" s="6">
        <v>43100</v>
      </c>
      <c r="O124" s="59"/>
      <c r="P124" s="59"/>
      <c r="Q124" s="167"/>
      <c r="R124" s="238" t="s">
        <v>3466</v>
      </c>
      <c r="S124" s="316" t="s">
        <v>1176</v>
      </c>
      <c r="T124" s="923"/>
    </row>
    <row r="125" spans="1:20" s="120" customFormat="1" ht="20.100000000000001" customHeight="1">
      <c r="A125" s="899" t="s">
        <v>4401</v>
      </c>
      <c r="B125" s="899" t="s">
        <v>3454</v>
      </c>
      <c r="C125" s="920" t="s">
        <v>4438</v>
      </c>
      <c r="D125" s="980"/>
      <c r="E125" s="980"/>
      <c r="F125" s="980"/>
      <c r="G125" s="763" t="s">
        <v>5</v>
      </c>
      <c r="H125" s="36" t="s">
        <v>1102</v>
      </c>
      <c r="I125" s="50" t="s">
        <v>4422</v>
      </c>
      <c r="J125" s="50"/>
      <c r="K125" s="50">
        <v>50</v>
      </c>
      <c r="L125" s="50" t="s">
        <v>653</v>
      </c>
      <c r="M125" s="6">
        <v>43087</v>
      </c>
      <c r="N125" s="6">
        <v>43100</v>
      </c>
      <c r="O125" s="61" t="s">
        <v>3459</v>
      </c>
      <c r="P125" s="61"/>
      <c r="Q125" s="14" t="s">
        <v>1024</v>
      </c>
      <c r="R125" s="238" t="s">
        <v>3458</v>
      </c>
      <c r="S125" s="331" t="s">
        <v>1176</v>
      </c>
      <c r="T125" s="863">
        <v>15</v>
      </c>
    </row>
    <row r="126" spans="1:20" s="120" customFormat="1" ht="20.100000000000001" customHeight="1">
      <c r="A126" s="1138" t="s">
        <v>4401</v>
      </c>
      <c r="B126" s="1138" t="s">
        <v>3454</v>
      </c>
      <c r="C126" s="1245" t="s">
        <v>4437</v>
      </c>
      <c r="D126" s="973" t="s">
        <v>4187</v>
      </c>
      <c r="E126" s="973" t="s">
        <v>5322</v>
      </c>
      <c r="F126" s="973" t="str">
        <f>E126</f>
        <v>3650</v>
      </c>
      <c r="G126" s="763" t="s">
        <v>5</v>
      </c>
      <c r="H126" s="36" t="s">
        <v>1102</v>
      </c>
      <c r="I126" s="50" t="s">
        <v>4422</v>
      </c>
      <c r="J126" s="50"/>
      <c r="K126" s="50">
        <v>50</v>
      </c>
      <c r="L126" s="50" t="s">
        <v>653</v>
      </c>
      <c r="M126" s="6">
        <v>43087</v>
      </c>
      <c r="N126" s="6">
        <v>43100</v>
      </c>
      <c r="O126" s="61" t="s">
        <v>3459</v>
      </c>
      <c r="P126" s="61"/>
      <c r="Q126" s="167"/>
      <c r="R126" s="238" t="s">
        <v>3458</v>
      </c>
      <c r="S126" s="331" t="s">
        <v>1176</v>
      </c>
      <c r="T126" s="922">
        <v>32</v>
      </c>
    </row>
    <row r="127" spans="1:20" s="120" customFormat="1" ht="20.100000000000001" customHeight="1">
      <c r="A127" s="1138" t="s">
        <v>4401</v>
      </c>
      <c r="B127" s="1138" t="s">
        <v>3454</v>
      </c>
      <c r="C127" s="1138" t="s">
        <v>4437</v>
      </c>
      <c r="D127" s="996" t="s">
        <v>5337</v>
      </c>
      <c r="E127" s="996" t="s">
        <v>5336</v>
      </c>
      <c r="F127" s="996" t="s">
        <v>5336</v>
      </c>
      <c r="G127" s="218" t="s">
        <v>1446</v>
      </c>
      <c r="H127" s="22" t="s">
        <v>1102</v>
      </c>
      <c r="I127" s="50" t="s">
        <v>4389</v>
      </c>
      <c r="J127" s="50"/>
      <c r="K127" s="50" t="s">
        <v>2151</v>
      </c>
      <c r="L127" s="50" t="s">
        <v>653</v>
      </c>
      <c r="M127" s="6">
        <v>43084</v>
      </c>
      <c r="N127" s="6">
        <v>43100</v>
      </c>
      <c r="O127" s="59" t="s">
        <v>601</v>
      </c>
      <c r="P127" s="61"/>
      <c r="Q127" s="167"/>
      <c r="R127" s="135" t="s">
        <v>3323</v>
      </c>
      <c r="S127" s="331"/>
      <c r="T127" s="921"/>
    </row>
    <row r="128" spans="1:20" s="120" customFormat="1" ht="20.100000000000001" customHeight="1">
      <c r="A128" s="899" t="s">
        <v>4401</v>
      </c>
      <c r="B128" s="899" t="s">
        <v>3454</v>
      </c>
      <c r="C128" s="899" t="s">
        <v>4436</v>
      </c>
      <c r="D128" s="980"/>
      <c r="E128" s="980"/>
      <c r="F128" s="980"/>
      <c r="G128" s="70" t="s">
        <v>18</v>
      </c>
      <c r="H128" s="36" t="s">
        <v>657</v>
      </c>
      <c r="I128" s="50" t="s">
        <v>4422</v>
      </c>
      <c r="J128" s="37"/>
      <c r="K128" s="37">
        <v>60</v>
      </c>
      <c r="L128" s="50" t="s">
        <v>653</v>
      </c>
      <c r="M128" s="6">
        <v>43080</v>
      </c>
      <c r="N128" s="6">
        <v>43100</v>
      </c>
      <c r="O128" s="61"/>
      <c r="P128" s="61"/>
      <c r="Q128" s="14" t="s">
        <v>1024</v>
      </c>
      <c r="R128" s="238" t="s">
        <v>4421</v>
      </c>
      <c r="S128" s="316" t="s">
        <v>1176</v>
      </c>
      <c r="T128" s="921"/>
    </row>
    <row r="129" spans="1:20" s="120" customFormat="1" ht="20.100000000000001" customHeight="1">
      <c r="A129" s="1190" t="s">
        <v>4398</v>
      </c>
      <c r="B129" s="1190" t="s">
        <v>3454</v>
      </c>
      <c r="C129" s="1190" t="s">
        <v>4435</v>
      </c>
      <c r="D129" s="997">
        <v>2250</v>
      </c>
      <c r="E129" s="997">
        <v>3350</v>
      </c>
      <c r="F129" s="997">
        <v>3350</v>
      </c>
      <c r="G129" s="70" t="s">
        <v>13</v>
      </c>
      <c r="H129" s="22" t="s">
        <v>1102</v>
      </c>
      <c r="I129" s="50" t="s">
        <v>4422</v>
      </c>
      <c r="J129" s="50"/>
      <c r="K129" s="50" t="s">
        <v>985</v>
      </c>
      <c r="L129" s="50" t="s">
        <v>653</v>
      </c>
      <c r="M129" s="108">
        <v>43081</v>
      </c>
      <c r="N129" s="108">
        <v>43100</v>
      </c>
      <c r="O129" s="59" t="s">
        <v>601</v>
      </c>
      <c r="P129" s="59"/>
      <c r="Q129" s="167"/>
      <c r="R129" s="238" t="s">
        <v>4423</v>
      </c>
      <c r="S129" s="319" t="s">
        <v>1176</v>
      </c>
      <c r="T129" s="933"/>
    </row>
    <row r="130" spans="1:20" s="120" customFormat="1" ht="20.100000000000001" customHeight="1">
      <c r="A130" s="1190" t="s">
        <v>4401</v>
      </c>
      <c r="B130" s="1190" t="s">
        <v>3454</v>
      </c>
      <c r="C130" s="1244" t="s">
        <v>4435</v>
      </c>
      <c r="D130" s="973" t="s">
        <v>4187</v>
      </c>
      <c r="E130" s="973" t="s">
        <v>5322</v>
      </c>
      <c r="F130" s="973" t="str">
        <f>E130</f>
        <v>3650</v>
      </c>
      <c r="G130" s="763" t="s">
        <v>5</v>
      </c>
      <c r="H130" s="36" t="s">
        <v>1102</v>
      </c>
      <c r="I130" s="50" t="s">
        <v>4422</v>
      </c>
      <c r="J130" s="50"/>
      <c r="K130" s="50" t="s">
        <v>2151</v>
      </c>
      <c r="L130" s="50" t="s">
        <v>653</v>
      </c>
      <c r="M130" s="6">
        <v>43087</v>
      </c>
      <c r="N130" s="6">
        <v>43100</v>
      </c>
      <c r="O130" s="61" t="s">
        <v>3459</v>
      </c>
      <c r="P130" s="59"/>
      <c r="Q130" s="167"/>
      <c r="R130" s="238" t="s">
        <v>3458</v>
      </c>
      <c r="S130" s="331" t="s">
        <v>1176</v>
      </c>
      <c r="T130" s="865">
        <v>32</v>
      </c>
    </row>
    <row r="131" spans="1:20" s="120" customFormat="1" ht="20.100000000000001" customHeight="1">
      <c r="A131" s="1190" t="s">
        <v>4401</v>
      </c>
      <c r="B131" s="1190" t="s">
        <v>3454</v>
      </c>
      <c r="C131" s="1190" t="s">
        <v>4435</v>
      </c>
      <c r="D131" s="993" t="s">
        <v>4187</v>
      </c>
      <c r="E131" s="993" t="s">
        <v>5322</v>
      </c>
      <c r="F131" s="993" t="s">
        <v>5322</v>
      </c>
      <c r="G131" s="70" t="s">
        <v>18</v>
      </c>
      <c r="H131" s="36" t="s">
        <v>657</v>
      </c>
      <c r="I131" s="50" t="s">
        <v>4422</v>
      </c>
      <c r="J131" s="50"/>
      <c r="K131" s="50">
        <v>37</v>
      </c>
      <c r="L131" s="50" t="s">
        <v>653</v>
      </c>
      <c r="M131" s="6">
        <v>43080</v>
      </c>
      <c r="N131" s="6">
        <v>43100</v>
      </c>
      <c r="O131" s="113"/>
      <c r="P131" s="113"/>
      <c r="Q131" s="147"/>
      <c r="R131" s="238" t="s">
        <v>4421</v>
      </c>
      <c r="S131" s="316" t="s">
        <v>1176</v>
      </c>
      <c r="T131" s="748"/>
    </row>
    <row r="132" spans="1:20" s="120" customFormat="1" ht="20.100000000000001" customHeight="1">
      <c r="A132" s="1190" t="s">
        <v>1450</v>
      </c>
      <c r="B132" s="1190" t="s">
        <v>1449</v>
      </c>
      <c r="C132" s="1190" t="s">
        <v>1448</v>
      </c>
      <c r="D132" s="996" t="s">
        <v>5337</v>
      </c>
      <c r="E132" s="996" t="s">
        <v>5336</v>
      </c>
      <c r="F132" s="996" t="s">
        <v>5336</v>
      </c>
      <c r="G132" s="218" t="s">
        <v>1446</v>
      </c>
      <c r="H132" s="22" t="s">
        <v>1102</v>
      </c>
      <c r="I132" s="50" t="s">
        <v>4389</v>
      </c>
      <c r="J132" s="50"/>
      <c r="K132" s="50" t="s">
        <v>731</v>
      </c>
      <c r="L132" s="50" t="s">
        <v>653</v>
      </c>
      <c r="M132" s="6">
        <v>43084</v>
      </c>
      <c r="N132" s="6">
        <v>43100</v>
      </c>
      <c r="O132" s="59" t="s">
        <v>601</v>
      </c>
      <c r="P132" s="113"/>
      <c r="Q132" s="167"/>
      <c r="R132" s="135" t="s">
        <v>3323</v>
      </c>
      <c r="S132" s="316"/>
      <c r="T132" s="748"/>
    </row>
    <row r="133" spans="1:20" s="120" customFormat="1" ht="20.100000000000001" customHeight="1">
      <c r="A133" s="1190" t="s">
        <v>4401</v>
      </c>
      <c r="B133" s="1190" t="s">
        <v>4433</v>
      </c>
      <c r="C133" s="1190" t="s">
        <v>4432</v>
      </c>
      <c r="D133" s="952">
        <v>3150</v>
      </c>
      <c r="E133" s="952">
        <v>5840</v>
      </c>
      <c r="F133" s="952">
        <v>5840</v>
      </c>
      <c r="G133" s="218" t="s">
        <v>76</v>
      </c>
      <c r="H133" s="36" t="s">
        <v>657</v>
      </c>
      <c r="I133" s="50" t="s">
        <v>4395</v>
      </c>
      <c r="J133" s="37"/>
      <c r="K133" s="37" t="s">
        <v>986</v>
      </c>
      <c r="L133" s="50" t="s">
        <v>653</v>
      </c>
      <c r="M133" s="6">
        <v>43073</v>
      </c>
      <c r="N133" s="6">
        <v>43093</v>
      </c>
      <c r="O133" s="185" t="s">
        <v>2545</v>
      </c>
      <c r="P133" s="26"/>
      <c r="Q133" s="363"/>
      <c r="R133" s="238"/>
      <c r="S133" s="331" t="s">
        <v>1176</v>
      </c>
      <c r="T133" s="859"/>
    </row>
    <row r="134" spans="1:20" s="120" customFormat="1" ht="20.100000000000001" customHeight="1">
      <c r="A134" s="1190" t="s">
        <v>4401</v>
      </c>
      <c r="B134" s="1190" t="s">
        <v>4433</v>
      </c>
      <c r="C134" s="1190" t="s">
        <v>4432</v>
      </c>
      <c r="D134" s="990" t="s">
        <v>5317</v>
      </c>
      <c r="E134" s="990" t="s">
        <v>5316</v>
      </c>
      <c r="F134" s="990" t="s">
        <v>5316</v>
      </c>
      <c r="G134" s="70" t="s">
        <v>18</v>
      </c>
      <c r="H134" s="36" t="s">
        <v>721</v>
      </c>
      <c r="I134" s="50" t="s">
        <v>3293</v>
      </c>
      <c r="J134" s="50"/>
      <c r="K134" s="50" t="s">
        <v>1984</v>
      </c>
      <c r="L134" s="50" t="s">
        <v>653</v>
      </c>
      <c r="M134" s="6">
        <v>43080</v>
      </c>
      <c r="N134" s="6">
        <v>43100</v>
      </c>
      <c r="O134" s="142" t="s">
        <v>3292</v>
      </c>
      <c r="P134" s="124"/>
      <c r="Q134" s="167"/>
      <c r="R134" s="238" t="s">
        <v>3306</v>
      </c>
      <c r="S134" s="316" t="s">
        <v>1176</v>
      </c>
      <c r="T134" s="859"/>
    </row>
    <row r="135" spans="1:20" s="120" customFormat="1" ht="20.100000000000001" customHeight="1">
      <c r="A135" s="1190" t="s">
        <v>4401</v>
      </c>
      <c r="B135" s="1190" t="s">
        <v>4433</v>
      </c>
      <c r="C135" s="1190" t="s">
        <v>4432</v>
      </c>
      <c r="D135" s="988" t="s">
        <v>5335</v>
      </c>
      <c r="E135" s="988" t="s">
        <v>5334</v>
      </c>
      <c r="F135" s="988" t="s">
        <v>5334</v>
      </c>
      <c r="G135" s="63" t="s">
        <v>31</v>
      </c>
      <c r="H135" s="36" t="s">
        <v>681</v>
      </c>
      <c r="I135" s="50" t="s">
        <v>16</v>
      </c>
      <c r="J135" s="37"/>
      <c r="K135" s="37">
        <v>50</v>
      </c>
      <c r="L135" s="50" t="s">
        <v>653</v>
      </c>
      <c r="M135" s="6">
        <v>43080</v>
      </c>
      <c r="N135" s="6">
        <v>43100</v>
      </c>
      <c r="O135" s="142"/>
      <c r="P135" s="61" t="s">
        <v>4434</v>
      </c>
      <c r="Q135" s="167"/>
      <c r="R135" s="238" t="s">
        <v>4402</v>
      </c>
      <c r="S135" s="325" t="s">
        <v>1176</v>
      </c>
      <c r="T135" s="921"/>
    </row>
    <row r="136" spans="1:20" s="120" customFormat="1" ht="20.100000000000001" customHeight="1">
      <c r="A136" s="1190" t="s">
        <v>4401</v>
      </c>
      <c r="B136" s="1190" t="s">
        <v>4433</v>
      </c>
      <c r="C136" s="1244" t="s">
        <v>4432</v>
      </c>
      <c r="D136" s="995"/>
      <c r="E136" s="995"/>
      <c r="F136" s="995"/>
      <c r="G136" s="763" t="s">
        <v>5</v>
      </c>
      <c r="H136" s="36" t="s">
        <v>721</v>
      </c>
      <c r="I136" s="50" t="s">
        <v>3293</v>
      </c>
      <c r="J136" s="50"/>
      <c r="K136" s="50" t="s">
        <v>2565</v>
      </c>
      <c r="L136" s="50" t="s">
        <v>653</v>
      </c>
      <c r="M136" s="6">
        <v>43087</v>
      </c>
      <c r="N136" s="6">
        <v>43100</v>
      </c>
      <c r="O136" s="61" t="s">
        <v>3459</v>
      </c>
      <c r="P136" s="59"/>
      <c r="Q136" s="171"/>
      <c r="R136" s="238" t="s">
        <v>3305</v>
      </c>
      <c r="S136" s="331" t="s">
        <v>1176</v>
      </c>
      <c r="T136" s="922">
        <v>10</v>
      </c>
    </row>
    <row r="137" spans="1:20" s="120" customFormat="1" ht="20.100000000000001" customHeight="1">
      <c r="A137" s="1190" t="s">
        <v>4401</v>
      </c>
      <c r="B137" s="1190" t="s">
        <v>4427</v>
      </c>
      <c r="C137" s="1190" t="s">
        <v>4426</v>
      </c>
      <c r="D137" s="992">
        <v>1900</v>
      </c>
      <c r="E137" s="992">
        <v>3150</v>
      </c>
      <c r="F137" s="992">
        <v>3150</v>
      </c>
      <c r="G137" s="70" t="s">
        <v>13</v>
      </c>
      <c r="H137" s="36" t="s">
        <v>3397</v>
      </c>
      <c r="I137" s="50" t="s">
        <v>4412</v>
      </c>
      <c r="J137" s="50"/>
      <c r="K137" s="50">
        <v>47</v>
      </c>
      <c r="L137" s="50" t="s">
        <v>847</v>
      </c>
      <c r="M137" s="108">
        <v>43081</v>
      </c>
      <c r="N137" s="108">
        <v>43100</v>
      </c>
      <c r="O137" s="59" t="s">
        <v>601</v>
      </c>
      <c r="P137" s="59"/>
      <c r="Q137" s="52"/>
      <c r="R137" s="238" t="s">
        <v>4411</v>
      </c>
      <c r="S137" s="319" t="s">
        <v>1176</v>
      </c>
      <c r="T137" s="921"/>
    </row>
    <row r="138" spans="1:20" s="120" customFormat="1" ht="20.100000000000001" customHeight="1">
      <c r="A138" s="1190" t="s">
        <v>4401</v>
      </c>
      <c r="B138" s="1190" t="s">
        <v>4427</v>
      </c>
      <c r="C138" s="1190" t="s">
        <v>4426</v>
      </c>
      <c r="D138" s="990" t="s">
        <v>3464</v>
      </c>
      <c r="E138" s="990" t="s">
        <v>5333</v>
      </c>
      <c r="F138" s="990" t="s">
        <v>5333</v>
      </c>
      <c r="G138" s="70" t="s">
        <v>18</v>
      </c>
      <c r="H138" s="36" t="s">
        <v>2292</v>
      </c>
      <c r="I138" s="37" t="s">
        <v>4431</v>
      </c>
      <c r="J138" s="37"/>
      <c r="K138" s="37">
        <v>45</v>
      </c>
      <c r="L138" s="50" t="s">
        <v>3453</v>
      </c>
      <c r="M138" s="6">
        <v>43080</v>
      </c>
      <c r="N138" s="6">
        <v>43100</v>
      </c>
      <c r="O138" s="61"/>
      <c r="P138" s="61" t="s">
        <v>4430</v>
      </c>
      <c r="Q138" s="147"/>
      <c r="R138" s="238" t="s">
        <v>4429</v>
      </c>
      <c r="S138" s="316" t="s">
        <v>1176</v>
      </c>
      <c r="T138" s="921"/>
    </row>
    <row r="139" spans="1:20" s="120" customFormat="1" ht="20.100000000000001" customHeight="1">
      <c r="A139" s="1190" t="s">
        <v>4401</v>
      </c>
      <c r="B139" s="1190" t="s">
        <v>4427</v>
      </c>
      <c r="C139" s="1190" t="s">
        <v>4426</v>
      </c>
      <c r="D139" s="988" t="s">
        <v>5332</v>
      </c>
      <c r="E139" s="988" t="s">
        <v>5331</v>
      </c>
      <c r="F139" s="988" t="s">
        <v>5331</v>
      </c>
      <c r="G139" s="63" t="s">
        <v>31</v>
      </c>
      <c r="H139" s="36" t="s">
        <v>681</v>
      </c>
      <c r="I139" s="50" t="s">
        <v>16</v>
      </c>
      <c r="J139" s="50"/>
      <c r="K139" s="50">
        <v>44</v>
      </c>
      <c r="L139" s="50" t="s">
        <v>653</v>
      </c>
      <c r="M139" s="6">
        <v>43080</v>
      </c>
      <c r="N139" s="6">
        <v>43100</v>
      </c>
      <c r="O139" s="142"/>
      <c r="P139" s="59" t="s">
        <v>4428</v>
      </c>
      <c r="Q139" s="167"/>
      <c r="R139" s="238" t="s">
        <v>4402</v>
      </c>
      <c r="S139" s="325" t="s">
        <v>1176</v>
      </c>
      <c r="T139" s="921"/>
    </row>
    <row r="140" spans="1:20" s="120" customFormat="1" ht="20.100000000000001" customHeight="1">
      <c r="A140" s="1190" t="s">
        <v>4401</v>
      </c>
      <c r="B140" s="1190" t="s">
        <v>4427</v>
      </c>
      <c r="C140" s="1244" t="s">
        <v>4426</v>
      </c>
      <c r="D140" s="973" t="s">
        <v>4187</v>
      </c>
      <c r="E140" s="973" t="s">
        <v>5330</v>
      </c>
      <c r="F140" s="973" t="str">
        <f>E140</f>
        <v>4250</v>
      </c>
      <c r="G140" s="763" t="s">
        <v>5</v>
      </c>
      <c r="H140" s="36" t="s">
        <v>721</v>
      </c>
      <c r="I140" s="50" t="s">
        <v>3293</v>
      </c>
      <c r="J140" s="37"/>
      <c r="K140" s="37" t="s">
        <v>731</v>
      </c>
      <c r="L140" s="50" t="s">
        <v>653</v>
      </c>
      <c r="M140" s="6">
        <v>43087</v>
      </c>
      <c r="N140" s="6">
        <v>43100</v>
      </c>
      <c r="O140" s="61" t="s">
        <v>3459</v>
      </c>
      <c r="P140" s="61" t="s">
        <v>2098</v>
      </c>
      <c r="Q140" s="171"/>
      <c r="R140" s="238" t="s">
        <v>3305</v>
      </c>
      <c r="S140" s="331" t="s">
        <v>1176</v>
      </c>
      <c r="T140" s="922">
        <v>8</v>
      </c>
    </row>
    <row r="141" spans="1:20" s="120" customFormat="1" ht="20.100000000000001" customHeight="1">
      <c r="A141" s="1138" t="s">
        <v>4401</v>
      </c>
      <c r="B141" s="1138" t="s">
        <v>4420</v>
      </c>
      <c r="C141" s="1138" t="s">
        <v>4424</v>
      </c>
      <c r="D141" s="993" t="s">
        <v>4383</v>
      </c>
      <c r="E141" s="993" t="s">
        <v>4187</v>
      </c>
      <c r="F141" s="993" t="s">
        <v>4187</v>
      </c>
      <c r="G141" s="70" t="s">
        <v>18</v>
      </c>
      <c r="H141" s="36" t="s">
        <v>657</v>
      </c>
      <c r="I141" s="50" t="s">
        <v>4422</v>
      </c>
      <c r="J141" s="37"/>
      <c r="K141" s="37">
        <v>69</v>
      </c>
      <c r="L141" s="50" t="s">
        <v>653</v>
      </c>
      <c r="M141" s="6">
        <v>43080</v>
      </c>
      <c r="N141" s="6">
        <v>43100</v>
      </c>
      <c r="O141" s="61"/>
      <c r="P141" s="61"/>
      <c r="Q141" s="147"/>
      <c r="R141" s="238" t="s">
        <v>4421</v>
      </c>
      <c r="S141" s="316" t="s">
        <v>1176</v>
      </c>
      <c r="T141" s="921"/>
    </row>
    <row r="142" spans="1:20" s="120" customFormat="1" ht="20.100000000000001" customHeight="1">
      <c r="A142" s="1138" t="s">
        <v>4401</v>
      </c>
      <c r="B142" s="1138" t="s">
        <v>4420</v>
      </c>
      <c r="C142" s="1138" t="s">
        <v>4424</v>
      </c>
      <c r="D142" s="994" t="s">
        <v>5329</v>
      </c>
      <c r="E142" s="994" t="s">
        <v>4187</v>
      </c>
      <c r="F142" s="994" t="s">
        <v>4187</v>
      </c>
      <c r="G142" s="218" t="s">
        <v>1446</v>
      </c>
      <c r="H142" s="22" t="s">
        <v>1102</v>
      </c>
      <c r="I142" s="50" t="s">
        <v>4389</v>
      </c>
      <c r="J142" s="37"/>
      <c r="K142" s="37" t="s">
        <v>4425</v>
      </c>
      <c r="L142" s="50" t="s">
        <v>653</v>
      </c>
      <c r="M142" s="6">
        <v>43084</v>
      </c>
      <c r="N142" s="6">
        <v>43100</v>
      </c>
      <c r="O142" s="59" t="s">
        <v>601</v>
      </c>
      <c r="P142" s="61"/>
      <c r="Q142" s="167"/>
      <c r="R142" s="135" t="s">
        <v>3323</v>
      </c>
      <c r="S142" s="316"/>
      <c r="T142" s="921"/>
    </row>
    <row r="143" spans="1:20" s="120" customFormat="1" ht="20.100000000000001" customHeight="1">
      <c r="A143" s="1138" t="s">
        <v>4401</v>
      </c>
      <c r="B143" s="1138" t="s">
        <v>4420</v>
      </c>
      <c r="C143" s="1245" t="s">
        <v>4424</v>
      </c>
      <c r="D143" s="973" t="s">
        <v>4382</v>
      </c>
      <c r="E143" s="973" t="s">
        <v>4187</v>
      </c>
      <c r="F143" s="973" t="str">
        <f>E143</f>
        <v>2400</v>
      </c>
      <c r="G143" s="763" t="s">
        <v>5</v>
      </c>
      <c r="H143" s="36" t="s">
        <v>721</v>
      </c>
      <c r="I143" s="50" t="s">
        <v>3293</v>
      </c>
      <c r="J143" s="50"/>
      <c r="K143" s="50" t="s">
        <v>2151</v>
      </c>
      <c r="L143" s="50" t="s">
        <v>653</v>
      </c>
      <c r="M143" s="6">
        <v>43087</v>
      </c>
      <c r="N143" s="6">
        <v>43100</v>
      </c>
      <c r="O143" s="61" t="s">
        <v>3459</v>
      </c>
      <c r="P143" s="59"/>
      <c r="Q143" s="171"/>
      <c r="R143" s="238" t="s">
        <v>3305</v>
      </c>
      <c r="S143" s="331" t="s">
        <v>1176</v>
      </c>
      <c r="T143" s="922">
        <v>10</v>
      </c>
    </row>
    <row r="144" spans="1:20" s="120" customFormat="1" ht="20.100000000000001" customHeight="1">
      <c r="A144" s="1190" t="s">
        <v>4401</v>
      </c>
      <c r="B144" s="1190" t="s">
        <v>4420</v>
      </c>
      <c r="C144" s="1190" t="s">
        <v>4419</v>
      </c>
      <c r="D144" s="992">
        <v>2650</v>
      </c>
      <c r="E144" s="992">
        <v>3850</v>
      </c>
      <c r="F144" s="992">
        <v>3850</v>
      </c>
      <c r="G144" s="193" t="s">
        <v>13</v>
      </c>
      <c r="H144" s="22" t="s">
        <v>1102</v>
      </c>
      <c r="I144" s="50" t="s">
        <v>3324</v>
      </c>
      <c r="J144" s="50"/>
      <c r="K144" s="50">
        <v>50</v>
      </c>
      <c r="L144" s="50" t="s">
        <v>653</v>
      </c>
      <c r="M144" s="108">
        <v>43081</v>
      </c>
      <c r="N144" s="108">
        <v>43100</v>
      </c>
      <c r="O144" s="59" t="s">
        <v>601</v>
      </c>
      <c r="P144" s="59"/>
      <c r="Q144" s="167"/>
      <c r="R144" s="238" t="s">
        <v>4423</v>
      </c>
      <c r="S144" s="319" t="s">
        <v>1176</v>
      </c>
      <c r="T144" s="933"/>
    </row>
    <row r="145" spans="1:20" s="120" customFormat="1" ht="20.100000000000001" customHeight="1">
      <c r="A145" s="1190" t="s">
        <v>4401</v>
      </c>
      <c r="B145" s="1190" t="s">
        <v>4420</v>
      </c>
      <c r="C145" s="1190" t="s">
        <v>4419</v>
      </c>
      <c r="D145" s="993" t="s">
        <v>4383</v>
      </c>
      <c r="E145" s="993" t="s">
        <v>4187</v>
      </c>
      <c r="F145" s="993" t="s">
        <v>4187</v>
      </c>
      <c r="G145" s="70" t="s">
        <v>18</v>
      </c>
      <c r="H145" s="36" t="s">
        <v>657</v>
      </c>
      <c r="I145" s="50" t="s">
        <v>4422</v>
      </c>
      <c r="J145" s="37"/>
      <c r="K145" s="37">
        <v>55</v>
      </c>
      <c r="L145" s="50" t="s">
        <v>653</v>
      </c>
      <c r="M145" s="6">
        <v>43080</v>
      </c>
      <c r="N145" s="6">
        <v>43100</v>
      </c>
      <c r="O145" s="61"/>
      <c r="P145" s="61"/>
      <c r="Q145" s="147"/>
      <c r="R145" s="238" t="s">
        <v>4421</v>
      </c>
      <c r="S145" s="316" t="s">
        <v>1176</v>
      </c>
      <c r="T145" s="921"/>
    </row>
    <row r="146" spans="1:20" s="120" customFormat="1" ht="20.100000000000001" customHeight="1">
      <c r="A146" s="1190" t="s">
        <v>4401</v>
      </c>
      <c r="B146" s="1190" t="s">
        <v>4420</v>
      </c>
      <c r="C146" s="1190" t="s">
        <v>4419</v>
      </c>
      <c r="D146" s="994" t="s">
        <v>5329</v>
      </c>
      <c r="E146" s="994" t="s">
        <v>4187</v>
      </c>
      <c r="F146" s="994" t="s">
        <v>4187</v>
      </c>
      <c r="G146" s="218" t="s">
        <v>1446</v>
      </c>
      <c r="H146" s="22" t="s">
        <v>1102</v>
      </c>
      <c r="I146" s="50" t="s">
        <v>4389</v>
      </c>
      <c r="J146" s="37"/>
      <c r="K146" s="37" t="s">
        <v>2565</v>
      </c>
      <c r="L146" s="50" t="s">
        <v>653</v>
      </c>
      <c r="M146" s="6">
        <v>43084</v>
      </c>
      <c r="N146" s="6">
        <v>43100</v>
      </c>
      <c r="O146" s="59" t="s">
        <v>601</v>
      </c>
      <c r="P146" s="61"/>
      <c r="Q146" s="167"/>
      <c r="R146" s="135" t="s">
        <v>3323</v>
      </c>
      <c r="S146" s="316"/>
      <c r="T146" s="921"/>
    </row>
    <row r="147" spans="1:20" s="120" customFormat="1" ht="20.100000000000001" customHeight="1">
      <c r="A147" s="1190" t="s">
        <v>4401</v>
      </c>
      <c r="B147" s="1190" t="s">
        <v>4420</v>
      </c>
      <c r="C147" s="1244" t="s">
        <v>4419</v>
      </c>
      <c r="D147" s="973" t="s">
        <v>4382</v>
      </c>
      <c r="E147" s="973" t="s">
        <v>4187</v>
      </c>
      <c r="F147" s="973" t="str">
        <f>E147</f>
        <v>2400</v>
      </c>
      <c r="G147" s="763" t="s">
        <v>5</v>
      </c>
      <c r="H147" s="36" t="s">
        <v>721</v>
      </c>
      <c r="I147" s="50" t="s">
        <v>3293</v>
      </c>
      <c r="J147" s="37"/>
      <c r="K147" s="50" t="s">
        <v>2151</v>
      </c>
      <c r="L147" s="50" t="s">
        <v>653</v>
      </c>
      <c r="M147" s="6">
        <v>43087</v>
      </c>
      <c r="N147" s="6">
        <v>43100</v>
      </c>
      <c r="O147" s="61" t="s">
        <v>3459</v>
      </c>
      <c r="P147" s="59"/>
      <c r="Q147" s="171"/>
      <c r="R147" s="238" t="s">
        <v>3305</v>
      </c>
      <c r="S147" s="331" t="s">
        <v>1176</v>
      </c>
      <c r="T147" s="922">
        <v>10</v>
      </c>
    </row>
    <row r="148" spans="1:20" s="120" customFormat="1" ht="20.100000000000001" customHeight="1">
      <c r="A148" s="1190" t="s">
        <v>4401</v>
      </c>
      <c r="B148" s="1190" t="s">
        <v>4416</v>
      </c>
      <c r="C148" s="1190" t="s">
        <v>4415</v>
      </c>
      <c r="D148" s="993" t="s">
        <v>4187</v>
      </c>
      <c r="E148" s="993" t="s">
        <v>5327</v>
      </c>
      <c r="F148" s="993" t="s">
        <v>5327</v>
      </c>
      <c r="G148" s="70" t="s">
        <v>18</v>
      </c>
      <c r="H148" s="55" t="s">
        <v>659</v>
      </c>
      <c r="I148" s="50" t="s">
        <v>3432</v>
      </c>
      <c r="J148" s="37"/>
      <c r="K148" s="37" t="s">
        <v>985</v>
      </c>
      <c r="L148" s="50" t="s">
        <v>653</v>
      </c>
      <c r="M148" s="6">
        <v>43080</v>
      </c>
      <c r="N148" s="6">
        <v>43100</v>
      </c>
      <c r="O148" s="141"/>
      <c r="P148" s="26"/>
      <c r="Q148" s="260"/>
      <c r="R148" s="238" t="s">
        <v>1274</v>
      </c>
      <c r="S148" s="316" t="s">
        <v>1176</v>
      </c>
      <c r="T148" s="921"/>
    </row>
    <row r="149" spans="1:20" s="120" customFormat="1" ht="20.100000000000001" customHeight="1">
      <c r="A149" s="1190" t="s">
        <v>4401</v>
      </c>
      <c r="B149" s="1190" t="s">
        <v>4416</v>
      </c>
      <c r="C149" s="1190" t="s">
        <v>4415</v>
      </c>
      <c r="D149" s="988" t="s">
        <v>3713</v>
      </c>
      <c r="E149" s="988" t="s">
        <v>5328</v>
      </c>
      <c r="F149" s="988" t="s">
        <v>5328</v>
      </c>
      <c r="G149" s="63" t="s">
        <v>31</v>
      </c>
      <c r="H149" s="36" t="s">
        <v>681</v>
      </c>
      <c r="I149" s="50" t="s">
        <v>16</v>
      </c>
      <c r="J149" s="37"/>
      <c r="K149" s="37">
        <v>49</v>
      </c>
      <c r="L149" s="50" t="s">
        <v>653</v>
      </c>
      <c r="M149" s="6">
        <v>43080</v>
      </c>
      <c r="N149" s="6">
        <v>43100</v>
      </c>
      <c r="O149" s="142"/>
      <c r="P149" s="61" t="s">
        <v>4417</v>
      </c>
      <c r="Q149" s="167"/>
      <c r="R149" s="238" t="s">
        <v>4402</v>
      </c>
      <c r="S149" s="325" t="s">
        <v>1176</v>
      </c>
      <c r="T149" s="921"/>
    </row>
    <row r="150" spans="1:20" s="120" customFormat="1" ht="20.100000000000001" customHeight="1">
      <c r="A150" s="1190" t="s">
        <v>4401</v>
      </c>
      <c r="B150" s="1190" t="s">
        <v>4416</v>
      </c>
      <c r="C150" s="1244" t="s">
        <v>4415</v>
      </c>
      <c r="D150" s="973" t="s">
        <v>3713</v>
      </c>
      <c r="E150" s="973" t="s">
        <v>5327</v>
      </c>
      <c r="F150" s="973" t="s">
        <v>5327</v>
      </c>
      <c r="G150" s="763" t="s">
        <v>5</v>
      </c>
      <c r="H150" s="36" t="s">
        <v>721</v>
      </c>
      <c r="I150" s="50" t="s">
        <v>3293</v>
      </c>
      <c r="J150" s="37"/>
      <c r="K150" s="37" t="s">
        <v>1242</v>
      </c>
      <c r="L150" s="50" t="s">
        <v>653</v>
      </c>
      <c r="M150" s="6">
        <v>43087</v>
      </c>
      <c r="N150" s="6">
        <v>43100</v>
      </c>
      <c r="O150" s="61" t="s">
        <v>3459</v>
      </c>
      <c r="P150" s="61"/>
      <c r="Q150" s="171"/>
      <c r="R150" s="238" t="s">
        <v>3305</v>
      </c>
      <c r="S150" s="331" t="s">
        <v>1176</v>
      </c>
      <c r="T150" s="922">
        <v>5</v>
      </c>
    </row>
    <row r="151" spans="1:20" s="120" customFormat="1" ht="20.100000000000001" customHeight="1">
      <c r="A151" s="1190" t="s">
        <v>4401</v>
      </c>
      <c r="B151" s="1190" t="s">
        <v>4414</v>
      </c>
      <c r="C151" s="1190" t="s">
        <v>4413</v>
      </c>
      <c r="D151" s="993" t="s">
        <v>4266</v>
      </c>
      <c r="E151" s="993" t="s">
        <v>5326</v>
      </c>
      <c r="F151" s="993" t="s">
        <v>5326</v>
      </c>
      <c r="G151" s="70" t="s">
        <v>18</v>
      </c>
      <c r="H151" s="55" t="s">
        <v>659</v>
      </c>
      <c r="I151" s="50" t="s">
        <v>3432</v>
      </c>
      <c r="J151" s="37"/>
      <c r="K151" s="37" t="s">
        <v>2396</v>
      </c>
      <c r="L151" s="50" t="s">
        <v>653</v>
      </c>
      <c r="M151" s="6">
        <v>43080</v>
      </c>
      <c r="N151" s="6">
        <v>43100</v>
      </c>
      <c r="O151" s="141"/>
      <c r="P151" s="26"/>
      <c r="Q151" s="260"/>
      <c r="R151" s="238" t="s">
        <v>1274</v>
      </c>
      <c r="S151" s="316" t="s">
        <v>1176</v>
      </c>
      <c r="T151" s="921"/>
    </row>
    <row r="152" spans="1:20" s="120" customFormat="1" ht="20.100000000000001" customHeight="1">
      <c r="A152" s="1190" t="s">
        <v>4401</v>
      </c>
      <c r="B152" s="1190" t="s">
        <v>4414</v>
      </c>
      <c r="C152" s="1190" t="s">
        <v>4413</v>
      </c>
      <c r="D152" s="992">
        <v>1900</v>
      </c>
      <c r="E152" s="992">
        <v>3150</v>
      </c>
      <c r="F152" s="992">
        <v>3150</v>
      </c>
      <c r="G152" s="70" t="s">
        <v>13</v>
      </c>
      <c r="H152" s="36" t="s">
        <v>3397</v>
      </c>
      <c r="I152" s="50" t="s">
        <v>4412</v>
      </c>
      <c r="J152" s="50"/>
      <c r="K152" s="50">
        <v>47</v>
      </c>
      <c r="L152" s="50" t="s">
        <v>847</v>
      </c>
      <c r="M152" s="108">
        <v>43081</v>
      </c>
      <c r="N152" s="108">
        <v>43100</v>
      </c>
      <c r="O152" s="59" t="s">
        <v>601</v>
      </c>
      <c r="P152" s="59"/>
      <c r="Q152" s="52"/>
      <c r="R152" s="238" t="s">
        <v>4411</v>
      </c>
      <c r="S152" s="319" t="s">
        <v>1176</v>
      </c>
      <c r="T152" s="921"/>
    </row>
    <row r="153" spans="1:20" s="120" customFormat="1" ht="20.100000000000001" customHeight="1">
      <c r="A153" s="1190" t="s">
        <v>4401</v>
      </c>
      <c r="B153" s="1190" t="s">
        <v>4414</v>
      </c>
      <c r="C153" s="1190" t="s">
        <v>4413</v>
      </c>
      <c r="D153" s="988" t="s">
        <v>5325</v>
      </c>
      <c r="E153" s="988" t="s">
        <v>5324</v>
      </c>
      <c r="F153" s="988" t="s">
        <v>5324</v>
      </c>
      <c r="G153" s="70" t="s">
        <v>31</v>
      </c>
      <c r="H153" s="36">
        <v>5</v>
      </c>
      <c r="I153" s="50" t="s">
        <v>16</v>
      </c>
      <c r="J153" s="50"/>
      <c r="K153" s="50">
        <v>42</v>
      </c>
      <c r="L153" s="50" t="s">
        <v>653</v>
      </c>
      <c r="M153" s="6">
        <v>43080</v>
      </c>
      <c r="N153" s="6">
        <v>43100</v>
      </c>
      <c r="O153" s="59"/>
      <c r="P153" s="59"/>
      <c r="Q153" s="167"/>
      <c r="R153" s="238" t="s">
        <v>4402</v>
      </c>
      <c r="S153" s="325" t="s">
        <v>1176</v>
      </c>
      <c r="T153" s="921"/>
    </row>
    <row r="154" spans="1:20" s="120" customFormat="1" ht="20.100000000000001" customHeight="1">
      <c r="A154" s="1190" t="s">
        <v>4401</v>
      </c>
      <c r="B154" s="1190" t="s">
        <v>4414</v>
      </c>
      <c r="C154" s="1244" t="s">
        <v>4413</v>
      </c>
      <c r="D154" s="973" t="s">
        <v>5323</v>
      </c>
      <c r="E154" s="973" t="s">
        <v>5322</v>
      </c>
      <c r="F154" s="973" t="s">
        <v>5322</v>
      </c>
      <c r="G154" s="763" t="s">
        <v>5</v>
      </c>
      <c r="H154" s="36" t="s">
        <v>721</v>
      </c>
      <c r="I154" s="50" t="s">
        <v>3293</v>
      </c>
      <c r="J154" s="37"/>
      <c r="K154" s="37" t="s">
        <v>982</v>
      </c>
      <c r="L154" s="50" t="s">
        <v>653</v>
      </c>
      <c r="M154" s="6">
        <v>43087</v>
      </c>
      <c r="N154" s="6">
        <v>43100</v>
      </c>
      <c r="O154" s="61" t="s">
        <v>3459</v>
      </c>
      <c r="P154" s="61"/>
      <c r="Q154" s="171"/>
      <c r="R154" s="238" t="s">
        <v>3305</v>
      </c>
      <c r="S154" s="331" t="s">
        <v>1176</v>
      </c>
      <c r="T154" s="922">
        <v>5</v>
      </c>
    </row>
    <row r="155" spans="1:20" s="120" customFormat="1" ht="20.100000000000001" customHeight="1">
      <c r="A155" s="1190" t="s">
        <v>4401</v>
      </c>
      <c r="B155" s="1190" t="s">
        <v>4409</v>
      </c>
      <c r="C155" s="1190" t="s">
        <v>4408</v>
      </c>
      <c r="D155" s="992">
        <v>1900</v>
      </c>
      <c r="E155" s="992">
        <v>3150</v>
      </c>
      <c r="F155" s="992">
        <v>3150</v>
      </c>
      <c r="G155" s="70" t="s">
        <v>13</v>
      </c>
      <c r="H155" s="36" t="s">
        <v>3397</v>
      </c>
      <c r="I155" s="50" t="s">
        <v>4412</v>
      </c>
      <c r="J155" s="50"/>
      <c r="K155" s="50">
        <v>47</v>
      </c>
      <c r="L155" s="50" t="s">
        <v>847</v>
      </c>
      <c r="M155" s="108">
        <v>43081</v>
      </c>
      <c r="N155" s="108">
        <v>43100</v>
      </c>
      <c r="O155" s="59" t="s">
        <v>601</v>
      </c>
      <c r="P155" s="59"/>
      <c r="Q155" s="52"/>
      <c r="R155" s="238" t="s">
        <v>4411</v>
      </c>
      <c r="S155" s="319" t="s">
        <v>1176</v>
      </c>
      <c r="T155" s="921"/>
    </row>
    <row r="156" spans="1:20" s="120" customFormat="1" ht="20.100000000000001" customHeight="1">
      <c r="A156" s="1190" t="s">
        <v>4401</v>
      </c>
      <c r="B156" s="1190" t="s">
        <v>4409</v>
      </c>
      <c r="C156" s="1190" t="s">
        <v>4408</v>
      </c>
      <c r="D156" s="988" t="s">
        <v>3475</v>
      </c>
      <c r="E156" s="988" t="s">
        <v>5319</v>
      </c>
      <c r="F156" s="988" t="s">
        <v>5319</v>
      </c>
      <c r="G156" s="70" t="s">
        <v>31</v>
      </c>
      <c r="H156" s="36">
        <v>5</v>
      </c>
      <c r="I156" s="50" t="s">
        <v>16</v>
      </c>
      <c r="J156" s="50"/>
      <c r="K156" s="50">
        <v>43</v>
      </c>
      <c r="L156" s="50" t="s">
        <v>653</v>
      </c>
      <c r="M156" s="6">
        <v>43080</v>
      </c>
      <c r="N156" s="6">
        <v>43100</v>
      </c>
      <c r="O156" s="59"/>
      <c r="P156" s="59"/>
      <c r="Q156" s="167"/>
      <c r="R156" s="238" t="s">
        <v>4402</v>
      </c>
      <c r="S156" s="325" t="s">
        <v>1176</v>
      </c>
      <c r="T156" s="921"/>
    </row>
    <row r="157" spans="1:20" s="120" customFormat="1" ht="20.100000000000001" customHeight="1">
      <c r="A157" s="1190" t="s">
        <v>4401</v>
      </c>
      <c r="B157" s="1190" t="s">
        <v>4409</v>
      </c>
      <c r="C157" s="1190" t="s">
        <v>4408</v>
      </c>
      <c r="D157" s="991" t="s">
        <v>5321</v>
      </c>
      <c r="E157" s="991" t="s">
        <v>5320</v>
      </c>
      <c r="F157" s="991" t="s">
        <v>5320</v>
      </c>
      <c r="G157" s="70" t="s">
        <v>18</v>
      </c>
      <c r="H157" s="36" t="s">
        <v>721</v>
      </c>
      <c r="I157" s="37" t="s">
        <v>3293</v>
      </c>
      <c r="J157" s="50"/>
      <c r="K157" s="50" t="s">
        <v>1264</v>
      </c>
      <c r="L157" s="50" t="s">
        <v>653</v>
      </c>
      <c r="M157" s="6">
        <v>43080</v>
      </c>
      <c r="N157" s="6">
        <v>43100</v>
      </c>
      <c r="O157" s="142" t="s">
        <v>3292</v>
      </c>
      <c r="P157" s="124"/>
      <c r="Q157" s="167"/>
      <c r="R157" s="238" t="s">
        <v>3306</v>
      </c>
      <c r="S157" s="316" t="s">
        <v>1176</v>
      </c>
      <c r="T157" s="921"/>
    </row>
    <row r="158" spans="1:20" s="120" customFormat="1" ht="20.100000000000001" customHeight="1">
      <c r="A158" s="1190" t="s">
        <v>4401</v>
      </c>
      <c r="B158" s="1190" t="s">
        <v>4409</v>
      </c>
      <c r="C158" s="1244" t="s">
        <v>4408</v>
      </c>
      <c r="D158" s="973" t="s">
        <v>5321</v>
      </c>
      <c r="E158" s="973" t="s">
        <v>5320</v>
      </c>
      <c r="F158" s="973" t="s">
        <v>5320</v>
      </c>
      <c r="G158" s="763" t="s">
        <v>5</v>
      </c>
      <c r="H158" s="36" t="s">
        <v>721</v>
      </c>
      <c r="I158" s="50" t="s">
        <v>3293</v>
      </c>
      <c r="J158" s="37"/>
      <c r="K158" s="37" t="s">
        <v>662</v>
      </c>
      <c r="L158" s="50" t="s">
        <v>653</v>
      </c>
      <c r="M158" s="6">
        <v>43087</v>
      </c>
      <c r="N158" s="6">
        <v>43100</v>
      </c>
      <c r="O158" s="61" t="s">
        <v>3459</v>
      </c>
      <c r="P158" s="61"/>
      <c r="Q158" s="171"/>
      <c r="R158" s="238" t="s">
        <v>3305</v>
      </c>
      <c r="S158" s="331" t="s">
        <v>1176</v>
      </c>
      <c r="T158" s="922">
        <v>10</v>
      </c>
    </row>
    <row r="159" spans="1:20" s="120" customFormat="1" ht="20.100000000000001" customHeight="1">
      <c r="A159" s="1190" t="s">
        <v>4401</v>
      </c>
      <c r="B159" s="1190" t="s">
        <v>4405</v>
      </c>
      <c r="C159" s="1190" t="s">
        <v>4407</v>
      </c>
      <c r="D159" s="989" t="s">
        <v>3473</v>
      </c>
      <c r="E159" s="989" t="s">
        <v>5315</v>
      </c>
      <c r="F159" s="989" t="s">
        <v>5315</v>
      </c>
      <c r="G159" s="70" t="s">
        <v>18</v>
      </c>
      <c r="H159" s="55" t="s">
        <v>659</v>
      </c>
      <c r="I159" s="50" t="s">
        <v>3432</v>
      </c>
      <c r="J159" s="37"/>
      <c r="K159" s="37" t="s">
        <v>980</v>
      </c>
      <c r="L159" s="50" t="s">
        <v>653</v>
      </c>
      <c r="M159" s="6">
        <v>43080</v>
      </c>
      <c r="N159" s="6">
        <v>43100</v>
      </c>
      <c r="O159" s="141"/>
      <c r="P159" s="26"/>
      <c r="Q159" s="260"/>
      <c r="R159" s="238" t="s">
        <v>1274</v>
      </c>
      <c r="S159" s="316" t="s">
        <v>1176</v>
      </c>
      <c r="T159" s="921"/>
    </row>
    <row r="160" spans="1:20" s="120" customFormat="1" ht="20.100000000000001" customHeight="1">
      <c r="A160" s="1190" t="s">
        <v>4401</v>
      </c>
      <c r="B160" s="1190" t="s">
        <v>4405</v>
      </c>
      <c r="C160" s="1190" t="s">
        <v>4407</v>
      </c>
      <c r="D160" s="952">
        <v>2760</v>
      </c>
      <c r="E160" s="952">
        <v>5250</v>
      </c>
      <c r="F160" s="952">
        <v>5250</v>
      </c>
      <c r="G160" s="218" t="s">
        <v>76</v>
      </c>
      <c r="H160" s="36" t="s">
        <v>657</v>
      </c>
      <c r="I160" s="50" t="s">
        <v>4395</v>
      </c>
      <c r="J160" s="37"/>
      <c r="K160" s="37" t="s">
        <v>1242</v>
      </c>
      <c r="L160" s="50" t="s">
        <v>653</v>
      </c>
      <c r="M160" s="6">
        <v>43073</v>
      </c>
      <c r="N160" s="6">
        <v>43093</v>
      </c>
      <c r="O160" s="185" t="s">
        <v>2545</v>
      </c>
      <c r="P160" s="61"/>
      <c r="Q160" s="61"/>
      <c r="R160" s="239"/>
      <c r="S160" s="331" t="s">
        <v>1176</v>
      </c>
      <c r="T160" s="921"/>
    </row>
    <row r="161" spans="1:22" s="120" customFormat="1" ht="20.100000000000001" customHeight="1">
      <c r="A161" s="1190" t="s">
        <v>4401</v>
      </c>
      <c r="B161" s="1190" t="s">
        <v>4405</v>
      </c>
      <c r="C161" s="1190" t="s">
        <v>4407</v>
      </c>
      <c r="D161" s="248">
        <f>800+2000+50</f>
        <v>2850</v>
      </c>
      <c r="E161" s="248">
        <f>1500+3000+100</f>
        <v>4600</v>
      </c>
      <c r="F161" s="248">
        <f>1550+3000+100</f>
        <v>4650</v>
      </c>
      <c r="G161" s="220" t="s">
        <v>51</v>
      </c>
      <c r="H161" s="22" t="s">
        <v>633</v>
      </c>
      <c r="I161" s="37" t="s">
        <v>4406</v>
      </c>
      <c r="J161" s="37"/>
      <c r="K161" s="37" t="s">
        <v>987</v>
      </c>
      <c r="L161" s="50" t="s">
        <v>653</v>
      </c>
      <c r="M161" s="15">
        <v>43084</v>
      </c>
      <c r="N161" s="15">
        <v>43100</v>
      </c>
      <c r="O161" s="141" t="s">
        <v>3292</v>
      </c>
      <c r="P161" s="141"/>
      <c r="Q161" s="167"/>
      <c r="R161" s="238" t="s">
        <v>3427</v>
      </c>
      <c r="S161" s="315" t="s">
        <v>3297</v>
      </c>
      <c r="T161" s="921"/>
    </row>
    <row r="162" spans="1:22" s="120" customFormat="1" ht="20.100000000000001" customHeight="1">
      <c r="A162" s="1190" t="s">
        <v>4401</v>
      </c>
      <c r="B162" s="1190" t="s">
        <v>4405</v>
      </c>
      <c r="C162" s="1190" t="s">
        <v>4407</v>
      </c>
      <c r="D162" s="988" t="s">
        <v>3475</v>
      </c>
      <c r="E162" s="988" t="s">
        <v>5319</v>
      </c>
      <c r="F162" s="988" t="s">
        <v>5319</v>
      </c>
      <c r="G162" s="63" t="s">
        <v>31</v>
      </c>
      <c r="H162" s="36" t="s">
        <v>681</v>
      </c>
      <c r="I162" s="50" t="s">
        <v>16</v>
      </c>
      <c r="J162" s="37"/>
      <c r="K162" s="37">
        <v>53</v>
      </c>
      <c r="L162" s="50" t="s">
        <v>653</v>
      </c>
      <c r="M162" s="6">
        <v>43080</v>
      </c>
      <c r="N162" s="6">
        <v>43100</v>
      </c>
      <c r="O162" s="142"/>
      <c r="P162" s="61"/>
      <c r="Q162" s="167"/>
      <c r="R162" s="238" t="s">
        <v>4402</v>
      </c>
      <c r="S162" s="325" t="s">
        <v>1176</v>
      </c>
      <c r="T162" s="921"/>
    </row>
    <row r="163" spans="1:22" ht="20.100000000000001" customHeight="1">
      <c r="A163" s="1190" t="s">
        <v>4401</v>
      </c>
      <c r="B163" s="1190" t="s">
        <v>4405</v>
      </c>
      <c r="C163" s="1244" t="s">
        <v>4407</v>
      </c>
      <c r="D163" s="973" t="s">
        <v>5318</v>
      </c>
      <c r="E163" s="973" t="s">
        <v>5315</v>
      </c>
      <c r="F163" s="973" t="s">
        <v>5315</v>
      </c>
      <c r="G163" s="763" t="s">
        <v>5</v>
      </c>
      <c r="H163" s="36" t="s">
        <v>721</v>
      </c>
      <c r="I163" s="50" t="s">
        <v>3293</v>
      </c>
      <c r="J163" s="37"/>
      <c r="K163" s="37" t="s">
        <v>722</v>
      </c>
      <c r="L163" s="50" t="s">
        <v>653</v>
      </c>
      <c r="M163" s="6">
        <v>43087</v>
      </c>
      <c r="N163" s="6">
        <v>43100</v>
      </c>
      <c r="O163" s="61" t="s">
        <v>3459</v>
      </c>
      <c r="P163" s="61"/>
      <c r="Q163" s="171"/>
      <c r="R163" s="238" t="s">
        <v>3305</v>
      </c>
      <c r="S163" s="331" t="s">
        <v>1176</v>
      </c>
      <c r="T163" s="922">
        <v>10</v>
      </c>
      <c r="U163" s="148"/>
      <c r="V163" s="148"/>
    </row>
    <row r="164" spans="1:22" ht="20.100000000000001" customHeight="1">
      <c r="A164" s="1190" t="s">
        <v>4401</v>
      </c>
      <c r="B164" s="1190" t="s">
        <v>4405</v>
      </c>
      <c r="C164" s="1190" t="s">
        <v>4404</v>
      </c>
      <c r="D164" s="987">
        <v>2760</v>
      </c>
      <c r="E164" s="987">
        <v>5250</v>
      </c>
      <c r="F164" s="987">
        <v>5250</v>
      </c>
      <c r="G164" s="218" t="s">
        <v>76</v>
      </c>
      <c r="H164" s="36" t="s">
        <v>657</v>
      </c>
      <c r="I164" s="50" t="s">
        <v>4395</v>
      </c>
      <c r="J164" s="37"/>
      <c r="K164" s="37" t="s">
        <v>1242</v>
      </c>
      <c r="L164" s="50" t="s">
        <v>653</v>
      </c>
      <c r="M164" s="6">
        <v>43073</v>
      </c>
      <c r="N164" s="6">
        <v>43093</v>
      </c>
      <c r="O164" s="185" t="s">
        <v>2545</v>
      </c>
      <c r="P164" s="61"/>
      <c r="Q164" s="61"/>
      <c r="R164" s="239"/>
      <c r="S164" s="331" t="s">
        <v>1176</v>
      </c>
      <c r="T164" s="921"/>
      <c r="U164" s="148"/>
      <c r="V164" s="148"/>
    </row>
    <row r="165" spans="1:22" ht="20.100000000000001" customHeight="1">
      <c r="A165" s="1190" t="s">
        <v>4401</v>
      </c>
      <c r="B165" s="1190" t="s">
        <v>4405</v>
      </c>
      <c r="C165" s="1190" t="s">
        <v>4404</v>
      </c>
      <c r="D165" s="248">
        <f>800+2000+50</f>
        <v>2850</v>
      </c>
      <c r="E165" s="248">
        <f>1500+3000+100</f>
        <v>4600</v>
      </c>
      <c r="F165" s="248">
        <f>1550+3000+100</f>
        <v>4650</v>
      </c>
      <c r="G165" s="220" t="s">
        <v>51</v>
      </c>
      <c r="H165" s="22" t="s">
        <v>633</v>
      </c>
      <c r="I165" s="37" t="s">
        <v>4406</v>
      </c>
      <c r="J165" s="37"/>
      <c r="K165" s="37" t="s">
        <v>987</v>
      </c>
      <c r="L165" s="50" t="s">
        <v>653</v>
      </c>
      <c r="M165" s="15">
        <v>43084</v>
      </c>
      <c r="N165" s="15">
        <v>43100</v>
      </c>
      <c r="O165" s="141" t="s">
        <v>3292</v>
      </c>
      <c r="P165" s="141"/>
      <c r="Q165" s="52"/>
      <c r="R165" s="238" t="s">
        <v>3427</v>
      </c>
      <c r="S165" s="315" t="s">
        <v>3297</v>
      </c>
      <c r="T165" s="921"/>
      <c r="U165" s="148"/>
      <c r="V165" s="148"/>
    </row>
    <row r="166" spans="1:22" ht="20.100000000000001" customHeight="1">
      <c r="A166" s="1190" t="s">
        <v>4401</v>
      </c>
      <c r="B166" s="1190" t="s">
        <v>4405</v>
      </c>
      <c r="C166" s="1190" t="s">
        <v>4404</v>
      </c>
      <c r="D166" s="990" t="s">
        <v>5317</v>
      </c>
      <c r="E166" s="990" t="s">
        <v>5316</v>
      </c>
      <c r="F166" s="990" t="s">
        <v>5316</v>
      </c>
      <c r="G166" s="70" t="s">
        <v>18</v>
      </c>
      <c r="H166" s="36" t="s">
        <v>721</v>
      </c>
      <c r="I166" s="50" t="s">
        <v>3293</v>
      </c>
      <c r="J166" s="50"/>
      <c r="K166" s="50" t="s">
        <v>731</v>
      </c>
      <c r="L166" s="50" t="s">
        <v>653</v>
      </c>
      <c r="M166" s="6">
        <v>43080</v>
      </c>
      <c r="N166" s="6">
        <v>43100</v>
      </c>
      <c r="O166" s="142" t="s">
        <v>3292</v>
      </c>
      <c r="P166" s="124"/>
      <c r="Q166" s="167"/>
      <c r="R166" s="238" t="s">
        <v>3306</v>
      </c>
      <c r="S166" s="316" t="s">
        <v>1176</v>
      </c>
      <c r="T166" s="921"/>
      <c r="U166" s="148"/>
      <c r="V166" s="148"/>
    </row>
    <row r="167" spans="1:22" ht="20.100000000000001" customHeight="1">
      <c r="A167" s="1190" t="s">
        <v>4401</v>
      </c>
      <c r="B167" s="1190" t="s">
        <v>4405</v>
      </c>
      <c r="C167" s="1190" t="s">
        <v>4404</v>
      </c>
      <c r="D167" s="988" t="s">
        <v>3474</v>
      </c>
      <c r="E167" s="988" t="s">
        <v>4418</v>
      </c>
      <c r="F167" s="988" t="s">
        <v>4418</v>
      </c>
      <c r="G167" s="63" t="s">
        <v>31</v>
      </c>
      <c r="H167" s="36" t="s">
        <v>681</v>
      </c>
      <c r="I167" s="50" t="s">
        <v>16</v>
      </c>
      <c r="J167" s="37"/>
      <c r="K167" s="37">
        <v>52</v>
      </c>
      <c r="L167" s="50" t="s">
        <v>653</v>
      </c>
      <c r="M167" s="6">
        <v>43080</v>
      </c>
      <c r="N167" s="6">
        <v>43100</v>
      </c>
      <c r="O167" s="142"/>
      <c r="P167" s="61"/>
      <c r="Q167" s="167"/>
      <c r="R167" s="238" t="s">
        <v>4402</v>
      </c>
      <c r="S167" s="325" t="s">
        <v>1176</v>
      </c>
      <c r="T167" s="921"/>
      <c r="U167" s="148"/>
      <c r="V167" s="148"/>
    </row>
    <row r="168" spans="1:22" ht="20.100000000000001" customHeight="1">
      <c r="A168" s="1190" t="s">
        <v>4401</v>
      </c>
      <c r="B168" s="1190" t="s">
        <v>4405</v>
      </c>
      <c r="C168" s="1244" t="s">
        <v>4404</v>
      </c>
      <c r="D168" s="973" t="s">
        <v>1631</v>
      </c>
      <c r="E168" s="973" t="s">
        <v>5316</v>
      </c>
      <c r="F168" s="973" t="s">
        <v>5316</v>
      </c>
      <c r="G168" s="763" t="s">
        <v>5</v>
      </c>
      <c r="H168" s="36" t="s">
        <v>721</v>
      </c>
      <c r="I168" s="50" t="s">
        <v>3293</v>
      </c>
      <c r="J168" s="37"/>
      <c r="K168" s="50" t="s">
        <v>2565</v>
      </c>
      <c r="L168" s="50" t="s">
        <v>653</v>
      </c>
      <c r="M168" s="6">
        <v>43087</v>
      </c>
      <c r="N168" s="6">
        <v>43100</v>
      </c>
      <c r="O168" s="61" t="s">
        <v>3459</v>
      </c>
      <c r="P168" s="61"/>
      <c r="Q168" s="171"/>
      <c r="R168" s="238" t="s">
        <v>3305</v>
      </c>
      <c r="S168" s="331" t="s">
        <v>1176</v>
      </c>
      <c r="T168" s="922">
        <v>10</v>
      </c>
      <c r="U168" s="148"/>
      <c r="V168" s="148"/>
    </row>
    <row r="169" spans="1:22" ht="20.100000000000001" customHeight="1">
      <c r="A169" s="1190" t="s">
        <v>4401</v>
      </c>
      <c r="B169" s="1190" t="s">
        <v>4397</v>
      </c>
      <c r="C169" s="1190" t="s">
        <v>4403</v>
      </c>
      <c r="D169" s="987">
        <v>2970</v>
      </c>
      <c r="E169" s="987">
        <v>5730</v>
      </c>
      <c r="F169" s="987">
        <v>5730</v>
      </c>
      <c r="G169" s="218" t="s">
        <v>76</v>
      </c>
      <c r="H169" s="36" t="s">
        <v>657</v>
      </c>
      <c r="I169" s="50" t="s">
        <v>4395</v>
      </c>
      <c r="J169" s="37"/>
      <c r="K169" s="37" t="s">
        <v>986</v>
      </c>
      <c r="L169" s="50" t="s">
        <v>653</v>
      </c>
      <c r="M169" s="6">
        <v>43073</v>
      </c>
      <c r="N169" s="6">
        <v>43093</v>
      </c>
      <c r="O169" s="185" t="s">
        <v>2545</v>
      </c>
      <c r="P169" s="26"/>
      <c r="Q169" s="363"/>
      <c r="R169" s="238"/>
      <c r="S169" s="331" t="s">
        <v>1176</v>
      </c>
      <c r="T169" s="921"/>
      <c r="U169" s="148"/>
      <c r="V169" s="148"/>
    </row>
    <row r="170" spans="1:22" ht="20.100000000000001" customHeight="1">
      <c r="A170" s="1190" t="s">
        <v>4401</v>
      </c>
      <c r="B170" s="1190" t="s">
        <v>4397</v>
      </c>
      <c r="C170" s="1190" t="s">
        <v>4403</v>
      </c>
      <c r="D170" s="989" t="s">
        <v>3473</v>
      </c>
      <c r="E170" s="989" t="s">
        <v>5315</v>
      </c>
      <c r="F170" s="989" t="s">
        <v>5315</v>
      </c>
      <c r="G170" s="70" t="s">
        <v>18</v>
      </c>
      <c r="H170" s="36" t="s">
        <v>721</v>
      </c>
      <c r="I170" s="50" t="s">
        <v>3293</v>
      </c>
      <c r="J170" s="50"/>
      <c r="K170" s="50" t="s">
        <v>985</v>
      </c>
      <c r="L170" s="50" t="s">
        <v>653</v>
      </c>
      <c r="M170" s="6">
        <v>43080</v>
      </c>
      <c r="N170" s="6">
        <v>43100</v>
      </c>
      <c r="O170" s="142" t="s">
        <v>3292</v>
      </c>
      <c r="P170" s="124"/>
      <c r="Q170" s="167"/>
      <c r="R170" s="238" t="s">
        <v>3306</v>
      </c>
      <c r="S170" s="316" t="s">
        <v>1176</v>
      </c>
      <c r="T170" s="921"/>
      <c r="U170" s="148"/>
      <c r="V170" s="148"/>
    </row>
    <row r="171" spans="1:22" ht="20.100000000000001" customHeight="1">
      <c r="A171" s="1190" t="s">
        <v>4401</v>
      </c>
      <c r="B171" s="1190" t="s">
        <v>4397</v>
      </c>
      <c r="C171" s="1190" t="s">
        <v>4403</v>
      </c>
      <c r="D171" s="988" t="s">
        <v>3474</v>
      </c>
      <c r="E171" s="988" t="s">
        <v>4418</v>
      </c>
      <c r="F171" s="988" t="s">
        <v>4418</v>
      </c>
      <c r="G171" s="63" t="s">
        <v>31</v>
      </c>
      <c r="H171" s="36" t="s">
        <v>681</v>
      </c>
      <c r="I171" s="50" t="s">
        <v>16</v>
      </c>
      <c r="J171" s="37"/>
      <c r="K171" s="37">
        <v>54</v>
      </c>
      <c r="L171" s="50" t="s">
        <v>653</v>
      </c>
      <c r="M171" s="6">
        <v>43080</v>
      </c>
      <c r="N171" s="6">
        <v>43100</v>
      </c>
      <c r="O171" s="142"/>
      <c r="P171" s="61"/>
      <c r="Q171" s="167"/>
      <c r="R171" s="238" t="s">
        <v>4402</v>
      </c>
      <c r="S171" s="325" t="s">
        <v>1176</v>
      </c>
      <c r="T171" s="921"/>
      <c r="U171" s="148"/>
      <c r="V171" s="148"/>
    </row>
    <row r="172" spans="1:22" ht="20.100000000000001" customHeight="1">
      <c r="A172" s="1190" t="s">
        <v>4401</v>
      </c>
      <c r="B172" s="1190" t="s">
        <v>4397</v>
      </c>
      <c r="C172" s="1244" t="s">
        <v>4403</v>
      </c>
      <c r="D172" s="973" t="s">
        <v>4410</v>
      </c>
      <c r="E172" s="973" t="s">
        <v>5314</v>
      </c>
      <c r="F172" s="973" t="s">
        <v>5314</v>
      </c>
      <c r="G172" s="763" t="s">
        <v>5</v>
      </c>
      <c r="H172" s="36" t="s">
        <v>721</v>
      </c>
      <c r="I172" s="50" t="s">
        <v>3293</v>
      </c>
      <c r="J172" s="37"/>
      <c r="K172" s="50" t="s">
        <v>1285</v>
      </c>
      <c r="L172" s="50" t="s">
        <v>653</v>
      </c>
      <c r="M172" s="6">
        <v>43087</v>
      </c>
      <c r="N172" s="6">
        <v>43100</v>
      </c>
      <c r="O172" s="61" t="s">
        <v>3459</v>
      </c>
      <c r="P172" s="61"/>
      <c r="Q172" s="171"/>
      <c r="R172" s="238" t="s">
        <v>3305</v>
      </c>
      <c r="S172" s="331" t="s">
        <v>1176</v>
      </c>
      <c r="T172" s="922">
        <v>7</v>
      </c>
      <c r="U172" s="148"/>
      <c r="V172" s="148"/>
    </row>
    <row r="173" spans="1:22" ht="20.100000000000001" customHeight="1">
      <c r="A173" s="1190" t="s">
        <v>4398</v>
      </c>
      <c r="B173" s="1190" t="s">
        <v>4397</v>
      </c>
      <c r="C173" s="1190" t="s">
        <v>4400</v>
      </c>
      <c r="D173" s="989" t="s">
        <v>3473</v>
      </c>
      <c r="E173" s="989" t="s">
        <v>5315</v>
      </c>
      <c r="F173" s="989" t="s">
        <v>5315</v>
      </c>
      <c r="G173" s="70" t="s">
        <v>18</v>
      </c>
      <c r="H173" s="36" t="s">
        <v>721</v>
      </c>
      <c r="I173" s="50" t="s">
        <v>3293</v>
      </c>
      <c r="J173" s="50"/>
      <c r="K173" s="50" t="s">
        <v>984</v>
      </c>
      <c r="L173" s="50" t="s">
        <v>653</v>
      </c>
      <c r="M173" s="6">
        <v>43080</v>
      </c>
      <c r="N173" s="6">
        <v>43100</v>
      </c>
      <c r="O173" s="142" t="s">
        <v>3292</v>
      </c>
      <c r="P173" s="124"/>
      <c r="Q173" s="167"/>
      <c r="R173" s="238" t="s">
        <v>3306</v>
      </c>
      <c r="S173" s="316" t="s">
        <v>1176</v>
      </c>
      <c r="T173" s="921"/>
      <c r="U173" s="148"/>
      <c r="V173" s="148"/>
    </row>
    <row r="174" spans="1:22" ht="20.100000000000001" customHeight="1">
      <c r="A174" s="1190" t="s">
        <v>4401</v>
      </c>
      <c r="B174" s="1190" t="s">
        <v>4397</v>
      </c>
      <c r="C174" s="1244" t="s">
        <v>4400</v>
      </c>
      <c r="D174" s="973" t="s">
        <v>4410</v>
      </c>
      <c r="E174" s="973" t="s">
        <v>5314</v>
      </c>
      <c r="F174" s="973" t="s">
        <v>5314</v>
      </c>
      <c r="G174" s="763" t="s">
        <v>5</v>
      </c>
      <c r="H174" s="36" t="s">
        <v>721</v>
      </c>
      <c r="I174" s="50" t="s">
        <v>3293</v>
      </c>
      <c r="J174" s="37"/>
      <c r="K174" s="50" t="s">
        <v>1285</v>
      </c>
      <c r="L174" s="50" t="s">
        <v>653</v>
      </c>
      <c r="M174" s="6">
        <v>43087</v>
      </c>
      <c r="N174" s="6">
        <v>43100</v>
      </c>
      <c r="O174" s="61" t="s">
        <v>3459</v>
      </c>
      <c r="P174" s="61"/>
      <c r="Q174" s="171"/>
      <c r="R174" s="238" t="s">
        <v>3305</v>
      </c>
      <c r="S174" s="331" t="s">
        <v>1176</v>
      </c>
      <c r="T174" s="922">
        <v>7</v>
      </c>
      <c r="U174" s="148"/>
      <c r="V174" s="148"/>
    </row>
    <row r="175" spans="1:22" ht="20.100000000000001" customHeight="1">
      <c r="A175" s="1190" t="s">
        <v>4401</v>
      </c>
      <c r="B175" s="1190" t="s">
        <v>4397</v>
      </c>
      <c r="C175" s="1190" t="s">
        <v>4400</v>
      </c>
      <c r="D175" s="988" t="s">
        <v>3474</v>
      </c>
      <c r="E175" s="988" t="s">
        <v>4418</v>
      </c>
      <c r="F175" s="988" t="s">
        <v>4418</v>
      </c>
      <c r="G175" s="63" t="s">
        <v>31</v>
      </c>
      <c r="H175" s="36" t="s">
        <v>681</v>
      </c>
      <c r="I175" s="50" t="s">
        <v>16</v>
      </c>
      <c r="J175" s="37"/>
      <c r="K175" s="37">
        <v>51</v>
      </c>
      <c r="L175" s="50" t="s">
        <v>653</v>
      </c>
      <c r="M175" s="6">
        <v>43080</v>
      </c>
      <c r="N175" s="6">
        <v>43100</v>
      </c>
      <c r="O175" s="142"/>
      <c r="P175" s="61"/>
      <c r="Q175" s="167"/>
      <c r="R175" s="238" t="s">
        <v>4402</v>
      </c>
      <c r="S175" s="325" t="s">
        <v>1176</v>
      </c>
      <c r="T175" s="921"/>
      <c r="U175" s="148"/>
      <c r="V175" s="148"/>
    </row>
    <row r="176" spans="1:22" ht="20.100000000000001" customHeight="1">
      <c r="A176" s="1190" t="s">
        <v>4401</v>
      </c>
      <c r="B176" s="1190" t="s">
        <v>4397</v>
      </c>
      <c r="C176" s="1190" t="s">
        <v>4400</v>
      </c>
      <c r="D176" s="987">
        <v>2970</v>
      </c>
      <c r="E176" s="987">
        <v>5730</v>
      </c>
      <c r="F176" s="987">
        <v>5730</v>
      </c>
      <c r="G176" s="218" t="s">
        <v>76</v>
      </c>
      <c r="H176" s="36" t="s">
        <v>657</v>
      </c>
      <c r="I176" s="50" t="s">
        <v>4395</v>
      </c>
      <c r="J176" s="37"/>
      <c r="K176" s="37" t="s">
        <v>986</v>
      </c>
      <c r="L176" s="50" t="s">
        <v>653</v>
      </c>
      <c r="M176" s="6">
        <v>43073</v>
      </c>
      <c r="N176" s="6">
        <v>43093</v>
      </c>
      <c r="O176" s="185" t="s">
        <v>2545</v>
      </c>
      <c r="P176" s="61"/>
      <c r="Q176" s="61"/>
      <c r="R176" s="239"/>
      <c r="S176" s="331" t="s">
        <v>1176</v>
      </c>
      <c r="T176" s="921"/>
      <c r="U176" s="148"/>
      <c r="V176" s="148"/>
    </row>
    <row r="177" spans="1:22" ht="20.100000000000001" customHeight="1">
      <c r="A177" s="295" t="s">
        <v>4398</v>
      </c>
      <c r="B177" s="903" t="s">
        <v>4397</v>
      </c>
      <c r="C177" s="903" t="s">
        <v>4399</v>
      </c>
      <c r="D177" s="952">
        <v>4050</v>
      </c>
      <c r="E177" s="952">
        <v>8190</v>
      </c>
      <c r="F177" s="952">
        <v>8190</v>
      </c>
      <c r="G177" s="218" t="s">
        <v>76</v>
      </c>
      <c r="H177" s="36" t="s">
        <v>657</v>
      </c>
      <c r="I177" s="50" t="s">
        <v>4395</v>
      </c>
      <c r="J177" s="37"/>
      <c r="K177" s="37" t="s">
        <v>986</v>
      </c>
      <c r="L177" s="50" t="s">
        <v>653</v>
      </c>
      <c r="M177" s="6">
        <v>43073</v>
      </c>
      <c r="N177" s="6">
        <v>43093</v>
      </c>
      <c r="O177" s="185" t="s">
        <v>2545</v>
      </c>
      <c r="P177" s="61"/>
      <c r="Q177" s="52"/>
      <c r="R177" s="238"/>
      <c r="S177" s="331" t="s">
        <v>1176</v>
      </c>
      <c r="T177" s="921"/>
      <c r="U177" s="148"/>
      <c r="V177" s="148"/>
    </row>
    <row r="178" spans="1:22" ht="20.100000000000001" customHeight="1">
      <c r="A178" s="295" t="s">
        <v>4398</v>
      </c>
      <c r="B178" s="903" t="s">
        <v>4397</v>
      </c>
      <c r="C178" s="903" t="s">
        <v>4396</v>
      </c>
      <c r="D178" s="986">
        <v>4050</v>
      </c>
      <c r="E178" s="986">
        <v>8190</v>
      </c>
      <c r="F178" s="986">
        <v>8190</v>
      </c>
      <c r="G178" s="218" t="s">
        <v>76</v>
      </c>
      <c r="H178" s="36" t="s">
        <v>657</v>
      </c>
      <c r="I178" s="50" t="s">
        <v>4395</v>
      </c>
      <c r="J178" s="37"/>
      <c r="K178" s="37" t="s">
        <v>986</v>
      </c>
      <c r="L178" s="50" t="s">
        <v>653</v>
      </c>
      <c r="M178" s="6">
        <v>43073</v>
      </c>
      <c r="N178" s="6">
        <v>43093</v>
      </c>
      <c r="O178" s="185" t="s">
        <v>2545</v>
      </c>
      <c r="P178" s="61"/>
      <c r="Q178" s="52"/>
      <c r="R178" s="238"/>
      <c r="S178" s="331" t="s">
        <v>1176</v>
      </c>
      <c r="T178" s="921"/>
      <c r="U178" s="148"/>
      <c r="V178" s="148"/>
    </row>
    <row r="179" spans="1:22" ht="20.100000000000001" customHeight="1">
      <c r="A179" s="1138" t="s">
        <v>4394</v>
      </c>
      <c r="B179" s="1138" t="s">
        <v>4393</v>
      </c>
      <c r="C179" s="1245" t="s">
        <v>4392</v>
      </c>
      <c r="D179" s="973" t="s">
        <v>5313</v>
      </c>
      <c r="E179" s="973" t="s">
        <v>5312</v>
      </c>
      <c r="F179" s="973" t="s">
        <v>5312</v>
      </c>
      <c r="G179" s="763" t="s">
        <v>5</v>
      </c>
      <c r="H179" s="36" t="s">
        <v>721</v>
      </c>
      <c r="I179" s="50" t="s">
        <v>3293</v>
      </c>
      <c r="J179" s="50"/>
      <c r="K179" s="50" t="s">
        <v>1982</v>
      </c>
      <c r="L179" s="50" t="s">
        <v>653</v>
      </c>
      <c r="M179" s="6">
        <v>43087</v>
      </c>
      <c r="N179" s="6">
        <v>43100</v>
      </c>
      <c r="O179" s="61" t="s">
        <v>3459</v>
      </c>
      <c r="P179" s="59"/>
      <c r="Q179" s="171"/>
      <c r="R179" s="238" t="s">
        <v>3305</v>
      </c>
      <c r="S179" s="331" t="s">
        <v>1176</v>
      </c>
      <c r="T179" s="922"/>
      <c r="U179" s="148"/>
      <c r="V179" s="148"/>
    </row>
    <row r="180" spans="1:22" ht="20.100000000000001" customHeight="1">
      <c r="A180" s="1138" t="s">
        <v>4394</v>
      </c>
      <c r="B180" s="1138" t="s">
        <v>4393</v>
      </c>
      <c r="C180" s="1138" t="s">
        <v>4392</v>
      </c>
      <c r="D180" s="985" t="s">
        <v>4391</v>
      </c>
      <c r="E180" s="985" t="s">
        <v>4390</v>
      </c>
      <c r="F180" s="985" t="s">
        <v>4390</v>
      </c>
      <c r="G180" s="218" t="s">
        <v>1446</v>
      </c>
      <c r="H180" s="22" t="s">
        <v>1102</v>
      </c>
      <c r="I180" s="50" t="s">
        <v>4389</v>
      </c>
      <c r="J180" s="50"/>
      <c r="K180" s="50" t="s">
        <v>1982</v>
      </c>
      <c r="L180" s="50" t="s">
        <v>653</v>
      </c>
      <c r="M180" s="6">
        <v>43059</v>
      </c>
      <c r="N180" s="6">
        <v>43100</v>
      </c>
      <c r="O180" s="59" t="s">
        <v>601</v>
      </c>
      <c r="P180" s="59"/>
      <c r="Q180" s="167"/>
      <c r="R180" s="135" t="s">
        <v>3323</v>
      </c>
      <c r="S180" s="331"/>
      <c r="T180" s="921"/>
      <c r="U180" s="148"/>
      <c r="V180" s="148"/>
    </row>
    <row r="181" spans="1:22" ht="20.100000000000001" customHeight="1">
      <c r="A181" s="1225" t="s">
        <v>4358</v>
      </c>
      <c r="B181" s="1225" t="s">
        <v>4356</v>
      </c>
      <c r="C181" s="1225" t="s">
        <v>4388</v>
      </c>
      <c r="D181" s="984">
        <v>1250</v>
      </c>
      <c r="E181" s="984">
        <v>2400</v>
      </c>
      <c r="F181" s="984">
        <v>2400</v>
      </c>
      <c r="G181" s="224" t="s">
        <v>1689</v>
      </c>
      <c r="H181" s="36" t="s">
        <v>659</v>
      </c>
      <c r="I181" s="50" t="s">
        <v>17</v>
      </c>
      <c r="J181" s="50"/>
      <c r="K181" s="50" t="s">
        <v>680</v>
      </c>
      <c r="L181" s="50" t="s">
        <v>653</v>
      </c>
      <c r="M181" s="50"/>
      <c r="N181" s="6">
        <v>42978</v>
      </c>
      <c r="O181" s="59" t="s">
        <v>1771</v>
      </c>
      <c r="P181" s="59"/>
      <c r="Q181" s="171"/>
      <c r="R181" s="238" t="s">
        <v>4367</v>
      </c>
      <c r="S181" s="316" t="s">
        <v>4366</v>
      </c>
      <c r="T181" s="859"/>
      <c r="U181" s="148"/>
      <c r="V181" s="148"/>
    </row>
    <row r="182" spans="1:22" ht="20.100000000000001" customHeight="1">
      <c r="A182" s="1225" t="s">
        <v>4364</v>
      </c>
      <c r="B182" s="1225" t="s">
        <v>4356</v>
      </c>
      <c r="C182" s="1247" t="s">
        <v>4388</v>
      </c>
      <c r="D182" s="982" t="s">
        <v>3320</v>
      </c>
      <c r="E182" s="982" t="s">
        <v>1634</v>
      </c>
      <c r="F182" s="982" t="s">
        <v>1634</v>
      </c>
      <c r="G182" s="763" t="s">
        <v>5</v>
      </c>
      <c r="H182" s="36" t="s">
        <v>659</v>
      </c>
      <c r="I182" s="50" t="s">
        <v>17</v>
      </c>
      <c r="J182" s="50"/>
      <c r="K182" s="50" t="s">
        <v>680</v>
      </c>
      <c r="L182" s="50" t="s">
        <v>653</v>
      </c>
      <c r="M182" s="6">
        <v>43066</v>
      </c>
      <c r="N182" s="6">
        <v>43100</v>
      </c>
      <c r="O182" s="59" t="s">
        <v>4365</v>
      </c>
      <c r="P182" s="141"/>
      <c r="Q182" s="171"/>
      <c r="R182" s="238" t="s">
        <v>3457</v>
      </c>
      <c r="S182" s="331" t="s">
        <v>1176</v>
      </c>
      <c r="T182" s="922" t="s">
        <v>681</v>
      </c>
      <c r="U182" s="148"/>
      <c r="V182" s="148"/>
    </row>
    <row r="183" spans="1:22" ht="20.100000000000001" customHeight="1">
      <c r="A183" s="1225" t="s">
        <v>4364</v>
      </c>
      <c r="B183" s="1225" t="s">
        <v>4356</v>
      </c>
      <c r="C183" s="1225" t="s">
        <v>4388</v>
      </c>
      <c r="D183" s="981" t="s">
        <v>3320</v>
      </c>
      <c r="E183" s="981" t="s">
        <v>3475</v>
      </c>
      <c r="F183" s="981" t="s">
        <v>3475</v>
      </c>
      <c r="G183" s="70" t="s">
        <v>18</v>
      </c>
      <c r="H183" s="36" t="s">
        <v>659</v>
      </c>
      <c r="I183" s="50" t="s">
        <v>17</v>
      </c>
      <c r="J183" s="50"/>
      <c r="K183" s="50" t="s">
        <v>680</v>
      </c>
      <c r="L183" s="50" t="s">
        <v>653</v>
      </c>
      <c r="M183" s="6">
        <v>43073</v>
      </c>
      <c r="N183" s="6">
        <v>43100</v>
      </c>
      <c r="O183" s="61"/>
      <c r="P183" s="61"/>
      <c r="Q183" s="171"/>
      <c r="R183" s="238" t="s">
        <v>3460</v>
      </c>
      <c r="S183" s="316"/>
      <c r="T183" s="859"/>
      <c r="U183" s="148"/>
      <c r="V183" s="148"/>
    </row>
    <row r="184" spans="1:22" ht="20.100000000000001" customHeight="1">
      <c r="A184" s="1225" t="s">
        <v>4364</v>
      </c>
      <c r="B184" s="1225" t="s">
        <v>4356</v>
      </c>
      <c r="C184" s="1225" t="s">
        <v>4388</v>
      </c>
      <c r="D184" s="246">
        <v>1200</v>
      </c>
      <c r="E184" s="246">
        <v>2200</v>
      </c>
      <c r="F184" s="246">
        <v>2200</v>
      </c>
      <c r="G184" s="218" t="s">
        <v>51</v>
      </c>
      <c r="H184" s="69">
        <v>4</v>
      </c>
      <c r="I184" s="37" t="s">
        <v>17</v>
      </c>
      <c r="J184" s="37"/>
      <c r="K184" s="50" t="s">
        <v>728</v>
      </c>
      <c r="L184" s="50" t="s">
        <v>653</v>
      </c>
      <c r="M184" s="108">
        <v>43066</v>
      </c>
      <c r="N184" s="108">
        <v>43100</v>
      </c>
      <c r="O184" s="60"/>
      <c r="P184" s="60"/>
      <c r="Q184" s="167"/>
      <c r="R184" s="238" t="s">
        <v>3455</v>
      </c>
      <c r="S184" s="333"/>
      <c r="T184" s="921"/>
      <c r="U184" s="148"/>
      <c r="V184" s="148"/>
    </row>
    <row r="185" spans="1:22" ht="20.100000000000001" customHeight="1">
      <c r="A185" s="1225" t="s">
        <v>4364</v>
      </c>
      <c r="B185" s="1225" t="s">
        <v>4356</v>
      </c>
      <c r="C185" s="1225" t="s">
        <v>4388</v>
      </c>
      <c r="D185" s="983">
        <v>1150</v>
      </c>
      <c r="E185" s="983">
        <v>2100</v>
      </c>
      <c r="F185" s="983">
        <v>2100</v>
      </c>
      <c r="G185" s="63" t="s">
        <v>33</v>
      </c>
      <c r="H185" s="69">
        <v>4</v>
      </c>
      <c r="I185" s="37" t="s">
        <v>17</v>
      </c>
      <c r="J185" s="37"/>
      <c r="K185" s="50" t="s">
        <v>728</v>
      </c>
      <c r="L185" s="50" t="s">
        <v>653</v>
      </c>
      <c r="M185" s="6">
        <v>43083</v>
      </c>
      <c r="N185" s="6">
        <v>43090</v>
      </c>
      <c r="O185" s="59" t="s">
        <v>601</v>
      </c>
      <c r="P185" s="61"/>
      <c r="Q185" s="167"/>
      <c r="R185" s="238" t="s">
        <v>168</v>
      </c>
      <c r="S185" s="331" t="s">
        <v>3307</v>
      </c>
      <c r="T185" s="921"/>
      <c r="U185" s="148"/>
      <c r="V185" s="148"/>
    </row>
    <row r="186" spans="1:22" ht="20.100000000000001" customHeight="1">
      <c r="A186" s="1225" t="s">
        <v>4364</v>
      </c>
      <c r="B186" s="1225" t="s">
        <v>4356</v>
      </c>
      <c r="C186" s="1225" t="s">
        <v>4388</v>
      </c>
      <c r="D186" s="983">
        <v>1200</v>
      </c>
      <c r="E186" s="983">
        <v>2300</v>
      </c>
      <c r="F186" s="983">
        <v>2300</v>
      </c>
      <c r="G186" s="221" t="s">
        <v>19</v>
      </c>
      <c r="H186" s="69">
        <v>4</v>
      </c>
      <c r="I186" s="37" t="s">
        <v>17</v>
      </c>
      <c r="J186" s="37"/>
      <c r="K186" s="50" t="s">
        <v>728</v>
      </c>
      <c r="L186" s="50" t="s">
        <v>653</v>
      </c>
      <c r="M186" s="6">
        <v>43056</v>
      </c>
      <c r="N186" s="6">
        <v>43083</v>
      </c>
      <c r="O186" s="59" t="s">
        <v>611</v>
      </c>
      <c r="P186" s="59"/>
      <c r="Q186" s="167"/>
      <c r="R186" s="238" t="s">
        <v>3470</v>
      </c>
      <c r="S186" s="315" t="s">
        <v>3469</v>
      </c>
      <c r="T186" s="921"/>
      <c r="U186" s="148"/>
      <c r="V186" s="148"/>
    </row>
    <row r="187" spans="1:22" ht="20.100000000000001" customHeight="1">
      <c r="A187" s="1225" t="s">
        <v>4364</v>
      </c>
      <c r="B187" s="1225" t="s">
        <v>4356</v>
      </c>
      <c r="C187" s="1225" t="s">
        <v>4388</v>
      </c>
      <c r="D187" s="970">
        <v>1125</v>
      </c>
      <c r="E187" s="950">
        <v>2050</v>
      </c>
      <c r="F187" s="950">
        <v>2050</v>
      </c>
      <c r="G187" s="109" t="s">
        <v>30</v>
      </c>
      <c r="H187" s="69">
        <v>4</v>
      </c>
      <c r="I187" s="37" t="s">
        <v>17</v>
      </c>
      <c r="J187" s="37"/>
      <c r="K187" s="50" t="s">
        <v>728</v>
      </c>
      <c r="L187" s="50" t="s">
        <v>653</v>
      </c>
      <c r="M187" s="6">
        <v>43076</v>
      </c>
      <c r="N187" s="6">
        <v>43083</v>
      </c>
      <c r="O187" s="141" t="s">
        <v>4381</v>
      </c>
      <c r="P187" s="141"/>
      <c r="Q187" s="167"/>
      <c r="R187" s="238" t="s">
        <v>4380</v>
      </c>
      <c r="S187" s="315" t="s">
        <v>3307</v>
      </c>
      <c r="T187" s="921"/>
      <c r="U187" s="148"/>
      <c r="V187" s="148"/>
    </row>
    <row r="188" spans="1:22" ht="20.100000000000001" customHeight="1">
      <c r="A188" s="1225" t="s">
        <v>4364</v>
      </c>
      <c r="B188" s="1225" t="s">
        <v>4356</v>
      </c>
      <c r="C188" s="1225" t="s">
        <v>4388</v>
      </c>
      <c r="D188" s="246">
        <v>1175</v>
      </c>
      <c r="E188" s="246">
        <v>2250</v>
      </c>
      <c r="F188" s="246">
        <v>2250</v>
      </c>
      <c r="G188" s="218" t="s">
        <v>22</v>
      </c>
      <c r="H188" s="69">
        <v>4</v>
      </c>
      <c r="I188" s="50" t="s">
        <v>17</v>
      </c>
      <c r="J188" s="50"/>
      <c r="K188" s="50" t="s">
        <v>728</v>
      </c>
      <c r="L188" s="50" t="s">
        <v>653</v>
      </c>
      <c r="M188" s="108">
        <v>43062</v>
      </c>
      <c r="N188" s="108">
        <v>43100</v>
      </c>
      <c r="O188" s="59" t="s">
        <v>2545</v>
      </c>
      <c r="P188" s="52"/>
      <c r="Q188" s="167"/>
      <c r="R188" s="238" t="s">
        <v>1389</v>
      </c>
      <c r="S188" s="316" t="s">
        <v>3430</v>
      </c>
      <c r="T188" s="921"/>
      <c r="U188" s="148"/>
      <c r="V188" s="148"/>
    </row>
    <row r="189" spans="1:22" ht="20.100000000000001" customHeight="1">
      <c r="A189" s="1225" t="s">
        <v>4364</v>
      </c>
      <c r="B189" s="1225" t="s">
        <v>4356</v>
      </c>
      <c r="C189" s="1225" t="s">
        <v>4388</v>
      </c>
      <c r="D189" s="246">
        <v>1175</v>
      </c>
      <c r="E189" s="246">
        <v>2250</v>
      </c>
      <c r="F189" s="246">
        <v>2250</v>
      </c>
      <c r="G189" s="70" t="s">
        <v>13</v>
      </c>
      <c r="H189" s="69">
        <v>4</v>
      </c>
      <c r="I189" s="50" t="s">
        <v>17</v>
      </c>
      <c r="J189" s="50"/>
      <c r="K189" s="50" t="s">
        <v>728</v>
      </c>
      <c r="L189" s="50" t="s">
        <v>653</v>
      </c>
      <c r="M189" s="108">
        <v>43083</v>
      </c>
      <c r="N189" s="108">
        <v>43100</v>
      </c>
      <c r="O189" s="59" t="s">
        <v>1771</v>
      </c>
      <c r="P189" s="59"/>
      <c r="Q189" s="167"/>
      <c r="R189" s="238" t="s">
        <v>168</v>
      </c>
      <c r="S189" s="319" t="s">
        <v>1176</v>
      </c>
      <c r="T189" s="921"/>
      <c r="U189" s="148"/>
      <c r="V189" s="148"/>
    </row>
    <row r="190" spans="1:22" ht="20.100000000000001" customHeight="1">
      <c r="A190" s="1225" t="s">
        <v>4364</v>
      </c>
      <c r="B190" s="1225" t="s">
        <v>4356</v>
      </c>
      <c r="C190" s="1225" t="s">
        <v>4388</v>
      </c>
      <c r="D190" s="980" t="s">
        <v>5311</v>
      </c>
      <c r="E190" s="980" t="s">
        <v>4187</v>
      </c>
      <c r="F190" s="980" t="s">
        <v>4187</v>
      </c>
      <c r="G190" s="29" t="s">
        <v>31</v>
      </c>
      <c r="H190" s="36" t="s">
        <v>1102</v>
      </c>
      <c r="I190" s="50" t="s">
        <v>17</v>
      </c>
      <c r="J190" s="50"/>
      <c r="K190" s="50" t="s">
        <v>829</v>
      </c>
      <c r="L190" s="50" t="s">
        <v>653</v>
      </c>
      <c r="M190" s="6">
        <v>43080</v>
      </c>
      <c r="N190" s="6">
        <v>43100</v>
      </c>
      <c r="O190" s="144"/>
      <c r="P190" s="144"/>
      <c r="Q190" s="147"/>
      <c r="R190" s="238" t="s">
        <v>3461</v>
      </c>
      <c r="S190" s="332" t="s">
        <v>1521</v>
      </c>
      <c r="T190" s="858"/>
      <c r="U190" s="148"/>
      <c r="V190" s="148"/>
    </row>
    <row r="191" spans="1:22" ht="20.100000000000001" customHeight="1">
      <c r="A191" s="1225" t="s">
        <v>4358</v>
      </c>
      <c r="B191" s="1225" t="s">
        <v>4356</v>
      </c>
      <c r="C191" s="1225" t="s">
        <v>4379</v>
      </c>
      <c r="D191" s="246">
        <v>1075</v>
      </c>
      <c r="E191" s="246">
        <v>2050</v>
      </c>
      <c r="F191" s="246">
        <v>2050</v>
      </c>
      <c r="G191" s="70" t="s">
        <v>13</v>
      </c>
      <c r="H191" s="69">
        <v>2</v>
      </c>
      <c r="I191" s="50" t="s">
        <v>17</v>
      </c>
      <c r="J191" s="50"/>
      <c r="K191" s="50" t="s">
        <v>728</v>
      </c>
      <c r="L191" s="50" t="s">
        <v>847</v>
      </c>
      <c r="M191" s="108">
        <v>43083</v>
      </c>
      <c r="N191" s="108">
        <v>43100</v>
      </c>
      <c r="O191" s="59" t="s">
        <v>1771</v>
      </c>
      <c r="P191" s="59"/>
      <c r="Q191" s="171"/>
      <c r="R191" s="238" t="s">
        <v>3472</v>
      </c>
      <c r="S191" s="319" t="s">
        <v>1176</v>
      </c>
      <c r="T191" s="921"/>
      <c r="U191" s="148"/>
      <c r="V191" s="148"/>
    </row>
    <row r="192" spans="1:22" ht="20.100000000000001" customHeight="1">
      <c r="A192" s="1225" t="s">
        <v>4364</v>
      </c>
      <c r="B192" s="1225" t="s">
        <v>4356</v>
      </c>
      <c r="C192" s="1225" t="s">
        <v>4379</v>
      </c>
      <c r="D192" s="246">
        <v>1100</v>
      </c>
      <c r="E192" s="246">
        <v>2000</v>
      </c>
      <c r="F192" s="246">
        <v>2000</v>
      </c>
      <c r="G192" s="218" t="s">
        <v>51</v>
      </c>
      <c r="H192" s="69">
        <v>2</v>
      </c>
      <c r="I192" s="50" t="s">
        <v>17</v>
      </c>
      <c r="J192" s="50"/>
      <c r="K192" s="50" t="s">
        <v>728</v>
      </c>
      <c r="L192" s="50" t="s">
        <v>847</v>
      </c>
      <c r="M192" s="108">
        <v>43066</v>
      </c>
      <c r="N192" s="108">
        <v>43100</v>
      </c>
      <c r="O192" s="59"/>
      <c r="P192" s="59"/>
      <c r="Q192" s="171"/>
      <c r="R192" s="238" t="s">
        <v>4346</v>
      </c>
      <c r="S192" s="331"/>
      <c r="T192" s="923"/>
      <c r="U192" s="148"/>
      <c r="V192" s="148"/>
    </row>
    <row r="193" spans="1:22" ht="20.100000000000001" customHeight="1">
      <c r="A193" s="1225" t="s">
        <v>4364</v>
      </c>
      <c r="B193" s="1225" t="s">
        <v>4356</v>
      </c>
      <c r="C193" s="1225" t="s">
        <v>4379</v>
      </c>
      <c r="D193" s="982" t="s">
        <v>4329</v>
      </c>
      <c r="E193" s="982" t="s">
        <v>4382</v>
      </c>
      <c r="F193" s="982" t="s">
        <v>4382</v>
      </c>
      <c r="G193" s="218" t="s">
        <v>5</v>
      </c>
      <c r="H193" s="36" t="s">
        <v>1102</v>
      </c>
      <c r="I193" s="50" t="s">
        <v>17</v>
      </c>
      <c r="J193" s="50"/>
      <c r="K193" s="50" t="s">
        <v>1107</v>
      </c>
      <c r="L193" s="50" t="s">
        <v>653</v>
      </c>
      <c r="M193" s="6">
        <v>43079</v>
      </c>
      <c r="N193" s="6">
        <v>43100</v>
      </c>
      <c r="O193" s="61" t="s">
        <v>3459</v>
      </c>
      <c r="P193" s="59"/>
      <c r="Q193" s="167"/>
      <c r="R193" s="238" t="s">
        <v>3458</v>
      </c>
      <c r="S193" s="331" t="s">
        <v>1176</v>
      </c>
      <c r="T193" s="922" t="s">
        <v>681</v>
      </c>
      <c r="U193" s="148"/>
      <c r="V193" s="148"/>
    </row>
    <row r="194" spans="1:22" ht="20.100000000000001" customHeight="1">
      <c r="A194" s="1225" t="s">
        <v>4364</v>
      </c>
      <c r="B194" s="1225" t="s">
        <v>4356</v>
      </c>
      <c r="C194" s="1225" t="s">
        <v>4379</v>
      </c>
      <c r="D194" s="246">
        <v>1100</v>
      </c>
      <c r="E194" s="246">
        <v>2000</v>
      </c>
      <c r="F194" s="246">
        <v>2000</v>
      </c>
      <c r="G194" s="218" t="s">
        <v>51</v>
      </c>
      <c r="H194" s="36" t="s">
        <v>1102</v>
      </c>
      <c r="I194" s="50" t="s">
        <v>17</v>
      </c>
      <c r="J194" s="50"/>
      <c r="K194" s="50" t="s">
        <v>1107</v>
      </c>
      <c r="L194" s="50" t="s">
        <v>653</v>
      </c>
      <c r="M194" s="108">
        <v>43066</v>
      </c>
      <c r="N194" s="108">
        <v>43100</v>
      </c>
      <c r="O194" s="61"/>
      <c r="P194" s="59"/>
      <c r="Q194" s="167"/>
      <c r="R194" s="238" t="s">
        <v>4387</v>
      </c>
      <c r="S194" s="331"/>
      <c r="T194" s="923"/>
      <c r="U194" s="148"/>
      <c r="V194" s="148"/>
    </row>
    <row r="195" spans="1:22" ht="20.100000000000001" customHeight="1">
      <c r="A195" s="1225" t="s">
        <v>4364</v>
      </c>
      <c r="B195" s="1225" t="s">
        <v>4356</v>
      </c>
      <c r="C195" s="1225" t="s">
        <v>4379</v>
      </c>
      <c r="D195" s="981" t="s">
        <v>2221</v>
      </c>
      <c r="E195" s="981" t="s">
        <v>4386</v>
      </c>
      <c r="F195" s="981" t="s">
        <v>4386</v>
      </c>
      <c r="G195" s="29" t="s">
        <v>18</v>
      </c>
      <c r="H195" s="36" t="s">
        <v>1102</v>
      </c>
      <c r="I195" s="50" t="s">
        <v>17</v>
      </c>
      <c r="J195" s="50"/>
      <c r="K195" s="50" t="s">
        <v>1107</v>
      </c>
      <c r="L195" s="50" t="s">
        <v>653</v>
      </c>
      <c r="M195" s="6">
        <v>43073</v>
      </c>
      <c r="N195" s="6">
        <v>43100</v>
      </c>
      <c r="O195" s="61"/>
      <c r="P195" s="59"/>
      <c r="Q195" s="167"/>
      <c r="R195" s="238" t="s">
        <v>4385</v>
      </c>
      <c r="S195" s="316" t="s">
        <v>1176</v>
      </c>
      <c r="T195" s="923"/>
      <c r="U195" s="148"/>
      <c r="V195" s="148"/>
    </row>
    <row r="196" spans="1:22" ht="20.100000000000001" customHeight="1">
      <c r="A196" s="1225" t="s">
        <v>4364</v>
      </c>
      <c r="B196" s="1225" t="s">
        <v>4356</v>
      </c>
      <c r="C196" s="1225" t="s">
        <v>4379</v>
      </c>
      <c r="D196" s="971" t="s">
        <v>4384</v>
      </c>
      <c r="E196" s="971" t="s">
        <v>4383</v>
      </c>
      <c r="F196" s="971" t="s">
        <v>4383</v>
      </c>
      <c r="G196" s="220" t="s">
        <v>1446</v>
      </c>
      <c r="H196" s="36" t="s">
        <v>1102</v>
      </c>
      <c r="I196" s="50" t="s">
        <v>17</v>
      </c>
      <c r="J196" s="50"/>
      <c r="K196" s="50" t="s">
        <v>1107</v>
      </c>
      <c r="L196" s="50" t="s">
        <v>653</v>
      </c>
      <c r="M196" s="6">
        <v>43070</v>
      </c>
      <c r="N196" s="6">
        <v>43100</v>
      </c>
      <c r="O196" s="59" t="s">
        <v>601</v>
      </c>
      <c r="P196" s="59"/>
      <c r="Q196" s="167"/>
      <c r="R196" s="135" t="s">
        <v>3323</v>
      </c>
      <c r="S196" s="316"/>
      <c r="T196" s="923"/>
      <c r="U196" s="148"/>
      <c r="V196" s="148"/>
    </row>
    <row r="197" spans="1:22" ht="20.100000000000001" customHeight="1">
      <c r="A197" s="1225" t="s">
        <v>4364</v>
      </c>
      <c r="B197" s="1225" t="s">
        <v>4356</v>
      </c>
      <c r="C197" s="1225" t="s">
        <v>4379</v>
      </c>
      <c r="D197" s="982" t="s">
        <v>4329</v>
      </c>
      <c r="E197" s="982" t="s">
        <v>4382</v>
      </c>
      <c r="F197" s="982" t="s">
        <v>4382</v>
      </c>
      <c r="G197" s="218" t="s">
        <v>5</v>
      </c>
      <c r="H197" s="194" t="s">
        <v>725</v>
      </c>
      <c r="I197" s="50" t="s">
        <v>17</v>
      </c>
      <c r="J197" s="50"/>
      <c r="K197" s="50" t="s">
        <v>764</v>
      </c>
      <c r="L197" s="50" t="s">
        <v>653</v>
      </c>
      <c r="M197" s="6">
        <v>43079</v>
      </c>
      <c r="N197" s="6">
        <v>43100</v>
      </c>
      <c r="O197" s="59" t="s">
        <v>4365</v>
      </c>
      <c r="P197" s="141"/>
      <c r="Q197" s="167"/>
      <c r="R197" s="238" t="s">
        <v>1694</v>
      </c>
      <c r="S197" s="331" t="s">
        <v>1176</v>
      </c>
      <c r="T197" s="922" t="s">
        <v>681</v>
      </c>
      <c r="U197" s="148"/>
      <c r="V197" s="148"/>
    </row>
    <row r="198" spans="1:22" ht="20.100000000000001" customHeight="1">
      <c r="A198" s="1225" t="s">
        <v>4364</v>
      </c>
      <c r="B198" s="1225" t="s">
        <v>4356</v>
      </c>
      <c r="C198" s="1225" t="s">
        <v>4379</v>
      </c>
      <c r="D198" s="982" t="s">
        <v>4329</v>
      </c>
      <c r="E198" s="982" t="s">
        <v>4382</v>
      </c>
      <c r="F198" s="982" t="s">
        <v>4382</v>
      </c>
      <c r="G198" s="218" t="s">
        <v>5</v>
      </c>
      <c r="H198" s="194" t="s">
        <v>725</v>
      </c>
      <c r="I198" s="50" t="s">
        <v>17</v>
      </c>
      <c r="J198" s="50"/>
      <c r="K198" s="50" t="s">
        <v>1107</v>
      </c>
      <c r="L198" s="50" t="s">
        <v>649</v>
      </c>
      <c r="M198" s="6">
        <v>43079</v>
      </c>
      <c r="N198" s="6">
        <v>43100</v>
      </c>
      <c r="O198" s="59" t="s">
        <v>4365</v>
      </c>
      <c r="P198" s="141"/>
      <c r="Q198" s="167"/>
      <c r="R198" s="238" t="s">
        <v>3467</v>
      </c>
      <c r="S198" s="331" t="s">
        <v>1176</v>
      </c>
      <c r="T198" s="922" t="s">
        <v>681</v>
      </c>
      <c r="U198" s="148"/>
      <c r="V198" s="148"/>
    </row>
    <row r="199" spans="1:22" ht="20.100000000000001" customHeight="1">
      <c r="A199" s="1225" t="s">
        <v>4364</v>
      </c>
      <c r="B199" s="1225" t="s">
        <v>4356</v>
      </c>
      <c r="C199" s="1225" t="s">
        <v>4379</v>
      </c>
      <c r="D199" s="983">
        <v>1150</v>
      </c>
      <c r="E199" s="983">
        <v>2100</v>
      </c>
      <c r="F199" s="983">
        <v>2100</v>
      </c>
      <c r="G199" s="63" t="s">
        <v>33</v>
      </c>
      <c r="H199" s="69">
        <v>4</v>
      </c>
      <c r="I199" s="37" t="s">
        <v>16</v>
      </c>
      <c r="J199" s="37"/>
      <c r="K199" s="37">
        <v>37</v>
      </c>
      <c r="L199" s="50" t="s">
        <v>653</v>
      </c>
      <c r="M199" s="6">
        <v>43083</v>
      </c>
      <c r="N199" s="6">
        <v>43090</v>
      </c>
      <c r="O199" s="59" t="s">
        <v>601</v>
      </c>
      <c r="P199" s="61"/>
      <c r="Q199" s="167"/>
      <c r="R199" s="238" t="s">
        <v>168</v>
      </c>
      <c r="S199" s="331" t="s">
        <v>3307</v>
      </c>
      <c r="T199" s="858"/>
      <c r="U199" s="148"/>
      <c r="V199" s="148"/>
    </row>
    <row r="200" spans="1:22" ht="20.100000000000001" customHeight="1">
      <c r="A200" s="1225" t="s">
        <v>4364</v>
      </c>
      <c r="B200" s="1225" t="s">
        <v>4356</v>
      </c>
      <c r="C200" s="1225" t="s">
        <v>4379</v>
      </c>
      <c r="D200" s="970">
        <v>1125</v>
      </c>
      <c r="E200" s="950">
        <v>2050</v>
      </c>
      <c r="F200" s="950">
        <v>2050</v>
      </c>
      <c r="G200" s="63" t="s">
        <v>30</v>
      </c>
      <c r="H200" s="69">
        <v>4</v>
      </c>
      <c r="I200" s="50" t="s">
        <v>16</v>
      </c>
      <c r="J200" s="50"/>
      <c r="K200" s="50">
        <v>37</v>
      </c>
      <c r="L200" s="50" t="s">
        <v>653</v>
      </c>
      <c r="M200" s="6">
        <v>43076</v>
      </c>
      <c r="N200" s="6">
        <v>43083</v>
      </c>
      <c r="O200" s="141" t="s">
        <v>4381</v>
      </c>
      <c r="P200" s="141"/>
      <c r="Q200" s="167"/>
      <c r="R200" s="238" t="s">
        <v>4380</v>
      </c>
      <c r="S200" s="315" t="s">
        <v>3307</v>
      </c>
      <c r="T200" s="858"/>
      <c r="U200" s="148"/>
      <c r="V200" s="148"/>
    </row>
    <row r="201" spans="1:22" ht="20.100000000000001" customHeight="1">
      <c r="A201" s="1225" t="s">
        <v>4364</v>
      </c>
      <c r="B201" s="1225" t="s">
        <v>4356</v>
      </c>
      <c r="C201" s="1225" t="s">
        <v>4379</v>
      </c>
      <c r="D201" s="246">
        <v>1175</v>
      </c>
      <c r="E201" s="246">
        <v>2250</v>
      </c>
      <c r="F201" s="246">
        <v>2250</v>
      </c>
      <c r="G201" s="218" t="s">
        <v>22</v>
      </c>
      <c r="H201" s="69">
        <v>4</v>
      </c>
      <c r="I201" s="50" t="s">
        <v>16</v>
      </c>
      <c r="J201" s="50"/>
      <c r="K201" s="50">
        <v>37</v>
      </c>
      <c r="L201" s="50" t="s">
        <v>653</v>
      </c>
      <c r="M201" s="108">
        <v>43062</v>
      </c>
      <c r="N201" s="108">
        <v>43100</v>
      </c>
      <c r="O201" s="59" t="s">
        <v>2545</v>
      </c>
      <c r="P201" s="59"/>
      <c r="Q201" s="167"/>
      <c r="R201" s="238" t="s">
        <v>1389</v>
      </c>
      <c r="S201" s="316" t="s">
        <v>3430</v>
      </c>
      <c r="T201" s="859"/>
      <c r="U201" s="148"/>
      <c r="V201" s="148"/>
    </row>
    <row r="202" spans="1:22" ht="20.100000000000001" customHeight="1">
      <c r="A202" s="1225" t="s">
        <v>4364</v>
      </c>
      <c r="B202" s="1225" t="s">
        <v>4356</v>
      </c>
      <c r="C202" s="1225" t="s">
        <v>4379</v>
      </c>
      <c r="D202" s="980" t="s">
        <v>5311</v>
      </c>
      <c r="E202" s="980" t="s">
        <v>4187</v>
      </c>
      <c r="F202" s="980" t="s">
        <v>4187</v>
      </c>
      <c r="G202" s="29" t="s">
        <v>31</v>
      </c>
      <c r="H202" s="36" t="s">
        <v>1102</v>
      </c>
      <c r="I202" s="37" t="s">
        <v>3462</v>
      </c>
      <c r="J202" s="50"/>
      <c r="K202" s="50" t="s">
        <v>775</v>
      </c>
      <c r="L202" s="50" t="s">
        <v>653</v>
      </c>
      <c r="M202" s="6">
        <v>43080</v>
      </c>
      <c r="N202" s="6">
        <v>43100</v>
      </c>
      <c r="O202" s="144"/>
      <c r="P202" s="144"/>
      <c r="Q202" s="147"/>
      <c r="R202" s="238" t="s">
        <v>3461</v>
      </c>
      <c r="S202" s="332" t="s">
        <v>1521</v>
      </c>
      <c r="T202" s="858"/>
      <c r="U202" s="148"/>
      <c r="V202" s="148"/>
    </row>
    <row r="203" spans="1:22" ht="20.100000000000001" customHeight="1">
      <c r="A203" s="1225" t="s">
        <v>4364</v>
      </c>
      <c r="B203" s="1225" t="s">
        <v>4356</v>
      </c>
      <c r="C203" s="1225" t="s">
        <v>4378</v>
      </c>
      <c r="D203" s="246">
        <v>1250</v>
      </c>
      <c r="E203" s="246">
        <v>2400</v>
      </c>
      <c r="F203" s="246">
        <v>2400</v>
      </c>
      <c r="G203" s="224" t="s">
        <v>1689</v>
      </c>
      <c r="H203" s="36" t="s">
        <v>659</v>
      </c>
      <c r="I203" s="50" t="s">
        <v>17</v>
      </c>
      <c r="J203" s="50" t="s">
        <v>4376</v>
      </c>
      <c r="K203" s="50" t="s">
        <v>1107</v>
      </c>
      <c r="L203" s="50" t="s">
        <v>653</v>
      </c>
      <c r="M203" s="50"/>
      <c r="N203" s="6">
        <v>42978</v>
      </c>
      <c r="O203" s="59" t="s">
        <v>1771</v>
      </c>
      <c r="P203" s="59"/>
      <c r="Q203" s="171"/>
      <c r="R203" s="238" t="s">
        <v>4367</v>
      </c>
      <c r="S203" s="316" t="s">
        <v>4366</v>
      </c>
      <c r="T203" s="857"/>
      <c r="U203" s="148"/>
      <c r="V203" s="148"/>
    </row>
    <row r="204" spans="1:22" ht="20.100000000000001" customHeight="1">
      <c r="A204" s="1225" t="s">
        <v>4364</v>
      </c>
      <c r="B204" s="1225" t="s">
        <v>4356</v>
      </c>
      <c r="C204" s="1225" t="s">
        <v>4378</v>
      </c>
      <c r="D204" s="982" t="s">
        <v>3320</v>
      </c>
      <c r="E204" s="982" t="s">
        <v>1634</v>
      </c>
      <c r="F204" s="982" t="s">
        <v>1634</v>
      </c>
      <c r="G204" s="218" t="s">
        <v>5</v>
      </c>
      <c r="H204" s="55" t="s">
        <v>659</v>
      </c>
      <c r="I204" s="50" t="s">
        <v>17</v>
      </c>
      <c r="J204" s="50" t="s">
        <v>4376</v>
      </c>
      <c r="K204" s="50" t="s">
        <v>1107</v>
      </c>
      <c r="L204" s="50" t="s">
        <v>653</v>
      </c>
      <c r="M204" s="6">
        <v>43059</v>
      </c>
      <c r="N204" s="6">
        <v>43100</v>
      </c>
      <c r="O204" s="59" t="s">
        <v>4365</v>
      </c>
      <c r="P204" s="141"/>
      <c r="Q204" s="171"/>
      <c r="R204" s="238" t="s">
        <v>3457</v>
      </c>
      <c r="S204" s="331" t="s">
        <v>1176</v>
      </c>
      <c r="T204" s="863" t="s">
        <v>681</v>
      </c>
      <c r="U204" s="148"/>
      <c r="V204" s="148"/>
    </row>
    <row r="205" spans="1:22" ht="20.100000000000001" customHeight="1">
      <c r="A205" s="1225" t="s">
        <v>4364</v>
      </c>
      <c r="B205" s="1225" t="s">
        <v>4356</v>
      </c>
      <c r="C205" s="1225" t="s">
        <v>4378</v>
      </c>
      <c r="D205" s="981" t="s">
        <v>3320</v>
      </c>
      <c r="E205" s="981" t="s">
        <v>3475</v>
      </c>
      <c r="F205" s="981" t="s">
        <v>3475</v>
      </c>
      <c r="G205" s="29" t="s">
        <v>18</v>
      </c>
      <c r="H205" s="36" t="s">
        <v>659</v>
      </c>
      <c r="I205" s="50" t="s">
        <v>17</v>
      </c>
      <c r="J205" s="50" t="s">
        <v>4376</v>
      </c>
      <c r="K205" s="50" t="s">
        <v>1107</v>
      </c>
      <c r="L205" s="50" t="s">
        <v>653</v>
      </c>
      <c r="M205" s="6">
        <v>43073</v>
      </c>
      <c r="N205" s="6">
        <v>43100</v>
      </c>
      <c r="O205" s="61"/>
      <c r="P205" s="141"/>
      <c r="Q205" s="171"/>
      <c r="R205" s="238" t="s">
        <v>3460</v>
      </c>
      <c r="S205" s="316"/>
      <c r="T205" s="857"/>
      <c r="U205" s="148"/>
      <c r="V205" s="148"/>
    </row>
    <row r="206" spans="1:22" ht="20.100000000000001" customHeight="1">
      <c r="A206" s="1225" t="s">
        <v>4364</v>
      </c>
      <c r="B206" s="1225" t="s">
        <v>4356</v>
      </c>
      <c r="C206" s="1225" t="s">
        <v>4378</v>
      </c>
      <c r="D206" s="952">
        <f>D186+250</f>
        <v>1450</v>
      </c>
      <c r="E206" s="952">
        <f>E186+500</f>
        <v>2800</v>
      </c>
      <c r="F206" s="952">
        <f>F186+500</f>
        <v>2800</v>
      </c>
      <c r="G206" s="217" t="s">
        <v>19</v>
      </c>
      <c r="H206" s="69">
        <v>4</v>
      </c>
      <c r="I206" s="37" t="s">
        <v>3456</v>
      </c>
      <c r="J206" s="37"/>
      <c r="K206" s="37">
        <v>33</v>
      </c>
      <c r="L206" s="50" t="s">
        <v>653</v>
      </c>
      <c r="M206" s="6">
        <v>43056</v>
      </c>
      <c r="N206" s="6">
        <v>43083</v>
      </c>
      <c r="O206" s="59" t="s">
        <v>611</v>
      </c>
      <c r="P206" s="61"/>
      <c r="Q206" s="167"/>
      <c r="R206" s="238" t="s">
        <v>3470</v>
      </c>
      <c r="S206" s="315" t="s">
        <v>3469</v>
      </c>
      <c r="T206" s="859"/>
      <c r="U206" s="148"/>
      <c r="V206" s="148"/>
    </row>
    <row r="207" spans="1:22" ht="20.100000000000001" customHeight="1">
      <c r="A207" s="1225" t="s">
        <v>4364</v>
      </c>
      <c r="B207" s="1225" t="s">
        <v>4356</v>
      </c>
      <c r="C207" s="1225" t="s">
        <v>4378</v>
      </c>
      <c r="D207" s="980" t="s">
        <v>5311</v>
      </c>
      <c r="E207" s="980" t="s">
        <v>4187</v>
      </c>
      <c r="F207" s="980" t="s">
        <v>4187</v>
      </c>
      <c r="G207" s="109" t="s">
        <v>31</v>
      </c>
      <c r="H207" s="36" t="s">
        <v>1102</v>
      </c>
      <c r="I207" s="50" t="s">
        <v>17</v>
      </c>
      <c r="J207" s="37" t="s">
        <v>4376</v>
      </c>
      <c r="K207" s="37">
        <v>30</v>
      </c>
      <c r="L207" s="50" t="s">
        <v>653</v>
      </c>
      <c r="M207" s="6">
        <v>43080</v>
      </c>
      <c r="N207" s="6">
        <v>43100</v>
      </c>
      <c r="O207" s="141"/>
      <c r="P207" s="141"/>
      <c r="Q207" s="147"/>
      <c r="R207" s="238" t="s">
        <v>3461</v>
      </c>
      <c r="S207" s="332" t="s">
        <v>4375</v>
      </c>
      <c r="T207" s="921"/>
      <c r="U207" s="148"/>
      <c r="V207" s="148"/>
    </row>
    <row r="208" spans="1:22" ht="20.100000000000001" customHeight="1">
      <c r="A208" s="1237" t="s">
        <v>4358</v>
      </c>
      <c r="B208" s="1225" t="s">
        <v>4356</v>
      </c>
      <c r="C208" s="1225" t="s">
        <v>4374</v>
      </c>
      <c r="D208" s="246">
        <f>D181+4151/11</f>
        <v>1627.3636363636365</v>
      </c>
      <c r="E208" s="246">
        <f>E181+7278/11</f>
        <v>3061.6363636363635</v>
      </c>
      <c r="F208" s="246">
        <f>F181+7278/11</f>
        <v>3061.6363636363635</v>
      </c>
      <c r="G208" s="225" t="s">
        <v>1689</v>
      </c>
      <c r="H208" s="36" t="s">
        <v>659</v>
      </c>
      <c r="I208" s="37" t="s">
        <v>3456</v>
      </c>
      <c r="J208" s="37"/>
      <c r="K208" s="37">
        <v>27</v>
      </c>
      <c r="L208" s="50" t="s">
        <v>653</v>
      </c>
      <c r="M208" s="50"/>
      <c r="N208" s="6">
        <v>42978</v>
      </c>
      <c r="O208" s="59" t="s">
        <v>1771</v>
      </c>
      <c r="P208" s="61" t="s">
        <v>4368</v>
      </c>
      <c r="Q208" s="61" t="s">
        <v>4362</v>
      </c>
      <c r="R208" s="238" t="s">
        <v>4367</v>
      </c>
      <c r="S208" s="316" t="s">
        <v>4366</v>
      </c>
      <c r="T208" s="921"/>
      <c r="U208" s="148"/>
      <c r="V208" s="148"/>
    </row>
    <row r="209" spans="1:22" ht="20.100000000000001" customHeight="1">
      <c r="A209" s="1225" t="s">
        <v>4364</v>
      </c>
      <c r="B209" s="1225" t="s">
        <v>4356</v>
      </c>
      <c r="C209" s="1225" t="s">
        <v>4374</v>
      </c>
      <c r="D209" s="246">
        <f>D182+3850/11</f>
        <v>1550</v>
      </c>
      <c r="E209" s="246">
        <f>E182+6400/11</f>
        <v>2731.818181818182</v>
      </c>
      <c r="F209" s="246">
        <f>F182+6400/11</f>
        <v>2731.818181818182</v>
      </c>
      <c r="G209" s="222" t="s">
        <v>5</v>
      </c>
      <c r="H209" s="36" t="s">
        <v>659</v>
      </c>
      <c r="I209" s="37" t="s">
        <v>3456</v>
      </c>
      <c r="J209" s="37"/>
      <c r="K209" s="37">
        <v>27</v>
      </c>
      <c r="L209" s="50" t="s">
        <v>653</v>
      </c>
      <c r="M209" s="6">
        <v>43059</v>
      </c>
      <c r="N209" s="6">
        <v>43100</v>
      </c>
      <c r="O209" s="59" t="s">
        <v>4365</v>
      </c>
      <c r="P209" s="141"/>
      <c r="Q209" s="61" t="s">
        <v>4362</v>
      </c>
      <c r="R209" s="240" t="s">
        <v>3457</v>
      </c>
      <c r="S209" s="331" t="s">
        <v>1176</v>
      </c>
      <c r="T209" s="922"/>
      <c r="U209" s="148"/>
      <c r="V209" s="148"/>
    </row>
    <row r="210" spans="1:22" ht="20.100000000000001" customHeight="1">
      <c r="A210" s="1225" t="s">
        <v>4364</v>
      </c>
      <c r="B210" s="1225" t="s">
        <v>4356</v>
      </c>
      <c r="C210" s="1225" t="s">
        <v>4374</v>
      </c>
      <c r="D210" s="246">
        <f>D202+502</f>
        <v>1802</v>
      </c>
      <c r="E210" s="246">
        <f>E190+918</f>
        <v>3318</v>
      </c>
      <c r="F210" s="246">
        <f>F190+1018</f>
        <v>3418</v>
      </c>
      <c r="G210" s="110" t="s">
        <v>31</v>
      </c>
      <c r="H210" s="36" t="s">
        <v>1102</v>
      </c>
      <c r="I210" s="37" t="s">
        <v>3456</v>
      </c>
      <c r="J210" s="37"/>
      <c r="K210" s="37">
        <v>27</v>
      </c>
      <c r="L210" s="50" t="s">
        <v>653</v>
      </c>
      <c r="M210" s="6">
        <v>43080</v>
      </c>
      <c r="N210" s="6">
        <v>43100</v>
      </c>
      <c r="O210" s="61"/>
      <c r="P210" s="61"/>
      <c r="Q210" s="59" t="s">
        <v>4362</v>
      </c>
      <c r="R210" s="238" t="s">
        <v>3461</v>
      </c>
      <c r="S210" s="332" t="s">
        <v>1521</v>
      </c>
      <c r="T210" s="921"/>
      <c r="U210" s="148"/>
      <c r="V210" s="148"/>
    </row>
    <row r="211" spans="1:22" ht="20.100000000000001" customHeight="1">
      <c r="A211" s="1225" t="s">
        <v>4364</v>
      </c>
      <c r="B211" s="1225" t="s">
        <v>4356</v>
      </c>
      <c r="C211" s="1225" t="s">
        <v>4374</v>
      </c>
      <c r="D211" s="950">
        <f>D184+275+35</f>
        <v>1510</v>
      </c>
      <c r="E211" s="950">
        <f>E184+460+50</f>
        <v>2710</v>
      </c>
      <c r="F211" s="950">
        <f>F184+460+50</f>
        <v>2710</v>
      </c>
      <c r="G211" s="222" t="s">
        <v>51</v>
      </c>
      <c r="H211" s="69">
        <v>4</v>
      </c>
      <c r="I211" s="37" t="s">
        <v>3456</v>
      </c>
      <c r="J211" s="37"/>
      <c r="K211" s="37">
        <v>28</v>
      </c>
      <c r="L211" s="50" t="s">
        <v>653</v>
      </c>
      <c r="M211" s="108">
        <v>43066</v>
      </c>
      <c r="N211" s="108">
        <v>43100</v>
      </c>
      <c r="O211" s="61"/>
      <c r="P211" s="60"/>
      <c r="Q211" s="61" t="s">
        <v>4362</v>
      </c>
      <c r="R211" s="238" t="s">
        <v>3455</v>
      </c>
      <c r="S211" s="333"/>
      <c r="T211" s="921"/>
      <c r="U211" s="148"/>
      <c r="V211" s="148"/>
    </row>
    <row r="212" spans="1:22" ht="20.100000000000001" customHeight="1">
      <c r="A212" s="1225" t="s">
        <v>4364</v>
      </c>
      <c r="B212" s="1225" t="s">
        <v>4356</v>
      </c>
      <c r="C212" s="1225" t="s">
        <v>4374</v>
      </c>
      <c r="D212" s="246">
        <f>D188+3839/11</f>
        <v>1524</v>
      </c>
      <c r="E212" s="246">
        <f>E188+6502/11</f>
        <v>2841.090909090909</v>
      </c>
      <c r="F212" s="246">
        <f>F188+6502/11</f>
        <v>2841.090909090909</v>
      </c>
      <c r="G212" s="222" t="s">
        <v>22</v>
      </c>
      <c r="H212" s="69">
        <v>4</v>
      </c>
      <c r="I212" s="50" t="s">
        <v>3456</v>
      </c>
      <c r="J212" s="50"/>
      <c r="K212" s="50">
        <v>25</v>
      </c>
      <c r="L212" s="50" t="s">
        <v>653</v>
      </c>
      <c r="M212" s="108">
        <v>43062</v>
      </c>
      <c r="N212" s="108">
        <v>43100</v>
      </c>
      <c r="O212" s="59" t="s">
        <v>2545</v>
      </c>
      <c r="P212" s="59"/>
      <c r="Q212" s="59" t="s">
        <v>4362</v>
      </c>
      <c r="R212" s="238" t="s">
        <v>1389</v>
      </c>
      <c r="S212" s="316" t="s">
        <v>3430</v>
      </c>
      <c r="T212" s="921"/>
      <c r="U212" s="148"/>
      <c r="V212" s="148"/>
    </row>
    <row r="213" spans="1:22" ht="20.100000000000001" customHeight="1">
      <c r="A213" s="1225" t="s">
        <v>4364</v>
      </c>
      <c r="B213" s="1225" t="s">
        <v>4356</v>
      </c>
      <c r="C213" s="1225" t="s">
        <v>4374</v>
      </c>
      <c r="D213" s="950">
        <f>D189+356+25</f>
        <v>1556</v>
      </c>
      <c r="E213" s="950">
        <f>E189+634+50</f>
        <v>2934</v>
      </c>
      <c r="F213" s="950">
        <f>F189+634+50</f>
        <v>2934</v>
      </c>
      <c r="G213" s="149" t="s">
        <v>4</v>
      </c>
      <c r="H213" s="69">
        <v>4</v>
      </c>
      <c r="I213" s="37" t="s">
        <v>3456</v>
      </c>
      <c r="J213" s="37"/>
      <c r="K213" s="37">
        <v>30</v>
      </c>
      <c r="L213" s="50" t="s">
        <v>653</v>
      </c>
      <c r="M213" s="108">
        <v>43083</v>
      </c>
      <c r="N213" s="108">
        <v>43100</v>
      </c>
      <c r="O213" s="59" t="s">
        <v>1771</v>
      </c>
      <c r="P213" s="61"/>
      <c r="Q213" s="61" t="s">
        <v>4362</v>
      </c>
      <c r="R213" s="238" t="s">
        <v>168</v>
      </c>
      <c r="S213" s="319" t="s">
        <v>1176</v>
      </c>
      <c r="T213" s="921"/>
      <c r="U213" s="148"/>
      <c r="V213" s="148"/>
    </row>
    <row r="214" spans="1:22" ht="20.100000000000001" customHeight="1">
      <c r="A214" s="1225" t="s">
        <v>4364</v>
      </c>
      <c r="B214" s="1225" t="s">
        <v>4356</v>
      </c>
      <c r="C214" s="1225" t="s">
        <v>4374</v>
      </c>
      <c r="D214" s="246">
        <f>D185+4000/11</f>
        <v>1513.6363636363635</v>
      </c>
      <c r="E214" s="246">
        <f>E185+6800/11</f>
        <v>2718.181818181818</v>
      </c>
      <c r="F214" s="246">
        <f>F185+6800/11</f>
        <v>2718.181818181818</v>
      </c>
      <c r="G214" s="253" t="s">
        <v>33</v>
      </c>
      <c r="H214" s="69">
        <v>4</v>
      </c>
      <c r="I214" s="37" t="s">
        <v>3456</v>
      </c>
      <c r="J214" s="37"/>
      <c r="K214" s="37">
        <v>28</v>
      </c>
      <c r="L214" s="50" t="s">
        <v>653</v>
      </c>
      <c r="M214" s="6">
        <v>43083</v>
      </c>
      <c r="N214" s="6">
        <v>43090</v>
      </c>
      <c r="O214" s="59" t="s">
        <v>601</v>
      </c>
      <c r="P214" s="61"/>
      <c r="Q214" s="61" t="s">
        <v>4362</v>
      </c>
      <c r="R214" s="238" t="s">
        <v>168</v>
      </c>
      <c r="S214" s="331" t="s">
        <v>3307</v>
      </c>
      <c r="T214" s="921"/>
      <c r="U214" s="148"/>
      <c r="V214" s="148"/>
    </row>
    <row r="215" spans="1:22" ht="20.100000000000001" customHeight="1">
      <c r="A215" s="1128" t="s">
        <v>4364</v>
      </c>
      <c r="B215" s="1128" t="s">
        <v>4356</v>
      </c>
      <c r="C215" s="1128" t="s">
        <v>4372</v>
      </c>
      <c r="D215" s="952">
        <v>1800</v>
      </c>
      <c r="E215" s="952">
        <v>2950</v>
      </c>
      <c r="F215" s="952">
        <v>2950</v>
      </c>
      <c r="G215" s="109" t="s">
        <v>31</v>
      </c>
      <c r="H215" s="36" t="s">
        <v>1102</v>
      </c>
      <c r="I215" s="37" t="s">
        <v>3462</v>
      </c>
      <c r="J215" s="37"/>
      <c r="K215" s="37">
        <v>34</v>
      </c>
      <c r="L215" s="50" t="s">
        <v>653</v>
      </c>
      <c r="M215" s="6">
        <v>43080</v>
      </c>
      <c r="N215" s="6">
        <v>43100</v>
      </c>
      <c r="O215" s="31"/>
      <c r="P215" s="31" t="s">
        <v>4373</v>
      </c>
      <c r="Q215" s="147"/>
      <c r="R215" s="238" t="s">
        <v>3461</v>
      </c>
      <c r="S215" s="332" t="s">
        <v>1521</v>
      </c>
      <c r="T215" s="921"/>
      <c r="U215" s="148"/>
      <c r="V215" s="148"/>
    </row>
    <row r="216" spans="1:22" ht="20.100000000000001" customHeight="1">
      <c r="A216" s="1128" t="s">
        <v>4364</v>
      </c>
      <c r="B216" s="1128" t="s">
        <v>4356</v>
      </c>
      <c r="C216" s="1128" t="s">
        <v>4372</v>
      </c>
      <c r="D216" s="971" t="s">
        <v>4116</v>
      </c>
      <c r="E216" s="971" t="s">
        <v>4371</v>
      </c>
      <c r="F216" s="971" t="s">
        <v>4371</v>
      </c>
      <c r="G216" s="29" t="s">
        <v>18</v>
      </c>
      <c r="H216" s="36" t="s">
        <v>659</v>
      </c>
      <c r="I216" s="37" t="s">
        <v>4370</v>
      </c>
      <c r="J216" s="37"/>
      <c r="K216" s="37">
        <v>39</v>
      </c>
      <c r="L216" s="50" t="s">
        <v>653</v>
      </c>
      <c r="M216" s="6">
        <v>43073</v>
      </c>
      <c r="N216" s="6">
        <v>43100</v>
      </c>
      <c r="O216" s="252"/>
      <c r="P216" s="252"/>
      <c r="Q216" s="171"/>
      <c r="R216" s="238" t="s">
        <v>3460</v>
      </c>
      <c r="S216" s="316"/>
      <c r="T216" s="921"/>
      <c r="U216" s="148"/>
      <c r="V216" s="148"/>
    </row>
    <row r="217" spans="1:22" ht="20.100000000000001" customHeight="1">
      <c r="A217" s="1128" t="s">
        <v>4364</v>
      </c>
      <c r="B217" s="1128" t="s">
        <v>4356</v>
      </c>
      <c r="C217" s="897" t="s">
        <v>4369</v>
      </c>
      <c r="D217" s="980"/>
      <c r="E217" s="980"/>
      <c r="F217" s="980"/>
      <c r="G217" s="29" t="s">
        <v>18</v>
      </c>
      <c r="H217" s="36" t="s">
        <v>659</v>
      </c>
      <c r="I217" s="37" t="s">
        <v>3456</v>
      </c>
      <c r="J217" s="37"/>
      <c r="K217" s="37">
        <v>27</v>
      </c>
      <c r="L217" s="50" t="s">
        <v>653</v>
      </c>
      <c r="M217" s="6">
        <v>43073</v>
      </c>
      <c r="N217" s="6">
        <v>43100</v>
      </c>
      <c r="O217" s="252"/>
      <c r="P217" s="252"/>
      <c r="Q217" s="72" t="s">
        <v>1024</v>
      </c>
      <c r="R217" s="238" t="s">
        <v>3460</v>
      </c>
      <c r="S217" s="316" t="s">
        <v>1176</v>
      </c>
      <c r="T217" s="921"/>
      <c r="U217" s="148"/>
      <c r="V217" s="148"/>
    </row>
    <row r="218" spans="1:22" ht="20.100000000000001" customHeight="1">
      <c r="A218" s="1128" t="s">
        <v>4364</v>
      </c>
      <c r="B218" s="1128" t="s">
        <v>4356</v>
      </c>
      <c r="C218" s="1128" t="s">
        <v>4363</v>
      </c>
      <c r="D218" s="246">
        <f>D181+4151/11</f>
        <v>1627.3636363636365</v>
      </c>
      <c r="E218" s="246">
        <f>E181+7278/11</f>
        <v>3061.6363636363635</v>
      </c>
      <c r="F218" s="246">
        <f>F181+7278/11</f>
        <v>3061.6363636363635</v>
      </c>
      <c r="G218" s="225" t="s">
        <v>1689</v>
      </c>
      <c r="H218" s="36" t="s">
        <v>659</v>
      </c>
      <c r="I218" s="37" t="s">
        <v>3456</v>
      </c>
      <c r="J218" s="37"/>
      <c r="K218" s="37">
        <v>27</v>
      </c>
      <c r="L218" s="50" t="s">
        <v>653</v>
      </c>
      <c r="M218" s="50"/>
      <c r="N218" s="6">
        <v>42978</v>
      </c>
      <c r="O218" s="59" t="s">
        <v>1771</v>
      </c>
      <c r="P218" s="61" t="s">
        <v>4368</v>
      </c>
      <c r="Q218" s="61" t="s">
        <v>4362</v>
      </c>
      <c r="R218" s="238" t="s">
        <v>4367</v>
      </c>
      <c r="S218" s="316" t="s">
        <v>4366</v>
      </c>
      <c r="T218" s="921"/>
      <c r="U218" s="148"/>
      <c r="V218" s="148"/>
    </row>
    <row r="219" spans="1:22" ht="20.100000000000001" customHeight="1">
      <c r="A219" s="1128" t="s">
        <v>4364</v>
      </c>
      <c r="B219" s="1128" t="s">
        <v>4356</v>
      </c>
      <c r="C219" s="1128" t="s">
        <v>4363</v>
      </c>
      <c r="D219" s="246">
        <f>D182+3850/11</f>
        <v>1550</v>
      </c>
      <c r="E219" s="246">
        <f>E182+6400/11</f>
        <v>2731.818181818182</v>
      </c>
      <c r="F219" s="246">
        <f>F182+6400/11</f>
        <v>2731.818181818182</v>
      </c>
      <c r="G219" s="222" t="s">
        <v>5</v>
      </c>
      <c r="H219" s="69" t="s">
        <v>659</v>
      </c>
      <c r="I219" s="37" t="s">
        <v>3456</v>
      </c>
      <c r="J219" s="37"/>
      <c r="K219" s="37">
        <v>27</v>
      </c>
      <c r="L219" s="50" t="s">
        <v>653</v>
      </c>
      <c r="M219" s="6">
        <v>43059</v>
      </c>
      <c r="N219" s="6">
        <v>43100</v>
      </c>
      <c r="O219" s="59" t="s">
        <v>4365</v>
      </c>
      <c r="P219" s="141"/>
      <c r="Q219" s="61" t="s">
        <v>4362</v>
      </c>
      <c r="R219" s="240" t="s">
        <v>3457</v>
      </c>
      <c r="S219" s="331" t="s">
        <v>1176</v>
      </c>
      <c r="T219" s="922"/>
      <c r="U219" s="148"/>
      <c r="V219" s="148"/>
    </row>
    <row r="220" spans="1:22" ht="20.100000000000001" customHeight="1">
      <c r="A220" s="1128" t="s">
        <v>4364</v>
      </c>
      <c r="B220" s="1128" t="s">
        <v>4356</v>
      </c>
      <c r="C220" s="1128" t="s">
        <v>4363</v>
      </c>
      <c r="D220" s="246">
        <f>D188+3839/11</f>
        <v>1524</v>
      </c>
      <c r="E220" s="246">
        <f>E188+6502/11</f>
        <v>2841.090909090909</v>
      </c>
      <c r="F220" s="246">
        <f>F188+6502/11</f>
        <v>2841.090909090909</v>
      </c>
      <c r="G220" s="222" t="s">
        <v>22</v>
      </c>
      <c r="H220" s="69">
        <v>4</v>
      </c>
      <c r="I220" s="50" t="s">
        <v>3456</v>
      </c>
      <c r="J220" s="50"/>
      <c r="K220" s="50">
        <v>25</v>
      </c>
      <c r="L220" s="50" t="s">
        <v>653</v>
      </c>
      <c r="M220" s="108">
        <v>43062</v>
      </c>
      <c r="N220" s="108">
        <v>43100</v>
      </c>
      <c r="O220" s="59" t="s">
        <v>2545</v>
      </c>
      <c r="P220" s="59"/>
      <c r="Q220" s="59" t="s">
        <v>4362</v>
      </c>
      <c r="R220" s="238" t="s">
        <v>1389</v>
      </c>
      <c r="S220" s="316" t="s">
        <v>3430</v>
      </c>
      <c r="T220" s="921"/>
      <c r="U220" s="148"/>
      <c r="V220" s="148"/>
    </row>
    <row r="221" spans="1:22" ht="20.100000000000001" customHeight="1">
      <c r="A221" s="1128" t="s">
        <v>4364</v>
      </c>
      <c r="B221" s="1128" t="s">
        <v>4356</v>
      </c>
      <c r="C221" s="1128" t="s">
        <v>4363</v>
      </c>
      <c r="D221" s="246">
        <f>D189+356+25</f>
        <v>1556</v>
      </c>
      <c r="E221" s="246">
        <f>E189+634+50</f>
        <v>2934</v>
      </c>
      <c r="F221" s="246">
        <f>F189+634+50</f>
        <v>2934</v>
      </c>
      <c r="G221" s="254" t="s">
        <v>4</v>
      </c>
      <c r="H221" s="69">
        <v>4</v>
      </c>
      <c r="I221" s="50" t="s">
        <v>3456</v>
      </c>
      <c r="J221" s="50"/>
      <c r="K221" s="50">
        <v>30</v>
      </c>
      <c r="L221" s="50" t="s">
        <v>653</v>
      </c>
      <c r="M221" s="108">
        <v>43083</v>
      </c>
      <c r="N221" s="108">
        <v>43100</v>
      </c>
      <c r="O221" s="59" t="s">
        <v>1771</v>
      </c>
      <c r="P221" s="59"/>
      <c r="Q221" s="61" t="s">
        <v>4362</v>
      </c>
      <c r="R221" s="238" t="s">
        <v>168</v>
      </c>
      <c r="S221" s="319" t="s">
        <v>1176</v>
      </c>
      <c r="T221" s="921"/>
      <c r="U221" s="148"/>
      <c r="V221" s="148"/>
    </row>
    <row r="222" spans="1:22" ht="20.100000000000001" customHeight="1">
      <c r="A222" s="1128" t="s">
        <v>4364</v>
      </c>
      <c r="B222" s="1128" t="s">
        <v>4356</v>
      </c>
      <c r="C222" s="1128" t="s">
        <v>4363</v>
      </c>
      <c r="D222" s="246">
        <f>D184+260+25</f>
        <v>1485</v>
      </c>
      <c r="E222" s="246">
        <f>E184+430+50</f>
        <v>2680</v>
      </c>
      <c r="F222" s="246">
        <f>F184+430+50</f>
        <v>2680</v>
      </c>
      <c r="G222" s="217" t="s">
        <v>51</v>
      </c>
      <c r="H222" s="69">
        <v>4</v>
      </c>
      <c r="I222" s="37" t="s">
        <v>3456</v>
      </c>
      <c r="J222" s="37"/>
      <c r="K222" s="37">
        <v>28</v>
      </c>
      <c r="L222" s="50" t="s">
        <v>653</v>
      </c>
      <c r="M222" s="108">
        <v>43066</v>
      </c>
      <c r="N222" s="108">
        <v>43100</v>
      </c>
      <c r="O222" s="252"/>
      <c r="P222" s="60"/>
      <c r="Q222" s="61" t="s">
        <v>4362</v>
      </c>
      <c r="R222" s="238" t="s">
        <v>3455</v>
      </c>
      <c r="S222" s="333"/>
      <c r="T222" s="921"/>
      <c r="U222" s="148"/>
      <c r="V222" s="148"/>
    </row>
    <row r="223" spans="1:22" ht="20.100000000000001" customHeight="1">
      <c r="A223" s="1128" t="s">
        <v>4364</v>
      </c>
      <c r="B223" s="1128" t="s">
        <v>4356</v>
      </c>
      <c r="C223" s="1128" t="s">
        <v>4363</v>
      </c>
      <c r="D223" s="246">
        <f>D190+502</f>
        <v>1802</v>
      </c>
      <c r="E223" s="246">
        <f>E190+906</f>
        <v>3306</v>
      </c>
      <c r="F223" s="246">
        <f>F190+1006</f>
        <v>3406</v>
      </c>
      <c r="G223" s="110" t="s">
        <v>31</v>
      </c>
      <c r="H223" s="36" t="s">
        <v>1102</v>
      </c>
      <c r="I223" s="37" t="s">
        <v>3456</v>
      </c>
      <c r="J223" s="37"/>
      <c r="K223" s="37">
        <v>27</v>
      </c>
      <c r="L223" s="50" t="s">
        <v>653</v>
      </c>
      <c r="M223" s="6">
        <v>43080</v>
      </c>
      <c r="N223" s="6">
        <v>43100</v>
      </c>
      <c r="O223" s="904"/>
      <c r="P223" s="904"/>
      <c r="Q223" s="59" t="s">
        <v>4362</v>
      </c>
      <c r="R223" s="238" t="s">
        <v>3461</v>
      </c>
      <c r="S223" s="332" t="s">
        <v>1521</v>
      </c>
      <c r="T223" s="921"/>
      <c r="U223" s="148"/>
      <c r="V223" s="148"/>
    </row>
    <row r="224" spans="1:22" ht="20.100000000000001" customHeight="1">
      <c r="A224" s="924" t="s">
        <v>4361</v>
      </c>
      <c r="B224" s="914" t="s">
        <v>1489</v>
      </c>
      <c r="C224" s="914" t="s">
        <v>4360</v>
      </c>
      <c r="D224" s="246">
        <f>D184+184+25</f>
        <v>1409</v>
      </c>
      <c r="E224" s="246">
        <f>E184+256+50</f>
        <v>2506</v>
      </c>
      <c r="F224" s="246">
        <f>F184+256+50</f>
        <v>2506</v>
      </c>
      <c r="G224" s="222" t="s">
        <v>51</v>
      </c>
      <c r="H224" s="69">
        <v>4</v>
      </c>
      <c r="I224" s="50" t="s">
        <v>3456</v>
      </c>
      <c r="J224" s="50"/>
      <c r="K224" s="50" t="s">
        <v>829</v>
      </c>
      <c r="L224" s="50" t="s">
        <v>653</v>
      </c>
      <c r="M224" s="108">
        <v>43066</v>
      </c>
      <c r="N224" s="108">
        <v>43100</v>
      </c>
      <c r="O224" s="59"/>
      <c r="P224" s="60"/>
      <c r="Q224" s="61" t="s">
        <v>4347</v>
      </c>
      <c r="R224" s="238" t="s">
        <v>3455</v>
      </c>
      <c r="S224" s="319"/>
      <c r="T224" s="921"/>
      <c r="U224" s="148"/>
      <c r="V224" s="148"/>
    </row>
    <row r="225" spans="1:22" ht="20.100000000000001" customHeight="1">
      <c r="A225" s="924" t="s">
        <v>1490</v>
      </c>
      <c r="B225" s="914" t="s">
        <v>1489</v>
      </c>
      <c r="C225" s="914" t="s">
        <v>4359</v>
      </c>
      <c r="D225" s="246">
        <f>D184+144+25</f>
        <v>1369</v>
      </c>
      <c r="E225" s="246">
        <f>E184+180+50</f>
        <v>2430</v>
      </c>
      <c r="F225" s="246">
        <f>F184+180+50</f>
        <v>2430</v>
      </c>
      <c r="G225" s="222" t="s">
        <v>51</v>
      </c>
      <c r="H225" s="69">
        <v>4</v>
      </c>
      <c r="I225" s="50" t="s">
        <v>3456</v>
      </c>
      <c r="J225" s="50"/>
      <c r="K225" s="50" t="s">
        <v>829</v>
      </c>
      <c r="L225" s="50" t="s">
        <v>653</v>
      </c>
      <c r="M225" s="108">
        <v>43066</v>
      </c>
      <c r="N225" s="108">
        <v>43100</v>
      </c>
      <c r="O225" s="59"/>
      <c r="P225" s="60"/>
      <c r="Q225" s="61" t="s">
        <v>4347</v>
      </c>
      <c r="R225" s="238" t="s">
        <v>3455</v>
      </c>
      <c r="S225" s="319"/>
      <c r="T225" s="921"/>
      <c r="U225" s="148"/>
      <c r="V225" s="148"/>
    </row>
    <row r="226" spans="1:22" ht="20.100000000000001" customHeight="1">
      <c r="A226" s="924" t="s">
        <v>4358</v>
      </c>
      <c r="B226" s="914" t="s">
        <v>4356</v>
      </c>
      <c r="C226" s="914" t="s">
        <v>4357</v>
      </c>
      <c r="D226" s="246">
        <f>D184+184+25</f>
        <v>1409</v>
      </c>
      <c r="E226" s="246">
        <f>E184+248+50</f>
        <v>2498</v>
      </c>
      <c r="F226" s="246">
        <f>F184+248+50</f>
        <v>2498</v>
      </c>
      <c r="G226" s="222" t="s">
        <v>51</v>
      </c>
      <c r="H226" s="69">
        <v>4</v>
      </c>
      <c r="I226" s="50" t="s">
        <v>3456</v>
      </c>
      <c r="J226" s="50"/>
      <c r="K226" s="50" t="s">
        <v>829</v>
      </c>
      <c r="L226" s="50" t="s">
        <v>653</v>
      </c>
      <c r="M226" s="108">
        <v>43066</v>
      </c>
      <c r="N226" s="108">
        <v>43100</v>
      </c>
      <c r="O226" s="59"/>
      <c r="P226" s="60"/>
      <c r="Q226" s="61" t="s">
        <v>4347</v>
      </c>
      <c r="R226" s="238" t="s">
        <v>3455</v>
      </c>
      <c r="S226" s="319"/>
      <c r="T226" s="921"/>
      <c r="U226" s="148"/>
      <c r="V226" s="148"/>
    </row>
    <row r="227" spans="1:22" ht="20.100000000000001" customHeight="1">
      <c r="A227" s="924" t="s">
        <v>1490</v>
      </c>
      <c r="B227" s="914" t="s">
        <v>4356</v>
      </c>
      <c r="C227" s="914" t="s">
        <v>4355</v>
      </c>
      <c r="D227" s="246">
        <f>D184+440+25</f>
        <v>1665</v>
      </c>
      <c r="E227" s="246">
        <f>E184+456+50</f>
        <v>2706</v>
      </c>
      <c r="F227" s="246">
        <f>F184+456+50</f>
        <v>2706</v>
      </c>
      <c r="G227" s="222" t="s">
        <v>51</v>
      </c>
      <c r="H227" s="69">
        <v>4</v>
      </c>
      <c r="I227" s="50" t="s">
        <v>3456</v>
      </c>
      <c r="J227" s="50"/>
      <c r="K227" s="50" t="s">
        <v>829</v>
      </c>
      <c r="L227" s="50" t="s">
        <v>653</v>
      </c>
      <c r="M227" s="108">
        <v>43066</v>
      </c>
      <c r="N227" s="108">
        <v>43100</v>
      </c>
      <c r="O227" s="59"/>
      <c r="P227" s="60"/>
      <c r="Q227" s="61" t="s">
        <v>4347</v>
      </c>
      <c r="R227" s="238" t="s">
        <v>3455</v>
      </c>
      <c r="S227" s="319"/>
      <c r="T227" s="921"/>
      <c r="U227" s="148"/>
      <c r="V227" s="148"/>
    </row>
    <row r="228" spans="1:22" ht="20.100000000000001" customHeight="1">
      <c r="A228" s="924" t="s">
        <v>1490</v>
      </c>
      <c r="B228" s="914" t="s">
        <v>1489</v>
      </c>
      <c r="C228" s="914" t="s">
        <v>4354</v>
      </c>
      <c r="D228" s="246">
        <f>D184+116+25</f>
        <v>1341</v>
      </c>
      <c r="E228" s="246">
        <f>E184+152+50</f>
        <v>2402</v>
      </c>
      <c r="F228" s="246">
        <f>F184+152+50</f>
        <v>2402</v>
      </c>
      <c r="G228" s="222" t="s">
        <v>51</v>
      </c>
      <c r="H228" s="69">
        <v>4</v>
      </c>
      <c r="I228" s="50" t="s">
        <v>3456</v>
      </c>
      <c r="J228" s="50"/>
      <c r="K228" s="50" t="s">
        <v>829</v>
      </c>
      <c r="L228" s="50" t="s">
        <v>653</v>
      </c>
      <c r="M228" s="108">
        <v>43066</v>
      </c>
      <c r="N228" s="108">
        <v>43100</v>
      </c>
      <c r="O228" s="59"/>
      <c r="P228" s="60"/>
      <c r="Q228" s="61" t="s">
        <v>4347</v>
      </c>
      <c r="R228" s="238" t="s">
        <v>3455</v>
      </c>
      <c r="S228" s="319"/>
      <c r="T228" s="921"/>
      <c r="U228" s="148"/>
      <c r="V228" s="148"/>
    </row>
    <row r="229" spans="1:22" ht="20.100000000000001" customHeight="1">
      <c r="A229" s="924" t="s">
        <v>1490</v>
      </c>
      <c r="B229" s="914" t="s">
        <v>1489</v>
      </c>
      <c r="C229" s="914" t="s">
        <v>4353</v>
      </c>
      <c r="D229" s="952">
        <f>D192+152+25</f>
        <v>1277</v>
      </c>
      <c r="E229" s="952">
        <f>E192+200+50</f>
        <v>2250</v>
      </c>
      <c r="F229" s="952">
        <f>F192+200+50</f>
        <v>2250</v>
      </c>
      <c r="G229" s="217" t="s">
        <v>51</v>
      </c>
      <c r="H229" s="69">
        <v>2</v>
      </c>
      <c r="I229" s="50" t="s">
        <v>4348</v>
      </c>
      <c r="J229" s="50"/>
      <c r="K229" s="50" t="s">
        <v>829</v>
      </c>
      <c r="L229" s="50" t="s">
        <v>847</v>
      </c>
      <c r="M229" s="108">
        <v>43066</v>
      </c>
      <c r="N229" s="108">
        <v>43100</v>
      </c>
      <c r="O229" s="144"/>
      <c r="P229" s="144"/>
      <c r="Q229" s="61" t="s">
        <v>4347</v>
      </c>
      <c r="R229" s="238" t="s">
        <v>4346</v>
      </c>
      <c r="S229" s="325"/>
      <c r="T229" s="921"/>
      <c r="U229" s="148"/>
      <c r="V229" s="148"/>
    </row>
    <row r="230" spans="1:22" ht="20.100000000000001" customHeight="1">
      <c r="A230" s="924" t="s">
        <v>1490</v>
      </c>
      <c r="B230" s="914" t="s">
        <v>1489</v>
      </c>
      <c r="C230" s="914" t="s">
        <v>4352</v>
      </c>
      <c r="D230" s="952">
        <f>D192+156+25</f>
        <v>1281</v>
      </c>
      <c r="E230" s="952">
        <f>E192+232+50</f>
        <v>2282</v>
      </c>
      <c r="F230" s="952">
        <f>F192+232+50</f>
        <v>2282</v>
      </c>
      <c r="G230" s="217" t="s">
        <v>51</v>
      </c>
      <c r="H230" s="69">
        <v>2</v>
      </c>
      <c r="I230" s="50" t="s">
        <v>4348</v>
      </c>
      <c r="J230" s="50"/>
      <c r="K230" s="50" t="s">
        <v>829</v>
      </c>
      <c r="L230" s="50" t="s">
        <v>847</v>
      </c>
      <c r="M230" s="108">
        <v>43066</v>
      </c>
      <c r="N230" s="108">
        <v>43100</v>
      </c>
      <c r="O230" s="144"/>
      <c r="P230" s="144"/>
      <c r="Q230" s="61" t="s">
        <v>4347</v>
      </c>
      <c r="R230" s="238" t="s">
        <v>4346</v>
      </c>
      <c r="S230" s="325"/>
      <c r="T230" s="921"/>
      <c r="U230" s="148"/>
      <c r="V230" s="148"/>
    </row>
    <row r="231" spans="1:22" ht="20.100000000000001" customHeight="1">
      <c r="A231" s="924" t="s">
        <v>1490</v>
      </c>
      <c r="B231" s="914" t="s">
        <v>1489</v>
      </c>
      <c r="C231" s="914" t="s">
        <v>4351</v>
      </c>
      <c r="D231" s="952">
        <f>D192+120+25</f>
        <v>1245</v>
      </c>
      <c r="E231" s="952">
        <f>E192+160+50</f>
        <v>2210</v>
      </c>
      <c r="F231" s="952">
        <f>F192+160+50</f>
        <v>2210</v>
      </c>
      <c r="G231" s="217" t="s">
        <v>51</v>
      </c>
      <c r="H231" s="69">
        <v>2</v>
      </c>
      <c r="I231" s="50" t="s">
        <v>4348</v>
      </c>
      <c r="J231" s="50"/>
      <c r="K231" s="50" t="s">
        <v>829</v>
      </c>
      <c r="L231" s="50" t="s">
        <v>847</v>
      </c>
      <c r="M231" s="108">
        <v>43066</v>
      </c>
      <c r="N231" s="108">
        <v>43100</v>
      </c>
      <c r="O231" s="144"/>
      <c r="P231" s="144"/>
      <c r="Q231" s="61" t="s">
        <v>4347</v>
      </c>
      <c r="R231" s="238" t="s">
        <v>4346</v>
      </c>
      <c r="S231" s="325"/>
      <c r="T231" s="921"/>
      <c r="U231" s="148"/>
      <c r="V231" s="148"/>
    </row>
    <row r="232" spans="1:22" ht="20.100000000000001" customHeight="1">
      <c r="A232" s="924" t="s">
        <v>1490</v>
      </c>
      <c r="B232" s="914" t="s">
        <v>1489</v>
      </c>
      <c r="C232" s="914" t="s">
        <v>4350</v>
      </c>
      <c r="D232" s="952">
        <f>D192+172+25</f>
        <v>1297</v>
      </c>
      <c r="E232" s="952">
        <f>E192+236+50</f>
        <v>2286</v>
      </c>
      <c r="F232" s="952">
        <f>F192+236+50</f>
        <v>2286</v>
      </c>
      <c r="G232" s="217" t="s">
        <v>51</v>
      </c>
      <c r="H232" s="69">
        <v>2</v>
      </c>
      <c r="I232" s="50" t="s">
        <v>4348</v>
      </c>
      <c r="J232" s="50"/>
      <c r="K232" s="50" t="s">
        <v>829</v>
      </c>
      <c r="L232" s="50" t="s">
        <v>847</v>
      </c>
      <c r="M232" s="108">
        <v>43066</v>
      </c>
      <c r="N232" s="108">
        <v>43100</v>
      </c>
      <c r="O232" s="144"/>
      <c r="P232" s="144"/>
      <c r="Q232" s="61" t="s">
        <v>4347</v>
      </c>
      <c r="R232" s="238" t="s">
        <v>4346</v>
      </c>
      <c r="S232" s="325"/>
      <c r="T232" s="921"/>
      <c r="U232" s="148"/>
      <c r="V232" s="148"/>
    </row>
    <row r="233" spans="1:22" ht="20.100000000000001" customHeight="1">
      <c r="A233" s="924" t="s">
        <v>1490</v>
      </c>
      <c r="B233" s="914" t="s">
        <v>1489</v>
      </c>
      <c r="C233" s="914" t="s">
        <v>4349</v>
      </c>
      <c r="D233" s="952">
        <f>D192+236+25</f>
        <v>1361</v>
      </c>
      <c r="E233" s="952">
        <f>E192+304+50</f>
        <v>2354</v>
      </c>
      <c r="F233" s="952">
        <f>F192+304+50</f>
        <v>2354</v>
      </c>
      <c r="G233" s="217" t="s">
        <v>51</v>
      </c>
      <c r="H233" s="69">
        <v>2</v>
      </c>
      <c r="I233" s="50" t="s">
        <v>4348</v>
      </c>
      <c r="J233" s="50"/>
      <c r="K233" s="50" t="s">
        <v>829</v>
      </c>
      <c r="L233" s="50" t="s">
        <v>847</v>
      </c>
      <c r="M233" s="108">
        <v>43066</v>
      </c>
      <c r="N233" s="108">
        <v>43100</v>
      </c>
      <c r="O233" s="144"/>
      <c r="P233" s="144"/>
      <c r="Q233" s="61" t="s">
        <v>4347</v>
      </c>
      <c r="R233" s="238" t="s">
        <v>4346</v>
      </c>
      <c r="S233" s="325"/>
      <c r="T233" s="921"/>
      <c r="U233" s="148"/>
      <c r="V233" s="148"/>
    </row>
    <row r="234" spans="1:22" ht="20.100000000000001" customHeight="1">
      <c r="A234" s="924" t="s">
        <v>1490</v>
      </c>
      <c r="B234" s="914" t="s">
        <v>1489</v>
      </c>
      <c r="C234" s="914" t="s">
        <v>4345</v>
      </c>
      <c r="D234" s="246">
        <f>D211+173</f>
        <v>1683</v>
      </c>
      <c r="E234" s="246">
        <f>E211+258</f>
        <v>2968</v>
      </c>
      <c r="F234" s="246">
        <f>F211+258</f>
        <v>2968</v>
      </c>
      <c r="G234" s="216" t="s">
        <v>51</v>
      </c>
      <c r="H234" s="69">
        <v>4</v>
      </c>
      <c r="I234" s="37" t="s">
        <v>4340</v>
      </c>
      <c r="J234" s="37"/>
      <c r="K234" s="37" t="s">
        <v>970</v>
      </c>
      <c r="L234" s="50" t="s">
        <v>653</v>
      </c>
      <c r="M234" s="108">
        <v>43066</v>
      </c>
      <c r="N234" s="108">
        <v>43100</v>
      </c>
      <c r="O234" s="59"/>
      <c r="P234" s="60"/>
      <c r="Q234" s="61" t="s">
        <v>4339</v>
      </c>
      <c r="R234" s="238" t="s">
        <v>3455</v>
      </c>
      <c r="S234" s="331"/>
      <c r="T234" s="921"/>
      <c r="U234" s="148"/>
      <c r="V234" s="148"/>
    </row>
    <row r="235" spans="1:22" ht="20.100000000000001" customHeight="1">
      <c r="A235" s="924" t="s">
        <v>1490</v>
      </c>
      <c r="B235" s="914" t="s">
        <v>1489</v>
      </c>
      <c r="C235" s="914" t="s">
        <v>4344</v>
      </c>
      <c r="D235" s="246">
        <f>D211+262</f>
        <v>1772</v>
      </c>
      <c r="E235" s="246">
        <f>E211+390</f>
        <v>3100</v>
      </c>
      <c r="F235" s="246">
        <f>F211+390</f>
        <v>3100</v>
      </c>
      <c r="G235" s="216" t="s">
        <v>51</v>
      </c>
      <c r="H235" s="69">
        <v>4</v>
      </c>
      <c r="I235" s="37" t="s">
        <v>4340</v>
      </c>
      <c r="J235" s="37"/>
      <c r="K235" s="37" t="s">
        <v>970</v>
      </c>
      <c r="L235" s="50" t="s">
        <v>653</v>
      </c>
      <c r="M235" s="108">
        <v>43066</v>
      </c>
      <c r="N235" s="108">
        <v>43100</v>
      </c>
      <c r="O235" s="59"/>
      <c r="P235" s="60"/>
      <c r="Q235" s="61" t="s">
        <v>4339</v>
      </c>
      <c r="R235" s="238" t="s">
        <v>3455</v>
      </c>
      <c r="S235" s="331"/>
      <c r="T235" s="921"/>
      <c r="U235" s="148"/>
      <c r="V235" s="148"/>
    </row>
    <row r="236" spans="1:22" ht="20.100000000000001" customHeight="1">
      <c r="A236" s="924" t="s">
        <v>1490</v>
      </c>
      <c r="B236" s="914" t="s">
        <v>1489</v>
      </c>
      <c r="C236" s="914" t="s">
        <v>4343</v>
      </c>
      <c r="D236" s="246">
        <f>D211+262</f>
        <v>1772</v>
      </c>
      <c r="E236" s="246">
        <f>E211+390</f>
        <v>3100</v>
      </c>
      <c r="F236" s="246">
        <f>F211+390</f>
        <v>3100</v>
      </c>
      <c r="G236" s="216" t="s">
        <v>51</v>
      </c>
      <c r="H236" s="69">
        <v>4</v>
      </c>
      <c r="I236" s="37" t="s">
        <v>4340</v>
      </c>
      <c r="J236" s="37"/>
      <c r="K236" s="37" t="s">
        <v>970</v>
      </c>
      <c r="L236" s="50" t="s">
        <v>653</v>
      </c>
      <c r="M236" s="108">
        <v>43066</v>
      </c>
      <c r="N236" s="108">
        <v>43100</v>
      </c>
      <c r="O236" s="59"/>
      <c r="P236" s="60"/>
      <c r="Q236" s="61" t="s">
        <v>4339</v>
      </c>
      <c r="R236" s="238" t="s">
        <v>3455</v>
      </c>
      <c r="S236" s="331"/>
      <c r="T236" s="921"/>
      <c r="U236" s="148"/>
      <c r="V236" s="148"/>
    </row>
    <row r="237" spans="1:22" ht="20.100000000000001" customHeight="1">
      <c r="A237" s="924" t="s">
        <v>1490</v>
      </c>
      <c r="B237" s="914" t="s">
        <v>1489</v>
      </c>
      <c r="C237" s="914" t="s">
        <v>4342</v>
      </c>
      <c r="D237" s="246">
        <f>D211+363</f>
        <v>1873</v>
      </c>
      <c r="E237" s="246">
        <f>E211+548</f>
        <v>3258</v>
      </c>
      <c r="F237" s="246">
        <f>F211+548</f>
        <v>3258</v>
      </c>
      <c r="G237" s="216" t="s">
        <v>51</v>
      </c>
      <c r="H237" s="69">
        <v>4</v>
      </c>
      <c r="I237" s="37" t="s">
        <v>4340</v>
      </c>
      <c r="J237" s="37"/>
      <c r="K237" s="37" t="s">
        <v>970</v>
      </c>
      <c r="L237" s="50" t="s">
        <v>653</v>
      </c>
      <c r="M237" s="108">
        <v>43066</v>
      </c>
      <c r="N237" s="108">
        <v>43100</v>
      </c>
      <c r="O237" s="59"/>
      <c r="P237" s="60"/>
      <c r="Q237" s="61" t="s">
        <v>4339</v>
      </c>
      <c r="R237" s="238" t="s">
        <v>3455</v>
      </c>
      <c r="S237" s="331"/>
      <c r="T237" s="921"/>
      <c r="U237" s="148"/>
      <c r="V237" s="148"/>
    </row>
    <row r="238" spans="1:22" ht="20.100000000000001" customHeight="1">
      <c r="A238" s="924" t="s">
        <v>1490</v>
      </c>
      <c r="B238" s="914" t="s">
        <v>1489</v>
      </c>
      <c r="C238" s="914" t="s">
        <v>4341</v>
      </c>
      <c r="D238" s="246">
        <f>D211+262</f>
        <v>1772</v>
      </c>
      <c r="E238" s="246">
        <f>E211+390</f>
        <v>3100</v>
      </c>
      <c r="F238" s="246">
        <f>F211+390</f>
        <v>3100</v>
      </c>
      <c r="G238" s="216" t="s">
        <v>51</v>
      </c>
      <c r="H238" s="69">
        <v>4</v>
      </c>
      <c r="I238" s="37" t="s">
        <v>4340</v>
      </c>
      <c r="J238" s="37"/>
      <c r="K238" s="37" t="s">
        <v>970</v>
      </c>
      <c r="L238" s="50" t="s">
        <v>653</v>
      </c>
      <c r="M238" s="108">
        <v>43066</v>
      </c>
      <c r="N238" s="108">
        <v>43100</v>
      </c>
      <c r="O238" s="59"/>
      <c r="P238" s="60"/>
      <c r="Q238" s="61" t="s">
        <v>4339</v>
      </c>
      <c r="R238" s="238" t="s">
        <v>3455</v>
      </c>
      <c r="S238" s="331"/>
      <c r="T238" s="921"/>
      <c r="U238" s="148"/>
      <c r="V238" s="148"/>
    </row>
    <row r="239" spans="1:22" ht="20.100000000000001" customHeight="1">
      <c r="A239" s="1241" t="s">
        <v>4335</v>
      </c>
      <c r="B239" s="1241" t="s">
        <v>3765</v>
      </c>
      <c r="C239" s="1241" t="s">
        <v>4334</v>
      </c>
      <c r="D239" s="978">
        <v>850</v>
      </c>
      <c r="E239" s="978">
        <v>1400</v>
      </c>
      <c r="F239" s="978">
        <v>1400</v>
      </c>
      <c r="G239" s="150" t="s">
        <v>33</v>
      </c>
      <c r="H239" s="151" t="s">
        <v>729</v>
      </c>
      <c r="I239" s="152" t="s">
        <v>1</v>
      </c>
      <c r="J239" s="152"/>
      <c r="K239" s="152" t="s">
        <v>4338</v>
      </c>
      <c r="L239" s="154" t="s">
        <v>856</v>
      </c>
      <c r="M239" s="6">
        <v>43087</v>
      </c>
      <c r="N239" s="6">
        <v>43100</v>
      </c>
      <c r="O239" s="153" t="s">
        <v>858</v>
      </c>
      <c r="P239" s="59"/>
      <c r="Q239" s="59"/>
      <c r="R239" s="238" t="s">
        <v>4330</v>
      </c>
      <c r="S239" s="331" t="s">
        <v>1176</v>
      </c>
      <c r="T239" s="921"/>
      <c r="U239" s="148"/>
      <c r="V239" s="148"/>
    </row>
    <row r="240" spans="1:22" ht="20.100000000000001" customHeight="1">
      <c r="A240" s="1241" t="s">
        <v>4335</v>
      </c>
      <c r="B240" s="1241" t="s">
        <v>3765</v>
      </c>
      <c r="C240" s="1241" t="s">
        <v>4334</v>
      </c>
      <c r="D240" s="979"/>
      <c r="E240" s="979"/>
      <c r="F240" s="979"/>
      <c r="G240" s="354" t="s">
        <v>859</v>
      </c>
      <c r="H240" s="151">
        <v>2</v>
      </c>
      <c r="I240" s="152" t="s">
        <v>855</v>
      </c>
      <c r="J240" s="152"/>
      <c r="K240" s="152" t="s">
        <v>671</v>
      </c>
      <c r="L240" s="152" t="s">
        <v>856</v>
      </c>
      <c r="M240" s="6">
        <v>43073</v>
      </c>
      <c r="N240" s="6">
        <v>43093</v>
      </c>
      <c r="O240" s="185" t="s">
        <v>601</v>
      </c>
      <c r="P240" s="61"/>
      <c r="Q240" s="61"/>
      <c r="R240" s="238"/>
      <c r="S240" s="315" t="s">
        <v>4337</v>
      </c>
      <c r="T240" s="921"/>
      <c r="U240" s="148"/>
      <c r="V240" s="148"/>
    </row>
    <row r="241" spans="1:22" ht="20.100000000000001" customHeight="1">
      <c r="A241" s="1241" t="s">
        <v>4335</v>
      </c>
      <c r="B241" s="1241" t="s">
        <v>3765</v>
      </c>
      <c r="C241" s="1241" t="s">
        <v>4334</v>
      </c>
      <c r="D241" s="308">
        <v>1100</v>
      </c>
      <c r="E241" s="308">
        <v>1600</v>
      </c>
      <c r="F241" s="308">
        <f>E241</f>
        <v>1600</v>
      </c>
      <c r="G241" s="150" t="s">
        <v>677</v>
      </c>
      <c r="H241" s="36" t="s">
        <v>725</v>
      </c>
      <c r="I241" s="37" t="s">
        <v>126</v>
      </c>
      <c r="J241" s="152"/>
      <c r="K241" s="152" t="s">
        <v>775</v>
      </c>
      <c r="L241" s="50" t="s">
        <v>649</v>
      </c>
      <c r="M241" s="6">
        <v>43047</v>
      </c>
      <c r="N241" s="6">
        <v>43100</v>
      </c>
      <c r="O241" s="154"/>
      <c r="P241" s="144" t="s">
        <v>4336</v>
      </c>
      <c r="Q241" s="373"/>
      <c r="R241" s="239" t="s">
        <v>3807</v>
      </c>
      <c r="S241" s="325" t="s">
        <v>1176</v>
      </c>
      <c r="T241" s="921"/>
      <c r="U241" s="148"/>
      <c r="V241" s="148"/>
    </row>
    <row r="242" spans="1:22" ht="20.100000000000001" customHeight="1">
      <c r="A242" s="1241" t="s">
        <v>4335</v>
      </c>
      <c r="B242" s="1241" t="s">
        <v>3765</v>
      </c>
      <c r="C242" s="1241" t="s">
        <v>4334</v>
      </c>
      <c r="D242" s="979">
        <v>950</v>
      </c>
      <c r="E242" s="979">
        <v>1700</v>
      </c>
      <c r="F242" s="979">
        <v>1700</v>
      </c>
      <c r="G242" s="223" t="s">
        <v>666</v>
      </c>
      <c r="H242" s="151" t="s">
        <v>659</v>
      </c>
      <c r="I242" s="50" t="s">
        <v>17</v>
      </c>
      <c r="J242" s="152"/>
      <c r="K242" s="152" t="s">
        <v>680</v>
      </c>
      <c r="L242" s="152" t="s">
        <v>649</v>
      </c>
      <c r="M242" s="108">
        <v>43070</v>
      </c>
      <c r="N242" s="108">
        <v>43083</v>
      </c>
      <c r="O242" s="153" t="s">
        <v>857</v>
      </c>
      <c r="P242" s="144"/>
      <c r="Q242" s="167" t="s">
        <v>4332</v>
      </c>
      <c r="R242" s="239" t="s">
        <v>1990</v>
      </c>
      <c r="S242" s="325"/>
      <c r="T242" s="921"/>
      <c r="U242" s="148"/>
      <c r="V242" s="148"/>
    </row>
    <row r="243" spans="1:22" ht="20.100000000000001" customHeight="1">
      <c r="A243" s="1241" t="s">
        <v>4335</v>
      </c>
      <c r="B243" s="1241" t="s">
        <v>3765</v>
      </c>
      <c r="C243" s="1241" t="s">
        <v>4334</v>
      </c>
      <c r="D243" s="246">
        <v>1100</v>
      </c>
      <c r="E243" s="246">
        <v>1800</v>
      </c>
      <c r="F243" s="246">
        <v>1800</v>
      </c>
      <c r="G243" s="212" t="s">
        <v>4</v>
      </c>
      <c r="H243" s="151" t="s">
        <v>659</v>
      </c>
      <c r="I243" s="50" t="s">
        <v>17</v>
      </c>
      <c r="J243" s="152"/>
      <c r="K243" s="152" t="s">
        <v>680</v>
      </c>
      <c r="L243" s="152" t="s">
        <v>649</v>
      </c>
      <c r="M243" s="108">
        <v>43070</v>
      </c>
      <c r="N243" s="108">
        <v>43083</v>
      </c>
      <c r="O243" s="153" t="s">
        <v>858</v>
      </c>
      <c r="P243" s="144"/>
      <c r="Q243" s="167"/>
      <c r="R243" s="239" t="s">
        <v>2234</v>
      </c>
      <c r="S243" s="319" t="s">
        <v>1176</v>
      </c>
      <c r="T243" s="921"/>
      <c r="U243" s="148"/>
      <c r="V243" s="148"/>
    </row>
    <row r="244" spans="1:22" ht="20.100000000000001" customHeight="1">
      <c r="A244" s="1241" t="s">
        <v>4335</v>
      </c>
      <c r="B244" s="1241" t="s">
        <v>3765</v>
      </c>
      <c r="C244" s="1241" t="s">
        <v>4334</v>
      </c>
      <c r="D244" s="977">
        <v>950</v>
      </c>
      <c r="E244" s="977">
        <v>1600</v>
      </c>
      <c r="F244" s="977">
        <v>1600</v>
      </c>
      <c r="G244" s="218" t="s">
        <v>5</v>
      </c>
      <c r="H244" s="36" t="s">
        <v>3804</v>
      </c>
      <c r="I244" s="50" t="s">
        <v>3803</v>
      </c>
      <c r="J244" s="152"/>
      <c r="K244" s="155" t="s">
        <v>775</v>
      </c>
      <c r="L244" s="152" t="s">
        <v>860</v>
      </c>
      <c r="M244" s="6">
        <v>43080</v>
      </c>
      <c r="N244" s="6">
        <v>43100</v>
      </c>
      <c r="O244" s="59" t="s">
        <v>1771</v>
      </c>
      <c r="P244" s="144"/>
      <c r="Q244" s="52"/>
      <c r="R244" s="238" t="s">
        <v>3749</v>
      </c>
      <c r="S244" s="331" t="s">
        <v>1176</v>
      </c>
      <c r="T244" s="922" t="s">
        <v>723</v>
      </c>
      <c r="U244" s="148"/>
      <c r="V244" s="148"/>
    </row>
    <row r="245" spans="1:22" ht="20.100000000000001" customHeight="1">
      <c r="A245" s="1241" t="s">
        <v>4335</v>
      </c>
      <c r="B245" s="1241" t="s">
        <v>3765</v>
      </c>
      <c r="C245" s="1241" t="s">
        <v>4334</v>
      </c>
      <c r="D245" s="950">
        <v>925</v>
      </c>
      <c r="E245" s="950">
        <v>1550</v>
      </c>
      <c r="F245" s="950">
        <v>1550</v>
      </c>
      <c r="G245" s="361" t="s">
        <v>861</v>
      </c>
      <c r="H245" s="151" t="s">
        <v>659</v>
      </c>
      <c r="I245" s="152" t="s">
        <v>855</v>
      </c>
      <c r="J245" s="152"/>
      <c r="K245" s="152" t="s">
        <v>862</v>
      </c>
      <c r="L245" s="152" t="s">
        <v>863</v>
      </c>
      <c r="M245" s="156">
        <v>43080</v>
      </c>
      <c r="N245" s="156">
        <v>43100</v>
      </c>
      <c r="O245" s="153" t="s">
        <v>3452</v>
      </c>
      <c r="P245" s="61"/>
      <c r="Q245" s="167"/>
      <c r="R245" s="238" t="s">
        <v>2294</v>
      </c>
      <c r="S245" s="333" t="s">
        <v>1176</v>
      </c>
      <c r="T245" s="921"/>
      <c r="U245" s="148"/>
      <c r="V245" s="148"/>
    </row>
    <row r="246" spans="1:22" ht="20.100000000000001" customHeight="1">
      <c r="A246" s="1241" t="s">
        <v>4335</v>
      </c>
      <c r="B246" s="1241" t="s">
        <v>3765</v>
      </c>
      <c r="C246" s="1241" t="s">
        <v>4334</v>
      </c>
      <c r="D246" s="971" t="s">
        <v>4329</v>
      </c>
      <c r="E246" s="971" t="s">
        <v>3465</v>
      </c>
      <c r="F246" s="971" t="s">
        <v>3465</v>
      </c>
      <c r="G246" s="150" t="s">
        <v>864</v>
      </c>
      <c r="H246" s="36" t="s">
        <v>721</v>
      </c>
      <c r="I246" s="50" t="s">
        <v>16</v>
      </c>
      <c r="J246" s="152"/>
      <c r="K246" s="152" t="s">
        <v>829</v>
      </c>
      <c r="L246" s="50" t="s">
        <v>653</v>
      </c>
      <c r="M246" s="6">
        <v>43080</v>
      </c>
      <c r="N246" s="6">
        <v>43100</v>
      </c>
      <c r="O246" s="153"/>
      <c r="P246" s="59"/>
      <c r="Q246" s="167"/>
      <c r="R246" s="49" t="s">
        <v>3306</v>
      </c>
      <c r="S246" s="316" t="s">
        <v>1176</v>
      </c>
      <c r="T246" s="921"/>
      <c r="U246" s="148"/>
      <c r="V246" s="148"/>
    </row>
    <row r="247" spans="1:22" ht="20.100000000000001" customHeight="1">
      <c r="A247" s="1127" t="s">
        <v>3740</v>
      </c>
      <c r="B247" s="1127" t="s">
        <v>3831</v>
      </c>
      <c r="C247" s="1127" t="s">
        <v>3848</v>
      </c>
      <c r="D247" s="979">
        <v>975</v>
      </c>
      <c r="E247" s="979">
        <v>1750</v>
      </c>
      <c r="F247" s="979">
        <v>1750</v>
      </c>
      <c r="G247" s="220" t="s">
        <v>51</v>
      </c>
      <c r="H247" s="151" t="s">
        <v>659</v>
      </c>
      <c r="I247" s="50" t="s">
        <v>16</v>
      </c>
      <c r="J247" s="50"/>
      <c r="K247" s="50" t="s">
        <v>687</v>
      </c>
      <c r="L247" s="152" t="s">
        <v>649</v>
      </c>
      <c r="M247" s="108">
        <v>43070</v>
      </c>
      <c r="N247" s="108">
        <v>43083</v>
      </c>
      <c r="O247" s="59" t="s">
        <v>4333</v>
      </c>
      <c r="P247" s="59"/>
      <c r="Q247" s="167" t="s">
        <v>4332</v>
      </c>
      <c r="R247" s="239" t="s">
        <v>1990</v>
      </c>
      <c r="S247" s="331" t="s">
        <v>1176</v>
      </c>
      <c r="T247" s="921"/>
      <c r="U247" s="148"/>
      <c r="V247" s="148"/>
    </row>
    <row r="248" spans="1:22" ht="20.100000000000001" customHeight="1">
      <c r="A248" s="1127" t="s">
        <v>3740</v>
      </c>
      <c r="B248" s="1127" t="s">
        <v>3831</v>
      </c>
      <c r="C248" s="1127" t="s">
        <v>3848</v>
      </c>
      <c r="D248" s="978">
        <v>900</v>
      </c>
      <c r="E248" s="978">
        <v>1500</v>
      </c>
      <c r="F248" s="978">
        <v>1500</v>
      </c>
      <c r="G248" s="29" t="s">
        <v>33</v>
      </c>
      <c r="H248" s="36" t="s">
        <v>729</v>
      </c>
      <c r="I248" s="50" t="s">
        <v>1</v>
      </c>
      <c r="J248" s="50"/>
      <c r="K248" s="50" t="s">
        <v>4331</v>
      </c>
      <c r="L248" s="255" t="s">
        <v>638</v>
      </c>
      <c r="M248" s="6">
        <v>43087</v>
      </c>
      <c r="N248" s="6">
        <v>43100</v>
      </c>
      <c r="O248" s="59" t="s">
        <v>601</v>
      </c>
      <c r="P248" s="59"/>
      <c r="Q248" s="59"/>
      <c r="R248" s="238" t="s">
        <v>4330</v>
      </c>
      <c r="S248" s="331" t="s">
        <v>1176</v>
      </c>
      <c r="T248" s="921"/>
      <c r="U248" s="148"/>
      <c r="V248" s="148"/>
    </row>
    <row r="249" spans="1:22" ht="20.100000000000001" customHeight="1">
      <c r="A249" s="1127" t="s">
        <v>3740</v>
      </c>
      <c r="B249" s="1127" t="s">
        <v>3831</v>
      </c>
      <c r="C249" s="1127" t="s">
        <v>3848</v>
      </c>
      <c r="D249" s="308">
        <v>1100</v>
      </c>
      <c r="E249" s="308">
        <v>1600</v>
      </c>
      <c r="F249" s="308">
        <f>E249</f>
        <v>1600</v>
      </c>
      <c r="G249" s="29" t="s">
        <v>31</v>
      </c>
      <c r="H249" s="36" t="s">
        <v>725</v>
      </c>
      <c r="I249" s="37" t="s">
        <v>126</v>
      </c>
      <c r="J249" s="50"/>
      <c r="K249" s="50" t="s">
        <v>829</v>
      </c>
      <c r="L249" s="50" t="s">
        <v>649</v>
      </c>
      <c r="M249" s="6">
        <v>43047</v>
      </c>
      <c r="N249" s="6">
        <v>43100</v>
      </c>
      <c r="O249" s="141"/>
      <c r="P249" s="141"/>
      <c r="Q249" s="171"/>
      <c r="R249" s="239" t="s">
        <v>3807</v>
      </c>
      <c r="S249" s="325" t="s">
        <v>1176</v>
      </c>
      <c r="T249" s="921"/>
      <c r="U249" s="148"/>
      <c r="V249" s="148"/>
    </row>
    <row r="250" spans="1:22" ht="20.100000000000001" customHeight="1">
      <c r="A250" s="1127" t="s">
        <v>3740</v>
      </c>
      <c r="B250" s="1127" t="s">
        <v>3831</v>
      </c>
      <c r="C250" s="1127" t="s">
        <v>3848</v>
      </c>
      <c r="D250" s="246">
        <v>1100</v>
      </c>
      <c r="E250" s="246">
        <v>1800</v>
      </c>
      <c r="F250" s="246">
        <v>1800</v>
      </c>
      <c r="G250" s="29" t="s">
        <v>13</v>
      </c>
      <c r="H250" s="151" t="s">
        <v>659</v>
      </c>
      <c r="I250" s="152" t="s">
        <v>855</v>
      </c>
      <c r="J250" s="152"/>
      <c r="K250" s="152" t="s">
        <v>680</v>
      </c>
      <c r="L250" s="152" t="s">
        <v>649</v>
      </c>
      <c r="M250" s="108">
        <v>43070</v>
      </c>
      <c r="N250" s="108">
        <v>43083</v>
      </c>
      <c r="O250" s="153" t="s">
        <v>858</v>
      </c>
      <c r="P250" s="141"/>
      <c r="Q250" s="167"/>
      <c r="R250" s="239" t="s">
        <v>2234</v>
      </c>
      <c r="S250" s="319" t="s">
        <v>1176</v>
      </c>
      <c r="T250" s="921"/>
      <c r="U250" s="148"/>
      <c r="V250" s="148"/>
    </row>
    <row r="251" spans="1:22" ht="20.100000000000001" customHeight="1">
      <c r="A251" s="1127" t="s">
        <v>3740</v>
      </c>
      <c r="B251" s="1127" t="s">
        <v>3831</v>
      </c>
      <c r="C251" s="1127" t="s">
        <v>3848</v>
      </c>
      <c r="D251" s="977">
        <v>950</v>
      </c>
      <c r="E251" s="977">
        <v>1600</v>
      </c>
      <c r="F251" s="977">
        <v>1600</v>
      </c>
      <c r="G251" s="218" t="s">
        <v>5</v>
      </c>
      <c r="H251" s="36" t="s">
        <v>3804</v>
      </c>
      <c r="I251" s="50" t="s">
        <v>1</v>
      </c>
      <c r="J251" s="50"/>
      <c r="K251" s="50" t="s">
        <v>731</v>
      </c>
      <c r="L251" s="50" t="s">
        <v>653</v>
      </c>
      <c r="M251" s="6">
        <v>43080</v>
      </c>
      <c r="N251" s="6">
        <v>43100</v>
      </c>
      <c r="O251" s="59" t="s">
        <v>1771</v>
      </c>
      <c r="P251" s="144"/>
      <c r="Q251" s="52"/>
      <c r="R251" s="238" t="s">
        <v>3749</v>
      </c>
      <c r="S251" s="331" t="s">
        <v>1176</v>
      </c>
      <c r="T251" s="922" t="s">
        <v>723</v>
      </c>
      <c r="U251" s="148"/>
      <c r="V251" s="148"/>
    </row>
    <row r="252" spans="1:22" ht="20.100000000000001" customHeight="1">
      <c r="A252" s="1127" t="s">
        <v>3740</v>
      </c>
      <c r="B252" s="1127" t="s">
        <v>3831</v>
      </c>
      <c r="C252" s="1127" t="s">
        <v>3848</v>
      </c>
      <c r="D252" s="950">
        <v>975</v>
      </c>
      <c r="E252" s="950">
        <v>1650</v>
      </c>
      <c r="F252" s="950">
        <v>1650</v>
      </c>
      <c r="G252" s="109" t="s">
        <v>52</v>
      </c>
      <c r="H252" s="151" t="s">
        <v>659</v>
      </c>
      <c r="I252" s="37" t="s">
        <v>16</v>
      </c>
      <c r="J252" s="37"/>
      <c r="K252" s="37" t="s">
        <v>766</v>
      </c>
      <c r="L252" s="50" t="s">
        <v>649</v>
      </c>
      <c r="M252" s="156">
        <v>43080</v>
      </c>
      <c r="N252" s="156">
        <v>43100</v>
      </c>
      <c r="O252" s="153" t="s">
        <v>3452</v>
      </c>
      <c r="P252" s="61"/>
      <c r="Q252" s="167"/>
      <c r="R252" s="238" t="s">
        <v>2294</v>
      </c>
      <c r="S252" s="333" t="s">
        <v>1176</v>
      </c>
      <c r="T252" s="921"/>
      <c r="U252" s="148"/>
      <c r="V252" s="148"/>
    </row>
    <row r="253" spans="1:22" ht="20.100000000000001" customHeight="1">
      <c r="A253" s="1127" t="s">
        <v>3740</v>
      </c>
      <c r="B253" s="1127" t="s">
        <v>3831</v>
      </c>
      <c r="C253" s="1127" t="s">
        <v>3848</v>
      </c>
      <c r="D253" s="971" t="s">
        <v>4329</v>
      </c>
      <c r="E253" s="971" t="s">
        <v>3465</v>
      </c>
      <c r="F253" s="971" t="s">
        <v>3465</v>
      </c>
      <c r="G253" s="29" t="s">
        <v>18</v>
      </c>
      <c r="H253" s="36" t="s">
        <v>721</v>
      </c>
      <c r="I253" s="50" t="s">
        <v>16</v>
      </c>
      <c r="J253" s="50"/>
      <c r="K253" s="50" t="s">
        <v>687</v>
      </c>
      <c r="L253" s="50" t="s">
        <v>653</v>
      </c>
      <c r="M253" s="6">
        <v>43080</v>
      </c>
      <c r="N253" s="6">
        <v>43100</v>
      </c>
      <c r="O253" s="59"/>
      <c r="P253" s="59"/>
      <c r="Q253" s="167"/>
      <c r="R253" s="49" t="s">
        <v>3306</v>
      </c>
      <c r="S253" s="316" t="s">
        <v>1176</v>
      </c>
      <c r="T253" s="921"/>
      <c r="U253" s="148"/>
      <c r="V253" s="148"/>
    </row>
    <row r="254" spans="1:22" ht="20.100000000000001" customHeight="1">
      <c r="A254" s="1127" t="s">
        <v>3740</v>
      </c>
      <c r="B254" s="1127" t="s">
        <v>3831</v>
      </c>
      <c r="C254" s="1127" t="s">
        <v>3832</v>
      </c>
      <c r="D254" s="308">
        <v>1350</v>
      </c>
      <c r="E254" s="308">
        <f>D254*2-600</f>
        <v>2100</v>
      </c>
      <c r="F254" s="308">
        <f>E254</f>
        <v>2100</v>
      </c>
      <c r="G254" s="29" t="s">
        <v>31</v>
      </c>
      <c r="H254" s="36" t="s">
        <v>725</v>
      </c>
      <c r="I254" s="37" t="s">
        <v>126</v>
      </c>
      <c r="J254" s="50"/>
      <c r="K254" s="50" t="s">
        <v>687</v>
      </c>
      <c r="L254" s="50" t="s">
        <v>649</v>
      </c>
      <c r="M254" s="6">
        <v>43047</v>
      </c>
      <c r="N254" s="6">
        <v>43100</v>
      </c>
      <c r="O254" s="144"/>
      <c r="P254" s="144"/>
      <c r="Q254" s="171"/>
      <c r="R254" s="239" t="s">
        <v>3807</v>
      </c>
      <c r="S254" s="325" t="s">
        <v>1176</v>
      </c>
      <c r="T254" s="921"/>
      <c r="U254" s="148"/>
      <c r="V254" s="148"/>
    </row>
    <row r="255" spans="1:22" ht="20.100000000000001" customHeight="1">
      <c r="A255" s="1127" t="s">
        <v>3740</v>
      </c>
      <c r="B255" s="1127" t="s">
        <v>3831</v>
      </c>
      <c r="C255" s="1127" t="s">
        <v>3832</v>
      </c>
      <c r="D255" s="971" t="s">
        <v>1634</v>
      </c>
      <c r="E255" s="971" t="s">
        <v>4130</v>
      </c>
      <c r="F255" s="971" t="s">
        <v>4130</v>
      </c>
      <c r="G255" s="29" t="s">
        <v>18</v>
      </c>
      <c r="H255" s="36" t="s">
        <v>659</v>
      </c>
      <c r="I255" s="50" t="s">
        <v>1</v>
      </c>
      <c r="J255" s="50"/>
      <c r="K255" s="50" t="s">
        <v>2396</v>
      </c>
      <c r="L255" s="50" t="s">
        <v>653</v>
      </c>
      <c r="M255" s="6">
        <v>43080</v>
      </c>
      <c r="N255" s="6">
        <v>43100</v>
      </c>
      <c r="O255" s="144"/>
      <c r="P255" s="59"/>
      <c r="Q255" s="260"/>
      <c r="R255" s="238" t="s">
        <v>1274</v>
      </c>
      <c r="S255" s="316" t="s">
        <v>1176</v>
      </c>
      <c r="T255" s="921"/>
      <c r="U255" s="148"/>
      <c r="V255" s="148"/>
    </row>
    <row r="256" spans="1:22" ht="20.100000000000001" customHeight="1">
      <c r="A256" s="1127" t="s">
        <v>3740</v>
      </c>
      <c r="B256" s="1127" t="s">
        <v>3831</v>
      </c>
      <c r="C256" s="1127" t="s">
        <v>3832</v>
      </c>
      <c r="D256" s="977">
        <v>1900</v>
      </c>
      <c r="E256" s="977">
        <v>2750</v>
      </c>
      <c r="F256" s="977">
        <v>2750</v>
      </c>
      <c r="G256" s="218" t="s">
        <v>5</v>
      </c>
      <c r="H256" s="36" t="s">
        <v>3804</v>
      </c>
      <c r="I256" s="50" t="s">
        <v>23</v>
      </c>
      <c r="J256" s="50"/>
      <c r="K256" s="50">
        <v>36</v>
      </c>
      <c r="L256" s="50" t="s">
        <v>653</v>
      </c>
      <c r="M256" s="6">
        <v>43040</v>
      </c>
      <c r="N256" s="6">
        <v>43100</v>
      </c>
      <c r="O256" s="59" t="s">
        <v>1771</v>
      </c>
      <c r="P256" s="144"/>
      <c r="Q256" s="52"/>
      <c r="R256" s="238" t="s">
        <v>3749</v>
      </c>
      <c r="S256" s="331" t="s">
        <v>1176</v>
      </c>
      <c r="T256" s="922" t="s">
        <v>1830</v>
      </c>
      <c r="U256" s="148"/>
      <c r="V256" s="148"/>
    </row>
    <row r="257" spans="1:22" ht="20.100000000000001" customHeight="1">
      <c r="A257" s="1127" t="s">
        <v>3740</v>
      </c>
      <c r="B257" s="1127" t="s">
        <v>3831</v>
      </c>
      <c r="C257" s="1127" t="s">
        <v>3832</v>
      </c>
      <c r="D257" s="976"/>
      <c r="E257" s="976"/>
      <c r="F257" s="976"/>
      <c r="G257" s="220" t="s">
        <v>76</v>
      </c>
      <c r="H257" s="36" t="s">
        <v>721</v>
      </c>
      <c r="I257" s="37" t="s">
        <v>3311</v>
      </c>
      <c r="J257" s="37"/>
      <c r="K257" s="37">
        <v>33</v>
      </c>
      <c r="L257" s="50" t="s">
        <v>638</v>
      </c>
      <c r="M257" s="6">
        <v>43073</v>
      </c>
      <c r="N257" s="6">
        <v>43093</v>
      </c>
      <c r="O257" s="141" t="s">
        <v>3452</v>
      </c>
      <c r="P257" s="141"/>
      <c r="Q257" s="141"/>
      <c r="R257" s="238"/>
      <c r="S257" s="315" t="s">
        <v>3310</v>
      </c>
      <c r="T257" s="921"/>
      <c r="U257" s="148"/>
      <c r="V257" s="148"/>
    </row>
    <row r="258" spans="1:22" ht="20.100000000000001" customHeight="1">
      <c r="A258" s="1127" t="s">
        <v>3740</v>
      </c>
      <c r="B258" s="1127" t="s">
        <v>3831</v>
      </c>
      <c r="C258" s="1127" t="s">
        <v>4129</v>
      </c>
      <c r="D258" s="308">
        <v>1500</v>
      </c>
      <c r="E258" s="308">
        <f>D258*2-600</f>
        <v>2400</v>
      </c>
      <c r="F258" s="308">
        <f>E258</f>
        <v>2400</v>
      </c>
      <c r="G258" s="29" t="s">
        <v>31</v>
      </c>
      <c r="H258" s="36" t="s">
        <v>725</v>
      </c>
      <c r="I258" s="37" t="s">
        <v>126</v>
      </c>
      <c r="J258" s="50"/>
      <c r="K258" s="50" t="s">
        <v>775</v>
      </c>
      <c r="L258" s="50" t="s">
        <v>649</v>
      </c>
      <c r="M258" s="6">
        <v>43047</v>
      </c>
      <c r="N258" s="6">
        <v>43100</v>
      </c>
      <c r="O258" s="59"/>
      <c r="P258" s="59"/>
      <c r="Q258" s="171"/>
      <c r="R258" s="239" t="s">
        <v>3807</v>
      </c>
      <c r="S258" s="325" t="s">
        <v>1176</v>
      </c>
      <c r="T258" s="921"/>
      <c r="U258" s="148"/>
      <c r="V258" s="148"/>
    </row>
    <row r="259" spans="1:22" ht="20.100000000000001" customHeight="1">
      <c r="A259" s="1127" t="s">
        <v>3740</v>
      </c>
      <c r="B259" s="1127" t="s">
        <v>3831</v>
      </c>
      <c r="C259" s="1127" t="s">
        <v>4129</v>
      </c>
      <c r="D259" s="971" t="s">
        <v>4328</v>
      </c>
      <c r="E259" s="971" t="s">
        <v>3474</v>
      </c>
      <c r="F259" s="971" t="s">
        <v>3474</v>
      </c>
      <c r="G259" s="29" t="s">
        <v>18</v>
      </c>
      <c r="H259" s="36" t="s">
        <v>659</v>
      </c>
      <c r="I259" s="50" t="s">
        <v>1</v>
      </c>
      <c r="J259" s="50"/>
      <c r="K259" s="50" t="s">
        <v>987</v>
      </c>
      <c r="L259" s="50" t="s">
        <v>653</v>
      </c>
      <c r="M259" s="6">
        <v>43080</v>
      </c>
      <c r="N259" s="6">
        <v>43100</v>
      </c>
      <c r="O259" s="59"/>
      <c r="P259" s="59"/>
      <c r="Q259" s="260"/>
      <c r="R259" s="238" t="s">
        <v>1274</v>
      </c>
      <c r="S259" s="316" t="s">
        <v>1176</v>
      </c>
      <c r="T259" s="921"/>
      <c r="U259" s="148"/>
      <c r="V259" s="148"/>
    </row>
    <row r="260" spans="1:22" ht="20.100000000000001" customHeight="1">
      <c r="A260" s="1127" t="s">
        <v>3740</v>
      </c>
      <c r="B260" s="1127" t="s">
        <v>3831</v>
      </c>
      <c r="C260" s="1127" t="s">
        <v>4129</v>
      </c>
      <c r="D260" s="968">
        <v>1900</v>
      </c>
      <c r="E260" s="968">
        <v>3100</v>
      </c>
      <c r="F260" s="968">
        <v>3100</v>
      </c>
      <c r="G260" s="29" t="s">
        <v>13</v>
      </c>
      <c r="H260" s="69" t="s">
        <v>659</v>
      </c>
      <c r="I260" s="37" t="s">
        <v>3757</v>
      </c>
      <c r="J260" s="50"/>
      <c r="K260" s="50"/>
      <c r="L260" s="152" t="s">
        <v>649</v>
      </c>
      <c r="M260" s="108">
        <v>43070</v>
      </c>
      <c r="N260" s="108">
        <v>43083</v>
      </c>
      <c r="O260" s="59" t="s">
        <v>601</v>
      </c>
      <c r="P260" s="59"/>
      <c r="Q260" s="167"/>
      <c r="R260" s="239" t="s">
        <v>2234</v>
      </c>
      <c r="S260" s="316" t="s">
        <v>3819</v>
      </c>
      <c r="T260" s="921"/>
      <c r="U260" s="148"/>
      <c r="V260" s="148"/>
    </row>
    <row r="261" spans="1:22" ht="20.100000000000001" customHeight="1">
      <c r="A261" s="1127" t="s">
        <v>3740</v>
      </c>
      <c r="B261" s="1127" t="s">
        <v>3831</v>
      </c>
      <c r="C261" s="1127" t="s">
        <v>4129</v>
      </c>
      <c r="D261" s="977">
        <v>1650</v>
      </c>
      <c r="E261" s="977">
        <v>2900</v>
      </c>
      <c r="F261" s="977">
        <v>2900</v>
      </c>
      <c r="G261" s="218" t="s">
        <v>5</v>
      </c>
      <c r="H261" s="36" t="s">
        <v>3804</v>
      </c>
      <c r="I261" s="50" t="s">
        <v>1</v>
      </c>
      <c r="J261" s="50"/>
      <c r="K261" s="50">
        <v>36</v>
      </c>
      <c r="L261" s="50" t="s">
        <v>653</v>
      </c>
      <c r="M261" s="6">
        <v>43073</v>
      </c>
      <c r="N261" s="6">
        <v>43100</v>
      </c>
      <c r="O261" s="59" t="s">
        <v>1771</v>
      </c>
      <c r="P261" s="144"/>
      <c r="Q261" s="52"/>
      <c r="R261" s="238" t="s">
        <v>3749</v>
      </c>
      <c r="S261" s="331" t="s">
        <v>1176</v>
      </c>
      <c r="T261" s="922" t="s">
        <v>723</v>
      </c>
      <c r="U261" s="148"/>
      <c r="V261" s="148"/>
    </row>
    <row r="262" spans="1:22" ht="20.100000000000001" customHeight="1">
      <c r="A262" s="1127" t="s">
        <v>3740</v>
      </c>
      <c r="B262" s="1127" t="s">
        <v>3831</v>
      </c>
      <c r="C262" s="1127" t="s">
        <v>4129</v>
      </c>
      <c r="D262" s="968">
        <v>1950</v>
      </c>
      <c r="E262" s="968">
        <v>3150</v>
      </c>
      <c r="F262" s="968">
        <v>3100</v>
      </c>
      <c r="G262" s="109" t="s">
        <v>52</v>
      </c>
      <c r="H262" s="151" t="s">
        <v>659</v>
      </c>
      <c r="I262" s="37" t="s">
        <v>16</v>
      </c>
      <c r="J262" s="37"/>
      <c r="K262" s="37" t="s">
        <v>687</v>
      </c>
      <c r="L262" s="50" t="s">
        <v>649</v>
      </c>
      <c r="M262" s="156">
        <v>43070</v>
      </c>
      <c r="N262" s="156">
        <v>43100</v>
      </c>
      <c r="O262" s="153" t="s">
        <v>3452</v>
      </c>
      <c r="P262" s="61"/>
      <c r="Q262" s="167"/>
      <c r="R262" s="238" t="s">
        <v>2294</v>
      </c>
      <c r="S262" s="333" t="s">
        <v>1176</v>
      </c>
      <c r="T262" s="921"/>
      <c r="U262" s="148"/>
      <c r="V262" s="148"/>
    </row>
    <row r="263" spans="1:22" ht="20.100000000000001" customHeight="1">
      <c r="A263" s="1127" t="s">
        <v>3740</v>
      </c>
      <c r="B263" s="1127" t="s">
        <v>3831</v>
      </c>
      <c r="C263" s="1127" t="s">
        <v>4129</v>
      </c>
      <c r="D263" s="976">
        <v>1600</v>
      </c>
      <c r="E263" s="976">
        <v>2800</v>
      </c>
      <c r="F263" s="976">
        <v>2800</v>
      </c>
      <c r="G263" s="220" t="s">
        <v>76</v>
      </c>
      <c r="H263" s="36" t="s">
        <v>721</v>
      </c>
      <c r="I263" s="37" t="s">
        <v>3311</v>
      </c>
      <c r="J263" s="37"/>
      <c r="K263" s="37">
        <v>34</v>
      </c>
      <c r="L263" s="50" t="s">
        <v>638</v>
      </c>
      <c r="M263" s="6">
        <v>43073</v>
      </c>
      <c r="N263" s="6">
        <v>43093</v>
      </c>
      <c r="O263" s="141" t="s">
        <v>3790</v>
      </c>
      <c r="P263" s="61"/>
      <c r="Q263" s="61"/>
      <c r="R263" s="238"/>
      <c r="S263" s="315" t="s">
        <v>3310</v>
      </c>
      <c r="T263" s="921"/>
      <c r="U263" s="148"/>
      <c r="V263" s="148"/>
    </row>
    <row r="264" spans="1:22" ht="20.100000000000001" customHeight="1">
      <c r="A264" s="895" t="s">
        <v>3740</v>
      </c>
      <c r="B264" s="895" t="s">
        <v>3831</v>
      </c>
      <c r="C264" s="895" t="s">
        <v>4128</v>
      </c>
      <c r="D264" s="952"/>
      <c r="E264" s="952"/>
      <c r="F264" s="952"/>
      <c r="G264" s="29"/>
      <c r="H264" s="69"/>
      <c r="I264" s="37"/>
      <c r="J264" s="37"/>
      <c r="K264" s="37"/>
      <c r="L264" s="152"/>
      <c r="M264" s="152"/>
      <c r="N264" s="108"/>
      <c r="O264" s="59"/>
      <c r="P264" s="61"/>
      <c r="Q264" s="14"/>
      <c r="R264" s="239"/>
      <c r="S264" s="319"/>
      <c r="T264" s="921"/>
      <c r="U264" s="148"/>
      <c r="V264" s="148"/>
    </row>
    <row r="265" spans="1:22" ht="20.100000000000001" customHeight="1">
      <c r="A265" s="1127" t="s">
        <v>3781</v>
      </c>
      <c r="B265" s="1127" t="s">
        <v>4126</v>
      </c>
      <c r="C265" s="1127" t="s">
        <v>3830</v>
      </c>
      <c r="D265" s="248">
        <v>975</v>
      </c>
      <c r="E265" s="248">
        <v>1950</v>
      </c>
      <c r="F265" s="248">
        <v>1950</v>
      </c>
      <c r="G265" s="218" t="s">
        <v>5</v>
      </c>
      <c r="H265" s="36" t="s">
        <v>659</v>
      </c>
      <c r="I265" s="50" t="s">
        <v>17</v>
      </c>
      <c r="J265" s="50"/>
      <c r="K265" s="50" t="s">
        <v>1018</v>
      </c>
      <c r="L265" s="50" t="s">
        <v>653</v>
      </c>
      <c r="M265" s="6">
        <v>43070</v>
      </c>
      <c r="N265" s="6">
        <v>43100</v>
      </c>
      <c r="O265" s="59" t="s">
        <v>4127</v>
      </c>
      <c r="P265" s="141"/>
      <c r="Q265" s="171"/>
      <c r="R265" s="238" t="s">
        <v>3457</v>
      </c>
      <c r="S265" s="331" t="s">
        <v>1176</v>
      </c>
      <c r="T265" s="922" t="s">
        <v>681</v>
      </c>
      <c r="U265" s="148"/>
      <c r="V265" s="148"/>
    </row>
    <row r="266" spans="1:22" ht="20.100000000000001" customHeight="1">
      <c r="A266" s="1127" t="s">
        <v>3740</v>
      </c>
      <c r="B266" s="1127" t="s">
        <v>4126</v>
      </c>
      <c r="C266" s="1127" t="s">
        <v>3830</v>
      </c>
      <c r="D266" s="952">
        <v>1075</v>
      </c>
      <c r="E266" s="952">
        <v>1850</v>
      </c>
      <c r="F266" s="952">
        <v>1850</v>
      </c>
      <c r="G266" s="29" t="s">
        <v>18</v>
      </c>
      <c r="H266" s="36" t="s">
        <v>659</v>
      </c>
      <c r="I266" s="50" t="s">
        <v>17</v>
      </c>
      <c r="J266" s="50"/>
      <c r="K266" s="50" t="s">
        <v>1018</v>
      </c>
      <c r="L266" s="50" t="s">
        <v>653</v>
      </c>
      <c r="M266" s="6">
        <v>43045</v>
      </c>
      <c r="N266" s="6">
        <v>43100</v>
      </c>
      <c r="O266" s="61"/>
      <c r="P266" s="61"/>
      <c r="Q266" s="171"/>
      <c r="R266" s="238" t="s">
        <v>3460</v>
      </c>
      <c r="S266" s="316"/>
      <c r="T266" s="858"/>
      <c r="U266" s="148"/>
      <c r="V266" s="148"/>
    </row>
    <row r="267" spans="1:22" ht="20.100000000000001" customHeight="1">
      <c r="A267" s="1127" t="s">
        <v>3740</v>
      </c>
      <c r="B267" s="1127" t="s">
        <v>4126</v>
      </c>
      <c r="C267" s="1127" t="s">
        <v>3830</v>
      </c>
      <c r="D267" s="308">
        <v>1050</v>
      </c>
      <c r="E267" s="308">
        <f>D267*2-0</f>
        <v>2100</v>
      </c>
      <c r="F267" s="308">
        <f>E267</f>
        <v>2100</v>
      </c>
      <c r="G267" s="109" t="s">
        <v>31</v>
      </c>
      <c r="H267" s="36" t="s">
        <v>1102</v>
      </c>
      <c r="I267" s="37" t="s">
        <v>17</v>
      </c>
      <c r="J267" s="37"/>
      <c r="K267" s="37">
        <v>21</v>
      </c>
      <c r="L267" s="50" t="s">
        <v>653</v>
      </c>
      <c r="M267" s="6">
        <v>43047</v>
      </c>
      <c r="N267" s="6">
        <v>43100</v>
      </c>
      <c r="O267" s="61"/>
      <c r="P267" s="61"/>
      <c r="Q267" s="147"/>
      <c r="R267" s="238" t="s">
        <v>3461</v>
      </c>
      <c r="S267" s="325" t="s">
        <v>1176</v>
      </c>
      <c r="T267" s="921"/>
      <c r="U267" s="148"/>
      <c r="V267" s="148"/>
    </row>
    <row r="268" spans="1:22" ht="20.100000000000001" customHeight="1">
      <c r="A268" s="1127" t="s">
        <v>1466</v>
      </c>
      <c r="B268" s="1127" t="s">
        <v>1472</v>
      </c>
      <c r="C268" s="1127" t="s">
        <v>1471</v>
      </c>
      <c r="D268" s="246">
        <v>1300</v>
      </c>
      <c r="E268" s="246">
        <v>2600</v>
      </c>
      <c r="F268" s="246">
        <v>2600</v>
      </c>
      <c r="G268" s="29" t="s">
        <v>13</v>
      </c>
      <c r="H268" s="69" t="s">
        <v>659</v>
      </c>
      <c r="I268" s="152" t="s">
        <v>855</v>
      </c>
      <c r="J268" s="37"/>
      <c r="K268" s="37" t="s">
        <v>968</v>
      </c>
      <c r="L268" s="50" t="s">
        <v>1481</v>
      </c>
      <c r="M268" s="108">
        <v>43070</v>
      </c>
      <c r="N268" s="108">
        <v>43100</v>
      </c>
      <c r="O268" s="153" t="s">
        <v>858</v>
      </c>
      <c r="P268" s="61"/>
      <c r="Q268" s="167"/>
      <c r="R268" s="239" t="s">
        <v>2234</v>
      </c>
      <c r="S268" s="316" t="s">
        <v>3819</v>
      </c>
      <c r="T268" s="921"/>
      <c r="U268" s="148"/>
      <c r="V268" s="148"/>
    </row>
    <row r="269" spans="1:22" ht="20.100000000000001" customHeight="1">
      <c r="A269" s="1127" t="s">
        <v>3781</v>
      </c>
      <c r="B269" s="1127" t="s">
        <v>3820</v>
      </c>
      <c r="C269" s="1127" t="s">
        <v>3829</v>
      </c>
      <c r="D269" s="971" t="s">
        <v>3476</v>
      </c>
      <c r="E269" s="971" t="s">
        <v>3464</v>
      </c>
      <c r="F269" s="971" t="s">
        <v>3464</v>
      </c>
      <c r="G269" s="29" t="s">
        <v>18</v>
      </c>
      <c r="H269" s="69" t="s">
        <v>659</v>
      </c>
      <c r="I269" s="50" t="s">
        <v>3814</v>
      </c>
      <c r="J269" s="37"/>
      <c r="K269" s="37" t="s">
        <v>764</v>
      </c>
      <c r="L269" s="50" t="s">
        <v>653</v>
      </c>
      <c r="M269" s="6">
        <v>43080</v>
      </c>
      <c r="N269" s="6">
        <v>43100</v>
      </c>
      <c r="O269" s="59"/>
      <c r="P269" s="59"/>
      <c r="Q269" s="171"/>
      <c r="R269" s="238" t="s">
        <v>3460</v>
      </c>
      <c r="S269" s="333" t="s">
        <v>1176</v>
      </c>
      <c r="T269" s="921"/>
      <c r="U269" s="148"/>
      <c r="V269" s="148"/>
    </row>
    <row r="270" spans="1:22" ht="20.100000000000001" customHeight="1">
      <c r="A270" s="1127" t="s">
        <v>3740</v>
      </c>
      <c r="B270" s="1127" t="s">
        <v>3820</v>
      </c>
      <c r="C270" s="1127" t="s">
        <v>3829</v>
      </c>
      <c r="D270" s="969">
        <v>1450</v>
      </c>
      <c r="E270" s="969">
        <v>2400</v>
      </c>
      <c r="F270" s="969">
        <v>2400</v>
      </c>
      <c r="G270" s="218" t="s">
        <v>5</v>
      </c>
      <c r="H270" s="22" t="s">
        <v>760</v>
      </c>
      <c r="I270" s="50" t="s">
        <v>1</v>
      </c>
      <c r="J270" s="50"/>
      <c r="K270" s="37">
        <v>26</v>
      </c>
      <c r="L270" s="50" t="s">
        <v>653</v>
      </c>
      <c r="M270" s="6">
        <v>43059</v>
      </c>
      <c r="N270" s="6">
        <v>43100</v>
      </c>
      <c r="O270" s="59" t="s">
        <v>1771</v>
      </c>
      <c r="P270" s="141"/>
      <c r="Q270" s="7"/>
      <c r="R270" s="238" t="s">
        <v>3784</v>
      </c>
      <c r="S270" s="331" t="s">
        <v>1176</v>
      </c>
      <c r="T270" s="922"/>
      <c r="U270" s="148"/>
      <c r="V270" s="148"/>
    </row>
    <row r="271" spans="1:22" ht="20.100000000000001" customHeight="1">
      <c r="A271" s="1127" t="s">
        <v>3740</v>
      </c>
      <c r="B271" s="1127" t="s">
        <v>3820</v>
      </c>
      <c r="C271" s="1127" t="s">
        <v>3829</v>
      </c>
      <c r="D271" s="246">
        <v>1300</v>
      </c>
      <c r="E271" s="246">
        <v>2000</v>
      </c>
      <c r="F271" s="246">
        <v>2000</v>
      </c>
      <c r="G271" s="221" t="s">
        <v>22</v>
      </c>
      <c r="H271" s="69">
        <v>4</v>
      </c>
      <c r="I271" s="50" t="s">
        <v>16</v>
      </c>
      <c r="J271" s="50"/>
      <c r="K271" s="50" t="s">
        <v>1107</v>
      </c>
      <c r="L271" s="50" t="s">
        <v>653</v>
      </c>
      <c r="M271" s="108">
        <v>43062</v>
      </c>
      <c r="N271" s="108">
        <v>43100</v>
      </c>
      <c r="O271" s="59" t="s">
        <v>2545</v>
      </c>
      <c r="P271" s="59"/>
      <c r="Q271" s="167"/>
      <c r="R271" s="238" t="s">
        <v>1389</v>
      </c>
      <c r="S271" s="331" t="s">
        <v>1176</v>
      </c>
      <c r="T271" s="921"/>
      <c r="U271" s="148"/>
      <c r="V271" s="148"/>
    </row>
    <row r="272" spans="1:22" ht="20.100000000000001" customHeight="1">
      <c r="A272" s="1127" t="s">
        <v>3740</v>
      </c>
      <c r="B272" s="1127" t="s">
        <v>3820</v>
      </c>
      <c r="C272" s="1127" t="s">
        <v>3829</v>
      </c>
      <c r="D272" s="952">
        <v>1258</v>
      </c>
      <c r="E272" s="952">
        <v>2317</v>
      </c>
      <c r="F272" s="952">
        <v>2317</v>
      </c>
      <c r="G272" s="109" t="s">
        <v>31</v>
      </c>
      <c r="H272" s="36" t="s">
        <v>1102</v>
      </c>
      <c r="I272" s="37" t="s">
        <v>3814</v>
      </c>
      <c r="J272" s="37"/>
      <c r="K272" s="37">
        <v>25</v>
      </c>
      <c r="L272" s="50" t="s">
        <v>653</v>
      </c>
      <c r="M272" s="6">
        <v>43047</v>
      </c>
      <c r="N272" s="6">
        <v>43100</v>
      </c>
      <c r="O272" s="61"/>
      <c r="P272" s="61"/>
      <c r="Q272" s="147"/>
      <c r="R272" s="238" t="s">
        <v>3461</v>
      </c>
      <c r="S272" s="325" t="s">
        <v>1176</v>
      </c>
      <c r="T272" s="921"/>
      <c r="U272" s="148"/>
      <c r="V272" s="148"/>
    </row>
    <row r="273" spans="1:22" ht="20.100000000000001" customHeight="1">
      <c r="A273" s="1127" t="s">
        <v>1466</v>
      </c>
      <c r="B273" s="1127" t="s">
        <v>1470</v>
      </c>
      <c r="C273" s="1127" t="s">
        <v>1469</v>
      </c>
      <c r="D273" s="246">
        <v>1300</v>
      </c>
      <c r="E273" s="246">
        <v>2600</v>
      </c>
      <c r="F273" s="246">
        <v>2600</v>
      </c>
      <c r="G273" s="29" t="s">
        <v>13</v>
      </c>
      <c r="H273" s="69" t="s">
        <v>659</v>
      </c>
      <c r="I273" s="152" t="s">
        <v>855</v>
      </c>
      <c r="J273" s="37"/>
      <c r="K273" s="37" t="s">
        <v>766</v>
      </c>
      <c r="L273" s="50" t="s">
        <v>1481</v>
      </c>
      <c r="M273" s="108">
        <v>43070</v>
      </c>
      <c r="N273" s="108">
        <v>43100</v>
      </c>
      <c r="O273" s="153" t="s">
        <v>858</v>
      </c>
      <c r="P273" s="61"/>
      <c r="Q273" s="167"/>
      <c r="R273" s="239" t="s">
        <v>2234</v>
      </c>
      <c r="S273" s="316" t="s">
        <v>3819</v>
      </c>
      <c r="T273" s="921"/>
      <c r="U273" s="148"/>
      <c r="V273" s="148"/>
    </row>
    <row r="274" spans="1:22" ht="20.100000000000001" customHeight="1">
      <c r="A274" s="1127" t="s">
        <v>3740</v>
      </c>
      <c r="B274" s="1127" t="s">
        <v>3820</v>
      </c>
      <c r="C274" s="1127" t="s">
        <v>3828</v>
      </c>
      <c r="D274" s="968">
        <v>1900</v>
      </c>
      <c r="E274" s="968">
        <v>3750</v>
      </c>
      <c r="F274" s="968">
        <v>3750</v>
      </c>
      <c r="G274" s="218" t="s">
        <v>5</v>
      </c>
      <c r="H274" s="22" t="s">
        <v>1102</v>
      </c>
      <c r="I274" s="50" t="s">
        <v>3793</v>
      </c>
      <c r="J274" s="50"/>
      <c r="K274" s="50" t="s">
        <v>1242</v>
      </c>
      <c r="L274" s="50" t="s">
        <v>653</v>
      </c>
      <c r="M274" s="6">
        <v>43040</v>
      </c>
      <c r="N274" s="6">
        <v>43100</v>
      </c>
      <c r="O274" s="61" t="s">
        <v>3459</v>
      </c>
      <c r="P274" s="141"/>
      <c r="Q274" s="167"/>
      <c r="R274" s="238" t="s">
        <v>3458</v>
      </c>
      <c r="S274" s="331" t="s">
        <v>1176</v>
      </c>
      <c r="T274" s="922"/>
      <c r="U274" s="148"/>
      <c r="V274" s="148"/>
    </row>
    <row r="275" spans="1:22" ht="20.100000000000001" customHeight="1">
      <c r="A275" s="1127" t="s">
        <v>3740</v>
      </c>
      <c r="B275" s="1127" t="s">
        <v>3820</v>
      </c>
      <c r="C275" s="1127" t="s">
        <v>3828</v>
      </c>
      <c r="D275" s="952">
        <v>1950</v>
      </c>
      <c r="E275" s="952">
        <v>3400</v>
      </c>
      <c r="F275" s="952">
        <v>3400</v>
      </c>
      <c r="G275" s="220" t="s">
        <v>76</v>
      </c>
      <c r="H275" s="36" t="s">
        <v>721</v>
      </c>
      <c r="I275" s="50" t="s">
        <v>3311</v>
      </c>
      <c r="J275" s="50"/>
      <c r="K275" s="50" t="s">
        <v>3827</v>
      </c>
      <c r="L275" s="50" t="s">
        <v>638</v>
      </c>
      <c r="M275" s="6">
        <v>43073</v>
      </c>
      <c r="N275" s="6">
        <v>43093</v>
      </c>
      <c r="O275" s="141" t="s">
        <v>3452</v>
      </c>
      <c r="P275" s="141" t="s">
        <v>3822</v>
      </c>
      <c r="Q275" s="174"/>
      <c r="R275" s="238"/>
      <c r="S275" s="315" t="s">
        <v>3310</v>
      </c>
      <c r="T275" s="921"/>
      <c r="U275" s="148"/>
      <c r="V275" s="148"/>
    </row>
    <row r="276" spans="1:22" ht="20.100000000000001" customHeight="1">
      <c r="A276" s="1127" t="s">
        <v>3740</v>
      </c>
      <c r="B276" s="1127" t="s">
        <v>3820</v>
      </c>
      <c r="C276" s="1127" t="s">
        <v>3826</v>
      </c>
      <c r="D276" s="968"/>
      <c r="E276" s="968"/>
      <c r="F276" s="968"/>
      <c r="G276" s="218" t="s">
        <v>5</v>
      </c>
      <c r="H276" s="22" t="s">
        <v>1102</v>
      </c>
      <c r="I276" s="50" t="s">
        <v>3793</v>
      </c>
      <c r="J276" s="50"/>
      <c r="K276" s="50" t="s">
        <v>1242</v>
      </c>
      <c r="L276" s="50" t="s">
        <v>653</v>
      </c>
      <c r="M276" s="6">
        <v>43040</v>
      </c>
      <c r="N276" s="6">
        <v>43100</v>
      </c>
      <c r="O276" s="61" t="s">
        <v>3459</v>
      </c>
      <c r="P276" s="141"/>
      <c r="Q276" s="167"/>
      <c r="R276" s="238" t="s">
        <v>3458</v>
      </c>
      <c r="S276" s="331" t="s">
        <v>1176</v>
      </c>
      <c r="T276" s="922"/>
      <c r="U276" s="148"/>
      <c r="V276" s="148"/>
    </row>
    <row r="277" spans="1:22" ht="20.100000000000001" customHeight="1">
      <c r="A277" s="1127" t="s">
        <v>3740</v>
      </c>
      <c r="B277" s="1127" t="s">
        <v>3820</v>
      </c>
      <c r="C277" s="1127" t="s">
        <v>3826</v>
      </c>
      <c r="D277" s="952">
        <v>1750</v>
      </c>
      <c r="E277" s="952">
        <v>3500</v>
      </c>
      <c r="F277" s="952">
        <v>3500</v>
      </c>
      <c r="G277" s="109" t="s">
        <v>31</v>
      </c>
      <c r="H277" s="36" t="s">
        <v>1102</v>
      </c>
      <c r="I277" s="37" t="s">
        <v>3814</v>
      </c>
      <c r="J277" s="37"/>
      <c r="K277" s="37">
        <v>28</v>
      </c>
      <c r="L277" s="50" t="s">
        <v>653</v>
      </c>
      <c r="M277" s="6">
        <v>43047</v>
      </c>
      <c r="N277" s="6">
        <v>43100</v>
      </c>
      <c r="O277" s="61"/>
      <c r="P277" s="61"/>
      <c r="Q277" s="171"/>
      <c r="R277" s="238" t="s">
        <v>3461</v>
      </c>
      <c r="S277" s="325" t="s">
        <v>1176</v>
      </c>
      <c r="T277" s="921"/>
      <c r="U277" s="148"/>
      <c r="V277" s="148"/>
    </row>
    <row r="278" spans="1:22" ht="20.100000000000001" customHeight="1">
      <c r="A278" s="1127" t="s">
        <v>3740</v>
      </c>
      <c r="B278" s="1127" t="s">
        <v>3820</v>
      </c>
      <c r="C278" s="1127" t="s">
        <v>3825</v>
      </c>
      <c r="D278" s="968">
        <v>1900</v>
      </c>
      <c r="E278" s="968">
        <v>3750</v>
      </c>
      <c r="F278" s="968">
        <v>3750</v>
      </c>
      <c r="G278" s="218" t="s">
        <v>5</v>
      </c>
      <c r="H278" s="22" t="s">
        <v>1102</v>
      </c>
      <c r="I278" s="50" t="s">
        <v>3793</v>
      </c>
      <c r="J278" s="50"/>
      <c r="K278" s="50" t="s">
        <v>1242</v>
      </c>
      <c r="L278" s="50" t="s">
        <v>653</v>
      </c>
      <c r="M278" s="6">
        <v>43040</v>
      </c>
      <c r="N278" s="6">
        <v>43100</v>
      </c>
      <c r="O278" s="61" t="s">
        <v>3459</v>
      </c>
      <c r="P278" s="141"/>
      <c r="Q278" s="167"/>
      <c r="R278" s="238" t="s">
        <v>3458</v>
      </c>
      <c r="S278" s="331" t="s">
        <v>1176</v>
      </c>
      <c r="T278" s="922"/>
      <c r="U278" s="148"/>
      <c r="V278" s="148"/>
    </row>
    <row r="279" spans="1:22" ht="20.100000000000001" customHeight="1">
      <c r="A279" s="1127" t="s">
        <v>3740</v>
      </c>
      <c r="B279" s="1127" t="s">
        <v>3820</v>
      </c>
      <c r="C279" s="1127" t="s">
        <v>3825</v>
      </c>
      <c r="D279" s="952">
        <v>1950</v>
      </c>
      <c r="E279" s="952">
        <v>3400</v>
      </c>
      <c r="F279" s="952">
        <v>3400</v>
      </c>
      <c r="G279" s="220" t="s">
        <v>76</v>
      </c>
      <c r="H279" s="36" t="s">
        <v>721</v>
      </c>
      <c r="I279" s="50" t="s">
        <v>3311</v>
      </c>
      <c r="J279" s="50"/>
      <c r="K279" s="50">
        <v>45</v>
      </c>
      <c r="L279" s="50" t="s">
        <v>638</v>
      </c>
      <c r="M279" s="6">
        <v>43073</v>
      </c>
      <c r="N279" s="6">
        <v>43093</v>
      </c>
      <c r="O279" s="141" t="s">
        <v>3452</v>
      </c>
      <c r="P279" s="141" t="s">
        <v>3822</v>
      </c>
      <c r="Q279" s="141"/>
      <c r="R279" s="238"/>
      <c r="S279" s="315" t="s">
        <v>3310</v>
      </c>
      <c r="T279" s="921"/>
      <c r="U279" s="148"/>
      <c r="V279" s="148"/>
    </row>
    <row r="280" spans="1:22" ht="20.100000000000001" customHeight="1">
      <c r="A280" s="1127" t="s">
        <v>3740</v>
      </c>
      <c r="B280" s="1127" t="s">
        <v>3820</v>
      </c>
      <c r="C280" s="1127" t="s">
        <v>3824</v>
      </c>
      <c r="D280" s="952">
        <v>2050</v>
      </c>
      <c r="E280" s="952">
        <v>4050</v>
      </c>
      <c r="F280" s="952">
        <v>4050</v>
      </c>
      <c r="G280" s="218" t="s">
        <v>5</v>
      </c>
      <c r="H280" s="22" t="s">
        <v>1102</v>
      </c>
      <c r="I280" s="50" t="s">
        <v>3793</v>
      </c>
      <c r="J280" s="50"/>
      <c r="K280" s="50" t="s">
        <v>1242</v>
      </c>
      <c r="L280" s="50" t="s">
        <v>653</v>
      </c>
      <c r="M280" s="6">
        <v>43040</v>
      </c>
      <c r="N280" s="6">
        <v>43100</v>
      </c>
      <c r="O280" s="61" t="s">
        <v>3459</v>
      </c>
      <c r="P280" s="141"/>
      <c r="Q280" s="167"/>
      <c r="R280" s="238" t="s">
        <v>3458</v>
      </c>
      <c r="S280" s="331" t="s">
        <v>1176</v>
      </c>
      <c r="T280" s="922"/>
      <c r="U280" s="148"/>
      <c r="V280" s="148"/>
    </row>
    <row r="281" spans="1:22" ht="20.100000000000001" customHeight="1">
      <c r="A281" s="1127" t="s">
        <v>3740</v>
      </c>
      <c r="B281" s="1127" t="s">
        <v>3820</v>
      </c>
      <c r="C281" s="1127" t="s">
        <v>3824</v>
      </c>
      <c r="D281" s="952">
        <v>1950</v>
      </c>
      <c r="E281" s="952">
        <v>3400</v>
      </c>
      <c r="F281" s="952">
        <v>3400</v>
      </c>
      <c r="G281" s="220" t="s">
        <v>76</v>
      </c>
      <c r="H281" s="36" t="s">
        <v>721</v>
      </c>
      <c r="I281" s="50" t="s">
        <v>3311</v>
      </c>
      <c r="J281" s="50"/>
      <c r="K281" s="50" t="s">
        <v>3823</v>
      </c>
      <c r="L281" s="50" t="s">
        <v>638</v>
      </c>
      <c r="M281" s="6">
        <v>43073</v>
      </c>
      <c r="N281" s="6">
        <v>43093</v>
      </c>
      <c r="O281" s="141" t="s">
        <v>3452</v>
      </c>
      <c r="P281" s="141" t="s">
        <v>3822</v>
      </c>
      <c r="Q281" s="174"/>
      <c r="R281" s="238"/>
      <c r="S281" s="315" t="s">
        <v>3310</v>
      </c>
      <c r="T281" s="921"/>
      <c r="U281" s="148"/>
      <c r="V281" s="148"/>
    </row>
    <row r="282" spans="1:22" ht="20.100000000000001" customHeight="1">
      <c r="A282" s="1127" t="s">
        <v>3740</v>
      </c>
      <c r="B282" s="1127" t="s">
        <v>3820</v>
      </c>
      <c r="C282" s="1127" t="s">
        <v>3821</v>
      </c>
      <c r="D282" s="968">
        <v>1900</v>
      </c>
      <c r="E282" s="968">
        <v>3750</v>
      </c>
      <c r="F282" s="968">
        <v>3750</v>
      </c>
      <c r="G282" s="218" t="s">
        <v>5</v>
      </c>
      <c r="H282" s="22" t="s">
        <v>1102</v>
      </c>
      <c r="I282" s="50" t="s">
        <v>3793</v>
      </c>
      <c r="J282" s="50"/>
      <c r="K282" s="50" t="s">
        <v>1242</v>
      </c>
      <c r="L282" s="50" t="s">
        <v>653</v>
      </c>
      <c r="M282" s="6">
        <v>43040</v>
      </c>
      <c r="N282" s="6">
        <v>43100</v>
      </c>
      <c r="O282" s="61" t="s">
        <v>3459</v>
      </c>
      <c r="P282" s="141"/>
      <c r="Q282" s="167"/>
      <c r="R282" s="238" t="s">
        <v>3458</v>
      </c>
      <c r="S282" s="331" t="s">
        <v>1176</v>
      </c>
      <c r="T282" s="922"/>
      <c r="U282" s="148"/>
      <c r="V282" s="148"/>
    </row>
    <row r="283" spans="1:22" ht="20.100000000000001" customHeight="1">
      <c r="A283" s="1127" t="s">
        <v>3740</v>
      </c>
      <c r="B283" s="1127" t="s">
        <v>3820</v>
      </c>
      <c r="C283" s="1127" t="s">
        <v>3821</v>
      </c>
      <c r="D283" s="952">
        <v>1750</v>
      </c>
      <c r="E283" s="952">
        <v>3500</v>
      </c>
      <c r="F283" s="952">
        <v>3500</v>
      </c>
      <c r="G283" s="109" t="s">
        <v>31</v>
      </c>
      <c r="H283" s="36" t="s">
        <v>1102</v>
      </c>
      <c r="I283" s="37" t="s">
        <v>3814</v>
      </c>
      <c r="J283" s="37"/>
      <c r="K283" s="37">
        <v>45</v>
      </c>
      <c r="L283" s="50" t="s">
        <v>653</v>
      </c>
      <c r="M283" s="6">
        <v>43047</v>
      </c>
      <c r="N283" s="6">
        <v>43100</v>
      </c>
      <c r="O283" s="61"/>
      <c r="P283" s="61"/>
      <c r="Q283" s="171"/>
      <c r="R283" s="238" t="s">
        <v>3461</v>
      </c>
      <c r="S283" s="325" t="s">
        <v>1176</v>
      </c>
      <c r="T283" s="921"/>
      <c r="U283" s="148"/>
      <c r="V283" s="148"/>
    </row>
    <row r="284" spans="1:22" ht="20.100000000000001" customHeight="1">
      <c r="A284" s="1127" t="s">
        <v>3740</v>
      </c>
      <c r="B284" s="1127" t="s">
        <v>3820</v>
      </c>
      <c r="C284" s="1127" t="s">
        <v>3821</v>
      </c>
      <c r="D284" s="969">
        <v>1950</v>
      </c>
      <c r="E284" s="969">
        <v>3300</v>
      </c>
      <c r="F284" s="969">
        <v>3300</v>
      </c>
      <c r="G284" s="220" t="s">
        <v>76</v>
      </c>
      <c r="H284" s="36" t="s">
        <v>721</v>
      </c>
      <c r="I284" s="50" t="s">
        <v>3311</v>
      </c>
      <c r="J284" s="50"/>
      <c r="K284" s="50">
        <v>45</v>
      </c>
      <c r="L284" s="50" t="s">
        <v>638</v>
      </c>
      <c r="M284" s="6">
        <v>43073</v>
      </c>
      <c r="N284" s="6">
        <v>43093</v>
      </c>
      <c r="O284" s="141" t="s">
        <v>3452</v>
      </c>
      <c r="P284" s="61"/>
      <c r="Q284" s="174"/>
      <c r="R284" s="238"/>
      <c r="S284" s="315" t="s">
        <v>3310</v>
      </c>
      <c r="T284" s="921"/>
      <c r="U284" s="148"/>
      <c r="V284" s="148"/>
    </row>
    <row r="285" spans="1:22" ht="20.100000000000001" customHeight="1">
      <c r="A285" s="895" t="s">
        <v>3740</v>
      </c>
      <c r="B285" s="895" t="s">
        <v>3820</v>
      </c>
      <c r="C285" s="895" t="s">
        <v>4125</v>
      </c>
      <c r="D285" s="968">
        <v>1900</v>
      </c>
      <c r="E285" s="968">
        <v>3750</v>
      </c>
      <c r="F285" s="968">
        <v>3750</v>
      </c>
      <c r="G285" s="218" t="s">
        <v>5</v>
      </c>
      <c r="H285" s="22" t="s">
        <v>1102</v>
      </c>
      <c r="I285" s="50" t="s">
        <v>3793</v>
      </c>
      <c r="J285" s="50"/>
      <c r="K285" s="50" t="s">
        <v>835</v>
      </c>
      <c r="L285" s="50" t="s">
        <v>653</v>
      </c>
      <c r="M285" s="6">
        <v>43040</v>
      </c>
      <c r="N285" s="6">
        <v>43100</v>
      </c>
      <c r="O285" s="61" t="s">
        <v>3459</v>
      </c>
      <c r="P285" s="141"/>
      <c r="Q285" s="167"/>
      <c r="R285" s="238" t="s">
        <v>3458</v>
      </c>
      <c r="S285" s="331" t="s">
        <v>1176</v>
      </c>
      <c r="T285" s="922"/>
      <c r="U285" s="148"/>
      <c r="V285" s="148"/>
    </row>
    <row r="286" spans="1:22" ht="20.100000000000001" customHeight="1">
      <c r="A286" s="1127" t="s">
        <v>3740</v>
      </c>
      <c r="B286" s="1127" t="s">
        <v>4122</v>
      </c>
      <c r="C286" s="1127" t="s">
        <v>4122</v>
      </c>
      <c r="D286" s="969">
        <v>1075</v>
      </c>
      <c r="E286" s="969">
        <v>1900</v>
      </c>
      <c r="F286" s="969">
        <v>1900</v>
      </c>
      <c r="G286" s="218" t="s">
        <v>5</v>
      </c>
      <c r="H286" s="22" t="s">
        <v>1102</v>
      </c>
      <c r="I286" s="50" t="s">
        <v>17</v>
      </c>
      <c r="J286" s="50"/>
      <c r="K286" s="50" t="s">
        <v>830</v>
      </c>
      <c r="L286" s="50" t="s">
        <v>653</v>
      </c>
      <c r="M286" s="6">
        <v>43040</v>
      </c>
      <c r="N286" s="6">
        <v>43100</v>
      </c>
      <c r="O286" s="59" t="s">
        <v>3800</v>
      </c>
      <c r="P286" s="59"/>
      <c r="Q286" s="167"/>
      <c r="R286" s="238" t="s">
        <v>3458</v>
      </c>
      <c r="S286" s="331" t="s">
        <v>1176</v>
      </c>
      <c r="T286" s="1238"/>
      <c r="U286" s="148"/>
      <c r="V286" s="148"/>
    </row>
    <row r="287" spans="1:22" ht="20.100000000000001" customHeight="1">
      <c r="A287" s="1127" t="s">
        <v>3740</v>
      </c>
      <c r="B287" s="1127" t="s">
        <v>4122</v>
      </c>
      <c r="C287" s="1127" t="s">
        <v>4122</v>
      </c>
      <c r="D287" s="952">
        <v>925</v>
      </c>
      <c r="E287" s="952">
        <v>1650</v>
      </c>
      <c r="F287" s="952">
        <v>1650</v>
      </c>
      <c r="G287" s="29" t="s">
        <v>18</v>
      </c>
      <c r="H287" s="22" t="s">
        <v>729</v>
      </c>
      <c r="I287" s="37" t="s">
        <v>1</v>
      </c>
      <c r="J287" s="50"/>
      <c r="K287" s="50" t="s">
        <v>660</v>
      </c>
      <c r="L287" s="50" t="s">
        <v>653</v>
      </c>
      <c r="M287" s="6">
        <v>43070</v>
      </c>
      <c r="N287" s="6">
        <v>43100</v>
      </c>
      <c r="O287" s="141" t="s">
        <v>3292</v>
      </c>
      <c r="P287" s="59" t="s">
        <v>4123</v>
      </c>
      <c r="Q287" s="373"/>
      <c r="R287" s="238" t="s">
        <v>942</v>
      </c>
      <c r="S287" s="316" t="s">
        <v>1176</v>
      </c>
      <c r="T287" s="1239"/>
      <c r="U287" s="148"/>
      <c r="V287" s="148"/>
    </row>
    <row r="288" spans="1:22" ht="20.100000000000001" customHeight="1">
      <c r="A288" s="1127" t="s">
        <v>3740</v>
      </c>
      <c r="B288" s="1127" t="s">
        <v>4122</v>
      </c>
      <c r="C288" s="1127" t="s">
        <v>4122</v>
      </c>
      <c r="D288" s="248"/>
      <c r="E288" s="248"/>
      <c r="F288" s="248"/>
      <c r="G288" s="29" t="s">
        <v>31</v>
      </c>
      <c r="H288" s="36" t="s">
        <v>1102</v>
      </c>
      <c r="I288" s="50" t="s">
        <v>3814</v>
      </c>
      <c r="J288" s="50"/>
      <c r="K288" s="50">
        <v>26</v>
      </c>
      <c r="L288" s="50" t="s">
        <v>653</v>
      </c>
      <c r="M288" s="6">
        <v>43047</v>
      </c>
      <c r="N288" s="6">
        <v>43100</v>
      </c>
      <c r="O288" s="141" t="s">
        <v>3292</v>
      </c>
      <c r="P288" s="59"/>
      <c r="Q288" s="147"/>
      <c r="R288" s="238" t="s">
        <v>3461</v>
      </c>
      <c r="S288" s="325" t="s">
        <v>1176</v>
      </c>
      <c r="T288" s="921"/>
      <c r="U288" s="148"/>
      <c r="V288" s="148"/>
    </row>
    <row r="289" spans="1:22" ht="20.100000000000001" customHeight="1">
      <c r="A289" s="1127" t="s">
        <v>3781</v>
      </c>
      <c r="B289" s="1127" t="s">
        <v>1468</v>
      </c>
      <c r="C289" s="1127" t="s">
        <v>1468</v>
      </c>
      <c r="D289" s="246">
        <v>1300</v>
      </c>
      <c r="E289" s="246">
        <v>2600</v>
      </c>
      <c r="F289" s="246">
        <v>2600</v>
      </c>
      <c r="G289" s="29" t="s">
        <v>13</v>
      </c>
      <c r="H289" s="69" t="s">
        <v>659</v>
      </c>
      <c r="I289" s="152" t="s">
        <v>855</v>
      </c>
      <c r="J289" s="50"/>
      <c r="K289" s="50" t="s">
        <v>680</v>
      </c>
      <c r="L289" s="50" t="s">
        <v>1481</v>
      </c>
      <c r="M289" s="108">
        <v>43070</v>
      </c>
      <c r="N289" s="108">
        <v>43100</v>
      </c>
      <c r="O289" s="59" t="s">
        <v>4124</v>
      </c>
      <c r="P289" s="59"/>
      <c r="Q289" s="167"/>
      <c r="R289" s="239" t="s">
        <v>2234</v>
      </c>
      <c r="S289" s="316" t="s">
        <v>3819</v>
      </c>
      <c r="T289" s="921"/>
      <c r="U289" s="148"/>
      <c r="V289" s="148"/>
    </row>
    <row r="290" spans="1:22" ht="20.100000000000001" customHeight="1">
      <c r="A290" s="1127" t="s">
        <v>3740</v>
      </c>
      <c r="B290" s="1127" t="s">
        <v>4122</v>
      </c>
      <c r="C290" s="1127" t="s">
        <v>4121</v>
      </c>
      <c r="D290" s="969">
        <v>1075</v>
      </c>
      <c r="E290" s="969">
        <v>1900</v>
      </c>
      <c r="F290" s="969">
        <v>1900</v>
      </c>
      <c r="G290" s="218" t="s">
        <v>5</v>
      </c>
      <c r="H290" s="22" t="s">
        <v>1102</v>
      </c>
      <c r="I290" s="50" t="s">
        <v>17</v>
      </c>
      <c r="J290" s="50"/>
      <c r="K290" s="50" t="s">
        <v>830</v>
      </c>
      <c r="L290" s="50" t="s">
        <v>653</v>
      </c>
      <c r="M290" s="6">
        <v>43040</v>
      </c>
      <c r="N290" s="6">
        <v>43100</v>
      </c>
      <c r="O290" s="59" t="s">
        <v>3800</v>
      </c>
      <c r="P290" s="59"/>
      <c r="Q290" s="167"/>
      <c r="R290" s="238" t="s">
        <v>3458</v>
      </c>
      <c r="S290" s="331" t="s">
        <v>1176</v>
      </c>
      <c r="T290" s="1238"/>
      <c r="U290" s="148"/>
      <c r="V290" s="148"/>
    </row>
    <row r="291" spans="1:22" ht="20.100000000000001" customHeight="1">
      <c r="A291" s="1127" t="s">
        <v>3740</v>
      </c>
      <c r="B291" s="1127" t="s">
        <v>4122</v>
      </c>
      <c r="C291" s="1127" t="s">
        <v>4121</v>
      </c>
      <c r="D291" s="952"/>
      <c r="E291" s="952"/>
      <c r="F291" s="952"/>
      <c r="G291" s="29" t="s">
        <v>18</v>
      </c>
      <c r="H291" s="22" t="s">
        <v>729</v>
      </c>
      <c r="I291" s="37" t="s">
        <v>1</v>
      </c>
      <c r="J291" s="50"/>
      <c r="K291" s="50" t="s">
        <v>830</v>
      </c>
      <c r="L291" s="50" t="s">
        <v>653</v>
      </c>
      <c r="M291" s="6">
        <v>43070</v>
      </c>
      <c r="N291" s="6">
        <v>43100</v>
      </c>
      <c r="O291" s="141" t="s">
        <v>3292</v>
      </c>
      <c r="P291" s="59" t="s">
        <v>4123</v>
      </c>
      <c r="Q291" s="373"/>
      <c r="R291" s="238" t="s">
        <v>942</v>
      </c>
      <c r="S291" s="316" t="s">
        <v>1176</v>
      </c>
      <c r="T291" s="1239"/>
      <c r="U291" s="148"/>
      <c r="V291" s="148"/>
    </row>
    <row r="292" spans="1:22" ht="20.100000000000001" customHeight="1">
      <c r="A292" s="1127" t="s">
        <v>3740</v>
      </c>
      <c r="B292" s="1127" t="s">
        <v>4122</v>
      </c>
      <c r="C292" s="1127" t="s">
        <v>4121</v>
      </c>
      <c r="D292" s="248">
        <v>1000</v>
      </c>
      <c r="E292" s="248">
        <v>2000</v>
      </c>
      <c r="F292" s="248">
        <v>2000</v>
      </c>
      <c r="G292" s="29" t="s">
        <v>31</v>
      </c>
      <c r="H292" s="36" t="s">
        <v>1102</v>
      </c>
      <c r="I292" s="50" t="s">
        <v>3814</v>
      </c>
      <c r="J292" s="50"/>
      <c r="K292" s="50">
        <v>26</v>
      </c>
      <c r="L292" s="50" t="s">
        <v>653</v>
      </c>
      <c r="M292" s="6">
        <v>43047</v>
      </c>
      <c r="N292" s="6">
        <v>43100</v>
      </c>
      <c r="O292" s="141" t="s">
        <v>3292</v>
      </c>
      <c r="P292" s="59"/>
      <c r="Q292" s="147"/>
      <c r="R292" s="238" t="s">
        <v>3461</v>
      </c>
      <c r="S292" s="325" t="s">
        <v>1176</v>
      </c>
      <c r="T292" s="921"/>
      <c r="U292" s="148"/>
      <c r="V292" s="148"/>
    </row>
    <row r="293" spans="1:22" ht="20.100000000000001" customHeight="1">
      <c r="A293" s="1127" t="s">
        <v>3781</v>
      </c>
      <c r="B293" s="1127" t="s">
        <v>4112</v>
      </c>
      <c r="C293" s="1127" t="s">
        <v>4120</v>
      </c>
      <c r="D293" s="971" t="s">
        <v>4116</v>
      </c>
      <c r="E293" s="971" t="s">
        <v>3490</v>
      </c>
      <c r="F293" s="971" t="s">
        <v>3490</v>
      </c>
      <c r="G293" s="29" t="s">
        <v>18</v>
      </c>
      <c r="H293" s="22" t="s">
        <v>729</v>
      </c>
      <c r="I293" s="37" t="s">
        <v>1</v>
      </c>
      <c r="J293" s="37"/>
      <c r="K293" s="37" t="s">
        <v>775</v>
      </c>
      <c r="L293" s="50" t="s">
        <v>653</v>
      </c>
      <c r="M293" s="6">
        <v>43070</v>
      </c>
      <c r="N293" s="6">
        <v>43100</v>
      </c>
      <c r="O293" s="59"/>
      <c r="P293" s="59"/>
      <c r="Q293" s="373"/>
      <c r="R293" s="238" t="s">
        <v>942</v>
      </c>
      <c r="S293" s="316" t="s">
        <v>1176</v>
      </c>
      <c r="T293" s="921"/>
      <c r="U293" s="148"/>
      <c r="V293" s="148"/>
    </row>
    <row r="294" spans="1:22" ht="20.100000000000001" customHeight="1">
      <c r="A294" s="1127" t="s">
        <v>3740</v>
      </c>
      <c r="B294" s="1127" t="s">
        <v>4112</v>
      </c>
      <c r="C294" s="1127" t="s">
        <v>4120</v>
      </c>
      <c r="D294" s="969">
        <v>1525</v>
      </c>
      <c r="E294" s="969">
        <v>2350</v>
      </c>
      <c r="F294" s="969">
        <v>2350</v>
      </c>
      <c r="G294" s="218" t="s">
        <v>5</v>
      </c>
      <c r="H294" s="22" t="s">
        <v>760</v>
      </c>
      <c r="I294" s="50" t="s">
        <v>1</v>
      </c>
      <c r="J294" s="50"/>
      <c r="K294" s="50" t="s">
        <v>775</v>
      </c>
      <c r="L294" s="50" t="s">
        <v>653</v>
      </c>
      <c r="M294" s="6">
        <v>43040</v>
      </c>
      <c r="N294" s="6">
        <v>43100</v>
      </c>
      <c r="O294" s="59" t="s">
        <v>1771</v>
      </c>
      <c r="P294" s="144"/>
      <c r="Q294" s="147"/>
      <c r="R294" s="238" t="s">
        <v>3784</v>
      </c>
      <c r="S294" s="331" t="s">
        <v>1176</v>
      </c>
      <c r="T294" s="922" t="s">
        <v>1233</v>
      </c>
      <c r="U294" s="148"/>
      <c r="V294" s="148"/>
    </row>
    <row r="295" spans="1:22" ht="20.100000000000001" customHeight="1">
      <c r="A295" s="1127" t="s">
        <v>3740</v>
      </c>
      <c r="B295" s="1127" t="s">
        <v>4112</v>
      </c>
      <c r="C295" s="1127" t="s">
        <v>4120</v>
      </c>
      <c r="D295" s="246">
        <v>1325</v>
      </c>
      <c r="E295" s="246">
        <v>2050</v>
      </c>
      <c r="F295" s="246">
        <v>2050</v>
      </c>
      <c r="G295" s="220" t="s">
        <v>22</v>
      </c>
      <c r="H295" s="69">
        <v>4</v>
      </c>
      <c r="I295" s="50" t="s">
        <v>16</v>
      </c>
      <c r="J295" s="50"/>
      <c r="K295" s="50" t="s">
        <v>683</v>
      </c>
      <c r="L295" s="50" t="s">
        <v>653</v>
      </c>
      <c r="M295" s="108">
        <v>43062</v>
      </c>
      <c r="N295" s="108">
        <v>43100</v>
      </c>
      <c r="O295" s="59" t="s">
        <v>2545</v>
      </c>
      <c r="P295" s="59"/>
      <c r="Q295" s="167"/>
      <c r="R295" s="238" t="s">
        <v>1389</v>
      </c>
      <c r="S295" s="331" t="s">
        <v>1176</v>
      </c>
      <c r="T295" s="921"/>
      <c r="U295" s="148"/>
      <c r="V295" s="148"/>
    </row>
    <row r="296" spans="1:22" ht="20.100000000000001" customHeight="1">
      <c r="A296" s="1127" t="s">
        <v>3740</v>
      </c>
      <c r="B296" s="1127" t="s">
        <v>4112</v>
      </c>
      <c r="C296" s="1127" t="s">
        <v>4120</v>
      </c>
      <c r="D296" s="308">
        <v>1350</v>
      </c>
      <c r="E296" s="308">
        <v>2000</v>
      </c>
      <c r="F296" s="308">
        <v>2000</v>
      </c>
      <c r="G296" s="109" t="s">
        <v>31</v>
      </c>
      <c r="H296" s="36" t="s">
        <v>1102</v>
      </c>
      <c r="I296" s="37" t="s">
        <v>3462</v>
      </c>
      <c r="J296" s="37"/>
      <c r="K296" s="37">
        <v>32</v>
      </c>
      <c r="L296" s="50" t="s">
        <v>653</v>
      </c>
      <c r="M296" s="6">
        <v>43047</v>
      </c>
      <c r="N296" s="6">
        <v>43100</v>
      </c>
      <c r="O296" s="61"/>
      <c r="P296" s="61" t="s">
        <v>4118</v>
      </c>
      <c r="Q296" s="147"/>
      <c r="R296" s="238" t="s">
        <v>3461</v>
      </c>
      <c r="S296" s="325" t="s">
        <v>1176</v>
      </c>
      <c r="T296" s="921"/>
      <c r="U296" s="148"/>
      <c r="V296" s="148"/>
    </row>
    <row r="297" spans="1:22" ht="20.100000000000001" customHeight="1">
      <c r="A297" s="1127" t="s">
        <v>1466</v>
      </c>
      <c r="B297" s="1127" t="s">
        <v>1465</v>
      </c>
      <c r="C297" s="1127" t="s">
        <v>1467</v>
      </c>
      <c r="D297" s="966">
        <v>1250</v>
      </c>
      <c r="E297" s="966">
        <v>2500</v>
      </c>
      <c r="F297" s="966">
        <v>2500</v>
      </c>
      <c r="G297" s="29" t="s">
        <v>13</v>
      </c>
      <c r="H297" s="69" t="s">
        <v>659</v>
      </c>
      <c r="I297" s="152" t="s">
        <v>855</v>
      </c>
      <c r="J297" s="37"/>
      <c r="K297" s="37" t="s">
        <v>970</v>
      </c>
      <c r="L297" s="50" t="s">
        <v>1481</v>
      </c>
      <c r="M297" s="108">
        <v>43070</v>
      </c>
      <c r="N297" s="108">
        <v>43100</v>
      </c>
      <c r="O297" s="61" t="s">
        <v>4119</v>
      </c>
      <c r="P297" s="61"/>
      <c r="Q297" s="167"/>
      <c r="R297" s="239" t="s">
        <v>2234</v>
      </c>
      <c r="S297" s="316" t="s">
        <v>3819</v>
      </c>
      <c r="T297" s="921"/>
      <c r="U297" s="148"/>
      <c r="V297" s="148"/>
    </row>
    <row r="298" spans="1:22" ht="20.100000000000001" customHeight="1">
      <c r="A298" s="1127" t="s">
        <v>3781</v>
      </c>
      <c r="B298" s="1127" t="s">
        <v>4112</v>
      </c>
      <c r="C298" s="1127" t="s">
        <v>4117</v>
      </c>
      <c r="D298" s="971" t="s">
        <v>4116</v>
      </c>
      <c r="E298" s="971" t="s">
        <v>3490</v>
      </c>
      <c r="F298" s="971" t="s">
        <v>3490</v>
      </c>
      <c r="G298" s="29" t="s">
        <v>18</v>
      </c>
      <c r="H298" s="22" t="s">
        <v>729</v>
      </c>
      <c r="I298" s="37" t="s">
        <v>1</v>
      </c>
      <c r="J298" s="37"/>
      <c r="K298" s="37" t="s">
        <v>683</v>
      </c>
      <c r="L298" s="50" t="s">
        <v>653</v>
      </c>
      <c r="M298" s="6">
        <v>43070</v>
      </c>
      <c r="N298" s="6">
        <v>43100</v>
      </c>
      <c r="O298" s="59"/>
      <c r="P298" s="59"/>
      <c r="Q298" s="373"/>
      <c r="R298" s="238" t="s">
        <v>942</v>
      </c>
      <c r="S298" s="316" t="s">
        <v>1176</v>
      </c>
      <c r="T298" s="921"/>
      <c r="U298" s="148"/>
      <c r="V298" s="148"/>
    </row>
    <row r="299" spans="1:22" ht="20.100000000000001" customHeight="1">
      <c r="A299" s="1127" t="s">
        <v>3740</v>
      </c>
      <c r="B299" s="1127" t="s">
        <v>4112</v>
      </c>
      <c r="C299" s="1127" t="s">
        <v>4117</v>
      </c>
      <c r="D299" s="969">
        <v>1525</v>
      </c>
      <c r="E299" s="969">
        <v>2350</v>
      </c>
      <c r="F299" s="969">
        <v>2350</v>
      </c>
      <c r="G299" s="218" t="s">
        <v>5</v>
      </c>
      <c r="H299" s="22" t="s">
        <v>760</v>
      </c>
      <c r="I299" s="50" t="s">
        <v>1</v>
      </c>
      <c r="J299" s="50"/>
      <c r="K299" s="50" t="s">
        <v>683</v>
      </c>
      <c r="L299" s="50" t="s">
        <v>653</v>
      </c>
      <c r="M299" s="6">
        <v>43059</v>
      </c>
      <c r="N299" s="6">
        <v>43100</v>
      </c>
      <c r="O299" s="59" t="s">
        <v>1771</v>
      </c>
      <c r="P299" s="144"/>
      <c r="Q299" s="147"/>
      <c r="R299" s="238" t="s">
        <v>3784</v>
      </c>
      <c r="S299" s="331" t="s">
        <v>1176</v>
      </c>
      <c r="T299" s="922" t="s">
        <v>1233</v>
      </c>
      <c r="U299" s="148"/>
      <c r="V299" s="148"/>
    </row>
    <row r="300" spans="1:22" ht="20.100000000000001" customHeight="1">
      <c r="A300" s="1127" t="s">
        <v>3740</v>
      </c>
      <c r="B300" s="1127" t="s">
        <v>4112</v>
      </c>
      <c r="C300" s="1127" t="s">
        <v>4117</v>
      </c>
      <c r="D300" s="246">
        <v>1300</v>
      </c>
      <c r="E300" s="246">
        <v>2000</v>
      </c>
      <c r="F300" s="246">
        <v>2000</v>
      </c>
      <c r="G300" s="220" t="s">
        <v>22</v>
      </c>
      <c r="H300" s="69">
        <v>4</v>
      </c>
      <c r="I300" s="50" t="s">
        <v>16</v>
      </c>
      <c r="J300" s="50"/>
      <c r="K300" s="50" t="s">
        <v>731</v>
      </c>
      <c r="L300" s="50" t="s">
        <v>653</v>
      </c>
      <c r="M300" s="108">
        <v>43062</v>
      </c>
      <c r="N300" s="108">
        <v>43100</v>
      </c>
      <c r="O300" s="59" t="s">
        <v>2545</v>
      </c>
      <c r="P300" s="59"/>
      <c r="Q300" s="167"/>
      <c r="R300" s="238" t="s">
        <v>1389</v>
      </c>
      <c r="S300" s="331" t="s">
        <v>1176</v>
      </c>
      <c r="T300" s="921"/>
      <c r="U300" s="148"/>
      <c r="V300" s="148"/>
    </row>
    <row r="301" spans="1:22" ht="20.100000000000001" customHeight="1">
      <c r="A301" s="1127" t="s">
        <v>3740</v>
      </c>
      <c r="B301" s="1127" t="s">
        <v>4112</v>
      </c>
      <c r="C301" s="1127" t="s">
        <v>4117</v>
      </c>
      <c r="D301" s="308">
        <v>1350</v>
      </c>
      <c r="E301" s="308">
        <v>2000</v>
      </c>
      <c r="F301" s="308">
        <v>2000</v>
      </c>
      <c r="G301" s="109" t="s">
        <v>31</v>
      </c>
      <c r="H301" s="36" t="s">
        <v>1102</v>
      </c>
      <c r="I301" s="37" t="s">
        <v>3462</v>
      </c>
      <c r="J301" s="37"/>
      <c r="K301" s="37">
        <v>32</v>
      </c>
      <c r="L301" s="50" t="s">
        <v>653</v>
      </c>
      <c r="M301" s="6">
        <v>43047</v>
      </c>
      <c r="N301" s="6">
        <v>43100</v>
      </c>
      <c r="O301" s="61"/>
      <c r="P301" s="61" t="s">
        <v>4118</v>
      </c>
      <c r="Q301" s="147"/>
      <c r="R301" s="238" t="s">
        <v>3461</v>
      </c>
      <c r="S301" s="325" t="s">
        <v>1176</v>
      </c>
      <c r="T301" s="921"/>
      <c r="U301" s="148"/>
      <c r="V301" s="148"/>
    </row>
    <row r="302" spans="1:22" ht="20.100000000000001" customHeight="1">
      <c r="A302" s="1127" t="s">
        <v>1466</v>
      </c>
      <c r="B302" s="1127" t="s">
        <v>1465</v>
      </c>
      <c r="C302" s="1127" t="s">
        <v>4117</v>
      </c>
      <c r="D302" s="966">
        <v>1250</v>
      </c>
      <c r="E302" s="966">
        <v>2500</v>
      </c>
      <c r="F302" s="966">
        <v>2500</v>
      </c>
      <c r="G302" s="29" t="s">
        <v>13</v>
      </c>
      <c r="H302" s="69" t="s">
        <v>659</v>
      </c>
      <c r="I302" s="152" t="s">
        <v>855</v>
      </c>
      <c r="J302" s="37"/>
      <c r="K302" s="37" t="s">
        <v>980</v>
      </c>
      <c r="L302" s="50" t="s">
        <v>1481</v>
      </c>
      <c r="M302" s="108">
        <v>43070</v>
      </c>
      <c r="N302" s="108">
        <v>43100</v>
      </c>
      <c r="O302" s="153" t="s">
        <v>858</v>
      </c>
      <c r="P302" s="61"/>
      <c r="Q302" s="167"/>
      <c r="R302" s="239" t="s">
        <v>2234</v>
      </c>
      <c r="S302" s="316" t="s">
        <v>3819</v>
      </c>
      <c r="T302" s="921"/>
      <c r="U302" s="148"/>
      <c r="V302" s="148"/>
    </row>
    <row r="303" spans="1:22" ht="20.100000000000001" customHeight="1">
      <c r="A303" s="1127" t="s">
        <v>3781</v>
      </c>
      <c r="B303" s="1127" t="s">
        <v>4112</v>
      </c>
      <c r="C303" s="1127" t="s">
        <v>4115</v>
      </c>
      <c r="D303" s="971" t="s">
        <v>4116</v>
      </c>
      <c r="E303" s="971" t="s">
        <v>3490</v>
      </c>
      <c r="F303" s="971" t="s">
        <v>3490</v>
      </c>
      <c r="G303" s="29" t="s">
        <v>18</v>
      </c>
      <c r="H303" s="22" t="s">
        <v>729</v>
      </c>
      <c r="I303" s="37" t="s">
        <v>1</v>
      </c>
      <c r="J303" s="37"/>
      <c r="K303" s="37" t="s">
        <v>1264</v>
      </c>
      <c r="L303" s="50" t="s">
        <v>653</v>
      </c>
      <c r="M303" s="6">
        <v>43070</v>
      </c>
      <c r="N303" s="6">
        <v>43100</v>
      </c>
      <c r="O303" s="59"/>
      <c r="P303" s="59"/>
      <c r="Q303" s="373"/>
      <c r="R303" s="238" t="s">
        <v>942</v>
      </c>
      <c r="S303" s="316" t="s">
        <v>1176</v>
      </c>
      <c r="T303" s="921"/>
      <c r="U303" s="148"/>
      <c r="V303" s="148"/>
    </row>
    <row r="304" spans="1:22" ht="20.100000000000001" customHeight="1">
      <c r="A304" s="1127" t="s">
        <v>3740</v>
      </c>
      <c r="B304" s="1127" t="s">
        <v>4112</v>
      </c>
      <c r="C304" s="1127" t="s">
        <v>4115</v>
      </c>
      <c r="D304" s="969">
        <v>1525</v>
      </c>
      <c r="E304" s="969">
        <v>2350</v>
      </c>
      <c r="F304" s="969">
        <v>2350</v>
      </c>
      <c r="G304" s="218" t="s">
        <v>5</v>
      </c>
      <c r="H304" s="22" t="s">
        <v>760</v>
      </c>
      <c r="I304" s="50" t="s">
        <v>1</v>
      </c>
      <c r="J304" s="50"/>
      <c r="K304" s="50" t="s">
        <v>722</v>
      </c>
      <c r="L304" s="50" t="s">
        <v>653</v>
      </c>
      <c r="M304" s="6">
        <v>43040</v>
      </c>
      <c r="N304" s="6">
        <v>43100</v>
      </c>
      <c r="O304" s="59" t="s">
        <v>1771</v>
      </c>
      <c r="P304" s="144"/>
      <c r="Q304" s="147"/>
      <c r="R304" s="238" t="s">
        <v>3784</v>
      </c>
      <c r="S304" s="331" t="s">
        <v>1176</v>
      </c>
      <c r="T304" s="922" t="s">
        <v>1233</v>
      </c>
      <c r="U304" s="148"/>
      <c r="V304" s="148"/>
    </row>
    <row r="305" spans="1:22" ht="20.100000000000001" customHeight="1">
      <c r="A305" s="1127" t="s">
        <v>3740</v>
      </c>
      <c r="B305" s="1127" t="s">
        <v>4112</v>
      </c>
      <c r="C305" s="1127" t="s">
        <v>4115</v>
      </c>
      <c r="D305" s="308">
        <v>1350</v>
      </c>
      <c r="E305" s="308">
        <v>2000</v>
      </c>
      <c r="F305" s="308">
        <v>2000</v>
      </c>
      <c r="G305" s="109" t="s">
        <v>31</v>
      </c>
      <c r="H305" s="36" t="s">
        <v>1102</v>
      </c>
      <c r="I305" s="37" t="s">
        <v>3462</v>
      </c>
      <c r="J305" s="37"/>
      <c r="K305" s="37">
        <v>31</v>
      </c>
      <c r="L305" s="50" t="s">
        <v>653</v>
      </c>
      <c r="M305" s="6">
        <v>43047</v>
      </c>
      <c r="N305" s="6">
        <v>43100</v>
      </c>
      <c r="O305" s="61"/>
      <c r="P305" s="61" t="s">
        <v>4114</v>
      </c>
      <c r="Q305" s="147"/>
      <c r="R305" s="238" t="s">
        <v>3461</v>
      </c>
      <c r="S305" s="325" t="s">
        <v>1176</v>
      </c>
      <c r="T305" s="921"/>
      <c r="U305" s="148"/>
      <c r="V305" s="148"/>
    </row>
    <row r="306" spans="1:22" ht="20.100000000000001" customHeight="1">
      <c r="A306" s="1127" t="s">
        <v>1466</v>
      </c>
      <c r="B306" s="1127" t="s">
        <v>1465</v>
      </c>
      <c r="C306" s="1127" t="s">
        <v>1464</v>
      </c>
      <c r="D306" s="966">
        <v>1250</v>
      </c>
      <c r="E306" s="966">
        <v>2500</v>
      </c>
      <c r="F306" s="966">
        <v>2500</v>
      </c>
      <c r="G306" s="29" t="s">
        <v>13</v>
      </c>
      <c r="H306" s="69" t="s">
        <v>659</v>
      </c>
      <c r="I306" s="152" t="s">
        <v>855</v>
      </c>
      <c r="J306" s="37"/>
      <c r="K306" s="37" t="s">
        <v>662</v>
      </c>
      <c r="L306" s="50" t="s">
        <v>1481</v>
      </c>
      <c r="M306" s="108">
        <v>43070</v>
      </c>
      <c r="N306" s="108">
        <v>43100</v>
      </c>
      <c r="O306" s="153" t="s">
        <v>858</v>
      </c>
      <c r="P306" s="61"/>
      <c r="Q306" s="167"/>
      <c r="R306" s="239" t="s">
        <v>2234</v>
      </c>
      <c r="S306" s="316" t="s">
        <v>3819</v>
      </c>
      <c r="T306" s="921"/>
      <c r="U306" s="148"/>
      <c r="V306" s="148"/>
    </row>
    <row r="307" spans="1:22" ht="20.100000000000001" customHeight="1">
      <c r="A307" s="1127" t="s">
        <v>3740</v>
      </c>
      <c r="B307" s="1127" t="s">
        <v>4112</v>
      </c>
      <c r="C307" s="1127" t="s">
        <v>4113</v>
      </c>
      <c r="D307" s="248"/>
      <c r="E307" s="248"/>
      <c r="F307" s="248"/>
      <c r="G307" s="218" t="s">
        <v>5</v>
      </c>
      <c r="H307" s="22" t="s">
        <v>3743</v>
      </c>
      <c r="I307" s="50" t="s">
        <v>1</v>
      </c>
      <c r="J307" s="50"/>
      <c r="K307" s="50" t="s">
        <v>1979</v>
      </c>
      <c r="L307" s="50" t="s">
        <v>3453</v>
      </c>
      <c r="M307" s="6">
        <v>43040</v>
      </c>
      <c r="N307" s="6">
        <v>43100</v>
      </c>
      <c r="O307" s="59" t="s">
        <v>1771</v>
      </c>
      <c r="P307" s="141"/>
      <c r="Q307" s="14"/>
      <c r="R307" s="238" t="s">
        <v>3741</v>
      </c>
      <c r="S307" s="331" t="s">
        <v>1176</v>
      </c>
      <c r="T307" s="922"/>
      <c r="U307" s="148"/>
      <c r="V307" s="148"/>
    </row>
    <row r="308" spans="1:22" ht="20.100000000000001" customHeight="1">
      <c r="A308" s="1127" t="s">
        <v>3740</v>
      </c>
      <c r="B308" s="1127" t="s">
        <v>4112</v>
      </c>
      <c r="C308" s="1127" t="s">
        <v>4113</v>
      </c>
      <c r="D308" s="966">
        <v>2200</v>
      </c>
      <c r="E308" s="966">
        <v>4400</v>
      </c>
      <c r="F308" s="966">
        <v>4400</v>
      </c>
      <c r="G308" s="220" t="s">
        <v>76</v>
      </c>
      <c r="H308" s="36" t="s">
        <v>721</v>
      </c>
      <c r="I308" s="37" t="s">
        <v>3311</v>
      </c>
      <c r="J308" s="37"/>
      <c r="K308" s="37">
        <v>44</v>
      </c>
      <c r="L308" s="50" t="s">
        <v>638</v>
      </c>
      <c r="M308" s="6">
        <v>43073</v>
      </c>
      <c r="N308" s="6">
        <v>43093</v>
      </c>
      <c r="O308" s="141" t="s">
        <v>3452</v>
      </c>
      <c r="P308" s="61"/>
      <c r="Q308" s="61"/>
      <c r="R308" s="238"/>
      <c r="S308" s="315" t="s">
        <v>3310</v>
      </c>
      <c r="T308" s="921"/>
      <c r="U308" s="148"/>
      <c r="V308" s="148"/>
    </row>
    <row r="309" spans="1:22" ht="20.100000000000001" customHeight="1">
      <c r="A309" s="1127" t="s">
        <v>3740</v>
      </c>
      <c r="B309" s="1127" t="s">
        <v>4112</v>
      </c>
      <c r="C309" s="1127" t="s">
        <v>3818</v>
      </c>
      <c r="D309" s="966">
        <v>2700</v>
      </c>
      <c r="E309" s="966">
        <v>5400</v>
      </c>
      <c r="F309" s="966">
        <v>5400</v>
      </c>
      <c r="G309" s="109" t="s">
        <v>13</v>
      </c>
      <c r="H309" s="69">
        <v>2</v>
      </c>
      <c r="I309" s="37" t="s">
        <v>80</v>
      </c>
      <c r="J309" s="37"/>
      <c r="K309" s="37">
        <v>32</v>
      </c>
      <c r="L309" s="50" t="s">
        <v>847</v>
      </c>
      <c r="M309" s="108">
        <v>43070</v>
      </c>
      <c r="N309" s="108">
        <v>43100</v>
      </c>
      <c r="O309" s="59" t="s">
        <v>601</v>
      </c>
      <c r="P309" s="61"/>
      <c r="Q309" s="171"/>
      <c r="R309" s="238" t="s">
        <v>3472</v>
      </c>
      <c r="S309" s="316" t="s">
        <v>3819</v>
      </c>
      <c r="T309" s="921"/>
      <c r="U309" s="148"/>
      <c r="V309" s="148"/>
    </row>
    <row r="310" spans="1:22" ht="20.100000000000001" customHeight="1">
      <c r="A310" s="1127" t="s">
        <v>3740</v>
      </c>
      <c r="B310" s="1127" t="s">
        <v>4112</v>
      </c>
      <c r="C310" s="1127" t="s">
        <v>3818</v>
      </c>
      <c r="D310" s="248"/>
      <c r="E310" s="248"/>
      <c r="F310" s="248"/>
      <c r="G310" s="218" t="s">
        <v>5</v>
      </c>
      <c r="H310" s="22" t="s">
        <v>3743</v>
      </c>
      <c r="I310" s="50" t="s">
        <v>1</v>
      </c>
      <c r="J310" s="50"/>
      <c r="K310" s="50" t="s">
        <v>1242</v>
      </c>
      <c r="L310" s="50" t="s">
        <v>3453</v>
      </c>
      <c r="M310" s="6">
        <v>43040</v>
      </c>
      <c r="N310" s="6">
        <v>43100</v>
      </c>
      <c r="O310" s="59" t="s">
        <v>1771</v>
      </c>
      <c r="P310" s="144"/>
      <c r="Q310" s="147"/>
      <c r="R310" s="238" t="s">
        <v>3741</v>
      </c>
      <c r="S310" s="331" t="s">
        <v>1176</v>
      </c>
      <c r="T310" s="922"/>
      <c r="U310" s="148"/>
      <c r="V310" s="148"/>
    </row>
    <row r="311" spans="1:22" ht="20.100000000000001" customHeight="1">
      <c r="A311" s="1127" t="s">
        <v>3740</v>
      </c>
      <c r="B311" s="1127" t="s">
        <v>4112</v>
      </c>
      <c r="C311" s="1127" t="s">
        <v>3818</v>
      </c>
      <c r="D311" s="966">
        <v>2200</v>
      </c>
      <c r="E311" s="966">
        <v>4400</v>
      </c>
      <c r="F311" s="966">
        <v>4400</v>
      </c>
      <c r="G311" s="220" t="s">
        <v>76</v>
      </c>
      <c r="H311" s="36" t="s">
        <v>721</v>
      </c>
      <c r="I311" s="37" t="s">
        <v>3311</v>
      </c>
      <c r="J311" s="37"/>
      <c r="K311" s="37">
        <v>45</v>
      </c>
      <c r="L311" s="50" t="s">
        <v>638</v>
      </c>
      <c r="M311" s="6">
        <v>43080</v>
      </c>
      <c r="N311" s="6">
        <v>43093</v>
      </c>
      <c r="O311" s="141" t="s">
        <v>3452</v>
      </c>
      <c r="P311" s="61"/>
      <c r="Q311" s="61"/>
      <c r="R311" s="238"/>
      <c r="S311" s="315" t="s">
        <v>3310</v>
      </c>
      <c r="T311" s="921"/>
      <c r="U311" s="148"/>
      <c r="V311" s="148"/>
    </row>
    <row r="312" spans="1:22" ht="20.100000000000001" customHeight="1">
      <c r="A312" s="895" t="s">
        <v>3740</v>
      </c>
      <c r="B312" s="895" t="s">
        <v>3816</v>
      </c>
      <c r="C312" s="895" t="s">
        <v>3817</v>
      </c>
      <c r="D312" s="975" t="s">
        <v>1634</v>
      </c>
      <c r="E312" s="975" t="s">
        <v>5310</v>
      </c>
      <c r="F312" s="975" t="s">
        <v>5310</v>
      </c>
      <c r="G312" s="29" t="s">
        <v>18</v>
      </c>
      <c r="H312" s="36" t="s">
        <v>725</v>
      </c>
      <c r="I312" s="37" t="s">
        <v>1</v>
      </c>
      <c r="J312" s="37"/>
      <c r="K312" s="50" t="s">
        <v>722</v>
      </c>
      <c r="L312" s="50" t="s">
        <v>649</v>
      </c>
      <c r="M312" s="6">
        <v>43080</v>
      </c>
      <c r="N312" s="6">
        <v>43100</v>
      </c>
      <c r="O312" s="61"/>
      <c r="P312" s="61"/>
      <c r="Q312" s="147"/>
      <c r="R312" s="238" t="s">
        <v>3471</v>
      </c>
      <c r="S312" s="316" t="s">
        <v>1176</v>
      </c>
      <c r="T312" s="921"/>
      <c r="U312" s="148"/>
      <c r="V312" s="148"/>
    </row>
    <row r="313" spans="1:22" ht="20.100000000000001" customHeight="1">
      <c r="A313" s="1127" t="s">
        <v>3740</v>
      </c>
      <c r="B313" s="1127" t="s">
        <v>3816</v>
      </c>
      <c r="C313" s="1127" t="s">
        <v>3815</v>
      </c>
      <c r="D313" s="247"/>
      <c r="E313" s="247"/>
      <c r="F313" s="247"/>
      <c r="G313" s="221" t="s">
        <v>19</v>
      </c>
      <c r="H313" s="69">
        <v>4</v>
      </c>
      <c r="I313" s="37" t="s">
        <v>3456</v>
      </c>
      <c r="J313" s="37"/>
      <c r="K313" s="37" t="s">
        <v>835</v>
      </c>
      <c r="L313" s="50" t="s">
        <v>653</v>
      </c>
      <c r="M313" s="6">
        <v>43056</v>
      </c>
      <c r="N313" s="6">
        <v>43083</v>
      </c>
      <c r="O313" s="59" t="s">
        <v>611</v>
      </c>
      <c r="P313" s="61"/>
      <c r="Q313" s="167"/>
      <c r="R313" s="238" t="s">
        <v>3470</v>
      </c>
      <c r="S313" s="315" t="s">
        <v>3469</v>
      </c>
      <c r="T313" s="921"/>
      <c r="U313" s="148"/>
      <c r="V313" s="148"/>
    </row>
    <row r="314" spans="1:22" ht="20.100000000000001" customHeight="1">
      <c r="A314" s="1127" t="s">
        <v>3740</v>
      </c>
      <c r="B314" s="1127" t="s">
        <v>3816</v>
      </c>
      <c r="C314" s="1127" t="s">
        <v>3815</v>
      </c>
      <c r="D314" s="246">
        <v>1400</v>
      </c>
      <c r="E314" s="246">
        <v>1850</v>
      </c>
      <c r="F314" s="246">
        <v>1850</v>
      </c>
      <c r="G314" s="109" t="s">
        <v>13</v>
      </c>
      <c r="H314" s="36" t="s">
        <v>659</v>
      </c>
      <c r="I314" s="50" t="s">
        <v>17</v>
      </c>
      <c r="J314" s="50"/>
      <c r="K314" s="50" t="s">
        <v>687</v>
      </c>
      <c r="L314" s="50" t="s">
        <v>847</v>
      </c>
      <c r="M314" s="108">
        <v>43081</v>
      </c>
      <c r="N314" s="108">
        <v>43100</v>
      </c>
      <c r="O314" s="59" t="s">
        <v>1771</v>
      </c>
      <c r="P314" s="61"/>
      <c r="Q314" s="167"/>
      <c r="R314" s="238" t="s">
        <v>3468</v>
      </c>
      <c r="S314" s="319" t="s">
        <v>1176</v>
      </c>
      <c r="T314" s="921"/>
      <c r="U314" s="148"/>
      <c r="V314" s="148"/>
    </row>
    <row r="315" spans="1:22" ht="20.100000000000001" customHeight="1">
      <c r="A315" s="1127" t="s">
        <v>3740</v>
      </c>
      <c r="B315" s="1127" t="s">
        <v>3816</v>
      </c>
      <c r="C315" s="1127" t="s">
        <v>3815</v>
      </c>
      <c r="D315" s="974" t="s">
        <v>3476</v>
      </c>
      <c r="E315" s="974" t="s">
        <v>3426</v>
      </c>
      <c r="F315" s="974" t="s">
        <v>3426</v>
      </c>
      <c r="G315" s="219" t="s">
        <v>51</v>
      </c>
      <c r="H315" s="36" t="s">
        <v>659</v>
      </c>
      <c r="I315" s="50" t="s">
        <v>17</v>
      </c>
      <c r="J315" s="50"/>
      <c r="K315" s="50" t="s">
        <v>687</v>
      </c>
      <c r="L315" s="50" t="s">
        <v>847</v>
      </c>
      <c r="M315" s="108">
        <v>43070</v>
      </c>
      <c r="N315" s="108">
        <v>43100</v>
      </c>
      <c r="O315" s="59"/>
      <c r="P315" s="59"/>
      <c r="Q315" s="167"/>
      <c r="R315" s="238" t="s">
        <v>3467</v>
      </c>
      <c r="S315" s="319"/>
      <c r="T315" s="921"/>
      <c r="U315" s="148"/>
      <c r="V315" s="148"/>
    </row>
    <row r="316" spans="1:22" ht="20.100000000000001" customHeight="1">
      <c r="A316" s="1127" t="s">
        <v>3740</v>
      </c>
      <c r="B316" s="1127" t="s">
        <v>3816</v>
      </c>
      <c r="C316" s="1242" t="s">
        <v>3815</v>
      </c>
      <c r="D316" s="973" t="s">
        <v>5309</v>
      </c>
      <c r="E316" s="973" t="s">
        <v>3490</v>
      </c>
      <c r="F316" s="973" t="s">
        <v>3490</v>
      </c>
      <c r="G316" s="763" t="s">
        <v>5</v>
      </c>
      <c r="H316" s="36" t="s">
        <v>725</v>
      </c>
      <c r="I316" s="50" t="s">
        <v>17</v>
      </c>
      <c r="J316" s="50"/>
      <c r="K316" s="50" t="s">
        <v>687</v>
      </c>
      <c r="L316" s="50" t="s">
        <v>649</v>
      </c>
      <c r="M316" s="6">
        <v>43087</v>
      </c>
      <c r="N316" s="6">
        <v>43100</v>
      </c>
      <c r="O316" s="59" t="s">
        <v>1771</v>
      </c>
      <c r="P316" s="141"/>
      <c r="Q316" s="167"/>
      <c r="R316" s="238" t="s">
        <v>3467</v>
      </c>
      <c r="S316" s="331" t="s">
        <v>1176</v>
      </c>
      <c r="T316" s="922">
        <v>15</v>
      </c>
      <c r="U316" s="148"/>
      <c r="V316" s="148"/>
    </row>
    <row r="317" spans="1:22" ht="20.100000000000001" customHeight="1">
      <c r="A317" s="1127" t="s">
        <v>3740</v>
      </c>
      <c r="B317" s="1127" t="s">
        <v>3816</v>
      </c>
      <c r="C317" s="1127" t="s">
        <v>3815</v>
      </c>
      <c r="D317" s="972" t="s">
        <v>4328</v>
      </c>
      <c r="E317" s="972" t="s">
        <v>3713</v>
      </c>
      <c r="F317" s="972" t="s">
        <v>3713</v>
      </c>
      <c r="G317" s="29" t="s">
        <v>18</v>
      </c>
      <c r="H317" s="36" t="s">
        <v>725</v>
      </c>
      <c r="I317" s="50" t="s">
        <v>17</v>
      </c>
      <c r="J317" s="50"/>
      <c r="K317" s="50" t="s">
        <v>1107</v>
      </c>
      <c r="L317" s="50" t="s">
        <v>653</v>
      </c>
      <c r="M317" s="6">
        <v>43080</v>
      </c>
      <c r="N317" s="6">
        <v>43100</v>
      </c>
      <c r="O317" s="141"/>
      <c r="P317" s="141"/>
      <c r="Q317" s="167"/>
      <c r="R317" s="238" t="s">
        <v>3466</v>
      </c>
      <c r="S317" s="316" t="s">
        <v>1176</v>
      </c>
      <c r="T317" s="859"/>
      <c r="U317" s="148"/>
      <c r="V317" s="148"/>
    </row>
    <row r="318" spans="1:22" ht="20.100000000000001" customHeight="1">
      <c r="A318" s="1127" t="s">
        <v>3740</v>
      </c>
      <c r="B318" s="1127" t="s">
        <v>3816</v>
      </c>
      <c r="C318" s="1127" t="s">
        <v>3815</v>
      </c>
      <c r="D318" s="972" t="s">
        <v>4328</v>
      </c>
      <c r="E318" s="972" t="s">
        <v>3713</v>
      </c>
      <c r="F318" s="972" t="s">
        <v>3713</v>
      </c>
      <c r="G318" s="29" t="s">
        <v>18</v>
      </c>
      <c r="H318" s="194" t="s">
        <v>681</v>
      </c>
      <c r="I318" s="50" t="s">
        <v>17</v>
      </c>
      <c r="J318" s="50"/>
      <c r="K318" s="50"/>
      <c r="L318" s="50" t="s">
        <v>649</v>
      </c>
      <c r="M318" s="6">
        <v>43080</v>
      </c>
      <c r="N318" s="6">
        <v>43100</v>
      </c>
      <c r="O318" s="141"/>
      <c r="P318" s="141"/>
      <c r="Q318" s="171"/>
      <c r="R318" s="238" t="s">
        <v>3463</v>
      </c>
      <c r="S318" s="316" t="s">
        <v>1176</v>
      </c>
      <c r="T318" s="859"/>
      <c r="U318" s="148"/>
      <c r="V318" s="148"/>
    </row>
    <row r="319" spans="1:22" ht="20.100000000000001" customHeight="1">
      <c r="A319" s="1127" t="s">
        <v>3740</v>
      </c>
      <c r="B319" s="1127" t="s">
        <v>3816</v>
      </c>
      <c r="C319" s="1127" t="s">
        <v>3815</v>
      </c>
      <c r="D319" s="952">
        <v>1850</v>
      </c>
      <c r="E319" s="952">
        <v>3500</v>
      </c>
      <c r="F319" s="952">
        <v>3500</v>
      </c>
      <c r="G319" s="29" t="s">
        <v>31</v>
      </c>
      <c r="H319" s="36" t="s">
        <v>1102</v>
      </c>
      <c r="I319" s="37" t="s">
        <v>3462</v>
      </c>
      <c r="J319" s="50"/>
      <c r="K319" s="50">
        <v>42</v>
      </c>
      <c r="L319" s="50" t="s">
        <v>653</v>
      </c>
      <c r="M319" s="6">
        <v>43080</v>
      </c>
      <c r="N319" s="6">
        <v>43100</v>
      </c>
      <c r="O319" s="144"/>
      <c r="P319" s="144"/>
      <c r="Q319" s="147"/>
      <c r="R319" s="238" t="s">
        <v>3461</v>
      </c>
      <c r="S319" s="325" t="s">
        <v>1522</v>
      </c>
      <c r="T319" s="921"/>
      <c r="U319" s="148"/>
      <c r="V319" s="148"/>
    </row>
    <row r="320" spans="1:22" ht="20.100000000000001" customHeight="1">
      <c r="A320" s="1240" t="s">
        <v>3740</v>
      </c>
      <c r="B320" s="1240" t="s">
        <v>3813</v>
      </c>
      <c r="C320" s="1240" t="s">
        <v>3812</v>
      </c>
      <c r="D320" s="952">
        <v>2875</v>
      </c>
      <c r="E320" s="952">
        <v>4900</v>
      </c>
      <c r="F320" s="952">
        <v>4900</v>
      </c>
      <c r="G320" s="3" t="s">
        <v>18</v>
      </c>
      <c r="H320" s="69" t="s">
        <v>659</v>
      </c>
      <c r="I320" s="37" t="s">
        <v>3814</v>
      </c>
      <c r="J320" s="37"/>
      <c r="K320" s="37" t="s">
        <v>775</v>
      </c>
      <c r="L320" s="50" t="s">
        <v>653</v>
      </c>
      <c r="M320" s="6">
        <v>43040</v>
      </c>
      <c r="N320" s="6">
        <v>43100</v>
      </c>
      <c r="O320" s="141"/>
      <c r="P320" s="141"/>
      <c r="Q320" s="171"/>
      <c r="R320" s="238" t="s">
        <v>3460</v>
      </c>
      <c r="S320" s="333" t="s">
        <v>1176</v>
      </c>
      <c r="T320" s="859"/>
      <c r="U320" s="148"/>
      <c r="V320" s="148"/>
    </row>
    <row r="321" spans="1:22" ht="20.100000000000001" customHeight="1">
      <c r="A321" s="1240" t="s">
        <v>3740</v>
      </c>
      <c r="B321" s="1240" t="s">
        <v>3813</v>
      </c>
      <c r="C321" s="1240" t="s">
        <v>3812</v>
      </c>
      <c r="D321" s="968">
        <v>1850</v>
      </c>
      <c r="E321" s="968">
        <v>3400</v>
      </c>
      <c r="F321" s="968">
        <v>3400</v>
      </c>
      <c r="G321" s="218" t="s">
        <v>5</v>
      </c>
      <c r="H321" s="36" t="s">
        <v>3804</v>
      </c>
      <c r="I321" s="50" t="s">
        <v>1</v>
      </c>
      <c r="J321" s="50"/>
      <c r="K321" s="50">
        <v>25</v>
      </c>
      <c r="L321" s="50" t="s">
        <v>653</v>
      </c>
      <c r="M321" s="6">
        <v>43040</v>
      </c>
      <c r="N321" s="6">
        <v>43100</v>
      </c>
      <c r="O321" s="59" t="s">
        <v>1771</v>
      </c>
      <c r="P321" s="144"/>
      <c r="Q321" s="52"/>
      <c r="R321" s="238" t="s">
        <v>3749</v>
      </c>
      <c r="S321" s="331" t="s">
        <v>1176</v>
      </c>
      <c r="T321" s="922" t="s">
        <v>723</v>
      </c>
      <c r="U321" s="148"/>
      <c r="V321" s="148"/>
    </row>
    <row r="322" spans="1:22" ht="20.100000000000001" customHeight="1">
      <c r="A322" s="1240" t="s">
        <v>3740</v>
      </c>
      <c r="B322" s="1240" t="s">
        <v>3813</v>
      </c>
      <c r="C322" s="1240" t="s">
        <v>3812</v>
      </c>
      <c r="D322" s="969">
        <v>1950</v>
      </c>
      <c r="E322" s="969">
        <v>3300</v>
      </c>
      <c r="F322" s="969">
        <v>3300</v>
      </c>
      <c r="G322" s="220" t="s">
        <v>76</v>
      </c>
      <c r="H322" s="36" t="s">
        <v>721</v>
      </c>
      <c r="I322" s="37" t="s">
        <v>3311</v>
      </c>
      <c r="J322" s="37"/>
      <c r="K322" s="37">
        <v>27</v>
      </c>
      <c r="L322" s="50" t="s">
        <v>638</v>
      </c>
      <c r="M322" s="6">
        <v>43073</v>
      </c>
      <c r="N322" s="6">
        <v>43093</v>
      </c>
      <c r="O322" s="141" t="s">
        <v>3452</v>
      </c>
      <c r="P322" s="141"/>
      <c r="Q322" s="141"/>
      <c r="R322" s="238"/>
      <c r="S322" s="315" t="s">
        <v>3310</v>
      </c>
      <c r="T322" s="921"/>
      <c r="U322" s="148"/>
      <c r="V322" s="148"/>
    </row>
    <row r="323" spans="1:22" ht="20.100000000000001" customHeight="1">
      <c r="A323" s="1162" t="s">
        <v>3740</v>
      </c>
      <c r="B323" s="1162" t="s">
        <v>3811</v>
      </c>
      <c r="C323" s="1162" t="s">
        <v>3810</v>
      </c>
      <c r="D323" s="969">
        <v>1850</v>
      </c>
      <c r="E323" s="969">
        <v>2900</v>
      </c>
      <c r="F323" s="969">
        <v>2900</v>
      </c>
      <c r="G323" s="136" t="s">
        <v>13</v>
      </c>
      <c r="H323" s="36" t="s">
        <v>729</v>
      </c>
      <c r="I323" s="37" t="s">
        <v>126</v>
      </c>
      <c r="J323" s="37"/>
      <c r="K323" s="37" t="s">
        <v>970</v>
      </c>
      <c r="L323" s="50" t="s">
        <v>638</v>
      </c>
      <c r="M323" s="108">
        <v>43040</v>
      </c>
      <c r="N323" s="108">
        <v>43083</v>
      </c>
      <c r="O323" s="59" t="s">
        <v>601</v>
      </c>
      <c r="P323" s="141"/>
      <c r="Q323" s="167"/>
      <c r="R323" s="49" t="s">
        <v>1814</v>
      </c>
      <c r="S323" s="319" t="s">
        <v>1176</v>
      </c>
      <c r="T323" s="921"/>
      <c r="U323" s="148"/>
      <c r="V323" s="148"/>
    </row>
    <row r="324" spans="1:22" ht="20.100000000000001" customHeight="1">
      <c r="A324" s="1166" t="s">
        <v>3740</v>
      </c>
      <c r="B324" s="1166" t="s">
        <v>3811</v>
      </c>
      <c r="C324" s="1166" t="s">
        <v>3810</v>
      </c>
      <c r="D324" s="969">
        <v>1485</v>
      </c>
      <c r="E324" s="969">
        <v>2650</v>
      </c>
      <c r="F324" s="969">
        <v>2650</v>
      </c>
      <c r="G324" s="136" t="s">
        <v>3893</v>
      </c>
      <c r="H324" s="36" t="s">
        <v>4111</v>
      </c>
      <c r="I324" s="37" t="s">
        <v>23</v>
      </c>
      <c r="J324" s="37"/>
      <c r="K324" s="37"/>
      <c r="L324" s="50" t="s">
        <v>638</v>
      </c>
      <c r="M324" s="649">
        <v>43083</v>
      </c>
      <c r="N324" s="649">
        <v>43090</v>
      </c>
      <c r="O324" s="59"/>
      <c r="P324" s="141"/>
      <c r="Q324" s="167"/>
      <c r="R324" s="49"/>
      <c r="S324" s="704" t="s">
        <v>1176</v>
      </c>
      <c r="T324" s="317" t="s">
        <v>723</v>
      </c>
      <c r="U324" s="148"/>
      <c r="V324" s="148"/>
    </row>
    <row r="325" spans="1:22" ht="20.100000000000001" customHeight="1">
      <c r="A325" s="1166" t="s">
        <v>3740</v>
      </c>
      <c r="B325" s="1166" t="s">
        <v>3811</v>
      </c>
      <c r="C325" s="1166" t="s">
        <v>3810</v>
      </c>
      <c r="D325" s="969">
        <v>1850</v>
      </c>
      <c r="E325" s="969">
        <v>3100</v>
      </c>
      <c r="F325" s="969">
        <v>3100</v>
      </c>
      <c r="G325" s="221" t="s">
        <v>19</v>
      </c>
      <c r="H325" s="36" t="s">
        <v>1102</v>
      </c>
      <c r="I325" s="37" t="s">
        <v>126</v>
      </c>
      <c r="J325" s="37"/>
      <c r="K325" s="37" t="s">
        <v>775</v>
      </c>
      <c r="L325" s="124" t="s">
        <v>639</v>
      </c>
      <c r="M325" s="6">
        <v>43044</v>
      </c>
      <c r="N325" s="6">
        <v>43079</v>
      </c>
      <c r="O325" s="59" t="s">
        <v>611</v>
      </c>
      <c r="P325" s="61"/>
      <c r="Q325" s="167"/>
      <c r="R325" s="49" t="s">
        <v>187</v>
      </c>
      <c r="S325" s="331"/>
      <c r="T325" s="921"/>
      <c r="U325" s="148"/>
      <c r="V325" s="148"/>
    </row>
    <row r="326" spans="1:22" ht="20.100000000000001" customHeight="1">
      <c r="A326" s="1166" t="s">
        <v>3740</v>
      </c>
      <c r="B326" s="1166" t="s">
        <v>3811</v>
      </c>
      <c r="C326" s="1166" t="s">
        <v>3810</v>
      </c>
      <c r="D326" s="969">
        <v>2025</v>
      </c>
      <c r="E326" s="969">
        <v>3050</v>
      </c>
      <c r="F326" s="969">
        <v>3050</v>
      </c>
      <c r="G326" s="136" t="s">
        <v>6</v>
      </c>
      <c r="H326" s="36" t="s">
        <v>659</v>
      </c>
      <c r="I326" s="37" t="s">
        <v>126</v>
      </c>
      <c r="J326" s="37"/>
      <c r="K326" s="37" t="s">
        <v>830</v>
      </c>
      <c r="L326" s="50" t="s">
        <v>653</v>
      </c>
      <c r="M326" s="50"/>
      <c r="N326" s="9">
        <v>42848</v>
      </c>
      <c r="O326" s="141"/>
      <c r="P326" s="141"/>
      <c r="Q326" s="373"/>
      <c r="R326" s="49" t="s">
        <v>1825</v>
      </c>
      <c r="S326" s="322" t="s">
        <v>1176</v>
      </c>
      <c r="T326" s="921"/>
      <c r="U326" s="148"/>
      <c r="V326" s="148"/>
    </row>
    <row r="327" spans="1:22" ht="20.100000000000001" customHeight="1">
      <c r="A327" s="1166" t="s">
        <v>3740</v>
      </c>
      <c r="B327" s="1166" t="s">
        <v>3811</v>
      </c>
      <c r="C327" s="1166" t="s">
        <v>3810</v>
      </c>
      <c r="D327" s="969">
        <v>1525</v>
      </c>
      <c r="E327" s="969">
        <v>2750</v>
      </c>
      <c r="F327" s="969">
        <v>2750</v>
      </c>
      <c r="G327" s="221" t="s">
        <v>76</v>
      </c>
      <c r="H327" s="36" t="s">
        <v>725</v>
      </c>
      <c r="I327" s="37" t="s">
        <v>23</v>
      </c>
      <c r="J327" s="37"/>
      <c r="K327" s="37" t="s">
        <v>728</v>
      </c>
      <c r="L327" s="37" t="s">
        <v>638</v>
      </c>
      <c r="M327" s="6">
        <v>43073</v>
      </c>
      <c r="N327" s="6">
        <v>43093</v>
      </c>
      <c r="O327" s="59"/>
      <c r="P327" s="141"/>
      <c r="Q327" s="167"/>
      <c r="R327" s="49" t="s">
        <v>2294</v>
      </c>
      <c r="S327" s="322" t="s">
        <v>1176</v>
      </c>
      <c r="T327" s="921"/>
      <c r="U327" s="148"/>
      <c r="V327" s="148"/>
    </row>
    <row r="328" spans="1:22" ht="20.100000000000001" customHeight="1">
      <c r="A328" s="1167" t="s">
        <v>3740</v>
      </c>
      <c r="B328" s="1167" t="s">
        <v>3811</v>
      </c>
      <c r="C328" s="1167" t="s">
        <v>3810</v>
      </c>
      <c r="D328" s="968">
        <v>1850</v>
      </c>
      <c r="E328" s="968">
        <v>2950</v>
      </c>
      <c r="F328" s="968">
        <v>2950</v>
      </c>
      <c r="G328" s="218" t="s">
        <v>5</v>
      </c>
      <c r="H328" s="36" t="s">
        <v>3804</v>
      </c>
      <c r="I328" s="50" t="s">
        <v>1</v>
      </c>
      <c r="J328" s="50"/>
      <c r="K328" s="50">
        <v>25</v>
      </c>
      <c r="L328" s="50" t="s">
        <v>653</v>
      </c>
      <c r="M328" s="6">
        <v>43040</v>
      </c>
      <c r="N328" s="6">
        <v>43100</v>
      </c>
      <c r="O328" s="59" t="s">
        <v>1771</v>
      </c>
      <c r="P328" s="144"/>
      <c r="Q328" s="52"/>
      <c r="R328" s="238" t="s">
        <v>3749</v>
      </c>
      <c r="S328" s="331" t="s">
        <v>1176</v>
      </c>
      <c r="T328" s="922" t="s">
        <v>723</v>
      </c>
      <c r="U328" s="148"/>
      <c r="V328" s="148"/>
    </row>
    <row r="329" spans="1:22" ht="20.100000000000001" customHeight="1">
      <c r="A329" s="1195" t="s">
        <v>3781</v>
      </c>
      <c r="B329" s="1195" t="s">
        <v>3802</v>
      </c>
      <c r="C329" s="1195" t="s">
        <v>3809</v>
      </c>
      <c r="D329" s="970">
        <v>1300</v>
      </c>
      <c r="E329" s="970">
        <v>2300</v>
      </c>
      <c r="F329" s="970">
        <v>2300</v>
      </c>
      <c r="G329" s="218" t="s">
        <v>5</v>
      </c>
      <c r="H329" s="35" t="s">
        <v>886</v>
      </c>
      <c r="I329" s="114" t="s">
        <v>127</v>
      </c>
      <c r="J329" s="51"/>
      <c r="K329" s="50">
        <v>30</v>
      </c>
      <c r="L329" s="51" t="s">
        <v>639</v>
      </c>
      <c r="M329" s="6">
        <v>43040</v>
      </c>
      <c r="N329" s="6">
        <v>43100</v>
      </c>
      <c r="O329" s="61" t="s">
        <v>1771</v>
      </c>
      <c r="P329" s="61"/>
      <c r="Q329" s="7"/>
      <c r="R329" s="73" t="s">
        <v>4110</v>
      </c>
      <c r="S329" s="315" t="s">
        <v>4109</v>
      </c>
      <c r="T329" s="922"/>
      <c r="U329" s="148"/>
      <c r="V329" s="148"/>
    </row>
    <row r="330" spans="1:22" ht="20.100000000000001" customHeight="1">
      <c r="A330" s="1195" t="s">
        <v>3781</v>
      </c>
      <c r="B330" s="1195" t="s">
        <v>3802</v>
      </c>
      <c r="C330" s="1195" t="s">
        <v>3809</v>
      </c>
      <c r="D330" s="971" t="s">
        <v>4327</v>
      </c>
      <c r="E330" s="971" t="s">
        <v>3475</v>
      </c>
      <c r="F330" s="971" t="s">
        <v>3475</v>
      </c>
      <c r="G330" s="63" t="s">
        <v>18</v>
      </c>
      <c r="H330" s="55" t="s">
        <v>1102</v>
      </c>
      <c r="I330" s="38" t="s">
        <v>3797</v>
      </c>
      <c r="J330" s="37"/>
      <c r="K330" s="50" t="s">
        <v>1107</v>
      </c>
      <c r="L330" s="38" t="s">
        <v>653</v>
      </c>
      <c r="M330" s="6">
        <v>43080</v>
      </c>
      <c r="N330" s="6">
        <v>43100</v>
      </c>
      <c r="O330" s="904"/>
      <c r="P330" s="904"/>
      <c r="Q330" s="171"/>
      <c r="R330" s="49" t="s">
        <v>5000</v>
      </c>
      <c r="S330" s="316" t="s">
        <v>1176</v>
      </c>
      <c r="T330" s="921"/>
      <c r="U330" s="148"/>
      <c r="V330" s="148"/>
    </row>
    <row r="331" spans="1:22" ht="20.100000000000001" customHeight="1">
      <c r="A331" s="1195" t="s">
        <v>3781</v>
      </c>
      <c r="B331" s="1195" t="s">
        <v>3802</v>
      </c>
      <c r="C331" s="1195" t="s">
        <v>3809</v>
      </c>
      <c r="D331" s="248">
        <v>1700</v>
      </c>
      <c r="E331" s="248">
        <v>3400</v>
      </c>
      <c r="F331" s="248">
        <v>3400</v>
      </c>
      <c r="G331" s="29" t="s">
        <v>31</v>
      </c>
      <c r="H331" s="36" t="s">
        <v>659</v>
      </c>
      <c r="I331" s="37" t="s">
        <v>1240</v>
      </c>
      <c r="J331" s="37"/>
      <c r="K331" s="37" t="s">
        <v>968</v>
      </c>
      <c r="L331" s="50" t="s">
        <v>649</v>
      </c>
      <c r="M331" s="6">
        <v>43080</v>
      </c>
      <c r="N331" s="6">
        <v>43100</v>
      </c>
      <c r="O331" s="141"/>
      <c r="P331" s="141"/>
      <c r="Q331" s="171"/>
      <c r="R331" s="239" t="s">
        <v>3796</v>
      </c>
      <c r="S331" s="325" t="s">
        <v>1176</v>
      </c>
      <c r="T331" s="921"/>
      <c r="U331" s="148"/>
      <c r="V331" s="148"/>
    </row>
    <row r="332" spans="1:22" ht="20.100000000000001" customHeight="1">
      <c r="A332" s="1195" t="s">
        <v>3781</v>
      </c>
      <c r="B332" s="1195" t="s">
        <v>3802</v>
      </c>
      <c r="C332" s="1195"/>
      <c r="D332" s="970">
        <v>1350</v>
      </c>
      <c r="E332" s="970">
        <v>2350</v>
      </c>
      <c r="F332" s="970">
        <v>2350</v>
      </c>
      <c r="G332" s="63" t="s">
        <v>13</v>
      </c>
      <c r="H332" s="22" t="s">
        <v>659</v>
      </c>
      <c r="I332" s="37" t="s">
        <v>1415</v>
      </c>
      <c r="J332" s="50"/>
      <c r="K332" s="50" t="s">
        <v>1107</v>
      </c>
      <c r="L332" s="51" t="s">
        <v>639</v>
      </c>
      <c r="M332" s="108">
        <v>43069</v>
      </c>
      <c r="N332" s="108">
        <v>43044</v>
      </c>
      <c r="O332" s="106" t="s">
        <v>601</v>
      </c>
      <c r="P332" s="61"/>
      <c r="Q332" s="173"/>
      <c r="R332" s="49" t="s">
        <v>1822</v>
      </c>
      <c r="S332" s="316" t="s">
        <v>1176</v>
      </c>
      <c r="T332" s="921"/>
      <c r="U332" s="148"/>
      <c r="V332" s="148"/>
    </row>
    <row r="333" spans="1:22" ht="20.100000000000001" customHeight="1">
      <c r="A333" s="1195" t="s">
        <v>3781</v>
      </c>
      <c r="B333" s="1195" t="s">
        <v>3802</v>
      </c>
      <c r="C333" s="1195"/>
      <c r="D333" s="970">
        <v>1350</v>
      </c>
      <c r="E333" s="970">
        <v>2350</v>
      </c>
      <c r="F333" s="970">
        <v>2350</v>
      </c>
      <c r="G333" s="63" t="s">
        <v>13</v>
      </c>
      <c r="H333" s="69">
        <v>4</v>
      </c>
      <c r="I333" s="37" t="s">
        <v>1415</v>
      </c>
      <c r="J333" s="37"/>
      <c r="K333" s="37">
        <v>27</v>
      </c>
      <c r="L333" s="38" t="s">
        <v>847</v>
      </c>
      <c r="M333" s="108">
        <v>43069</v>
      </c>
      <c r="N333" s="108">
        <v>43044</v>
      </c>
      <c r="O333" s="106" t="s">
        <v>601</v>
      </c>
      <c r="P333" s="61"/>
      <c r="Q333" s="167"/>
      <c r="R333" s="49" t="s">
        <v>1820</v>
      </c>
      <c r="S333" s="319" t="s">
        <v>1176</v>
      </c>
      <c r="T333" s="921"/>
      <c r="U333" s="148"/>
      <c r="V333" s="148"/>
    </row>
    <row r="334" spans="1:22" ht="20.100000000000001" customHeight="1">
      <c r="A334" s="1195" t="s">
        <v>3781</v>
      </c>
      <c r="B334" s="1195" t="s">
        <v>3802</v>
      </c>
      <c r="C334" s="1195" t="s">
        <v>3809</v>
      </c>
      <c r="D334" s="969">
        <v>1850</v>
      </c>
      <c r="E334" s="969">
        <v>3300</v>
      </c>
      <c r="F334" s="969">
        <v>3300</v>
      </c>
      <c r="G334" s="221" t="s">
        <v>76</v>
      </c>
      <c r="H334" s="36" t="s">
        <v>721</v>
      </c>
      <c r="I334" s="37" t="s">
        <v>3311</v>
      </c>
      <c r="J334" s="37"/>
      <c r="K334" s="37" t="s">
        <v>1242</v>
      </c>
      <c r="L334" s="50" t="s">
        <v>638</v>
      </c>
      <c r="M334" s="6">
        <v>43073</v>
      </c>
      <c r="N334" s="6">
        <v>43093</v>
      </c>
      <c r="O334" s="141" t="s">
        <v>3452</v>
      </c>
      <c r="P334" s="61"/>
      <c r="Q334" s="7"/>
      <c r="R334" s="49"/>
      <c r="S334" s="315" t="s">
        <v>3310</v>
      </c>
      <c r="T334" s="921"/>
      <c r="U334" s="148"/>
      <c r="V334" s="148"/>
    </row>
    <row r="335" spans="1:22" ht="20.100000000000001" customHeight="1">
      <c r="A335" s="917" t="s">
        <v>3781</v>
      </c>
      <c r="B335" s="895" t="s">
        <v>3802</v>
      </c>
      <c r="C335" s="895" t="s">
        <v>3808</v>
      </c>
      <c r="D335" s="248">
        <v>1700</v>
      </c>
      <c r="E335" s="248">
        <v>3400</v>
      </c>
      <c r="F335" s="248">
        <v>3400</v>
      </c>
      <c r="G335" s="29" t="s">
        <v>31</v>
      </c>
      <c r="H335" s="36" t="s">
        <v>725</v>
      </c>
      <c r="I335" s="37" t="s">
        <v>3311</v>
      </c>
      <c r="J335" s="37"/>
      <c r="K335" s="37" t="s">
        <v>975</v>
      </c>
      <c r="L335" s="50" t="s">
        <v>649</v>
      </c>
      <c r="M335" s="6">
        <v>43080</v>
      </c>
      <c r="N335" s="6">
        <v>43100</v>
      </c>
      <c r="O335" s="141"/>
      <c r="P335" s="141"/>
      <c r="Q335" s="373"/>
      <c r="R335" s="239" t="s">
        <v>3807</v>
      </c>
      <c r="S335" s="325" t="s">
        <v>1176</v>
      </c>
      <c r="T335" s="921"/>
      <c r="U335" s="148"/>
      <c r="V335" s="148"/>
    </row>
    <row r="336" spans="1:22" ht="20.100000000000001" customHeight="1">
      <c r="A336" s="1127" t="s">
        <v>3781</v>
      </c>
      <c r="B336" s="1127" t="s">
        <v>3802</v>
      </c>
      <c r="C336" s="1127" t="s">
        <v>3801</v>
      </c>
      <c r="D336" s="969"/>
      <c r="E336" s="969"/>
      <c r="F336" s="969"/>
      <c r="G336" s="3" t="s">
        <v>13</v>
      </c>
      <c r="H336" s="36" t="s">
        <v>721</v>
      </c>
      <c r="I336" s="37" t="s">
        <v>3311</v>
      </c>
      <c r="J336" s="37"/>
      <c r="K336" s="37"/>
      <c r="L336" s="50" t="s">
        <v>1481</v>
      </c>
      <c r="M336" s="108">
        <v>43041</v>
      </c>
      <c r="N336" s="108">
        <v>43072</v>
      </c>
      <c r="O336" s="59" t="s">
        <v>601</v>
      </c>
      <c r="P336" s="141"/>
      <c r="Q336" s="167"/>
      <c r="R336" s="238" t="s">
        <v>1854</v>
      </c>
      <c r="S336" s="316" t="s">
        <v>3806</v>
      </c>
      <c r="T336" s="921"/>
      <c r="U336" s="148"/>
      <c r="V336" s="148"/>
    </row>
    <row r="337" spans="1:22" ht="20.100000000000001" customHeight="1">
      <c r="A337" s="1127" t="s">
        <v>3740</v>
      </c>
      <c r="B337" s="1127" t="s">
        <v>3802</v>
      </c>
      <c r="C337" s="1127" t="s">
        <v>3801</v>
      </c>
      <c r="D337" s="248">
        <v>2100</v>
      </c>
      <c r="E337" s="248">
        <v>4000</v>
      </c>
      <c r="F337" s="248">
        <v>4000</v>
      </c>
      <c r="G337" s="29" t="s">
        <v>31</v>
      </c>
      <c r="H337" s="36" t="s">
        <v>659</v>
      </c>
      <c r="I337" s="37" t="s">
        <v>3797</v>
      </c>
      <c r="J337" s="37"/>
      <c r="K337" s="37" t="s">
        <v>775</v>
      </c>
      <c r="L337" s="50" t="s">
        <v>649</v>
      </c>
      <c r="M337" s="6">
        <v>43080</v>
      </c>
      <c r="N337" s="6">
        <v>43100</v>
      </c>
      <c r="O337" s="141"/>
      <c r="P337" s="141" t="s">
        <v>3805</v>
      </c>
      <c r="Q337" s="373"/>
      <c r="R337" s="239" t="s">
        <v>3796</v>
      </c>
      <c r="S337" s="325" t="s">
        <v>1176</v>
      </c>
      <c r="T337" s="921"/>
      <c r="U337" s="148"/>
      <c r="V337" s="148"/>
    </row>
    <row r="338" spans="1:22" ht="20.100000000000001" customHeight="1">
      <c r="A338" s="1127" t="s">
        <v>3740</v>
      </c>
      <c r="B338" s="1127" t="s">
        <v>3802</v>
      </c>
      <c r="C338" s="1127" t="s">
        <v>3801</v>
      </c>
      <c r="D338" s="969">
        <v>2050</v>
      </c>
      <c r="E338" s="969">
        <v>4100</v>
      </c>
      <c r="F338" s="969">
        <v>4100</v>
      </c>
      <c r="G338" s="218" t="s">
        <v>5</v>
      </c>
      <c r="H338" s="36" t="s">
        <v>3804</v>
      </c>
      <c r="I338" s="50" t="s">
        <v>3803</v>
      </c>
      <c r="J338" s="50"/>
      <c r="K338" s="50" t="s">
        <v>986</v>
      </c>
      <c r="L338" s="50" t="s">
        <v>653</v>
      </c>
      <c r="M338" s="6">
        <v>43040</v>
      </c>
      <c r="N338" s="6">
        <v>43100</v>
      </c>
      <c r="O338" s="59" t="s">
        <v>1771</v>
      </c>
      <c r="P338" s="144"/>
      <c r="Q338" s="52"/>
      <c r="R338" s="238" t="s">
        <v>3749</v>
      </c>
      <c r="S338" s="331" t="s">
        <v>1176</v>
      </c>
      <c r="T338" s="922" t="s">
        <v>1830</v>
      </c>
      <c r="U338" s="148"/>
      <c r="V338" s="148"/>
    </row>
    <row r="339" spans="1:22" ht="20.100000000000001" customHeight="1">
      <c r="A339" s="1127" t="s">
        <v>3740</v>
      </c>
      <c r="B339" s="1127" t="s">
        <v>3802</v>
      </c>
      <c r="C339" s="1127" t="s">
        <v>3801</v>
      </c>
      <c r="D339" s="969">
        <v>1850</v>
      </c>
      <c r="E339" s="969">
        <v>3300</v>
      </c>
      <c r="F339" s="969">
        <v>3300</v>
      </c>
      <c r="G339" s="221" t="s">
        <v>76</v>
      </c>
      <c r="H339" s="36" t="s">
        <v>721</v>
      </c>
      <c r="I339" s="37" t="s">
        <v>3311</v>
      </c>
      <c r="J339" s="37"/>
      <c r="K339" s="37" t="s">
        <v>1242</v>
      </c>
      <c r="L339" s="50" t="s">
        <v>638</v>
      </c>
      <c r="M339" s="6">
        <v>43073</v>
      </c>
      <c r="N339" s="6">
        <v>43093</v>
      </c>
      <c r="O339" s="141" t="s">
        <v>3452</v>
      </c>
      <c r="P339" s="144"/>
      <c r="Q339" s="52"/>
      <c r="R339" s="238"/>
      <c r="S339" s="315" t="s">
        <v>3310</v>
      </c>
      <c r="T339" s="921"/>
      <c r="U339" s="148"/>
      <c r="V339" s="148"/>
    </row>
    <row r="340" spans="1:22" ht="20.100000000000001" customHeight="1">
      <c r="A340" s="1127" t="s">
        <v>3740</v>
      </c>
      <c r="B340" s="1127" t="s">
        <v>3799</v>
      </c>
      <c r="C340" s="1127" t="s">
        <v>3798</v>
      </c>
      <c r="D340" s="968">
        <v>1900</v>
      </c>
      <c r="E340" s="968">
        <v>3750</v>
      </c>
      <c r="F340" s="968">
        <v>3750</v>
      </c>
      <c r="G340" s="218" t="s">
        <v>5</v>
      </c>
      <c r="H340" s="22" t="s">
        <v>1102</v>
      </c>
      <c r="I340" s="50" t="s">
        <v>3793</v>
      </c>
      <c r="J340" s="50"/>
      <c r="K340" s="50" t="s">
        <v>835</v>
      </c>
      <c r="L340" s="50" t="s">
        <v>653</v>
      </c>
      <c r="M340" s="6">
        <v>43040</v>
      </c>
      <c r="N340" s="6">
        <v>43100</v>
      </c>
      <c r="O340" s="59" t="s">
        <v>3800</v>
      </c>
      <c r="P340" s="141"/>
      <c r="Q340" s="167"/>
      <c r="R340" s="238" t="s">
        <v>3458</v>
      </c>
      <c r="S340" s="331" t="s">
        <v>1176</v>
      </c>
      <c r="T340" s="922"/>
      <c r="U340" s="148"/>
      <c r="V340" s="148"/>
    </row>
    <row r="341" spans="1:22" ht="20.100000000000001" customHeight="1">
      <c r="A341" s="1127" t="s">
        <v>3740</v>
      </c>
      <c r="B341" s="1127" t="s">
        <v>3799</v>
      </c>
      <c r="C341" s="1127" t="s">
        <v>3798</v>
      </c>
      <c r="D341" s="952">
        <v>1650</v>
      </c>
      <c r="E341" s="952">
        <v>3300</v>
      </c>
      <c r="F341" s="952">
        <v>3300</v>
      </c>
      <c r="G341" s="109" t="s">
        <v>31</v>
      </c>
      <c r="H341" s="36" t="s">
        <v>1102</v>
      </c>
      <c r="I341" s="37" t="s">
        <v>3814</v>
      </c>
      <c r="J341" s="50"/>
      <c r="K341" s="50">
        <v>28</v>
      </c>
      <c r="L341" s="50" t="s">
        <v>653</v>
      </c>
      <c r="M341" s="6">
        <v>43047</v>
      </c>
      <c r="N341" s="6">
        <v>43100</v>
      </c>
      <c r="O341" s="141" t="s">
        <v>3292</v>
      </c>
      <c r="P341" s="61"/>
      <c r="Q341" s="171"/>
      <c r="R341" s="238" t="s">
        <v>3461</v>
      </c>
      <c r="S341" s="325" t="s">
        <v>1176</v>
      </c>
      <c r="T341" s="921"/>
      <c r="U341" s="148"/>
      <c r="V341" s="148"/>
    </row>
    <row r="342" spans="1:22" ht="20.100000000000001" customHeight="1">
      <c r="A342" s="1127" t="s">
        <v>3740</v>
      </c>
      <c r="B342" s="1127" t="s">
        <v>3792</v>
      </c>
      <c r="C342" s="1127" t="s">
        <v>3795</v>
      </c>
      <c r="D342" s="952">
        <v>2600</v>
      </c>
      <c r="E342" s="952">
        <v>5200</v>
      </c>
      <c r="F342" s="952">
        <v>5200</v>
      </c>
      <c r="G342" s="218" t="s">
        <v>5</v>
      </c>
      <c r="H342" s="22" t="s">
        <v>1102</v>
      </c>
      <c r="I342" s="50" t="s">
        <v>3793</v>
      </c>
      <c r="J342" s="50"/>
      <c r="K342" s="50" t="s">
        <v>1242</v>
      </c>
      <c r="L342" s="50" t="s">
        <v>653</v>
      </c>
      <c r="M342" s="6">
        <v>43040</v>
      </c>
      <c r="N342" s="6">
        <v>43100</v>
      </c>
      <c r="O342" s="61" t="s">
        <v>3459</v>
      </c>
      <c r="P342" s="141"/>
      <c r="Q342" s="167"/>
      <c r="R342" s="238" t="s">
        <v>3458</v>
      </c>
      <c r="S342" s="331" t="s">
        <v>1176</v>
      </c>
      <c r="T342" s="922"/>
      <c r="U342" s="148"/>
      <c r="V342" s="148"/>
    </row>
    <row r="343" spans="1:22" ht="20.100000000000001" customHeight="1">
      <c r="A343" s="1127" t="s">
        <v>3740</v>
      </c>
      <c r="B343" s="1127" t="s">
        <v>3792</v>
      </c>
      <c r="C343" s="1127" t="s">
        <v>3795</v>
      </c>
      <c r="D343" s="248">
        <v>2000</v>
      </c>
      <c r="E343" s="248">
        <v>4000</v>
      </c>
      <c r="F343" s="248">
        <v>4000</v>
      </c>
      <c r="G343" s="220" t="s">
        <v>76</v>
      </c>
      <c r="H343" s="36" t="s">
        <v>721</v>
      </c>
      <c r="I343" s="50" t="s">
        <v>3311</v>
      </c>
      <c r="J343" s="50"/>
      <c r="K343" s="50">
        <v>43</v>
      </c>
      <c r="L343" s="50" t="s">
        <v>638</v>
      </c>
      <c r="M343" s="6">
        <v>43073</v>
      </c>
      <c r="N343" s="6">
        <v>43093</v>
      </c>
      <c r="O343" s="141" t="s">
        <v>3790</v>
      </c>
      <c r="P343" s="141" t="s">
        <v>3794</v>
      </c>
      <c r="Q343" s="141"/>
      <c r="R343" s="238"/>
      <c r="S343" s="315" t="s">
        <v>3310</v>
      </c>
      <c r="T343" s="921"/>
      <c r="U343" s="148"/>
      <c r="V343" s="148"/>
    </row>
    <row r="344" spans="1:22" ht="20.100000000000001" customHeight="1">
      <c r="A344" s="1127" t="s">
        <v>3740</v>
      </c>
      <c r="B344" s="1127" t="s">
        <v>3792</v>
      </c>
      <c r="C344" s="1127" t="s">
        <v>3791</v>
      </c>
      <c r="D344" s="952">
        <v>2500</v>
      </c>
      <c r="E344" s="952">
        <v>5000</v>
      </c>
      <c r="F344" s="952">
        <v>5000</v>
      </c>
      <c r="G344" s="218" t="s">
        <v>5</v>
      </c>
      <c r="H344" s="22" t="s">
        <v>1102</v>
      </c>
      <c r="I344" s="50" t="s">
        <v>3793</v>
      </c>
      <c r="J344" s="50"/>
      <c r="K344" s="50" t="s">
        <v>1242</v>
      </c>
      <c r="L344" s="50" t="s">
        <v>653</v>
      </c>
      <c r="M344" s="6">
        <v>43040</v>
      </c>
      <c r="N344" s="6">
        <v>43100</v>
      </c>
      <c r="O344" s="61" t="s">
        <v>3459</v>
      </c>
      <c r="P344" s="141"/>
      <c r="Q344" s="167"/>
      <c r="R344" s="238" t="s">
        <v>3458</v>
      </c>
      <c r="S344" s="331" t="s">
        <v>1176</v>
      </c>
      <c r="T344" s="922"/>
      <c r="U344" s="148"/>
      <c r="V344" s="148"/>
    </row>
    <row r="345" spans="1:22" ht="20.100000000000001" customHeight="1">
      <c r="A345" s="1127" t="s">
        <v>3740</v>
      </c>
      <c r="B345" s="1127" t="s">
        <v>3792</v>
      </c>
      <c r="C345" s="1127" t="s">
        <v>3791</v>
      </c>
      <c r="D345" s="248">
        <v>2000</v>
      </c>
      <c r="E345" s="248">
        <v>4000</v>
      </c>
      <c r="F345" s="248">
        <v>4000</v>
      </c>
      <c r="G345" s="220" t="s">
        <v>76</v>
      </c>
      <c r="H345" s="36" t="s">
        <v>721</v>
      </c>
      <c r="I345" s="37" t="s">
        <v>3311</v>
      </c>
      <c r="J345" s="37"/>
      <c r="K345" s="37">
        <v>41</v>
      </c>
      <c r="L345" s="50" t="s">
        <v>638</v>
      </c>
      <c r="M345" s="6">
        <v>43073</v>
      </c>
      <c r="N345" s="6">
        <v>43093</v>
      </c>
      <c r="O345" s="141" t="s">
        <v>3790</v>
      </c>
      <c r="P345" s="141"/>
      <c r="Q345" s="141"/>
      <c r="R345" s="238"/>
      <c r="S345" s="315" t="s">
        <v>3310</v>
      </c>
      <c r="T345" s="921"/>
      <c r="U345" s="148"/>
      <c r="V345" s="148"/>
    </row>
    <row r="346" spans="1:22" ht="20.100000000000001" customHeight="1">
      <c r="A346" s="256" t="s">
        <v>3756</v>
      </c>
      <c r="B346" s="895" t="s">
        <v>3789</v>
      </c>
      <c r="C346" s="905" t="s">
        <v>3788</v>
      </c>
      <c r="D346" s="966">
        <f>D188+13225/8+50</f>
        <v>2878.125</v>
      </c>
      <c r="E346" s="966">
        <f>E188+17900/8+100</f>
        <v>4587.5</v>
      </c>
      <c r="F346" s="966">
        <f>F188+17900/8+100</f>
        <v>4587.5</v>
      </c>
      <c r="G346" s="222" t="s">
        <v>22</v>
      </c>
      <c r="H346" s="69">
        <v>4</v>
      </c>
      <c r="I346" s="50" t="s">
        <v>3456</v>
      </c>
      <c r="J346" s="50"/>
      <c r="K346" s="50">
        <v>27</v>
      </c>
      <c r="L346" s="50" t="s">
        <v>653</v>
      </c>
      <c r="M346" s="108">
        <v>43062</v>
      </c>
      <c r="N346" s="108">
        <v>43100</v>
      </c>
      <c r="O346" s="59" t="s">
        <v>2545</v>
      </c>
      <c r="P346" s="59"/>
      <c r="Q346" s="61" t="s">
        <v>3787</v>
      </c>
      <c r="R346" s="238" t="s">
        <v>1389</v>
      </c>
      <c r="S346" s="316" t="s">
        <v>3430</v>
      </c>
      <c r="T346" s="921"/>
      <c r="U346" s="148"/>
      <c r="V346" s="148"/>
    </row>
    <row r="347" spans="1:22" ht="20.100000000000001" customHeight="1">
      <c r="A347" s="1162" t="s">
        <v>3740</v>
      </c>
      <c r="B347" s="1162" t="s">
        <v>3779</v>
      </c>
      <c r="C347" s="1162" t="s">
        <v>3783</v>
      </c>
      <c r="D347" s="966"/>
      <c r="E347" s="246">
        <f>E182+6170+50</f>
        <v>8370</v>
      </c>
      <c r="F347" s="246">
        <f>F182+6170+50</f>
        <v>8370</v>
      </c>
      <c r="G347" s="222" t="s">
        <v>5</v>
      </c>
      <c r="H347" s="69" t="s">
        <v>659</v>
      </c>
      <c r="I347" s="37" t="s">
        <v>3456</v>
      </c>
      <c r="J347" s="37"/>
      <c r="K347" s="37">
        <v>27</v>
      </c>
      <c r="L347" s="50" t="s">
        <v>653</v>
      </c>
      <c r="M347" s="6">
        <v>43046</v>
      </c>
      <c r="N347" s="6">
        <v>43100</v>
      </c>
      <c r="O347" s="59" t="s">
        <v>1771</v>
      </c>
      <c r="P347" s="141"/>
      <c r="Q347" s="76" t="s">
        <v>100</v>
      </c>
      <c r="R347" s="238" t="s">
        <v>3457</v>
      </c>
      <c r="S347" s="331" t="s">
        <v>1176</v>
      </c>
      <c r="T347" s="922"/>
      <c r="U347" s="148"/>
      <c r="V347" s="148"/>
    </row>
    <row r="348" spans="1:22" ht="20.100000000000001" customHeight="1">
      <c r="A348" s="1166" t="s">
        <v>3740</v>
      </c>
      <c r="B348" s="1166" t="s">
        <v>3779</v>
      </c>
      <c r="C348" s="1166" t="s">
        <v>3783</v>
      </c>
      <c r="D348" s="966"/>
      <c r="E348" s="246">
        <f>E299+3925+50</f>
        <v>6325</v>
      </c>
      <c r="F348" s="246">
        <f>F299+3925+50</f>
        <v>6325</v>
      </c>
      <c r="G348" s="222" t="s">
        <v>5</v>
      </c>
      <c r="H348" s="22" t="s">
        <v>3743</v>
      </c>
      <c r="I348" s="50" t="s">
        <v>3742</v>
      </c>
      <c r="J348" s="50"/>
      <c r="K348" s="50">
        <v>38</v>
      </c>
      <c r="L348" s="50" t="s">
        <v>3453</v>
      </c>
      <c r="M348" s="6">
        <v>43040</v>
      </c>
      <c r="N348" s="6">
        <v>43100</v>
      </c>
      <c r="O348" s="59" t="s">
        <v>1771</v>
      </c>
      <c r="P348" s="61"/>
      <c r="Q348" s="76" t="s">
        <v>100</v>
      </c>
      <c r="R348" s="238" t="s">
        <v>3741</v>
      </c>
      <c r="S348" s="331" t="s">
        <v>1176</v>
      </c>
      <c r="T348" s="922"/>
      <c r="U348" s="148"/>
      <c r="V348" s="148"/>
    </row>
    <row r="349" spans="1:22" ht="20.100000000000001" customHeight="1">
      <c r="A349" s="1166" t="s">
        <v>3740</v>
      </c>
      <c r="B349" s="1166" t="s">
        <v>3779</v>
      </c>
      <c r="C349" s="1166" t="s">
        <v>3783</v>
      </c>
      <c r="D349" s="966">
        <f>D184+4950</f>
        <v>6150</v>
      </c>
      <c r="E349" s="966">
        <f>E184+5100</f>
        <v>7300</v>
      </c>
      <c r="F349" s="966">
        <f>F184+5100</f>
        <v>7300</v>
      </c>
      <c r="G349" s="222" t="s">
        <v>51</v>
      </c>
      <c r="H349" s="69">
        <v>4</v>
      </c>
      <c r="I349" s="50" t="s">
        <v>3456</v>
      </c>
      <c r="J349" s="50"/>
      <c r="K349" s="50"/>
      <c r="L349" s="50" t="s">
        <v>653</v>
      </c>
      <c r="M349" s="108">
        <v>43054</v>
      </c>
      <c r="N349" s="108">
        <v>43100</v>
      </c>
      <c r="O349" s="59" t="s">
        <v>3773</v>
      </c>
      <c r="P349" s="60"/>
      <c r="Q349" s="61" t="s">
        <v>3772</v>
      </c>
      <c r="R349" s="238" t="s">
        <v>3455</v>
      </c>
      <c r="S349" s="331"/>
      <c r="T349" s="921"/>
      <c r="U349" s="148"/>
      <c r="V349" s="148"/>
    </row>
    <row r="350" spans="1:22" ht="20.100000000000001" customHeight="1">
      <c r="A350" s="1166" t="s">
        <v>3740</v>
      </c>
      <c r="B350" s="1166" t="s">
        <v>3779</v>
      </c>
      <c r="C350" s="1166" t="s">
        <v>3783</v>
      </c>
      <c r="D350" s="246">
        <f>D188+25322/8+250+50</f>
        <v>4640.25</v>
      </c>
      <c r="E350" s="246">
        <f>E188+49115/8+350+100</f>
        <v>8839.375</v>
      </c>
      <c r="F350" s="246">
        <f>F188+49115/8+350+100</f>
        <v>8839.375</v>
      </c>
      <c r="G350" s="222" t="s">
        <v>22</v>
      </c>
      <c r="H350" s="69">
        <v>4</v>
      </c>
      <c r="I350" s="50" t="s">
        <v>3456</v>
      </c>
      <c r="J350" s="50"/>
      <c r="K350" s="50">
        <v>54</v>
      </c>
      <c r="L350" s="50" t="s">
        <v>653</v>
      </c>
      <c r="M350" s="108">
        <v>43062</v>
      </c>
      <c r="N350" s="108">
        <v>43100</v>
      </c>
      <c r="O350" s="59" t="s">
        <v>2545</v>
      </c>
      <c r="P350" s="59"/>
      <c r="Q350" s="61" t="s">
        <v>3787</v>
      </c>
      <c r="R350" s="238" t="s">
        <v>1389</v>
      </c>
      <c r="S350" s="316" t="s">
        <v>3430</v>
      </c>
      <c r="T350" s="921"/>
      <c r="U350" s="148"/>
      <c r="V350" s="148"/>
    </row>
    <row r="351" spans="1:22" ht="20.100000000000001" customHeight="1">
      <c r="A351" s="1166" t="s">
        <v>3740</v>
      </c>
      <c r="B351" s="1166" t="s">
        <v>3779</v>
      </c>
      <c r="C351" s="1166" t="s">
        <v>3783</v>
      </c>
      <c r="D351" s="966"/>
      <c r="E351" s="246">
        <f>E294+4550+50</f>
        <v>6950</v>
      </c>
      <c r="F351" s="246">
        <f>F294+4550+50</f>
        <v>6950</v>
      </c>
      <c r="G351" s="222" t="s">
        <v>5</v>
      </c>
      <c r="H351" s="22" t="s">
        <v>760</v>
      </c>
      <c r="I351" s="50" t="s">
        <v>3786</v>
      </c>
      <c r="J351" s="50"/>
      <c r="K351" s="50">
        <v>34</v>
      </c>
      <c r="L351" s="50" t="s">
        <v>653</v>
      </c>
      <c r="M351" s="6">
        <v>43040</v>
      </c>
      <c r="N351" s="6">
        <v>43100</v>
      </c>
      <c r="O351" s="59" t="s">
        <v>1771</v>
      </c>
      <c r="P351" s="144"/>
      <c r="Q351" s="157" t="s">
        <v>3785</v>
      </c>
      <c r="R351" s="238" t="s">
        <v>3784</v>
      </c>
      <c r="S351" s="331" t="s">
        <v>1176</v>
      </c>
      <c r="T351" s="922"/>
      <c r="U351" s="148"/>
      <c r="V351" s="148"/>
    </row>
    <row r="352" spans="1:22" ht="20.100000000000001" customHeight="1">
      <c r="A352" s="1167" t="s">
        <v>3740</v>
      </c>
      <c r="B352" s="1167" t="s">
        <v>3779</v>
      </c>
      <c r="C352" s="1167" t="s">
        <v>3783</v>
      </c>
      <c r="D352" s="197">
        <f>D302+3415+100</f>
        <v>4765</v>
      </c>
      <c r="E352" s="197">
        <f>E302+3775+200</f>
        <v>6475</v>
      </c>
      <c r="F352" s="197">
        <f>F302+3775+200</f>
        <v>6475</v>
      </c>
      <c r="G352" s="110" t="s">
        <v>13</v>
      </c>
      <c r="H352" s="36" t="s">
        <v>1233</v>
      </c>
      <c r="I352" s="37" t="s">
        <v>3742</v>
      </c>
      <c r="J352" s="37"/>
      <c r="K352" s="37">
        <v>35</v>
      </c>
      <c r="L352" s="50" t="s">
        <v>1481</v>
      </c>
      <c r="M352" s="108">
        <v>43070</v>
      </c>
      <c r="N352" s="108">
        <v>43100</v>
      </c>
      <c r="O352" s="59" t="s">
        <v>601</v>
      </c>
      <c r="P352" s="61"/>
      <c r="Q352" s="167"/>
      <c r="R352" s="238" t="s">
        <v>1662</v>
      </c>
      <c r="S352" s="319" t="s">
        <v>1176</v>
      </c>
      <c r="T352" s="921"/>
      <c r="U352" s="148"/>
      <c r="V352" s="148"/>
    </row>
    <row r="353" spans="1:22" ht="20.100000000000001" customHeight="1">
      <c r="A353" s="1243" t="s">
        <v>3781</v>
      </c>
      <c r="B353" s="1162" t="s">
        <v>3779</v>
      </c>
      <c r="C353" s="1162" t="s">
        <v>3782</v>
      </c>
      <c r="D353" s="966"/>
      <c r="E353" s="246">
        <f>E299+5075+50</f>
        <v>7475</v>
      </c>
      <c r="F353" s="246">
        <f>F299+5075+50</f>
        <v>7475</v>
      </c>
      <c r="G353" s="222" t="s">
        <v>5</v>
      </c>
      <c r="H353" s="22" t="s">
        <v>3743</v>
      </c>
      <c r="I353" s="50" t="s">
        <v>3742</v>
      </c>
      <c r="J353" s="50"/>
      <c r="K353" s="50">
        <v>38</v>
      </c>
      <c r="L353" s="50" t="s">
        <v>3453</v>
      </c>
      <c r="M353" s="6">
        <v>43040</v>
      </c>
      <c r="N353" s="6">
        <v>43100</v>
      </c>
      <c r="O353" s="59" t="s">
        <v>1771</v>
      </c>
      <c r="P353" s="61"/>
      <c r="Q353" s="76" t="s">
        <v>100</v>
      </c>
      <c r="R353" s="238" t="s">
        <v>3741</v>
      </c>
      <c r="S353" s="331" t="s">
        <v>1176</v>
      </c>
      <c r="T353" s="922"/>
      <c r="U353" s="148"/>
      <c r="V353" s="148"/>
    </row>
    <row r="354" spans="1:22" ht="20.100000000000001" customHeight="1">
      <c r="A354" s="1166" t="s">
        <v>3740</v>
      </c>
      <c r="B354" s="1166" t="s">
        <v>3779</v>
      </c>
      <c r="C354" s="1166" t="s">
        <v>3782</v>
      </c>
      <c r="D354" s="966">
        <f>D184+4950</f>
        <v>6150</v>
      </c>
      <c r="E354" s="966">
        <f>E184+5100</f>
        <v>7300</v>
      </c>
      <c r="F354" s="966">
        <f>F184+5100</f>
        <v>7300</v>
      </c>
      <c r="G354" s="222" t="s">
        <v>51</v>
      </c>
      <c r="H354" s="69">
        <v>4</v>
      </c>
      <c r="I354" s="50" t="s">
        <v>3456</v>
      </c>
      <c r="J354" s="50"/>
      <c r="K354" s="50"/>
      <c r="L354" s="50" t="s">
        <v>653</v>
      </c>
      <c r="M354" s="108">
        <v>43054</v>
      </c>
      <c r="N354" s="108">
        <v>43100</v>
      </c>
      <c r="O354" s="59" t="s">
        <v>3773</v>
      </c>
      <c r="P354" s="60"/>
      <c r="Q354" s="61" t="s">
        <v>3772</v>
      </c>
      <c r="R354" s="238" t="s">
        <v>3455</v>
      </c>
      <c r="S354" s="331"/>
      <c r="T354" s="921"/>
      <c r="U354" s="148"/>
      <c r="V354" s="148"/>
    </row>
    <row r="355" spans="1:22" ht="20.100000000000001" customHeight="1">
      <c r="A355" s="1167" t="s">
        <v>3740</v>
      </c>
      <c r="B355" s="1167" t="s">
        <v>3779</v>
      </c>
      <c r="C355" s="1167" t="s">
        <v>3782</v>
      </c>
      <c r="D355" s="197">
        <f>D302+4715+100</f>
        <v>6065</v>
      </c>
      <c r="E355" s="197">
        <f>E302+5125+200</f>
        <v>7825</v>
      </c>
      <c r="F355" s="197">
        <f>F302+5125+200</f>
        <v>7825</v>
      </c>
      <c r="G355" s="110" t="s">
        <v>13</v>
      </c>
      <c r="H355" s="36" t="s">
        <v>1233</v>
      </c>
      <c r="I355" s="37" t="s">
        <v>3742</v>
      </c>
      <c r="J355" s="37"/>
      <c r="K355" s="37">
        <v>36</v>
      </c>
      <c r="L355" s="50" t="s">
        <v>1481</v>
      </c>
      <c r="M355" s="108">
        <v>43070</v>
      </c>
      <c r="N355" s="108">
        <v>43100</v>
      </c>
      <c r="O355" s="59" t="s">
        <v>601</v>
      </c>
      <c r="P355" s="61"/>
      <c r="Q355" s="167"/>
      <c r="R355" s="238" t="s">
        <v>1662</v>
      </c>
      <c r="S355" s="319" t="s">
        <v>1176</v>
      </c>
      <c r="T355" s="921"/>
      <c r="U355" s="148"/>
      <c r="V355" s="148"/>
    </row>
    <row r="356" spans="1:22" ht="20.100000000000001" customHeight="1">
      <c r="A356" s="370" t="s">
        <v>3781</v>
      </c>
      <c r="B356" s="898" t="s">
        <v>3779</v>
      </c>
      <c r="C356" s="898" t="s">
        <v>3780</v>
      </c>
      <c r="D356" s="246">
        <f>D184+4950</f>
        <v>6150</v>
      </c>
      <c r="E356" s="246">
        <f>E184+5100</f>
        <v>7300</v>
      </c>
      <c r="F356" s="246">
        <f>F184+5100</f>
        <v>7300</v>
      </c>
      <c r="G356" s="222" t="s">
        <v>51</v>
      </c>
      <c r="H356" s="69">
        <v>4</v>
      </c>
      <c r="I356" s="50" t="s">
        <v>3456</v>
      </c>
      <c r="J356" s="50"/>
      <c r="K356" s="50"/>
      <c r="L356" s="50" t="s">
        <v>653</v>
      </c>
      <c r="M356" s="108">
        <v>43054</v>
      </c>
      <c r="N356" s="108">
        <v>43100</v>
      </c>
      <c r="O356" s="59" t="s">
        <v>3773</v>
      </c>
      <c r="P356" s="60"/>
      <c r="Q356" s="61" t="s">
        <v>3772</v>
      </c>
      <c r="R356" s="238" t="s">
        <v>3455</v>
      </c>
      <c r="S356" s="319"/>
      <c r="T356" s="921"/>
      <c r="U356" s="148"/>
      <c r="V356" s="148"/>
    </row>
    <row r="357" spans="1:22" ht="20.100000000000001" customHeight="1">
      <c r="A357" s="1162" t="s">
        <v>3740</v>
      </c>
      <c r="B357" s="1162" t="s">
        <v>3779</v>
      </c>
      <c r="C357" s="1162" t="s">
        <v>3778</v>
      </c>
      <c r="D357" s="246">
        <f>D184+4950</f>
        <v>6150</v>
      </c>
      <c r="E357" s="246">
        <f>E184+5100</f>
        <v>7300</v>
      </c>
      <c r="F357" s="246">
        <f>F184+5100</f>
        <v>7300</v>
      </c>
      <c r="G357" s="222" t="s">
        <v>51</v>
      </c>
      <c r="H357" s="69">
        <v>4</v>
      </c>
      <c r="I357" s="50" t="s">
        <v>3456</v>
      </c>
      <c r="J357" s="50"/>
      <c r="K357" s="50"/>
      <c r="L357" s="50" t="s">
        <v>653</v>
      </c>
      <c r="M357" s="108">
        <v>43054</v>
      </c>
      <c r="N357" s="108">
        <v>43100</v>
      </c>
      <c r="O357" s="59" t="s">
        <v>3773</v>
      </c>
      <c r="P357" s="60"/>
      <c r="Q357" s="61" t="s">
        <v>3772</v>
      </c>
      <c r="R357" s="238" t="s">
        <v>3455</v>
      </c>
      <c r="S357" s="319"/>
      <c r="T357" s="921"/>
      <c r="U357" s="148"/>
      <c r="V357" s="148"/>
    </row>
    <row r="358" spans="1:22" ht="20.100000000000001" customHeight="1">
      <c r="A358" s="1167" t="s">
        <v>3740</v>
      </c>
      <c r="B358" s="1167" t="s">
        <v>3779</v>
      </c>
      <c r="C358" s="1167" t="s">
        <v>3778</v>
      </c>
      <c r="D358" s="197">
        <f>D302+3015+100</f>
        <v>4365</v>
      </c>
      <c r="E358" s="197">
        <f>E302+3375+200</f>
        <v>6075</v>
      </c>
      <c r="F358" s="197">
        <f>F302+3375+200</f>
        <v>6075</v>
      </c>
      <c r="G358" s="110" t="s">
        <v>13</v>
      </c>
      <c r="H358" s="36" t="s">
        <v>1233</v>
      </c>
      <c r="I358" s="37" t="s">
        <v>3742</v>
      </c>
      <c r="J358" s="37"/>
      <c r="K358" s="37">
        <v>34</v>
      </c>
      <c r="L358" s="50" t="s">
        <v>1481</v>
      </c>
      <c r="M358" s="108">
        <v>43070</v>
      </c>
      <c r="N358" s="108">
        <v>43100</v>
      </c>
      <c r="O358" s="59" t="s">
        <v>601</v>
      </c>
      <c r="P358" s="61"/>
      <c r="Q358" s="167"/>
      <c r="R358" s="238" t="s">
        <v>1662</v>
      </c>
      <c r="S358" s="319" t="s">
        <v>1176</v>
      </c>
      <c r="T358" s="921"/>
      <c r="U358" s="148"/>
      <c r="V358" s="148"/>
    </row>
    <row r="359" spans="1:22" ht="20.100000000000001" customHeight="1">
      <c r="A359" s="895" t="s">
        <v>3740</v>
      </c>
      <c r="B359" s="895" t="s">
        <v>3771</v>
      </c>
      <c r="C359" s="895" t="s">
        <v>3777</v>
      </c>
      <c r="D359" s="197">
        <f>D250+4300+100</f>
        <v>5500</v>
      </c>
      <c r="E359" s="197">
        <f>E250+7570+200</f>
        <v>9570</v>
      </c>
      <c r="F359" s="197">
        <f>F250+7570+200</f>
        <v>9570</v>
      </c>
      <c r="G359" s="110" t="s">
        <v>13</v>
      </c>
      <c r="H359" s="69" t="s">
        <v>659</v>
      </c>
      <c r="I359" s="37" t="s">
        <v>3745</v>
      </c>
      <c r="J359" s="37"/>
      <c r="K359" s="37">
        <v>31</v>
      </c>
      <c r="L359" s="152" t="s">
        <v>649</v>
      </c>
      <c r="M359" s="108">
        <v>43070</v>
      </c>
      <c r="N359" s="108">
        <v>43083</v>
      </c>
      <c r="O359" s="59" t="s">
        <v>601</v>
      </c>
      <c r="P359" s="61"/>
      <c r="Q359" s="61" t="s">
        <v>3744</v>
      </c>
      <c r="R359" s="239" t="s">
        <v>2234</v>
      </c>
      <c r="S359" s="319" t="s">
        <v>1176</v>
      </c>
      <c r="T359" s="921"/>
      <c r="U359" s="148"/>
      <c r="V359" s="148"/>
    </row>
    <row r="360" spans="1:22" ht="20.100000000000001" customHeight="1">
      <c r="A360" s="1162" t="s">
        <v>3740</v>
      </c>
      <c r="B360" s="1162" t="s">
        <v>3771</v>
      </c>
      <c r="C360" s="1162" t="s">
        <v>3776</v>
      </c>
      <c r="D360" s="967">
        <f>D250+3150+100</f>
        <v>4350</v>
      </c>
      <c r="E360" s="967">
        <f>E250+5825+200</f>
        <v>7825</v>
      </c>
      <c r="F360" s="967">
        <f>F250+5825+200</f>
        <v>7825</v>
      </c>
      <c r="G360" s="12" t="s">
        <v>13</v>
      </c>
      <c r="H360" s="69" t="s">
        <v>659</v>
      </c>
      <c r="I360" s="50" t="s">
        <v>3745</v>
      </c>
      <c r="J360" s="50"/>
      <c r="K360" s="50">
        <v>32</v>
      </c>
      <c r="L360" s="152" t="s">
        <v>649</v>
      </c>
      <c r="M360" s="108">
        <v>43070</v>
      </c>
      <c r="N360" s="108">
        <v>43083</v>
      </c>
      <c r="O360" s="59" t="s">
        <v>601</v>
      </c>
      <c r="P360" s="59"/>
      <c r="Q360" s="61" t="s">
        <v>3744</v>
      </c>
      <c r="R360" s="239" t="s">
        <v>2234</v>
      </c>
      <c r="S360" s="319" t="s">
        <v>1176</v>
      </c>
      <c r="T360" s="921"/>
      <c r="U360" s="148"/>
      <c r="V360" s="148"/>
    </row>
    <row r="361" spans="1:22" ht="20.100000000000001" customHeight="1">
      <c r="A361" s="1166" t="s">
        <v>3740</v>
      </c>
      <c r="B361" s="1166" t="s">
        <v>3771</v>
      </c>
      <c r="C361" s="1166" t="s">
        <v>3776</v>
      </c>
      <c r="D361" s="966"/>
      <c r="E361" s="966">
        <f>E299+6615+50</f>
        <v>9015</v>
      </c>
      <c r="F361" s="966">
        <f>F299+6615+50</f>
        <v>9015</v>
      </c>
      <c r="G361" s="222" t="s">
        <v>5</v>
      </c>
      <c r="H361" s="22" t="s">
        <v>3743</v>
      </c>
      <c r="I361" s="50" t="s">
        <v>3742</v>
      </c>
      <c r="J361" s="50"/>
      <c r="K361" s="50">
        <v>38</v>
      </c>
      <c r="L361" s="50" t="s">
        <v>3453</v>
      </c>
      <c r="M361" s="6">
        <v>43040</v>
      </c>
      <c r="N361" s="6">
        <v>43100</v>
      </c>
      <c r="O361" s="59" t="s">
        <v>1771</v>
      </c>
      <c r="P361" s="144"/>
      <c r="Q361" s="157" t="s">
        <v>100</v>
      </c>
      <c r="R361" s="238" t="s">
        <v>3741</v>
      </c>
      <c r="S361" s="331" t="s">
        <v>1176</v>
      </c>
      <c r="T361" s="922"/>
      <c r="U361" s="148"/>
      <c r="V361" s="148"/>
    </row>
    <row r="362" spans="1:22" ht="20.100000000000001" customHeight="1">
      <c r="A362" s="1166" t="s">
        <v>3740</v>
      </c>
      <c r="B362" s="1166" t="s">
        <v>3771</v>
      </c>
      <c r="C362" s="1166" t="s">
        <v>3776</v>
      </c>
      <c r="D362" s="966">
        <f>D184+7200</f>
        <v>8400</v>
      </c>
      <c r="E362" s="966">
        <f>E184+7350</f>
        <v>9550</v>
      </c>
      <c r="F362" s="966">
        <f>F184+7350</f>
        <v>9550</v>
      </c>
      <c r="G362" s="222" t="s">
        <v>51</v>
      </c>
      <c r="H362" s="69">
        <v>4</v>
      </c>
      <c r="I362" s="50" t="s">
        <v>3456</v>
      </c>
      <c r="J362" s="50"/>
      <c r="K362" s="50"/>
      <c r="L362" s="50" t="s">
        <v>653</v>
      </c>
      <c r="M362" s="108">
        <v>43054</v>
      </c>
      <c r="N362" s="108">
        <v>43100</v>
      </c>
      <c r="O362" s="59" t="s">
        <v>3773</v>
      </c>
      <c r="P362" s="60"/>
      <c r="Q362" s="61" t="s">
        <v>3772</v>
      </c>
      <c r="R362" s="238" t="s">
        <v>3455</v>
      </c>
      <c r="S362" s="331"/>
      <c r="T362" s="921"/>
      <c r="U362" s="148"/>
      <c r="V362" s="148"/>
    </row>
    <row r="363" spans="1:22" ht="20.100000000000001" customHeight="1">
      <c r="A363" s="1166" t="s">
        <v>3740</v>
      </c>
      <c r="B363" s="1166" t="s">
        <v>3771</v>
      </c>
      <c r="C363" s="1166" t="s">
        <v>3776</v>
      </c>
      <c r="D363" s="966"/>
      <c r="E363" s="966">
        <f>E251+6300+50</f>
        <v>7950</v>
      </c>
      <c r="F363" s="966">
        <f>F251+6300+50</f>
        <v>7950</v>
      </c>
      <c r="G363" s="222" t="s">
        <v>5</v>
      </c>
      <c r="H363" s="36" t="s">
        <v>631</v>
      </c>
      <c r="I363" s="50" t="s">
        <v>3745</v>
      </c>
      <c r="J363" s="50"/>
      <c r="K363" s="50">
        <v>28</v>
      </c>
      <c r="L363" s="50" t="s">
        <v>653</v>
      </c>
      <c r="M363" s="6">
        <v>43080</v>
      </c>
      <c r="N363" s="6">
        <v>43100</v>
      </c>
      <c r="O363" s="59" t="s">
        <v>1771</v>
      </c>
      <c r="P363" s="144"/>
      <c r="Q363" s="157" t="s">
        <v>100</v>
      </c>
      <c r="R363" s="238" t="s">
        <v>3749</v>
      </c>
      <c r="S363" s="331" t="s">
        <v>1176</v>
      </c>
      <c r="T363" s="922"/>
      <c r="U363" s="148"/>
      <c r="V363" s="148"/>
    </row>
    <row r="364" spans="1:22" ht="20.100000000000001" customHeight="1">
      <c r="A364" s="1167" t="s">
        <v>3740</v>
      </c>
      <c r="B364" s="1167" t="s">
        <v>3771</v>
      </c>
      <c r="C364" s="1167" t="s">
        <v>3776</v>
      </c>
      <c r="D364" s="967">
        <f>D302+6715+100</f>
        <v>8065</v>
      </c>
      <c r="E364" s="967">
        <f>E302+6925+200</f>
        <v>9625</v>
      </c>
      <c r="F364" s="967">
        <f>F302+6925+200</f>
        <v>9625</v>
      </c>
      <c r="G364" s="110" t="s">
        <v>13</v>
      </c>
      <c r="H364" s="36" t="s">
        <v>1233</v>
      </c>
      <c r="I364" s="37" t="s">
        <v>3742</v>
      </c>
      <c r="J364" s="37"/>
      <c r="K364" s="37">
        <v>39</v>
      </c>
      <c r="L364" s="50" t="s">
        <v>1481</v>
      </c>
      <c r="M364" s="108">
        <v>43070</v>
      </c>
      <c r="N364" s="108">
        <v>43100</v>
      </c>
      <c r="O364" s="59" t="s">
        <v>601</v>
      </c>
      <c r="P364" s="61"/>
      <c r="Q364" s="167"/>
      <c r="R364" s="238" t="s">
        <v>1662</v>
      </c>
      <c r="S364" s="319" t="s">
        <v>1176</v>
      </c>
      <c r="T364" s="921"/>
      <c r="U364" s="148"/>
      <c r="V364" s="148"/>
    </row>
    <row r="365" spans="1:22" ht="20.100000000000001" customHeight="1">
      <c r="A365" s="1162" t="s">
        <v>3740</v>
      </c>
      <c r="B365" s="1162" t="s">
        <v>3771</v>
      </c>
      <c r="C365" s="1162" t="s">
        <v>3775</v>
      </c>
      <c r="D365" s="967">
        <f>D250+3150+100</f>
        <v>4350</v>
      </c>
      <c r="E365" s="967">
        <f>E250+5825+200</f>
        <v>7825</v>
      </c>
      <c r="F365" s="967">
        <f>F250+5825+200</f>
        <v>7825</v>
      </c>
      <c r="G365" s="12" t="s">
        <v>13</v>
      </c>
      <c r="H365" s="69" t="s">
        <v>659</v>
      </c>
      <c r="I365" s="50" t="s">
        <v>3745</v>
      </c>
      <c r="J365" s="50"/>
      <c r="K365" s="50">
        <v>32</v>
      </c>
      <c r="L365" s="152" t="s">
        <v>649</v>
      </c>
      <c r="M365" s="108">
        <v>43070</v>
      </c>
      <c r="N365" s="108">
        <v>43083</v>
      </c>
      <c r="O365" s="59" t="s">
        <v>601</v>
      </c>
      <c r="P365" s="59"/>
      <c r="Q365" s="61" t="s">
        <v>3744</v>
      </c>
      <c r="R365" s="239" t="s">
        <v>2234</v>
      </c>
      <c r="S365" s="319" t="s">
        <v>1176</v>
      </c>
      <c r="T365" s="921"/>
      <c r="U365" s="148"/>
      <c r="V365" s="148"/>
    </row>
    <row r="366" spans="1:22" ht="20.100000000000001" customHeight="1">
      <c r="A366" s="1166" t="s">
        <v>3740</v>
      </c>
      <c r="B366" s="1166" t="s">
        <v>3771</v>
      </c>
      <c r="C366" s="1166" t="s">
        <v>3775</v>
      </c>
      <c r="D366" s="966"/>
      <c r="E366" s="966">
        <f>E182+7100+50</f>
        <v>9300</v>
      </c>
      <c r="F366" s="966">
        <f>F182+7100+50</f>
        <v>9300</v>
      </c>
      <c r="G366" s="222" t="s">
        <v>5</v>
      </c>
      <c r="H366" s="69" t="s">
        <v>659</v>
      </c>
      <c r="I366" s="37" t="s">
        <v>3456</v>
      </c>
      <c r="J366" s="37"/>
      <c r="K366" s="37">
        <v>27</v>
      </c>
      <c r="L366" s="50" t="s">
        <v>653</v>
      </c>
      <c r="M366" s="6">
        <v>43046</v>
      </c>
      <c r="N366" s="6">
        <v>43100</v>
      </c>
      <c r="O366" s="59" t="s">
        <v>1771</v>
      </c>
      <c r="P366" s="141"/>
      <c r="Q366" s="76" t="s">
        <v>100</v>
      </c>
      <c r="R366" s="238" t="s">
        <v>3457</v>
      </c>
      <c r="S366" s="331" t="s">
        <v>1176</v>
      </c>
      <c r="T366" s="922"/>
      <c r="U366" s="148"/>
      <c r="V366" s="148"/>
    </row>
    <row r="367" spans="1:22" ht="20.100000000000001" customHeight="1">
      <c r="A367" s="1166" t="s">
        <v>3740</v>
      </c>
      <c r="B367" s="1166" t="s">
        <v>3771</v>
      </c>
      <c r="C367" s="1166" t="s">
        <v>3775</v>
      </c>
      <c r="D367" s="966">
        <f>D299+5400+25</f>
        <v>6950</v>
      </c>
      <c r="E367" s="966">
        <f>E299+5925+50</f>
        <v>8325</v>
      </c>
      <c r="F367" s="966">
        <f>F299+5925+50</f>
        <v>8325</v>
      </c>
      <c r="G367" s="222" t="s">
        <v>5</v>
      </c>
      <c r="H367" s="22" t="s">
        <v>3743</v>
      </c>
      <c r="I367" s="50" t="s">
        <v>3742</v>
      </c>
      <c r="J367" s="50"/>
      <c r="K367" s="50">
        <v>38</v>
      </c>
      <c r="L367" s="50" t="s">
        <v>3453</v>
      </c>
      <c r="M367" s="6">
        <v>43040</v>
      </c>
      <c r="N367" s="6">
        <v>43100</v>
      </c>
      <c r="O367" s="59" t="s">
        <v>1771</v>
      </c>
      <c r="P367" s="144"/>
      <c r="Q367" s="157" t="s">
        <v>100</v>
      </c>
      <c r="R367" s="238" t="s">
        <v>3741</v>
      </c>
      <c r="S367" s="331" t="s">
        <v>1176</v>
      </c>
      <c r="T367" s="922"/>
      <c r="U367" s="148"/>
      <c r="V367" s="148"/>
    </row>
    <row r="368" spans="1:22" ht="20.100000000000001" customHeight="1">
      <c r="A368" s="1166" t="s">
        <v>3740</v>
      </c>
      <c r="B368" s="1166" t="s">
        <v>3771</v>
      </c>
      <c r="C368" s="1166" t="s">
        <v>3775</v>
      </c>
      <c r="D368" s="966">
        <f>D184+6200</f>
        <v>7400</v>
      </c>
      <c r="E368" s="966">
        <f>E184+6400</f>
        <v>8600</v>
      </c>
      <c r="F368" s="966">
        <f>F184+6400</f>
        <v>8600</v>
      </c>
      <c r="G368" s="222" t="s">
        <v>51</v>
      </c>
      <c r="H368" s="69">
        <v>4</v>
      </c>
      <c r="I368" s="50" t="s">
        <v>3456</v>
      </c>
      <c r="J368" s="50"/>
      <c r="K368" s="50"/>
      <c r="L368" s="50" t="s">
        <v>653</v>
      </c>
      <c r="M368" s="108">
        <v>43054</v>
      </c>
      <c r="N368" s="108">
        <v>43100</v>
      </c>
      <c r="O368" s="59" t="s">
        <v>3773</v>
      </c>
      <c r="P368" s="60"/>
      <c r="Q368" s="61" t="s">
        <v>3772</v>
      </c>
      <c r="R368" s="238" t="s">
        <v>3455</v>
      </c>
      <c r="S368" s="331"/>
      <c r="T368" s="921"/>
      <c r="U368" s="148"/>
      <c r="V368" s="148"/>
    </row>
    <row r="369" spans="1:22" ht="20.100000000000001" customHeight="1">
      <c r="A369" s="1166" t="s">
        <v>3740</v>
      </c>
      <c r="B369" s="1166" t="s">
        <v>3771</v>
      </c>
      <c r="C369" s="1166" t="s">
        <v>3775</v>
      </c>
      <c r="D369" s="966">
        <f>D251+5800+25</f>
        <v>6775</v>
      </c>
      <c r="E369" s="966">
        <f>E251+6300+50</f>
        <v>7950</v>
      </c>
      <c r="F369" s="966">
        <f>F251+6300+50</f>
        <v>7950</v>
      </c>
      <c r="G369" s="222" t="s">
        <v>5</v>
      </c>
      <c r="H369" s="36" t="s">
        <v>631</v>
      </c>
      <c r="I369" s="50" t="s">
        <v>3745</v>
      </c>
      <c r="J369" s="50"/>
      <c r="K369" s="50">
        <v>28</v>
      </c>
      <c r="L369" s="50" t="s">
        <v>653</v>
      </c>
      <c r="M369" s="6">
        <v>43080</v>
      </c>
      <c r="N369" s="6">
        <v>43100</v>
      </c>
      <c r="O369" s="59" t="s">
        <v>1771</v>
      </c>
      <c r="P369" s="144"/>
      <c r="Q369" s="157" t="s">
        <v>100</v>
      </c>
      <c r="R369" s="238" t="s">
        <v>3749</v>
      </c>
      <c r="S369" s="331" t="s">
        <v>1176</v>
      </c>
      <c r="T369" s="922"/>
      <c r="U369" s="148"/>
      <c r="V369" s="148"/>
    </row>
    <row r="370" spans="1:22" ht="20.100000000000001" customHeight="1">
      <c r="A370" s="1167" t="s">
        <v>3740</v>
      </c>
      <c r="B370" s="1167" t="s">
        <v>3771</v>
      </c>
      <c r="C370" s="1167" t="s">
        <v>3775</v>
      </c>
      <c r="D370" s="967">
        <f>D302+5815+100</f>
        <v>7165</v>
      </c>
      <c r="E370" s="967">
        <f>E302+5925+200</f>
        <v>8625</v>
      </c>
      <c r="F370" s="967">
        <f>F302+5925+200</f>
        <v>8625</v>
      </c>
      <c r="G370" s="110" t="s">
        <v>13</v>
      </c>
      <c r="H370" s="36" t="s">
        <v>1233</v>
      </c>
      <c r="I370" s="37" t="s">
        <v>3742</v>
      </c>
      <c r="J370" s="37"/>
      <c r="K370" s="37">
        <v>38</v>
      </c>
      <c r="L370" s="50" t="s">
        <v>1481</v>
      </c>
      <c r="M370" s="108">
        <v>43070</v>
      </c>
      <c r="N370" s="108">
        <v>43100</v>
      </c>
      <c r="O370" s="59" t="s">
        <v>601</v>
      </c>
      <c r="P370" s="61"/>
      <c r="Q370" s="167"/>
      <c r="R370" s="238" t="s">
        <v>1662</v>
      </c>
      <c r="S370" s="319" t="s">
        <v>1176</v>
      </c>
      <c r="T370" s="921"/>
      <c r="U370" s="148"/>
      <c r="V370" s="148"/>
    </row>
    <row r="371" spans="1:22" ht="20.100000000000001" customHeight="1">
      <c r="A371" s="1162" t="s">
        <v>3740</v>
      </c>
      <c r="B371" s="1162" t="s">
        <v>3771</v>
      </c>
      <c r="C371" s="1162" t="s">
        <v>3774</v>
      </c>
      <c r="D371" s="967">
        <f>D250+3300+100</f>
        <v>4500</v>
      </c>
      <c r="E371" s="967">
        <f>E250+5950+200</f>
        <v>7950</v>
      </c>
      <c r="F371" s="967">
        <f>F250+5950+200</f>
        <v>7950</v>
      </c>
      <c r="G371" s="110" t="s">
        <v>13</v>
      </c>
      <c r="H371" s="69" t="s">
        <v>659</v>
      </c>
      <c r="I371" s="37" t="s">
        <v>3745</v>
      </c>
      <c r="J371" s="37"/>
      <c r="K371" s="37">
        <v>32</v>
      </c>
      <c r="L371" s="152" t="s">
        <v>649</v>
      </c>
      <c r="M371" s="108">
        <v>43070</v>
      </c>
      <c r="N371" s="108">
        <v>43083</v>
      </c>
      <c r="O371" s="59" t="s">
        <v>601</v>
      </c>
      <c r="P371" s="61"/>
      <c r="Q371" s="61" t="s">
        <v>3744</v>
      </c>
      <c r="R371" s="239" t="s">
        <v>2234</v>
      </c>
      <c r="S371" s="319" t="s">
        <v>1176</v>
      </c>
      <c r="T371" s="921"/>
      <c r="U371" s="148"/>
      <c r="V371" s="148"/>
    </row>
    <row r="372" spans="1:22" ht="20.100000000000001" customHeight="1">
      <c r="A372" s="1166" t="s">
        <v>3740</v>
      </c>
      <c r="B372" s="1166" t="s">
        <v>3771</v>
      </c>
      <c r="C372" s="1166" t="s">
        <v>3774</v>
      </c>
      <c r="D372" s="966"/>
      <c r="E372" s="966">
        <f>E299+6675+50</f>
        <v>9075</v>
      </c>
      <c r="F372" s="966">
        <f>F299+6675+50</f>
        <v>9075</v>
      </c>
      <c r="G372" s="222" t="s">
        <v>5</v>
      </c>
      <c r="H372" s="22" t="s">
        <v>3743</v>
      </c>
      <c r="I372" s="50" t="s">
        <v>3742</v>
      </c>
      <c r="J372" s="50"/>
      <c r="K372" s="50">
        <v>38</v>
      </c>
      <c r="L372" s="50" t="s">
        <v>3453</v>
      </c>
      <c r="M372" s="6">
        <v>43040</v>
      </c>
      <c r="N372" s="6">
        <v>43100</v>
      </c>
      <c r="O372" s="59" t="s">
        <v>1771</v>
      </c>
      <c r="P372" s="144"/>
      <c r="Q372" s="157" t="s">
        <v>100</v>
      </c>
      <c r="R372" s="238" t="s">
        <v>3741</v>
      </c>
      <c r="S372" s="331" t="s">
        <v>1176</v>
      </c>
      <c r="T372" s="922"/>
      <c r="U372" s="148"/>
      <c r="V372" s="148"/>
    </row>
    <row r="373" spans="1:22" ht="20.100000000000001" customHeight="1">
      <c r="A373" s="1167" t="s">
        <v>3740</v>
      </c>
      <c r="B373" s="1167" t="s">
        <v>3771</v>
      </c>
      <c r="C373" s="1167" t="s">
        <v>3774</v>
      </c>
      <c r="D373" s="966"/>
      <c r="E373" s="966">
        <f>E251+6250+50</f>
        <v>7900</v>
      </c>
      <c r="F373" s="966">
        <f>F251+6250+50</f>
        <v>7900</v>
      </c>
      <c r="G373" s="222" t="s">
        <v>5</v>
      </c>
      <c r="H373" s="36" t="s">
        <v>631</v>
      </c>
      <c r="I373" s="50" t="s">
        <v>3745</v>
      </c>
      <c r="J373" s="50"/>
      <c r="K373" s="50">
        <v>28</v>
      </c>
      <c r="L373" s="50" t="s">
        <v>653</v>
      </c>
      <c r="M373" s="6">
        <v>43080</v>
      </c>
      <c r="N373" s="6">
        <v>43100</v>
      </c>
      <c r="O373" s="59" t="s">
        <v>1771</v>
      </c>
      <c r="P373" s="144"/>
      <c r="Q373" s="157" t="s">
        <v>100</v>
      </c>
      <c r="R373" s="238" t="s">
        <v>3749</v>
      </c>
      <c r="S373" s="331" t="s">
        <v>1176</v>
      </c>
      <c r="T373" s="922"/>
      <c r="U373" s="148"/>
      <c r="V373" s="148"/>
    </row>
    <row r="374" spans="1:22" ht="20.100000000000001" customHeight="1">
      <c r="A374" s="1162" t="s">
        <v>3740</v>
      </c>
      <c r="B374" s="1162" t="s">
        <v>3771</v>
      </c>
      <c r="C374" s="1162" t="s">
        <v>3770</v>
      </c>
      <c r="D374" s="967">
        <f>D250+3300+100</f>
        <v>4500</v>
      </c>
      <c r="E374" s="967">
        <f>E250+5950+200</f>
        <v>7950</v>
      </c>
      <c r="F374" s="967">
        <f>F250+5950+200</f>
        <v>7950</v>
      </c>
      <c r="G374" s="110" t="s">
        <v>13</v>
      </c>
      <c r="H374" s="69" t="s">
        <v>659</v>
      </c>
      <c r="I374" s="37" t="s">
        <v>3745</v>
      </c>
      <c r="J374" s="37"/>
      <c r="K374" s="37">
        <v>32</v>
      </c>
      <c r="L374" s="152" t="s">
        <v>649</v>
      </c>
      <c r="M374" s="108">
        <v>43070</v>
      </c>
      <c r="N374" s="108">
        <v>43083</v>
      </c>
      <c r="O374" s="59" t="s">
        <v>601</v>
      </c>
      <c r="P374" s="61"/>
      <c r="Q374" s="61" t="s">
        <v>3744</v>
      </c>
      <c r="R374" s="239" t="s">
        <v>2234</v>
      </c>
      <c r="S374" s="319" t="s">
        <v>1176</v>
      </c>
      <c r="T374" s="921"/>
      <c r="U374" s="148"/>
      <c r="V374" s="148"/>
    </row>
    <row r="375" spans="1:22" ht="20.100000000000001" customHeight="1">
      <c r="A375" s="1166" t="s">
        <v>3740</v>
      </c>
      <c r="B375" s="1166" t="s">
        <v>3771</v>
      </c>
      <c r="C375" s="1166" t="s">
        <v>3770</v>
      </c>
      <c r="D375" s="966"/>
      <c r="E375" s="966">
        <f>E299+6725+50</f>
        <v>9125</v>
      </c>
      <c r="F375" s="966">
        <f>F299+6725+50</f>
        <v>9125</v>
      </c>
      <c r="G375" s="222" t="s">
        <v>5</v>
      </c>
      <c r="H375" s="22" t="s">
        <v>3743</v>
      </c>
      <c r="I375" s="50" t="s">
        <v>3742</v>
      </c>
      <c r="J375" s="50"/>
      <c r="K375" s="50">
        <v>38</v>
      </c>
      <c r="L375" s="50" t="s">
        <v>3453</v>
      </c>
      <c r="M375" s="6">
        <v>43040</v>
      </c>
      <c r="N375" s="6">
        <v>43100</v>
      </c>
      <c r="O375" s="59" t="s">
        <v>1771</v>
      </c>
      <c r="P375" s="144"/>
      <c r="Q375" s="157" t="s">
        <v>100</v>
      </c>
      <c r="R375" s="238" t="s">
        <v>3741</v>
      </c>
      <c r="S375" s="331" t="s">
        <v>1176</v>
      </c>
      <c r="T375" s="922"/>
      <c r="U375" s="148"/>
      <c r="V375" s="148"/>
    </row>
    <row r="376" spans="1:22" ht="20.100000000000001" customHeight="1">
      <c r="A376" s="1166" t="s">
        <v>3740</v>
      </c>
      <c r="B376" s="1166" t="s">
        <v>3771</v>
      </c>
      <c r="C376" s="1166" t="s">
        <v>3770</v>
      </c>
      <c r="D376" s="966">
        <f>D184+7200</f>
        <v>8400</v>
      </c>
      <c r="E376" s="966">
        <f>E184+7350</f>
        <v>9550</v>
      </c>
      <c r="F376" s="966">
        <f>F184+7350</f>
        <v>9550</v>
      </c>
      <c r="G376" s="222" t="s">
        <v>51</v>
      </c>
      <c r="H376" s="69">
        <v>4</v>
      </c>
      <c r="I376" s="50" t="s">
        <v>3456</v>
      </c>
      <c r="J376" s="50"/>
      <c r="K376" s="50"/>
      <c r="L376" s="50" t="s">
        <v>653</v>
      </c>
      <c r="M376" s="108">
        <v>43054</v>
      </c>
      <c r="N376" s="108">
        <v>43100</v>
      </c>
      <c r="O376" s="59" t="s">
        <v>3773</v>
      </c>
      <c r="P376" s="60"/>
      <c r="Q376" s="61" t="s">
        <v>3772</v>
      </c>
      <c r="R376" s="238" t="s">
        <v>3455</v>
      </c>
      <c r="S376" s="331"/>
      <c r="T376" s="921"/>
      <c r="U376" s="148"/>
      <c r="V376" s="148"/>
    </row>
    <row r="377" spans="1:22" ht="20.100000000000001" customHeight="1">
      <c r="A377" s="1166" t="s">
        <v>3740</v>
      </c>
      <c r="B377" s="1166" t="s">
        <v>3771</v>
      </c>
      <c r="C377" s="1166" t="s">
        <v>3770</v>
      </c>
      <c r="D377" s="966"/>
      <c r="E377" s="966">
        <f>E251+6300+50</f>
        <v>7950</v>
      </c>
      <c r="F377" s="966">
        <f>F251+6300+50</f>
        <v>7950</v>
      </c>
      <c r="G377" s="222" t="s">
        <v>5</v>
      </c>
      <c r="H377" s="36" t="s">
        <v>631</v>
      </c>
      <c r="I377" s="50" t="s">
        <v>3745</v>
      </c>
      <c r="J377" s="50"/>
      <c r="K377" s="50">
        <v>28</v>
      </c>
      <c r="L377" s="50" t="s">
        <v>653</v>
      </c>
      <c r="M377" s="6">
        <v>43080</v>
      </c>
      <c r="N377" s="6">
        <v>43100</v>
      </c>
      <c r="O377" s="59" t="s">
        <v>1771</v>
      </c>
      <c r="P377" s="144"/>
      <c r="Q377" s="157" t="s">
        <v>100</v>
      </c>
      <c r="R377" s="238" t="s">
        <v>3749</v>
      </c>
      <c r="S377" s="331" t="s">
        <v>1176</v>
      </c>
      <c r="T377" s="922"/>
      <c r="U377" s="148"/>
      <c r="V377" s="148"/>
    </row>
    <row r="378" spans="1:22" ht="20.100000000000001" customHeight="1">
      <c r="A378" s="1167" t="s">
        <v>3740</v>
      </c>
      <c r="B378" s="1167" t="s">
        <v>3771</v>
      </c>
      <c r="C378" s="1167" t="s">
        <v>3770</v>
      </c>
      <c r="D378" s="967">
        <f>D302+6715+100</f>
        <v>8065</v>
      </c>
      <c r="E378" s="967">
        <f>E302+6875+200</f>
        <v>9575</v>
      </c>
      <c r="F378" s="967">
        <f>F302+6875+200</f>
        <v>9575</v>
      </c>
      <c r="G378" s="110" t="s">
        <v>13</v>
      </c>
      <c r="H378" s="36" t="s">
        <v>1233</v>
      </c>
      <c r="I378" s="37" t="s">
        <v>3742</v>
      </c>
      <c r="J378" s="37"/>
      <c r="K378" s="37">
        <v>39</v>
      </c>
      <c r="L378" s="50" t="s">
        <v>1481</v>
      </c>
      <c r="M378" s="108">
        <v>43070</v>
      </c>
      <c r="N378" s="108">
        <v>43100</v>
      </c>
      <c r="O378" s="59" t="s">
        <v>601</v>
      </c>
      <c r="P378" s="61"/>
      <c r="Q378" s="167"/>
      <c r="R378" s="238" t="s">
        <v>1662</v>
      </c>
      <c r="S378" s="319" t="s">
        <v>1176</v>
      </c>
      <c r="T378" s="921"/>
      <c r="U378" s="148"/>
      <c r="V378" s="148"/>
    </row>
    <row r="379" spans="1:22" ht="20.100000000000001" customHeight="1">
      <c r="A379" s="1127" t="s">
        <v>3756</v>
      </c>
      <c r="B379" s="1127" t="s">
        <v>3769</v>
      </c>
      <c r="C379" s="1127" t="s">
        <v>3768</v>
      </c>
      <c r="D379" s="966">
        <f>D243+4500+100</f>
        <v>5700</v>
      </c>
      <c r="E379" s="966">
        <f>E243+7900+200</f>
        <v>9900</v>
      </c>
      <c r="F379" s="966">
        <f>F243+7900+200</f>
        <v>9900</v>
      </c>
      <c r="G379" s="110" t="s">
        <v>13</v>
      </c>
      <c r="H379" s="69" t="s">
        <v>659</v>
      </c>
      <c r="I379" s="37" t="s">
        <v>3757</v>
      </c>
      <c r="J379" s="37"/>
      <c r="K379" s="37">
        <v>46</v>
      </c>
      <c r="L379" s="152" t="s">
        <v>649</v>
      </c>
      <c r="M379" s="108">
        <v>43070</v>
      </c>
      <c r="N379" s="108">
        <v>43083</v>
      </c>
      <c r="O379" s="59" t="s">
        <v>601</v>
      </c>
      <c r="P379" s="61"/>
      <c r="Q379" s="61" t="s">
        <v>3744</v>
      </c>
      <c r="R379" s="239" t="s">
        <v>2234</v>
      </c>
      <c r="S379" s="319" t="s">
        <v>1176</v>
      </c>
      <c r="T379" s="921"/>
      <c r="U379" s="148"/>
      <c r="V379" s="148"/>
    </row>
    <row r="380" spans="1:22" s="41" customFormat="1" ht="20.100000000000001" customHeight="1">
      <c r="A380" s="1127" t="s">
        <v>3756</v>
      </c>
      <c r="B380" s="1127" t="s">
        <v>3769</v>
      </c>
      <c r="C380" s="1127" t="s">
        <v>3768</v>
      </c>
      <c r="D380" s="966"/>
      <c r="E380" s="966">
        <f>E244+7950+50</f>
        <v>9600</v>
      </c>
      <c r="F380" s="966">
        <f>F244+7950+50</f>
        <v>9600</v>
      </c>
      <c r="G380" s="222" t="s">
        <v>5</v>
      </c>
      <c r="H380" s="36" t="s">
        <v>631</v>
      </c>
      <c r="I380" s="50" t="s">
        <v>3757</v>
      </c>
      <c r="J380" s="50"/>
      <c r="K380" s="50">
        <v>28</v>
      </c>
      <c r="L380" s="50" t="s">
        <v>653</v>
      </c>
      <c r="M380" s="6">
        <v>43080</v>
      </c>
      <c r="N380" s="6">
        <v>43100</v>
      </c>
      <c r="O380" s="59" t="s">
        <v>1771</v>
      </c>
      <c r="P380" s="144"/>
      <c r="Q380" s="157" t="s">
        <v>100</v>
      </c>
      <c r="R380" s="238" t="s">
        <v>3749</v>
      </c>
      <c r="S380" s="331" t="s">
        <v>1176</v>
      </c>
      <c r="T380" s="922"/>
      <c r="U380" s="40"/>
      <c r="V380" s="40"/>
    </row>
    <row r="381" spans="1:22" ht="20.100000000000001" customHeight="1">
      <c r="A381" s="1127" t="s">
        <v>3740</v>
      </c>
      <c r="B381" s="1127" t="s">
        <v>3765</v>
      </c>
      <c r="C381" s="1127" t="s">
        <v>3764</v>
      </c>
      <c r="D381" s="966">
        <f>D243+850+100</f>
        <v>2050</v>
      </c>
      <c r="E381" s="966">
        <f>E243+1500+200</f>
        <v>3500</v>
      </c>
      <c r="F381" s="966">
        <f>F243+1500+200</f>
        <v>3500</v>
      </c>
      <c r="G381" s="110" t="s">
        <v>13</v>
      </c>
      <c r="H381" s="69" t="s">
        <v>659</v>
      </c>
      <c r="I381" s="37" t="s">
        <v>3757</v>
      </c>
      <c r="J381" s="37"/>
      <c r="K381" s="37">
        <v>27</v>
      </c>
      <c r="L381" s="152" t="s">
        <v>649</v>
      </c>
      <c r="M381" s="108">
        <v>43070</v>
      </c>
      <c r="N381" s="108">
        <v>43083</v>
      </c>
      <c r="O381" s="59" t="s">
        <v>601</v>
      </c>
      <c r="P381" s="61"/>
      <c r="Q381" s="61" t="s">
        <v>3767</v>
      </c>
      <c r="R381" s="239" t="s">
        <v>2234</v>
      </c>
      <c r="S381" s="319" t="s">
        <v>1176</v>
      </c>
      <c r="T381" s="921"/>
      <c r="U381" s="148"/>
      <c r="V381" s="148"/>
    </row>
    <row r="382" spans="1:22" ht="20.100000000000001" customHeight="1">
      <c r="A382" s="1127" t="s">
        <v>3740</v>
      </c>
      <c r="B382" s="1127" t="s">
        <v>3765</v>
      </c>
      <c r="C382" s="1127" t="s">
        <v>3764</v>
      </c>
      <c r="D382" s="966">
        <f>D246+1200</f>
        <v>2150</v>
      </c>
      <c r="E382" s="966">
        <f>E246+2050</f>
        <v>3650</v>
      </c>
      <c r="F382" s="966">
        <f>F246+2050</f>
        <v>3650</v>
      </c>
      <c r="G382" s="110" t="s">
        <v>18</v>
      </c>
      <c r="H382" s="36" t="s">
        <v>721</v>
      </c>
      <c r="I382" s="37" t="s">
        <v>3757</v>
      </c>
      <c r="J382" s="37"/>
      <c r="K382" s="37" t="s">
        <v>975</v>
      </c>
      <c r="L382" s="50" t="s">
        <v>653</v>
      </c>
      <c r="M382" s="6">
        <v>43070</v>
      </c>
      <c r="N382" s="6">
        <v>43100</v>
      </c>
      <c r="O382" s="61"/>
      <c r="P382" s="61"/>
      <c r="Q382" s="167"/>
      <c r="R382" s="49" t="s">
        <v>3306</v>
      </c>
      <c r="S382" s="316" t="s">
        <v>1176</v>
      </c>
      <c r="T382" s="921"/>
    </row>
    <row r="383" spans="1:22" ht="20.100000000000001" customHeight="1">
      <c r="A383" s="1127" t="s">
        <v>3740</v>
      </c>
      <c r="B383" s="1127" t="s">
        <v>3765</v>
      </c>
      <c r="C383" s="1127" t="s">
        <v>3764</v>
      </c>
      <c r="D383" s="966">
        <f>D244+1050+25</f>
        <v>2025</v>
      </c>
      <c r="E383" s="966">
        <f>E244+1850+50</f>
        <v>3500</v>
      </c>
      <c r="F383" s="966">
        <f>F244+1850+50</f>
        <v>3500</v>
      </c>
      <c r="G383" s="222" t="s">
        <v>5</v>
      </c>
      <c r="H383" s="36" t="s">
        <v>631</v>
      </c>
      <c r="I383" s="50" t="s">
        <v>3757</v>
      </c>
      <c r="J383" s="50"/>
      <c r="K383" s="50">
        <v>28</v>
      </c>
      <c r="L383" s="50" t="s">
        <v>653</v>
      </c>
      <c r="M383" s="6">
        <v>43080</v>
      </c>
      <c r="N383" s="6">
        <v>43100</v>
      </c>
      <c r="O383" s="59" t="s">
        <v>1771</v>
      </c>
      <c r="P383" s="144"/>
      <c r="Q383" s="157" t="s">
        <v>3766</v>
      </c>
      <c r="R383" s="238" t="s">
        <v>3749</v>
      </c>
      <c r="S383" s="331" t="s">
        <v>1176</v>
      </c>
      <c r="T383" s="922"/>
    </row>
    <row r="384" spans="1:22" ht="20.100000000000001" customHeight="1">
      <c r="A384" s="1127" t="s">
        <v>3740</v>
      </c>
      <c r="B384" s="1127" t="s">
        <v>3765</v>
      </c>
      <c r="C384" s="1127" t="s">
        <v>3764</v>
      </c>
      <c r="D384" s="966"/>
      <c r="E384" s="966">
        <f>E244+2500+50</f>
        <v>4150</v>
      </c>
      <c r="F384" s="966">
        <f>F244+2500+50</f>
        <v>4150</v>
      </c>
      <c r="G384" s="222" t="s">
        <v>5</v>
      </c>
      <c r="H384" s="36" t="s">
        <v>631</v>
      </c>
      <c r="I384" s="50" t="s">
        <v>3757</v>
      </c>
      <c r="J384" s="50"/>
      <c r="K384" s="50">
        <v>28</v>
      </c>
      <c r="L384" s="50" t="s">
        <v>653</v>
      </c>
      <c r="M384" s="6">
        <v>43080</v>
      </c>
      <c r="N384" s="6">
        <v>43100</v>
      </c>
      <c r="O384" s="59" t="s">
        <v>1771</v>
      </c>
      <c r="P384" s="144"/>
      <c r="Q384" s="157" t="s">
        <v>100</v>
      </c>
      <c r="R384" s="238" t="s">
        <v>3749</v>
      </c>
      <c r="S384" s="331" t="s">
        <v>1176</v>
      </c>
      <c r="T384" s="922"/>
    </row>
    <row r="385" spans="1:20" ht="20.100000000000001" customHeight="1">
      <c r="A385" s="1127" t="s">
        <v>3740</v>
      </c>
      <c r="B385" s="1127" t="s">
        <v>3762</v>
      </c>
      <c r="C385" s="1127" t="s">
        <v>3761</v>
      </c>
      <c r="D385" s="966">
        <f>D243+2050+100</f>
        <v>3250</v>
      </c>
      <c r="E385" s="966">
        <f>E243+3800+200</f>
        <v>5800</v>
      </c>
      <c r="F385" s="966">
        <f>F243+3800+200</f>
        <v>5800</v>
      </c>
      <c r="G385" s="110" t="s">
        <v>13</v>
      </c>
      <c r="H385" s="69" t="s">
        <v>659</v>
      </c>
      <c r="I385" s="37" t="s">
        <v>3757</v>
      </c>
      <c r="J385" s="37"/>
      <c r="K385" s="37">
        <v>35</v>
      </c>
      <c r="L385" s="152" t="s">
        <v>649</v>
      </c>
      <c r="M385" s="108">
        <v>43070</v>
      </c>
      <c r="N385" s="108">
        <v>43083</v>
      </c>
      <c r="O385" s="59" t="s">
        <v>601</v>
      </c>
      <c r="P385" s="61"/>
      <c r="Q385" s="61" t="s">
        <v>3744</v>
      </c>
      <c r="R385" s="239" t="s">
        <v>2234</v>
      </c>
      <c r="S385" s="319" t="s">
        <v>1176</v>
      </c>
      <c r="T385" s="921"/>
    </row>
    <row r="386" spans="1:20" ht="20.100000000000001" customHeight="1">
      <c r="A386" s="1127" t="s">
        <v>3740</v>
      </c>
      <c r="B386" s="1127" t="s">
        <v>3762</v>
      </c>
      <c r="C386" s="1127" t="s">
        <v>3761</v>
      </c>
      <c r="D386" s="966">
        <f>D246+2900</f>
        <v>3850</v>
      </c>
      <c r="E386" s="966">
        <f>E246+4500</f>
        <v>6100</v>
      </c>
      <c r="F386" s="966">
        <f>F246+4500</f>
        <v>6100</v>
      </c>
      <c r="G386" s="110" t="s">
        <v>18</v>
      </c>
      <c r="H386" s="36" t="s">
        <v>721</v>
      </c>
      <c r="I386" s="37" t="s">
        <v>3757</v>
      </c>
      <c r="J386" s="37"/>
      <c r="K386" s="37" t="s">
        <v>984</v>
      </c>
      <c r="L386" s="50" t="s">
        <v>653</v>
      </c>
      <c r="M386" s="6">
        <v>43070</v>
      </c>
      <c r="N386" s="6">
        <v>43100</v>
      </c>
      <c r="O386" s="61"/>
      <c r="P386" s="61"/>
      <c r="Q386" s="167"/>
      <c r="R386" s="49" t="s">
        <v>3306</v>
      </c>
      <c r="S386" s="316" t="s">
        <v>1176</v>
      </c>
      <c r="T386" s="921"/>
    </row>
    <row r="387" spans="1:20" ht="20.100000000000001" customHeight="1">
      <c r="A387" s="1127" t="s">
        <v>3740</v>
      </c>
      <c r="B387" s="1127" t="s">
        <v>3762</v>
      </c>
      <c r="C387" s="1127" t="s">
        <v>3761</v>
      </c>
      <c r="D387" s="966">
        <f>D244+2900+25</f>
        <v>3875</v>
      </c>
      <c r="E387" s="966">
        <f>E244+3940+50</f>
        <v>5590</v>
      </c>
      <c r="F387" s="966">
        <f>F244+3940+50</f>
        <v>5590</v>
      </c>
      <c r="G387" s="222" t="s">
        <v>5</v>
      </c>
      <c r="H387" s="36" t="s">
        <v>631</v>
      </c>
      <c r="I387" s="50" t="s">
        <v>3757</v>
      </c>
      <c r="J387" s="50"/>
      <c r="K387" s="50">
        <v>28</v>
      </c>
      <c r="L387" s="50" t="s">
        <v>653</v>
      </c>
      <c r="M387" s="6">
        <v>43080</v>
      </c>
      <c r="N387" s="6">
        <v>43100</v>
      </c>
      <c r="O387" s="59" t="s">
        <v>1771</v>
      </c>
      <c r="P387" s="144"/>
      <c r="Q387" s="61" t="s">
        <v>3763</v>
      </c>
      <c r="R387" s="238" t="s">
        <v>3749</v>
      </c>
      <c r="S387" s="331" t="s">
        <v>1176</v>
      </c>
      <c r="T387" s="922"/>
    </row>
    <row r="388" spans="1:20" ht="20.100000000000001" customHeight="1">
      <c r="A388" s="1127" t="s">
        <v>3740</v>
      </c>
      <c r="B388" s="1127" t="s">
        <v>3762</v>
      </c>
      <c r="C388" s="1127" t="s">
        <v>3761</v>
      </c>
      <c r="D388" s="966">
        <f>D244+3000+25</f>
        <v>3975</v>
      </c>
      <c r="E388" s="966">
        <f>E244+3950+50</f>
        <v>5600</v>
      </c>
      <c r="F388" s="966">
        <f>F244+3950+50</f>
        <v>5600</v>
      </c>
      <c r="G388" s="222" t="s">
        <v>5</v>
      </c>
      <c r="H388" s="36" t="s">
        <v>631</v>
      </c>
      <c r="I388" s="50" t="s">
        <v>3757</v>
      </c>
      <c r="J388" s="50"/>
      <c r="K388" s="50">
        <v>28</v>
      </c>
      <c r="L388" s="50" t="s">
        <v>653</v>
      </c>
      <c r="M388" s="6">
        <v>43080</v>
      </c>
      <c r="N388" s="6">
        <v>43100</v>
      </c>
      <c r="O388" s="59" t="s">
        <v>1771</v>
      </c>
      <c r="P388" s="144"/>
      <c r="Q388" s="157" t="s">
        <v>3760</v>
      </c>
      <c r="R388" s="238" t="s">
        <v>3749</v>
      </c>
      <c r="S388" s="331" t="s">
        <v>1176</v>
      </c>
      <c r="T388" s="922"/>
    </row>
    <row r="389" spans="1:20" ht="20.100000000000001" customHeight="1">
      <c r="A389" s="1127" t="s">
        <v>3740</v>
      </c>
      <c r="B389" s="1127" t="s">
        <v>3759</v>
      </c>
      <c r="C389" s="1127" t="s">
        <v>3758</v>
      </c>
      <c r="D389" s="967">
        <f>D250+2780+100</f>
        <v>3980</v>
      </c>
      <c r="E389" s="967">
        <f>E250+5250+200</f>
        <v>7250</v>
      </c>
      <c r="F389" s="967">
        <f>F250+5250+200</f>
        <v>7250</v>
      </c>
      <c r="G389" s="110" t="s">
        <v>13</v>
      </c>
      <c r="H389" s="69" t="s">
        <v>659</v>
      </c>
      <c r="I389" s="37" t="s">
        <v>3745</v>
      </c>
      <c r="J389" s="37"/>
      <c r="K389" s="37">
        <v>30</v>
      </c>
      <c r="L389" s="152" t="s">
        <v>649</v>
      </c>
      <c r="M389" s="108">
        <v>43070</v>
      </c>
      <c r="N389" s="108">
        <v>43083</v>
      </c>
      <c r="O389" s="59" t="s">
        <v>601</v>
      </c>
      <c r="P389" s="61"/>
      <c r="Q389" s="61" t="s">
        <v>3744</v>
      </c>
      <c r="R389" s="239" t="s">
        <v>2234</v>
      </c>
      <c r="S389" s="319" t="s">
        <v>1176</v>
      </c>
      <c r="T389" s="921"/>
    </row>
    <row r="390" spans="1:20" ht="20.100000000000001" customHeight="1">
      <c r="A390" s="1127" t="s">
        <v>3740</v>
      </c>
      <c r="B390" s="1127" t="s">
        <v>3759</v>
      </c>
      <c r="C390" s="1127" t="s">
        <v>3758</v>
      </c>
      <c r="D390" s="966">
        <f>D243+3550+100</f>
        <v>4750</v>
      </c>
      <c r="E390" s="966">
        <f>E243+6100+200</f>
        <v>8100</v>
      </c>
      <c r="F390" s="966">
        <f>F243+6100+200</f>
        <v>8100</v>
      </c>
      <c r="G390" s="110" t="s">
        <v>13</v>
      </c>
      <c r="H390" s="69" t="s">
        <v>659</v>
      </c>
      <c r="I390" s="37" t="s">
        <v>3757</v>
      </c>
      <c r="J390" s="37"/>
      <c r="K390" s="37">
        <v>43</v>
      </c>
      <c r="L390" s="152" t="s">
        <v>649</v>
      </c>
      <c r="M390" s="108">
        <v>43070</v>
      </c>
      <c r="N390" s="108">
        <v>43083</v>
      </c>
      <c r="O390" s="59" t="s">
        <v>601</v>
      </c>
      <c r="P390" s="61"/>
      <c r="Q390" s="61" t="s">
        <v>3744</v>
      </c>
      <c r="R390" s="239" t="s">
        <v>2234</v>
      </c>
      <c r="S390" s="319" t="s">
        <v>1176</v>
      </c>
      <c r="T390" s="921"/>
    </row>
    <row r="391" spans="1:20" ht="20.100000000000001" customHeight="1">
      <c r="A391" s="1127" t="s">
        <v>3740</v>
      </c>
      <c r="B391" s="1127" t="s">
        <v>3759</v>
      </c>
      <c r="C391" s="1127" t="s">
        <v>3758</v>
      </c>
      <c r="D391" s="966">
        <f>D253+3400</f>
        <v>4350</v>
      </c>
      <c r="E391" s="966">
        <f>E253+6000</f>
        <v>7600</v>
      </c>
      <c r="F391" s="966">
        <f>F253+6000</f>
        <v>7600</v>
      </c>
      <c r="G391" s="110" t="s">
        <v>18</v>
      </c>
      <c r="H391" s="36" t="s">
        <v>721</v>
      </c>
      <c r="I391" s="37" t="s">
        <v>3745</v>
      </c>
      <c r="J391" s="37"/>
      <c r="K391" s="37" t="s">
        <v>687</v>
      </c>
      <c r="L391" s="50" t="s">
        <v>653</v>
      </c>
      <c r="M391" s="6">
        <v>43070</v>
      </c>
      <c r="N391" s="6">
        <v>43100</v>
      </c>
      <c r="O391" s="61"/>
      <c r="P391" s="61"/>
      <c r="Q391" s="167"/>
      <c r="R391" s="49" t="s">
        <v>3306</v>
      </c>
      <c r="S391" s="316" t="s">
        <v>1176</v>
      </c>
      <c r="T391" s="921"/>
    </row>
    <row r="392" spans="1:20" ht="20.100000000000001" customHeight="1">
      <c r="A392" s="1127" t="s">
        <v>3740</v>
      </c>
      <c r="B392" s="1127" t="s">
        <v>3759</v>
      </c>
      <c r="C392" s="1127" t="s">
        <v>3758</v>
      </c>
      <c r="D392" s="966"/>
      <c r="E392" s="966">
        <f>E251+5700+50</f>
        <v>7350</v>
      </c>
      <c r="F392" s="966">
        <f>F251+5700+50</f>
        <v>7350</v>
      </c>
      <c r="G392" s="222" t="s">
        <v>5</v>
      </c>
      <c r="H392" s="36" t="s">
        <v>631</v>
      </c>
      <c r="I392" s="50" t="s">
        <v>3745</v>
      </c>
      <c r="J392" s="50"/>
      <c r="K392" s="50">
        <v>28</v>
      </c>
      <c r="L392" s="50" t="s">
        <v>653</v>
      </c>
      <c r="M392" s="6">
        <v>43080</v>
      </c>
      <c r="N392" s="6">
        <v>43100</v>
      </c>
      <c r="O392" s="59" t="s">
        <v>1771</v>
      </c>
      <c r="P392" s="144"/>
      <c r="Q392" s="157"/>
      <c r="R392" s="238" t="s">
        <v>3749</v>
      </c>
      <c r="S392" s="331" t="s">
        <v>1176</v>
      </c>
      <c r="T392" s="922"/>
    </row>
    <row r="393" spans="1:20" ht="20.100000000000001" customHeight="1">
      <c r="A393" s="1127" t="s">
        <v>3740</v>
      </c>
      <c r="B393" s="1127" t="s">
        <v>3759</v>
      </c>
      <c r="C393" s="1127" t="s">
        <v>3758</v>
      </c>
      <c r="D393" s="966"/>
      <c r="E393" s="966">
        <f>E251+5700+50</f>
        <v>7350</v>
      </c>
      <c r="F393" s="966">
        <f>F251+5700+50</f>
        <v>7350</v>
      </c>
      <c r="G393" s="222" t="s">
        <v>5</v>
      </c>
      <c r="H393" s="36" t="s">
        <v>631</v>
      </c>
      <c r="I393" s="50" t="s">
        <v>3745</v>
      </c>
      <c r="J393" s="50"/>
      <c r="K393" s="50">
        <v>28</v>
      </c>
      <c r="L393" s="50" t="s">
        <v>653</v>
      </c>
      <c r="M393" s="6">
        <v>43080</v>
      </c>
      <c r="N393" s="6">
        <v>43100</v>
      </c>
      <c r="O393" s="59" t="s">
        <v>1771</v>
      </c>
      <c r="P393" s="144"/>
      <c r="Q393" s="157" t="s">
        <v>100</v>
      </c>
      <c r="R393" s="238" t="s">
        <v>3749</v>
      </c>
      <c r="S393" s="331" t="s">
        <v>1176</v>
      </c>
      <c r="T393" s="922"/>
    </row>
    <row r="394" spans="1:20" ht="20.100000000000001" customHeight="1">
      <c r="A394" s="1127" t="s">
        <v>3740</v>
      </c>
      <c r="B394" s="1127" t="s">
        <v>3759</v>
      </c>
      <c r="C394" s="1127" t="s">
        <v>3758</v>
      </c>
      <c r="D394" s="966"/>
      <c r="E394" s="966">
        <f>E244+6100+50</f>
        <v>7750</v>
      </c>
      <c r="F394" s="966">
        <f>F244+6100+50</f>
        <v>7750</v>
      </c>
      <c r="G394" s="222" t="s">
        <v>5</v>
      </c>
      <c r="H394" s="36" t="s">
        <v>631</v>
      </c>
      <c r="I394" s="50" t="s">
        <v>3757</v>
      </c>
      <c r="J394" s="50"/>
      <c r="K394" s="50">
        <v>28</v>
      </c>
      <c r="L394" s="50" t="s">
        <v>653</v>
      </c>
      <c r="M394" s="6">
        <v>43080</v>
      </c>
      <c r="N394" s="6">
        <v>43100</v>
      </c>
      <c r="O394" s="59" t="s">
        <v>1771</v>
      </c>
      <c r="P394" s="144"/>
      <c r="Q394" s="157"/>
      <c r="R394" s="238" t="s">
        <v>3749</v>
      </c>
      <c r="S394" s="331" t="s">
        <v>1176</v>
      </c>
      <c r="T394" s="922"/>
    </row>
    <row r="395" spans="1:20" ht="20.100000000000001" customHeight="1">
      <c r="A395" s="1127" t="s">
        <v>3740</v>
      </c>
      <c r="B395" s="1127" t="s">
        <v>3759</v>
      </c>
      <c r="C395" s="1127" t="s">
        <v>3758</v>
      </c>
      <c r="D395" s="966"/>
      <c r="E395" s="966">
        <f>E244+6100+50</f>
        <v>7750</v>
      </c>
      <c r="F395" s="966">
        <f>F244+6100+50</f>
        <v>7750</v>
      </c>
      <c r="G395" s="222" t="s">
        <v>5</v>
      </c>
      <c r="H395" s="36" t="s">
        <v>631</v>
      </c>
      <c r="I395" s="50" t="s">
        <v>3757</v>
      </c>
      <c r="J395" s="50"/>
      <c r="K395" s="50">
        <v>28</v>
      </c>
      <c r="L395" s="50" t="s">
        <v>653</v>
      </c>
      <c r="M395" s="6">
        <v>43080</v>
      </c>
      <c r="N395" s="6">
        <v>43100</v>
      </c>
      <c r="O395" s="59" t="s">
        <v>1771</v>
      </c>
      <c r="P395" s="144"/>
      <c r="Q395" s="157" t="s">
        <v>100</v>
      </c>
      <c r="R395" s="238" t="s">
        <v>3749</v>
      </c>
      <c r="S395" s="331" t="s">
        <v>1176</v>
      </c>
      <c r="T395" s="922"/>
    </row>
    <row r="396" spans="1:20" ht="20.100000000000001" customHeight="1">
      <c r="A396" s="1127" t="s">
        <v>3756</v>
      </c>
      <c r="B396" s="1127" t="s">
        <v>3755</v>
      </c>
      <c r="C396" s="1127" t="s">
        <v>3754</v>
      </c>
      <c r="D396" s="967">
        <f>D250+2865+100</f>
        <v>4065</v>
      </c>
      <c r="E396" s="967">
        <f>E250+5295+200</f>
        <v>7295</v>
      </c>
      <c r="F396" s="967">
        <f>F250+5295+200</f>
        <v>7295</v>
      </c>
      <c r="G396" s="110" t="s">
        <v>13</v>
      </c>
      <c r="H396" s="69" t="s">
        <v>659</v>
      </c>
      <c r="I396" s="37" t="s">
        <v>3745</v>
      </c>
      <c r="J396" s="37"/>
      <c r="K396" s="37">
        <v>30</v>
      </c>
      <c r="L396" s="152" t="s">
        <v>649</v>
      </c>
      <c r="M396" s="108">
        <v>43070</v>
      </c>
      <c r="N396" s="108">
        <v>43083</v>
      </c>
      <c r="O396" s="59" t="s">
        <v>601</v>
      </c>
      <c r="P396" s="61"/>
      <c r="Q396" s="61" t="s">
        <v>3744</v>
      </c>
      <c r="R396" s="239" t="s">
        <v>2234</v>
      </c>
      <c r="S396" s="319" t="s">
        <v>1176</v>
      </c>
      <c r="T396" s="921"/>
    </row>
    <row r="397" spans="1:20" ht="20.100000000000001" customHeight="1">
      <c r="A397" s="1127" t="s">
        <v>3756</v>
      </c>
      <c r="B397" s="1127" t="s">
        <v>3755</v>
      </c>
      <c r="C397" s="1127" t="s">
        <v>3754</v>
      </c>
      <c r="D397" s="966"/>
      <c r="E397" s="966">
        <f>E251+5850+50</f>
        <v>7500</v>
      </c>
      <c r="F397" s="966">
        <f>F251+5850+50</f>
        <v>7500</v>
      </c>
      <c r="G397" s="222" t="s">
        <v>5</v>
      </c>
      <c r="H397" s="36" t="s">
        <v>631</v>
      </c>
      <c r="I397" s="50" t="s">
        <v>3745</v>
      </c>
      <c r="J397" s="50"/>
      <c r="K397" s="50">
        <v>28</v>
      </c>
      <c r="L397" s="50" t="s">
        <v>653</v>
      </c>
      <c r="M397" s="6">
        <v>43080</v>
      </c>
      <c r="N397" s="6">
        <v>43100</v>
      </c>
      <c r="O397" s="59" t="s">
        <v>1771</v>
      </c>
      <c r="P397" s="144"/>
      <c r="Q397" s="157" t="s">
        <v>100</v>
      </c>
      <c r="R397" s="238" t="s">
        <v>3749</v>
      </c>
      <c r="S397" s="331" t="s">
        <v>1176</v>
      </c>
      <c r="T397" s="922"/>
    </row>
    <row r="398" spans="1:20" ht="20.100000000000001" customHeight="1">
      <c r="A398" s="1127" t="s">
        <v>3740</v>
      </c>
      <c r="B398" s="1127" t="s">
        <v>3454</v>
      </c>
      <c r="C398" s="1127" t="s">
        <v>3753</v>
      </c>
      <c r="D398" s="967">
        <f>D250+4400+100</f>
        <v>5600</v>
      </c>
      <c r="E398" s="967">
        <f>E250+8250+200</f>
        <v>10250</v>
      </c>
      <c r="F398" s="967">
        <f>F250+8250+200</f>
        <v>10250</v>
      </c>
      <c r="G398" s="110" t="s">
        <v>13</v>
      </c>
      <c r="H398" s="69" t="s">
        <v>659</v>
      </c>
      <c r="I398" s="37" t="s">
        <v>3745</v>
      </c>
      <c r="J398" s="37"/>
      <c r="K398" s="37">
        <v>33</v>
      </c>
      <c r="L398" s="152" t="s">
        <v>649</v>
      </c>
      <c r="M398" s="108">
        <v>43070</v>
      </c>
      <c r="N398" s="108">
        <v>43083</v>
      </c>
      <c r="O398" s="59" t="s">
        <v>601</v>
      </c>
      <c r="P398" s="61"/>
      <c r="Q398" s="61" t="s">
        <v>3744</v>
      </c>
      <c r="R398" s="239" t="s">
        <v>2234</v>
      </c>
      <c r="S398" s="319" t="s">
        <v>1176</v>
      </c>
      <c r="T398" s="921"/>
    </row>
    <row r="399" spans="1:20" ht="20.100000000000001" customHeight="1">
      <c r="A399" s="1127" t="s">
        <v>3740</v>
      </c>
      <c r="B399" s="1127" t="s">
        <v>3454</v>
      </c>
      <c r="C399" s="1127" t="s">
        <v>3753</v>
      </c>
      <c r="D399" s="966">
        <f>D253+5300</f>
        <v>6250</v>
      </c>
      <c r="E399" s="966">
        <f>E253+9600</f>
        <v>11200</v>
      </c>
      <c r="F399" s="966">
        <f>F253+9600</f>
        <v>11200</v>
      </c>
      <c r="G399" s="110" t="s">
        <v>18</v>
      </c>
      <c r="H399" s="36" t="s">
        <v>721</v>
      </c>
      <c r="I399" s="37" t="s">
        <v>3745</v>
      </c>
      <c r="J399" s="37"/>
      <c r="K399" s="37" t="s">
        <v>687</v>
      </c>
      <c r="L399" s="50" t="s">
        <v>653</v>
      </c>
      <c r="M399" s="6">
        <v>43070</v>
      </c>
      <c r="N399" s="6">
        <v>43100</v>
      </c>
      <c r="O399" s="61"/>
      <c r="P399" s="61"/>
      <c r="Q399" s="167"/>
      <c r="R399" s="49" t="s">
        <v>3306</v>
      </c>
      <c r="S399" s="316" t="s">
        <v>1176</v>
      </c>
      <c r="T399" s="921"/>
    </row>
    <row r="400" spans="1:20" ht="20.100000000000001" customHeight="1">
      <c r="A400" s="1127" t="s">
        <v>3740</v>
      </c>
      <c r="B400" s="1127" t="s">
        <v>3454</v>
      </c>
      <c r="C400" s="895" t="s">
        <v>3752</v>
      </c>
      <c r="D400" s="967">
        <f>D250+4075+100</f>
        <v>5275</v>
      </c>
      <c r="E400" s="967">
        <f>E250+7450+200</f>
        <v>9450</v>
      </c>
      <c r="F400" s="967">
        <f>F250+7450+200</f>
        <v>9450</v>
      </c>
      <c r="G400" s="110" t="s">
        <v>13</v>
      </c>
      <c r="H400" s="69" t="s">
        <v>659</v>
      </c>
      <c r="I400" s="37" t="s">
        <v>3745</v>
      </c>
      <c r="J400" s="37"/>
      <c r="K400" s="37">
        <v>31</v>
      </c>
      <c r="L400" s="152" t="s">
        <v>649</v>
      </c>
      <c r="M400" s="108">
        <v>43070</v>
      </c>
      <c r="N400" s="108">
        <v>43083</v>
      </c>
      <c r="O400" s="59" t="s">
        <v>601</v>
      </c>
      <c r="P400" s="61"/>
      <c r="Q400" s="61" t="s">
        <v>3744</v>
      </c>
      <c r="R400" s="239" t="s">
        <v>2234</v>
      </c>
      <c r="S400" s="319" t="s">
        <v>1176</v>
      </c>
      <c r="T400" s="921"/>
    </row>
    <row r="401" spans="1:20" ht="20.100000000000001" customHeight="1">
      <c r="A401" s="1127" t="s">
        <v>3740</v>
      </c>
      <c r="B401" s="1127" t="s">
        <v>3454</v>
      </c>
      <c r="C401" s="895" t="s">
        <v>3751</v>
      </c>
      <c r="D401" s="967">
        <f>D250+4000+100</f>
        <v>5200</v>
      </c>
      <c r="E401" s="967">
        <f>E250+7650+200</f>
        <v>9650</v>
      </c>
      <c r="F401" s="967">
        <f>F250+7650+200</f>
        <v>9650</v>
      </c>
      <c r="G401" s="110" t="s">
        <v>13</v>
      </c>
      <c r="H401" s="69" t="s">
        <v>659</v>
      </c>
      <c r="I401" s="37" t="s">
        <v>3745</v>
      </c>
      <c r="J401" s="37"/>
      <c r="K401" s="37">
        <v>31</v>
      </c>
      <c r="L401" s="152" t="s">
        <v>649</v>
      </c>
      <c r="M401" s="108">
        <v>43070</v>
      </c>
      <c r="N401" s="108">
        <v>43083</v>
      </c>
      <c r="O401" s="59" t="s">
        <v>601</v>
      </c>
      <c r="P401" s="61"/>
      <c r="Q401" s="61" t="s">
        <v>3744</v>
      </c>
      <c r="R401" s="239" t="s">
        <v>2234</v>
      </c>
      <c r="S401" s="319" t="s">
        <v>1176</v>
      </c>
      <c r="T401" s="921"/>
    </row>
    <row r="402" spans="1:20" ht="20.100000000000001" customHeight="1">
      <c r="A402" s="1127" t="s">
        <v>3740</v>
      </c>
      <c r="B402" s="1127" t="s">
        <v>3454</v>
      </c>
      <c r="C402" s="1127" t="s">
        <v>3750</v>
      </c>
      <c r="D402" s="967">
        <f>D250+5550+100</f>
        <v>6750</v>
      </c>
      <c r="E402" s="967">
        <f>E250+9300+200</f>
        <v>11300</v>
      </c>
      <c r="F402" s="967">
        <f>F250+9300+200</f>
        <v>11300</v>
      </c>
      <c r="G402" s="110" t="s">
        <v>13</v>
      </c>
      <c r="H402" s="69" t="s">
        <v>659</v>
      </c>
      <c r="I402" s="37" t="s">
        <v>3745</v>
      </c>
      <c r="J402" s="37"/>
      <c r="K402" s="37">
        <v>45</v>
      </c>
      <c r="L402" s="152" t="s">
        <v>649</v>
      </c>
      <c r="M402" s="108">
        <v>43070</v>
      </c>
      <c r="N402" s="108">
        <v>43083</v>
      </c>
      <c r="O402" s="59" t="s">
        <v>601</v>
      </c>
      <c r="P402" s="61"/>
      <c r="Q402" s="61" t="s">
        <v>3744</v>
      </c>
      <c r="R402" s="239" t="s">
        <v>2234</v>
      </c>
      <c r="S402" s="319" t="s">
        <v>1176</v>
      </c>
      <c r="T402" s="921"/>
    </row>
    <row r="403" spans="1:20" ht="20.100000000000001" customHeight="1">
      <c r="A403" s="1127" t="s">
        <v>3740</v>
      </c>
      <c r="B403" s="1127" t="s">
        <v>3454</v>
      </c>
      <c r="C403" s="1127" t="s">
        <v>3750</v>
      </c>
      <c r="D403" s="966"/>
      <c r="E403" s="966">
        <f>E251+9900+50</f>
        <v>11550</v>
      </c>
      <c r="F403" s="966">
        <f>F251+9900+50</f>
        <v>11550</v>
      </c>
      <c r="G403" s="222" t="s">
        <v>5</v>
      </c>
      <c r="H403" s="36" t="s">
        <v>631</v>
      </c>
      <c r="I403" s="50" t="s">
        <v>3745</v>
      </c>
      <c r="J403" s="50"/>
      <c r="K403" s="50">
        <v>28</v>
      </c>
      <c r="L403" s="50" t="s">
        <v>653</v>
      </c>
      <c r="M403" s="6">
        <v>43080</v>
      </c>
      <c r="N403" s="6">
        <v>43100</v>
      </c>
      <c r="O403" s="59" t="s">
        <v>1771</v>
      </c>
      <c r="P403" s="144"/>
      <c r="Q403" s="157" t="s">
        <v>100</v>
      </c>
      <c r="R403" s="238" t="s">
        <v>3749</v>
      </c>
      <c r="S403" s="331" t="s">
        <v>1176</v>
      </c>
      <c r="T403" s="922"/>
    </row>
    <row r="404" spans="1:20" ht="20.100000000000001" customHeight="1">
      <c r="A404" s="1127" t="s">
        <v>3740</v>
      </c>
      <c r="B404" s="1127" t="s">
        <v>3739</v>
      </c>
      <c r="C404" s="1127" t="s">
        <v>3748</v>
      </c>
      <c r="D404" s="967">
        <f>D302+4115+100</f>
        <v>5465</v>
      </c>
      <c r="E404" s="967">
        <f>E302+4925+200</f>
        <v>7625</v>
      </c>
      <c r="F404" s="967">
        <f>F302+4925+200</f>
        <v>7625</v>
      </c>
      <c r="G404" s="110" t="s">
        <v>13</v>
      </c>
      <c r="H404" s="36" t="s">
        <v>1233</v>
      </c>
      <c r="I404" s="37" t="s">
        <v>3742</v>
      </c>
      <c r="J404" s="37"/>
      <c r="K404" s="37">
        <v>36</v>
      </c>
      <c r="L404" s="50" t="s">
        <v>1481</v>
      </c>
      <c r="M404" s="108">
        <v>43070</v>
      </c>
      <c r="N404" s="108">
        <v>43100</v>
      </c>
      <c r="O404" s="59" t="s">
        <v>601</v>
      </c>
      <c r="P404" s="61"/>
      <c r="Q404" s="167"/>
      <c r="R404" s="238" t="s">
        <v>1662</v>
      </c>
      <c r="S404" s="319" t="s">
        <v>1176</v>
      </c>
      <c r="T404" s="921"/>
    </row>
    <row r="405" spans="1:20" ht="20.100000000000001" customHeight="1">
      <c r="A405" s="1127" t="s">
        <v>3740</v>
      </c>
      <c r="B405" s="1127" t="s">
        <v>3739</v>
      </c>
      <c r="C405" s="1127" t="s">
        <v>3748</v>
      </c>
      <c r="D405" s="967">
        <f>D250+3150+100</f>
        <v>4350</v>
      </c>
      <c r="E405" s="967">
        <f>E250+5800+200</f>
        <v>7800</v>
      </c>
      <c r="F405" s="967">
        <f>F250+5800+200</f>
        <v>7800</v>
      </c>
      <c r="G405" s="12" t="s">
        <v>13</v>
      </c>
      <c r="H405" s="69" t="s">
        <v>659</v>
      </c>
      <c r="I405" s="50" t="s">
        <v>3745</v>
      </c>
      <c r="J405" s="50"/>
      <c r="K405" s="50">
        <v>30</v>
      </c>
      <c r="L405" s="152" t="s">
        <v>649</v>
      </c>
      <c r="M405" s="108">
        <v>43070</v>
      </c>
      <c r="N405" s="108">
        <v>43083</v>
      </c>
      <c r="O405" s="59" t="s">
        <v>601</v>
      </c>
      <c r="P405" s="59"/>
      <c r="Q405" s="61" t="s">
        <v>3744</v>
      </c>
      <c r="R405" s="239" t="s">
        <v>2234</v>
      </c>
      <c r="S405" s="319" t="s">
        <v>1176</v>
      </c>
      <c r="T405" s="921"/>
    </row>
    <row r="406" spans="1:20" ht="20.100000000000001" customHeight="1">
      <c r="A406" s="1127" t="s">
        <v>3740</v>
      </c>
      <c r="B406" s="1127" t="s">
        <v>3739</v>
      </c>
      <c r="C406" s="1127" t="s">
        <v>3748</v>
      </c>
      <c r="D406" s="966"/>
      <c r="E406" s="966">
        <f>E299+4175+50</f>
        <v>6575</v>
      </c>
      <c r="F406" s="966">
        <f>F299+4175+50</f>
        <v>6575</v>
      </c>
      <c r="G406" s="222" t="s">
        <v>5</v>
      </c>
      <c r="H406" s="22" t="s">
        <v>3743</v>
      </c>
      <c r="I406" s="50" t="s">
        <v>3742</v>
      </c>
      <c r="J406" s="50"/>
      <c r="K406" s="50">
        <v>38</v>
      </c>
      <c r="L406" s="50" t="s">
        <v>3453</v>
      </c>
      <c r="M406" s="6">
        <v>43040</v>
      </c>
      <c r="N406" s="6">
        <v>43100</v>
      </c>
      <c r="O406" s="59" t="s">
        <v>1771</v>
      </c>
      <c r="P406" s="144"/>
      <c r="Q406" s="157"/>
      <c r="R406" s="238" t="s">
        <v>3741</v>
      </c>
      <c r="S406" s="331" t="s">
        <v>1176</v>
      </c>
      <c r="T406" s="922"/>
    </row>
    <row r="407" spans="1:20" ht="20.100000000000001" customHeight="1">
      <c r="A407" s="1127" t="s">
        <v>3740</v>
      </c>
      <c r="B407" s="1127" t="s">
        <v>3739</v>
      </c>
      <c r="C407" s="1127" t="s">
        <v>3748</v>
      </c>
      <c r="D407" s="966">
        <v>5000</v>
      </c>
      <c r="E407" s="966">
        <v>6500</v>
      </c>
      <c r="F407" s="966">
        <v>6500</v>
      </c>
      <c r="G407" s="220" t="s">
        <v>76</v>
      </c>
      <c r="H407" s="36" t="s">
        <v>721</v>
      </c>
      <c r="I407" s="37" t="s">
        <v>3311</v>
      </c>
      <c r="J407" s="37"/>
      <c r="K407" s="37">
        <v>60</v>
      </c>
      <c r="L407" s="50" t="s">
        <v>638</v>
      </c>
      <c r="M407" s="6">
        <v>43073</v>
      </c>
      <c r="N407" s="6">
        <v>43093</v>
      </c>
      <c r="O407" s="141" t="s">
        <v>3452</v>
      </c>
      <c r="P407" s="61"/>
      <c r="Q407" s="933"/>
      <c r="R407" s="238"/>
      <c r="S407" s="315" t="s">
        <v>3310</v>
      </c>
      <c r="T407" s="921"/>
    </row>
    <row r="408" spans="1:20" ht="20.100000000000001" customHeight="1">
      <c r="A408" s="1127" t="s">
        <v>3740</v>
      </c>
      <c r="B408" s="1127" t="s">
        <v>3739</v>
      </c>
      <c r="C408" s="1127" t="s">
        <v>3738</v>
      </c>
      <c r="D408" s="967">
        <f>D302+3915+100</f>
        <v>5265</v>
      </c>
      <c r="E408" s="967">
        <f>E302+4675+200</f>
        <v>7375</v>
      </c>
      <c r="F408" s="967">
        <f>F302+4675+200</f>
        <v>7375</v>
      </c>
      <c r="G408" s="110" t="s">
        <v>13</v>
      </c>
      <c r="H408" s="36" t="s">
        <v>1233</v>
      </c>
      <c r="I408" s="37" t="s">
        <v>3742</v>
      </c>
      <c r="J408" s="37"/>
      <c r="K408" s="37">
        <v>36</v>
      </c>
      <c r="L408" s="50" t="s">
        <v>1481</v>
      </c>
      <c r="M408" s="108">
        <v>43070</v>
      </c>
      <c r="N408" s="108">
        <v>43100</v>
      </c>
      <c r="O408" s="59" t="s">
        <v>601</v>
      </c>
      <c r="P408" s="61"/>
      <c r="Q408" s="167"/>
      <c r="R408" s="238" t="s">
        <v>1662</v>
      </c>
      <c r="S408" s="319" t="s">
        <v>1176</v>
      </c>
      <c r="T408" s="921"/>
    </row>
    <row r="409" spans="1:20" ht="20.100000000000001" customHeight="1">
      <c r="A409" s="1127" t="s">
        <v>3740</v>
      </c>
      <c r="B409" s="1127" t="s">
        <v>3739</v>
      </c>
      <c r="C409" s="1127" t="s">
        <v>3738</v>
      </c>
      <c r="D409" s="966">
        <f>D306+3390</f>
        <v>4640</v>
      </c>
      <c r="E409" s="966">
        <f>E306+5780</f>
        <v>8280</v>
      </c>
      <c r="F409" s="966">
        <f>F306+5780</f>
        <v>8280</v>
      </c>
      <c r="G409" s="110" t="s">
        <v>13</v>
      </c>
      <c r="H409" s="69" t="s">
        <v>1233</v>
      </c>
      <c r="I409" s="37" t="s">
        <v>3747</v>
      </c>
      <c r="J409" s="37"/>
      <c r="K409" s="37">
        <v>53</v>
      </c>
      <c r="L409" s="50" t="s">
        <v>1495</v>
      </c>
      <c r="M409" s="108">
        <v>43070</v>
      </c>
      <c r="N409" s="108">
        <v>43100</v>
      </c>
      <c r="O409" s="59" t="s">
        <v>601</v>
      </c>
      <c r="P409" s="61"/>
      <c r="Q409" s="61" t="s">
        <v>3746</v>
      </c>
      <c r="R409" s="238" t="s">
        <v>1662</v>
      </c>
      <c r="S409" s="319" t="s">
        <v>1176</v>
      </c>
      <c r="T409" s="921"/>
    </row>
    <row r="410" spans="1:20" ht="20.100000000000001" customHeight="1">
      <c r="A410" s="1127" t="s">
        <v>3740</v>
      </c>
      <c r="B410" s="1127" t="s">
        <v>3739</v>
      </c>
      <c r="C410" s="1127" t="s">
        <v>3738</v>
      </c>
      <c r="D410" s="967">
        <f>D250+3250+100</f>
        <v>4450</v>
      </c>
      <c r="E410" s="967">
        <f>E250+5950+200</f>
        <v>7950</v>
      </c>
      <c r="F410" s="967">
        <f>F250+5950+200</f>
        <v>7950</v>
      </c>
      <c r="G410" s="12" t="s">
        <v>13</v>
      </c>
      <c r="H410" s="69" t="s">
        <v>659</v>
      </c>
      <c r="I410" s="37" t="s">
        <v>3745</v>
      </c>
      <c r="J410" s="37"/>
      <c r="K410" s="37">
        <v>31</v>
      </c>
      <c r="L410" s="152" t="s">
        <v>649</v>
      </c>
      <c r="M410" s="108">
        <v>43070</v>
      </c>
      <c r="N410" s="108">
        <v>43083</v>
      </c>
      <c r="O410" s="59" t="s">
        <v>601</v>
      </c>
      <c r="P410" s="61"/>
      <c r="Q410" s="61" t="s">
        <v>3744</v>
      </c>
      <c r="R410" s="239" t="s">
        <v>2234</v>
      </c>
      <c r="S410" s="319" t="s">
        <v>1176</v>
      </c>
      <c r="T410" s="921"/>
    </row>
    <row r="411" spans="1:20" ht="20.100000000000001" customHeight="1">
      <c r="A411" s="1127" t="s">
        <v>3740</v>
      </c>
      <c r="B411" s="1127" t="s">
        <v>3739</v>
      </c>
      <c r="C411" s="1127" t="s">
        <v>3738</v>
      </c>
      <c r="D411" s="966"/>
      <c r="E411" s="966">
        <f>E299+4075+50</f>
        <v>6475</v>
      </c>
      <c r="F411" s="966">
        <f>F299+4075+50</f>
        <v>6475</v>
      </c>
      <c r="G411" s="222" t="s">
        <v>5</v>
      </c>
      <c r="H411" s="22" t="s">
        <v>3743</v>
      </c>
      <c r="I411" s="50" t="s">
        <v>3742</v>
      </c>
      <c r="J411" s="50"/>
      <c r="K411" s="50">
        <v>38</v>
      </c>
      <c r="L411" s="50" t="s">
        <v>3453</v>
      </c>
      <c r="M411" s="6">
        <v>43040</v>
      </c>
      <c r="N411" s="6">
        <v>43100</v>
      </c>
      <c r="O411" s="59" t="s">
        <v>1771</v>
      </c>
      <c r="P411" s="144"/>
      <c r="Q411" s="157"/>
      <c r="R411" s="238" t="s">
        <v>3741</v>
      </c>
      <c r="S411" s="331" t="s">
        <v>1176</v>
      </c>
      <c r="T411" s="922"/>
    </row>
    <row r="412" spans="1:20" ht="20.100000000000001" customHeight="1">
      <c r="A412" s="1127" t="s">
        <v>3740</v>
      </c>
      <c r="B412" s="1127" t="s">
        <v>3739</v>
      </c>
      <c r="C412" s="1127" t="s">
        <v>3738</v>
      </c>
      <c r="D412" s="966">
        <v>4500</v>
      </c>
      <c r="E412" s="966">
        <v>5300</v>
      </c>
      <c r="F412" s="966">
        <v>5300</v>
      </c>
      <c r="G412" s="220" t="s">
        <v>76</v>
      </c>
      <c r="H412" s="36" t="s">
        <v>721</v>
      </c>
      <c r="I412" s="37" t="s">
        <v>3311</v>
      </c>
      <c r="J412" s="37"/>
      <c r="K412" s="37">
        <v>55</v>
      </c>
      <c r="L412" s="50" t="s">
        <v>638</v>
      </c>
      <c r="M412" s="6">
        <v>43073</v>
      </c>
      <c r="N412" s="6">
        <v>43093</v>
      </c>
      <c r="O412" s="141" t="s">
        <v>3452</v>
      </c>
      <c r="P412" s="61"/>
      <c r="Q412" s="141"/>
      <c r="R412" s="238"/>
      <c r="S412" s="315" t="s">
        <v>3310</v>
      </c>
      <c r="T412" s="921"/>
    </row>
    <row r="413" spans="1:20" ht="20.100000000000001" customHeight="1">
      <c r="A413" s="40"/>
      <c r="B413" s="40"/>
      <c r="C413" s="40"/>
      <c r="D413" s="965"/>
      <c r="E413" s="965"/>
      <c r="F413" s="965"/>
      <c r="G413" s="40"/>
      <c r="H413" s="40"/>
      <c r="I413" s="40"/>
      <c r="J413" s="40"/>
      <c r="K413" s="158"/>
      <c r="L413" s="40"/>
      <c r="M413" s="40"/>
      <c r="N413" s="40"/>
      <c r="O413" s="40"/>
      <c r="P413" s="40"/>
      <c r="Q413" s="362"/>
      <c r="R413" s="241"/>
      <c r="T413" s="307"/>
    </row>
    <row r="414" spans="1:20" ht="20.100000000000001" customHeight="1">
      <c r="A414" s="307"/>
      <c r="B414" s="307"/>
      <c r="C414" s="307"/>
      <c r="D414" s="41"/>
      <c r="E414" s="41"/>
      <c r="F414" s="41"/>
    </row>
    <row r="415" spans="1:20" ht="20.100000000000001" customHeight="1">
      <c r="A415" s="307"/>
      <c r="B415" s="307"/>
      <c r="C415" s="307"/>
      <c r="D415" s="41"/>
      <c r="E415" s="41"/>
      <c r="F415" s="41"/>
      <c r="I415" s="285"/>
    </row>
    <row r="416" spans="1:20" ht="20.100000000000001" customHeight="1">
      <c r="A416" s="307"/>
      <c r="B416" s="307"/>
      <c r="C416" s="307"/>
      <c r="D416" s="41"/>
      <c r="E416" s="41"/>
      <c r="F416" s="41"/>
    </row>
    <row r="417" spans="1:6" ht="20.100000000000001" customHeight="1">
      <c r="A417" s="307"/>
      <c r="B417" s="307"/>
      <c r="C417" s="307"/>
      <c r="D417" s="41"/>
      <c r="E417" s="41"/>
      <c r="F417" s="41"/>
    </row>
    <row r="418" spans="1:6" ht="20.100000000000001" customHeight="1">
      <c r="A418" s="307"/>
      <c r="B418" s="307"/>
      <c r="C418" s="307"/>
    </row>
    <row r="419" spans="1:6" ht="20.100000000000001" customHeight="1">
      <c r="A419" s="307"/>
      <c r="B419" s="307"/>
      <c r="C419" s="307"/>
    </row>
    <row r="420" spans="1:6" ht="20.100000000000001" customHeight="1">
      <c r="A420" s="307"/>
      <c r="B420" s="307"/>
      <c r="C420" s="307"/>
    </row>
    <row r="421" spans="1:6" ht="20.100000000000001" customHeight="1">
      <c r="A421" s="307"/>
      <c r="B421" s="307"/>
      <c r="C421" s="307"/>
    </row>
    <row r="422" spans="1:6" ht="20.100000000000001" customHeight="1">
      <c r="A422" s="307"/>
      <c r="B422" s="307"/>
      <c r="C422" s="307"/>
    </row>
    <row r="423" spans="1:6" ht="20.100000000000001" customHeight="1">
      <c r="A423" s="307"/>
      <c r="B423" s="307"/>
      <c r="C423" s="307"/>
    </row>
    <row r="424" spans="1:6" ht="20.100000000000001" customHeight="1">
      <c r="A424" s="307"/>
      <c r="B424" s="307"/>
      <c r="C424" s="307"/>
    </row>
    <row r="425" spans="1:6" ht="20.100000000000001" customHeight="1">
      <c r="A425" s="307"/>
      <c r="B425" s="307"/>
      <c r="C425" s="307"/>
    </row>
    <row r="426" spans="1:6" ht="20.100000000000001" customHeight="1">
      <c r="A426" s="307"/>
      <c r="B426" s="307"/>
      <c r="C426" s="307"/>
    </row>
    <row r="427" spans="1:6" ht="20.100000000000001" customHeight="1">
      <c r="A427" s="307"/>
      <c r="B427" s="307"/>
      <c r="C427" s="307"/>
    </row>
    <row r="428" spans="1:6" ht="20.100000000000001" customHeight="1">
      <c r="A428" s="307"/>
      <c r="B428" s="307"/>
      <c r="C428" s="307"/>
    </row>
    <row r="429" spans="1:6" ht="20.100000000000001" customHeight="1">
      <c r="A429" s="307"/>
      <c r="B429" s="307"/>
      <c r="C429" s="307"/>
    </row>
    <row r="430" spans="1:6" ht="20.100000000000001" customHeight="1">
      <c r="A430" s="307"/>
      <c r="B430" s="307"/>
      <c r="C430" s="307"/>
    </row>
    <row r="431" spans="1:6" ht="20.100000000000001" customHeight="1">
      <c r="A431" s="307"/>
      <c r="B431" s="307"/>
      <c r="C431" s="307"/>
    </row>
    <row r="432" spans="1:6" ht="20.100000000000001" customHeight="1">
      <c r="A432" s="307"/>
      <c r="B432" s="307"/>
      <c r="C432" s="307"/>
    </row>
    <row r="433" spans="1:3" ht="20.100000000000001" customHeight="1">
      <c r="A433" s="307"/>
      <c r="B433" s="307"/>
      <c r="C433" s="307"/>
    </row>
    <row r="434" spans="1:3" ht="20.100000000000001" customHeight="1">
      <c r="A434" s="307"/>
      <c r="B434" s="307"/>
      <c r="C434" s="307"/>
    </row>
    <row r="435" spans="1:3" ht="20.100000000000001" customHeight="1">
      <c r="A435" s="307"/>
      <c r="B435" s="307"/>
      <c r="C435" s="307"/>
    </row>
    <row r="436" spans="1:3" ht="20.100000000000001" customHeight="1">
      <c r="A436" s="307"/>
      <c r="B436" s="307"/>
      <c r="C436" s="307"/>
    </row>
    <row r="437" spans="1:3" ht="20.100000000000001" customHeight="1">
      <c r="A437" s="307"/>
      <c r="B437" s="307"/>
      <c r="C437" s="307"/>
    </row>
    <row r="438" spans="1:3" ht="20.100000000000001" customHeight="1">
      <c r="A438" s="307"/>
      <c r="B438" s="307"/>
      <c r="C438" s="307"/>
    </row>
    <row r="439" spans="1:3" ht="20.100000000000001" customHeight="1">
      <c r="A439" s="307"/>
      <c r="B439" s="307"/>
      <c r="C439" s="307"/>
    </row>
    <row r="440" spans="1:3" ht="20.100000000000001" customHeight="1">
      <c r="A440" s="307"/>
      <c r="B440" s="307"/>
      <c r="C440" s="307"/>
    </row>
    <row r="441" spans="1:3" ht="20.100000000000001" customHeight="1">
      <c r="A441" s="307"/>
      <c r="B441" s="307"/>
      <c r="C441" s="307"/>
    </row>
    <row r="442" spans="1:3" ht="20.100000000000001" customHeight="1">
      <c r="A442" s="307"/>
      <c r="B442" s="307"/>
      <c r="C442" s="307"/>
    </row>
    <row r="443" spans="1:3" ht="20.100000000000001" customHeight="1">
      <c r="A443" s="307"/>
      <c r="B443" s="307"/>
      <c r="C443" s="307"/>
    </row>
    <row r="444" spans="1:3" ht="20.100000000000001" customHeight="1">
      <c r="A444" s="307"/>
      <c r="B444" s="307"/>
      <c r="C444" s="307"/>
    </row>
    <row r="445" spans="1:3" ht="20.100000000000001" customHeight="1">
      <c r="A445" s="307"/>
      <c r="B445" s="307"/>
      <c r="C445" s="307"/>
    </row>
    <row r="446" spans="1:3" ht="20.100000000000001" customHeight="1">
      <c r="A446" s="307"/>
      <c r="B446" s="307"/>
      <c r="C446" s="307"/>
    </row>
    <row r="447" spans="1:3" ht="20.100000000000001" customHeight="1">
      <c r="A447" s="307"/>
      <c r="B447" s="307"/>
      <c r="C447" s="307"/>
    </row>
    <row r="448" spans="1:3" ht="20.100000000000001" customHeight="1">
      <c r="A448" s="307"/>
      <c r="B448" s="307"/>
      <c r="C448" s="307"/>
    </row>
    <row r="449" spans="1:3" ht="20.100000000000001" customHeight="1">
      <c r="A449" s="307"/>
      <c r="B449" s="307"/>
      <c r="C449" s="307"/>
    </row>
    <row r="450" spans="1:3" ht="20.100000000000001" customHeight="1">
      <c r="A450" s="307"/>
      <c r="B450" s="307"/>
      <c r="C450" s="307"/>
    </row>
    <row r="451" spans="1:3" ht="20.100000000000001" customHeight="1">
      <c r="A451" s="307"/>
      <c r="B451" s="307"/>
      <c r="C451" s="307"/>
    </row>
    <row r="452" spans="1:3" ht="20.100000000000001" customHeight="1">
      <c r="A452" s="307"/>
      <c r="B452" s="307"/>
      <c r="C452" s="307"/>
    </row>
    <row r="453" spans="1:3" ht="20.100000000000001" customHeight="1">
      <c r="A453" s="307"/>
      <c r="B453" s="307"/>
      <c r="C453" s="307"/>
    </row>
    <row r="454" spans="1:3" ht="20.100000000000001" customHeight="1">
      <c r="A454" s="307"/>
      <c r="B454" s="307"/>
      <c r="C454" s="307"/>
    </row>
    <row r="455" spans="1:3" ht="20.100000000000001" customHeight="1">
      <c r="A455" s="307"/>
      <c r="B455" s="307"/>
      <c r="C455" s="307"/>
    </row>
    <row r="456" spans="1:3" ht="20.100000000000001" customHeight="1">
      <c r="A456" s="307"/>
      <c r="B456" s="307"/>
      <c r="C456" s="307"/>
    </row>
    <row r="457" spans="1:3" ht="20.100000000000001" customHeight="1">
      <c r="A457" s="307"/>
      <c r="B457" s="307"/>
      <c r="C457" s="307"/>
    </row>
    <row r="458" spans="1:3" ht="20.100000000000001" customHeight="1">
      <c r="A458" s="307"/>
      <c r="B458" s="307"/>
      <c r="C458" s="307"/>
    </row>
    <row r="459" spans="1:3" ht="20.100000000000001" customHeight="1">
      <c r="A459" s="307"/>
      <c r="B459" s="307"/>
      <c r="C459" s="307"/>
    </row>
    <row r="460" spans="1:3" ht="20.100000000000001" customHeight="1">
      <c r="A460" s="307"/>
      <c r="B460" s="307"/>
      <c r="C460" s="307"/>
    </row>
    <row r="461" spans="1:3" ht="20.100000000000001" customHeight="1">
      <c r="A461" s="307"/>
      <c r="B461" s="307"/>
      <c r="C461" s="307"/>
    </row>
    <row r="462" spans="1:3" ht="20.100000000000001" customHeight="1">
      <c r="A462" s="307"/>
      <c r="B462" s="307"/>
      <c r="C462" s="307"/>
    </row>
    <row r="463" spans="1:3" ht="20.100000000000001" customHeight="1">
      <c r="A463" s="307"/>
      <c r="B463" s="307"/>
      <c r="C463" s="307"/>
    </row>
    <row r="464" spans="1:3" ht="20.100000000000001" customHeight="1">
      <c r="A464" s="307"/>
      <c r="B464" s="307"/>
      <c r="C464" s="307"/>
    </row>
    <row r="465" spans="1:3" ht="20.100000000000001" customHeight="1">
      <c r="A465" s="307"/>
      <c r="B465" s="307"/>
      <c r="C465" s="307"/>
    </row>
    <row r="466" spans="1:3" ht="20.100000000000001" customHeight="1">
      <c r="A466" s="307"/>
      <c r="B466" s="307"/>
      <c r="C466" s="307"/>
    </row>
    <row r="467" spans="1:3" ht="20.100000000000001" customHeight="1">
      <c r="A467" s="307"/>
      <c r="B467" s="307"/>
      <c r="C467" s="307"/>
    </row>
    <row r="468" spans="1:3" ht="20.100000000000001" customHeight="1">
      <c r="A468" s="307"/>
      <c r="B468" s="307"/>
      <c r="C468" s="307"/>
    </row>
    <row r="469" spans="1:3" ht="20.100000000000001" customHeight="1">
      <c r="A469" s="307"/>
      <c r="B469" s="307"/>
      <c r="C469" s="307"/>
    </row>
    <row r="470" spans="1:3" ht="20.100000000000001" customHeight="1">
      <c r="A470" s="307"/>
      <c r="B470" s="307"/>
      <c r="C470" s="307"/>
    </row>
    <row r="471" spans="1:3" ht="20.100000000000001" customHeight="1">
      <c r="A471" s="307"/>
      <c r="B471" s="307"/>
      <c r="C471" s="307"/>
    </row>
    <row r="472" spans="1:3" ht="20.100000000000001" customHeight="1">
      <c r="A472" s="307"/>
      <c r="B472" s="307"/>
      <c r="C472" s="307"/>
    </row>
    <row r="473" spans="1:3" ht="20.100000000000001" customHeight="1">
      <c r="A473" s="307"/>
      <c r="B473" s="307"/>
      <c r="C473" s="307"/>
    </row>
    <row r="474" spans="1:3" ht="20.100000000000001" customHeight="1">
      <c r="A474" s="307"/>
      <c r="B474" s="307"/>
      <c r="C474" s="307"/>
    </row>
    <row r="475" spans="1:3" ht="20.100000000000001" customHeight="1">
      <c r="A475" s="307"/>
      <c r="B475" s="307"/>
      <c r="C475" s="307"/>
    </row>
    <row r="476" spans="1:3" ht="20.100000000000001" customHeight="1">
      <c r="A476" s="307"/>
      <c r="B476" s="307"/>
      <c r="C476" s="307"/>
    </row>
    <row r="477" spans="1:3" ht="20.100000000000001" customHeight="1">
      <c r="A477" s="307"/>
      <c r="B477" s="307"/>
      <c r="C477" s="307"/>
    </row>
    <row r="478" spans="1:3" ht="20.100000000000001" customHeight="1">
      <c r="A478" s="307"/>
      <c r="B478" s="307"/>
      <c r="C478" s="307"/>
    </row>
    <row r="479" spans="1:3" ht="20.100000000000001" customHeight="1">
      <c r="A479" s="307"/>
      <c r="B479" s="307"/>
      <c r="C479" s="307"/>
    </row>
    <row r="480" spans="1:3" ht="20.100000000000001" customHeight="1">
      <c r="A480" s="307"/>
      <c r="B480" s="307"/>
      <c r="C480" s="307"/>
    </row>
    <row r="481" spans="1:3" ht="20.100000000000001" customHeight="1">
      <c r="A481" s="307"/>
      <c r="B481" s="307"/>
      <c r="C481" s="307"/>
    </row>
    <row r="482" spans="1:3" ht="20.100000000000001" customHeight="1">
      <c r="A482" s="307"/>
      <c r="B482" s="307"/>
      <c r="C482" s="307"/>
    </row>
    <row r="483" spans="1:3" ht="20.100000000000001" customHeight="1">
      <c r="A483" s="307"/>
      <c r="B483" s="307"/>
      <c r="C483" s="307"/>
    </row>
    <row r="484" spans="1:3" ht="20.100000000000001" customHeight="1">
      <c r="A484" s="307"/>
      <c r="B484" s="307"/>
      <c r="C484" s="307"/>
    </row>
    <row r="485" spans="1:3" ht="20.100000000000001" customHeight="1">
      <c r="A485" s="307"/>
      <c r="B485" s="307"/>
      <c r="C485" s="307"/>
    </row>
    <row r="486" spans="1:3" ht="20.100000000000001" customHeight="1">
      <c r="A486" s="307"/>
      <c r="B486" s="307"/>
      <c r="C486" s="307"/>
    </row>
    <row r="487" spans="1:3" ht="20.100000000000001" customHeight="1">
      <c r="A487" s="307"/>
      <c r="B487" s="307"/>
      <c r="C487" s="307"/>
    </row>
    <row r="488" spans="1:3" ht="20.100000000000001" customHeight="1">
      <c r="A488" s="307"/>
      <c r="B488" s="307"/>
      <c r="C488" s="307"/>
    </row>
    <row r="489" spans="1:3" ht="20.100000000000001" customHeight="1">
      <c r="A489" s="307"/>
      <c r="B489" s="307"/>
      <c r="C489" s="307"/>
    </row>
    <row r="490" spans="1:3" ht="20.100000000000001" customHeight="1">
      <c r="A490" s="307"/>
      <c r="B490" s="307"/>
      <c r="C490" s="307"/>
    </row>
    <row r="491" spans="1:3" ht="20.100000000000001" customHeight="1">
      <c r="A491" s="307"/>
      <c r="B491" s="307"/>
      <c r="C491" s="307"/>
    </row>
    <row r="492" spans="1:3" ht="20.100000000000001" customHeight="1">
      <c r="A492" s="307"/>
      <c r="B492" s="307"/>
      <c r="C492" s="307"/>
    </row>
    <row r="493" spans="1:3" ht="20.100000000000001" customHeight="1">
      <c r="A493" s="307"/>
      <c r="B493" s="307"/>
      <c r="C493" s="307"/>
    </row>
    <row r="494" spans="1:3" ht="20.100000000000001" customHeight="1">
      <c r="A494" s="307"/>
      <c r="B494" s="307"/>
      <c r="C494" s="307"/>
    </row>
    <row r="495" spans="1:3" ht="20.100000000000001" customHeight="1">
      <c r="A495" s="307"/>
      <c r="B495" s="307"/>
      <c r="C495" s="307"/>
    </row>
    <row r="496" spans="1:3" ht="20.100000000000001" customHeight="1">
      <c r="A496" s="307"/>
      <c r="B496" s="307"/>
      <c r="C496" s="307"/>
    </row>
    <row r="497" spans="1:3" ht="20.100000000000001" customHeight="1">
      <c r="A497" s="307"/>
      <c r="B497" s="307"/>
      <c r="C497" s="307"/>
    </row>
    <row r="498" spans="1:3" ht="20.100000000000001" customHeight="1">
      <c r="A498" s="307"/>
      <c r="B498" s="307"/>
      <c r="C498" s="307"/>
    </row>
    <row r="499" spans="1:3" ht="20.100000000000001" customHeight="1">
      <c r="A499" s="307"/>
      <c r="B499" s="307"/>
      <c r="C499" s="307"/>
    </row>
    <row r="500" spans="1:3" ht="20.100000000000001" customHeight="1">
      <c r="A500" s="307"/>
      <c r="B500" s="307"/>
      <c r="C500" s="307"/>
    </row>
    <row r="501" spans="1:3" ht="20.100000000000001" customHeight="1">
      <c r="A501" s="307"/>
      <c r="B501" s="307"/>
      <c r="C501" s="307"/>
    </row>
    <row r="502" spans="1:3" ht="20.100000000000001" customHeight="1">
      <c r="A502" s="307"/>
      <c r="B502" s="307"/>
      <c r="C502" s="307"/>
    </row>
    <row r="503" spans="1:3" ht="20.100000000000001" customHeight="1">
      <c r="A503" s="307"/>
      <c r="B503" s="307"/>
      <c r="C503" s="307"/>
    </row>
    <row r="504" spans="1:3" ht="20.100000000000001" customHeight="1">
      <c r="A504" s="307"/>
      <c r="B504" s="307"/>
      <c r="C504" s="307"/>
    </row>
    <row r="505" spans="1:3" ht="20.100000000000001" customHeight="1">
      <c r="A505" s="307"/>
      <c r="B505" s="307"/>
      <c r="C505" s="307"/>
    </row>
    <row r="506" spans="1:3" ht="20.100000000000001" customHeight="1">
      <c r="A506" s="307"/>
      <c r="B506" s="307"/>
      <c r="C506" s="307"/>
    </row>
    <row r="507" spans="1:3" ht="20.100000000000001" customHeight="1">
      <c r="A507" s="307"/>
      <c r="B507" s="307"/>
      <c r="C507" s="307"/>
    </row>
    <row r="508" spans="1:3" ht="20.100000000000001" customHeight="1">
      <c r="A508" s="307"/>
      <c r="B508" s="307"/>
      <c r="C508" s="307"/>
    </row>
    <row r="509" spans="1:3" ht="20.100000000000001" customHeight="1">
      <c r="A509" s="307"/>
      <c r="B509" s="307"/>
      <c r="C509" s="307"/>
    </row>
    <row r="510" spans="1:3" ht="20.100000000000001" customHeight="1">
      <c r="A510" s="307"/>
      <c r="B510" s="307"/>
      <c r="C510" s="307"/>
    </row>
    <row r="511" spans="1:3" ht="20.100000000000001" customHeight="1">
      <c r="A511" s="307"/>
      <c r="B511" s="307"/>
      <c r="C511" s="307"/>
    </row>
    <row r="512" spans="1:3" ht="20.100000000000001" customHeight="1">
      <c r="A512" s="307"/>
      <c r="B512" s="307"/>
      <c r="C512" s="307"/>
    </row>
    <row r="513" spans="1:3" ht="20.100000000000001" customHeight="1">
      <c r="A513" s="307"/>
      <c r="B513" s="307"/>
      <c r="C513" s="307"/>
    </row>
    <row r="514" spans="1:3" ht="20.100000000000001" customHeight="1">
      <c r="A514" s="307"/>
      <c r="B514" s="307"/>
      <c r="C514" s="307"/>
    </row>
    <row r="515" spans="1:3" ht="20.100000000000001" customHeight="1">
      <c r="A515" s="307"/>
      <c r="B515" s="307"/>
      <c r="C515" s="307"/>
    </row>
    <row r="516" spans="1:3" ht="20.100000000000001" customHeight="1">
      <c r="A516" s="307"/>
      <c r="B516" s="307"/>
      <c r="C516" s="307"/>
    </row>
    <row r="517" spans="1:3" ht="20.100000000000001" customHeight="1">
      <c r="A517" s="307"/>
      <c r="B517" s="307"/>
      <c r="C517" s="307"/>
    </row>
    <row r="518" spans="1:3" ht="20.100000000000001" customHeight="1">
      <c r="A518" s="307"/>
      <c r="B518" s="307"/>
      <c r="C518" s="307"/>
    </row>
    <row r="519" spans="1:3" ht="20.100000000000001" customHeight="1">
      <c r="A519" s="307"/>
      <c r="B519" s="307"/>
      <c r="C519" s="307"/>
    </row>
    <row r="520" spans="1:3" ht="20.100000000000001" customHeight="1">
      <c r="A520" s="307"/>
      <c r="B520" s="307"/>
      <c r="C520" s="307"/>
    </row>
    <row r="521" spans="1:3" ht="20.100000000000001" customHeight="1">
      <c r="A521" s="307"/>
      <c r="B521" s="307"/>
      <c r="C521" s="307"/>
    </row>
    <row r="522" spans="1:3" ht="20.100000000000001" customHeight="1">
      <c r="A522" s="307"/>
      <c r="B522" s="307"/>
      <c r="C522" s="307"/>
    </row>
    <row r="523" spans="1:3" ht="20.100000000000001" customHeight="1">
      <c r="A523" s="307"/>
      <c r="B523" s="307"/>
      <c r="C523" s="307"/>
    </row>
    <row r="524" spans="1:3" ht="20.100000000000001" customHeight="1">
      <c r="A524" s="307"/>
      <c r="B524" s="307"/>
      <c r="C524" s="307"/>
    </row>
    <row r="525" spans="1:3" ht="20.100000000000001" customHeight="1">
      <c r="A525" s="307"/>
      <c r="B525" s="307"/>
      <c r="C525" s="307"/>
    </row>
    <row r="526" spans="1:3" ht="20.100000000000001" customHeight="1">
      <c r="A526" s="307"/>
      <c r="B526" s="307"/>
      <c r="C526" s="307"/>
    </row>
    <row r="527" spans="1:3" ht="20.100000000000001" customHeight="1">
      <c r="A527" s="307"/>
      <c r="B527" s="307"/>
      <c r="C527" s="307"/>
    </row>
    <row r="528" spans="1:3" ht="20.100000000000001" customHeight="1">
      <c r="A528" s="307"/>
      <c r="B528" s="307"/>
      <c r="C528" s="307"/>
    </row>
    <row r="529" spans="1:3" ht="20.100000000000001" customHeight="1">
      <c r="A529" s="307"/>
      <c r="B529" s="307"/>
      <c r="C529" s="307"/>
    </row>
    <row r="530" spans="1:3" ht="20.100000000000001" customHeight="1">
      <c r="A530" s="307"/>
      <c r="B530" s="307"/>
      <c r="C530" s="307"/>
    </row>
    <row r="531" spans="1:3" ht="20.100000000000001" customHeight="1">
      <c r="A531" s="307"/>
      <c r="B531" s="307"/>
      <c r="C531" s="307"/>
    </row>
    <row r="532" spans="1:3" ht="20.100000000000001" customHeight="1">
      <c r="A532" s="307"/>
      <c r="B532" s="307"/>
      <c r="C532" s="307"/>
    </row>
    <row r="533" spans="1:3" ht="20.100000000000001" customHeight="1">
      <c r="A533" s="307"/>
      <c r="B533" s="307"/>
      <c r="C533" s="307"/>
    </row>
    <row r="534" spans="1:3" ht="20.100000000000001" customHeight="1">
      <c r="A534" s="307"/>
      <c r="B534" s="307"/>
      <c r="C534" s="307"/>
    </row>
    <row r="535" spans="1:3" ht="20.100000000000001" customHeight="1">
      <c r="A535" s="307"/>
      <c r="B535" s="307"/>
      <c r="C535" s="307"/>
    </row>
    <row r="536" spans="1:3" ht="20.100000000000001" customHeight="1">
      <c r="A536" s="307"/>
      <c r="B536" s="307"/>
      <c r="C536" s="307"/>
    </row>
    <row r="537" spans="1:3" ht="20.100000000000001" customHeight="1">
      <c r="A537" s="307"/>
      <c r="B537" s="307"/>
      <c r="C537" s="307"/>
    </row>
    <row r="538" spans="1:3" ht="20.100000000000001" customHeight="1">
      <c r="A538" s="307"/>
      <c r="B538" s="307"/>
      <c r="C538" s="307"/>
    </row>
    <row r="539" spans="1:3" ht="20.100000000000001" customHeight="1">
      <c r="A539" s="306"/>
      <c r="B539" s="306"/>
      <c r="C539" s="306"/>
    </row>
    <row r="540" spans="1:3" ht="20.100000000000001" customHeight="1">
      <c r="A540" s="306"/>
      <c r="B540" s="306"/>
      <c r="C540" s="306"/>
    </row>
    <row r="541" spans="1:3" ht="20.100000000000001" customHeight="1">
      <c r="A541" s="306"/>
      <c r="B541" s="306"/>
      <c r="C541" s="306"/>
    </row>
    <row r="542" spans="1:3" ht="20.100000000000001" customHeight="1">
      <c r="A542" s="306"/>
      <c r="B542" s="306"/>
      <c r="C542" s="306"/>
    </row>
    <row r="543" spans="1:3" ht="20.100000000000001" customHeight="1">
      <c r="A543" s="306"/>
      <c r="B543" s="306"/>
      <c r="C543" s="306"/>
    </row>
    <row r="544" spans="1:3" ht="20.100000000000001" customHeight="1">
      <c r="A544" s="306"/>
      <c r="B544" s="306"/>
      <c r="C544" s="306"/>
    </row>
    <row r="545" spans="1:3" ht="20.100000000000001" customHeight="1">
      <c r="A545" s="306"/>
      <c r="B545" s="306"/>
      <c r="C545" s="306"/>
    </row>
    <row r="546" spans="1:3" ht="20.100000000000001" customHeight="1">
      <c r="A546" s="306"/>
      <c r="B546" s="306"/>
      <c r="C546" s="306"/>
    </row>
    <row r="547" spans="1:3" ht="20.100000000000001" customHeight="1">
      <c r="A547" s="306"/>
      <c r="B547" s="306"/>
      <c r="C547" s="306"/>
    </row>
    <row r="548" spans="1:3" ht="20.100000000000001" customHeight="1">
      <c r="A548" s="306"/>
      <c r="B548" s="306"/>
      <c r="C548" s="306"/>
    </row>
    <row r="549" spans="1:3" ht="20.100000000000001" customHeight="1">
      <c r="A549" s="306"/>
      <c r="B549" s="306"/>
      <c r="C549" s="306"/>
    </row>
    <row r="550" spans="1:3" ht="20.100000000000001" customHeight="1">
      <c r="A550" s="306"/>
      <c r="B550" s="306"/>
      <c r="C550" s="306"/>
    </row>
    <row r="551" spans="1:3" ht="20.100000000000001" customHeight="1">
      <c r="A551" s="306"/>
      <c r="B551" s="306"/>
      <c r="C551" s="306"/>
    </row>
    <row r="552" spans="1:3" ht="20.100000000000001" customHeight="1">
      <c r="A552" s="306"/>
      <c r="B552" s="306"/>
      <c r="C552" s="306"/>
    </row>
    <row r="553" spans="1:3" ht="20.100000000000001" customHeight="1">
      <c r="A553" s="306"/>
      <c r="B553" s="306"/>
      <c r="C553" s="306"/>
    </row>
    <row r="554" spans="1:3" ht="20.100000000000001" customHeight="1">
      <c r="A554" s="306"/>
      <c r="B554" s="306"/>
      <c r="C554" s="306"/>
    </row>
    <row r="555" spans="1:3" ht="20.100000000000001" customHeight="1">
      <c r="A555" s="306"/>
      <c r="B555" s="306"/>
      <c r="C555" s="306"/>
    </row>
    <row r="556" spans="1:3" ht="20.100000000000001" customHeight="1">
      <c r="A556" s="306"/>
      <c r="B556" s="306"/>
      <c r="C556" s="306"/>
    </row>
    <row r="557" spans="1:3" ht="20.100000000000001" customHeight="1">
      <c r="A557" s="306"/>
      <c r="B557" s="306"/>
      <c r="C557" s="306"/>
    </row>
    <row r="558" spans="1:3" ht="20.100000000000001" customHeight="1">
      <c r="A558" s="306"/>
      <c r="B558" s="306"/>
      <c r="C558" s="306"/>
    </row>
    <row r="559" spans="1:3" ht="20.100000000000001" customHeight="1">
      <c r="A559" s="306"/>
      <c r="B559" s="306"/>
      <c r="C559" s="306"/>
    </row>
    <row r="560" spans="1:3" ht="20.100000000000001" customHeight="1">
      <c r="A560" s="306"/>
      <c r="B560" s="306"/>
      <c r="C560" s="306"/>
    </row>
    <row r="561" spans="1:3" ht="20.100000000000001" customHeight="1">
      <c r="A561" s="306"/>
      <c r="B561" s="306"/>
      <c r="C561" s="306"/>
    </row>
    <row r="562" spans="1:3" ht="20.100000000000001" customHeight="1">
      <c r="A562" s="306"/>
      <c r="B562" s="306"/>
      <c r="C562" s="306"/>
    </row>
    <row r="563" spans="1:3" ht="20.100000000000001" customHeight="1">
      <c r="A563" s="306"/>
      <c r="B563" s="306"/>
      <c r="C563" s="306"/>
    </row>
    <row r="564" spans="1:3" ht="20.100000000000001" customHeight="1">
      <c r="A564" s="306"/>
      <c r="B564" s="306"/>
      <c r="C564" s="306"/>
    </row>
    <row r="565" spans="1:3" ht="20.100000000000001" customHeight="1">
      <c r="A565" s="306"/>
      <c r="B565" s="306"/>
      <c r="C565" s="306"/>
    </row>
    <row r="566" spans="1:3" ht="20.100000000000001" customHeight="1">
      <c r="A566" s="306"/>
      <c r="B566" s="306"/>
      <c r="C566" s="306"/>
    </row>
    <row r="567" spans="1:3" ht="20.100000000000001" customHeight="1">
      <c r="A567" s="306"/>
      <c r="B567" s="306"/>
      <c r="C567" s="306"/>
    </row>
    <row r="568" spans="1:3" ht="20.100000000000001" customHeight="1">
      <c r="A568" s="306"/>
      <c r="B568" s="306"/>
      <c r="C568" s="306"/>
    </row>
    <row r="569" spans="1:3" ht="20.100000000000001" customHeight="1">
      <c r="A569" s="306"/>
      <c r="B569" s="306"/>
      <c r="C569" s="306"/>
    </row>
    <row r="570" spans="1:3" ht="20.100000000000001" customHeight="1">
      <c r="A570" s="306"/>
      <c r="B570" s="306"/>
      <c r="C570" s="306"/>
    </row>
    <row r="571" spans="1:3" ht="20.100000000000001" customHeight="1">
      <c r="A571" s="306"/>
      <c r="B571" s="306"/>
      <c r="C571" s="306"/>
    </row>
    <row r="572" spans="1:3" ht="20.100000000000001" customHeight="1">
      <c r="A572" s="306"/>
      <c r="B572" s="306"/>
      <c r="C572" s="306"/>
    </row>
    <row r="573" spans="1:3" ht="20.100000000000001" customHeight="1">
      <c r="A573" s="306"/>
      <c r="B573" s="306"/>
      <c r="C573" s="306"/>
    </row>
    <row r="574" spans="1:3" ht="20.100000000000001" customHeight="1">
      <c r="A574" s="306"/>
      <c r="B574" s="306"/>
      <c r="C574" s="306"/>
    </row>
    <row r="575" spans="1:3" ht="20.100000000000001" customHeight="1">
      <c r="A575" s="306"/>
      <c r="B575" s="306"/>
      <c r="C575" s="306"/>
    </row>
    <row r="576" spans="1:3" ht="20.100000000000001" customHeight="1">
      <c r="A576" s="306"/>
      <c r="B576" s="306"/>
      <c r="C576" s="306"/>
    </row>
    <row r="577" spans="1:3" ht="20.100000000000001" customHeight="1">
      <c r="A577" s="306"/>
      <c r="B577" s="306"/>
      <c r="C577" s="306"/>
    </row>
    <row r="578" spans="1:3" ht="20.100000000000001" customHeight="1">
      <c r="A578" s="306"/>
      <c r="B578" s="306"/>
      <c r="C578" s="306"/>
    </row>
    <row r="579" spans="1:3" ht="20.100000000000001" customHeight="1">
      <c r="A579" s="306"/>
      <c r="B579" s="306"/>
      <c r="C579" s="306"/>
    </row>
    <row r="580" spans="1:3" ht="20.100000000000001" customHeight="1">
      <c r="A580" s="306"/>
      <c r="B580" s="306"/>
      <c r="C580" s="306"/>
    </row>
    <row r="581" spans="1:3" ht="20.100000000000001" customHeight="1">
      <c r="A581" s="306"/>
      <c r="B581" s="306"/>
      <c r="C581" s="306"/>
    </row>
    <row r="582" spans="1:3" ht="20.100000000000001" customHeight="1">
      <c r="A582" s="306"/>
      <c r="B582" s="306"/>
      <c r="C582" s="306"/>
    </row>
    <row r="583" spans="1:3" ht="20.100000000000001" customHeight="1">
      <c r="A583" s="306"/>
      <c r="B583" s="306"/>
      <c r="C583" s="306"/>
    </row>
    <row r="584" spans="1:3" ht="20.100000000000001" customHeight="1">
      <c r="A584" s="306"/>
      <c r="B584" s="306"/>
      <c r="C584" s="306"/>
    </row>
    <row r="585" spans="1:3" ht="20.100000000000001" customHeight="1">
      <c r="A585" s="306"/>
      <c r="B585" s="306"/>
      <c r="C585" s="306"/>
    </row>
    <row r="586" spans="1:3" ht="20.100000000000001" customHeight="1">
      <c r="A586" s="306"/>
      <c r="B586" s="306"/>
      <c r="C586" s="306"/>
    </row>
    <row r="587" spans="1:3" ht="20.100000000000001" customHeight="1">
      <c r="A587" s="306"/>
      <c r="B587" s="306"/>
      <c r="C587" s="306"/>
    </row>
    <row r="588" spans="1:3" ht="20.100000000000001" customHeight="1">
      <c r="A588" s="306"/>
      <c r="B588" s="306"/>
      <c r="C588" s="306"/>
    </row>
    <row r="589" spans="1:3" ht="20.100000000000001" customHeight="1">
      <c r="A589" s="306"/>
      <c r="B589" s="306"/>
      <c r="C589" s="306"/>
    </row>
    <row r="590" spans="1:3" ht="20.100000000000001" customHeight="1">
      <c r="A590" s="306"/>
      <c r="B590" s="306"/>
      <c r="C590" s="306"/>
    </row>
    <row r="591" spans="1:3" ht="20.100000000000001" customHeight="1">
      <c r="A591" s="306"/>
      <c r="B591" s="306"/>
      <c r="C591" s="306"/>
    </row>
    <row r="592" spans="1:3" ht="20.100000000000001" customHeight="1">
      <c r="A592" s="306"/>
      <c r="B592" s="306"/>
      <c r="C592" s="306"/>
    </row>
  </sheetData>
  <sheetProtection selectLockedCells="1" autoFilter="0" selectUnlockedCells="1"/>
  <autoFilter ref="A2:T412">
    <filterColumn colId="3" showButton="0"/>
    <filterColumn colId="4" showButton="0"/>
  </autoFilter>
  <mergeCells count="261">
    <mergeCell ref="C118:C124"/>
    <mergeCell ref="C99:C101"/>
    <mergeCell ref="C53:C63"/>
    <mergeCell ref="C164:C168"/>
    <mergeCell ref="A76:A81"/>
    <mergeCell ref="A336:A339"/>
    <mergeCell ref="B336:B339"/>
    <mergeCell ref="A329:A334"/>
    <mergeCell ref="B329:B334"/>
    <mergeCell ref="C329:C334"/>
    <mergeCell ref="C336:C339"/>
    <mergeCell ref="C278:C279"/>
    <mergeCell ref="A276:A277"/>
    <mergeCell ref="B276:B277"/>
    <mergeCell ref="B278:B279"/>
    <mergeCell ref="A278:A279"/>
    <mergeCell ref="C116:C117"/>
    <mergeCell ref="C148:C150"/>
    <mergeCell ref="C141:C143"/>
    <mergeCell ref="C159:C163"/>
    <mergeCell ref="C169:C172"/>
    <mergeCell ref="B129:B132"/>
    <mergeCell ref="A129:A132"/>
    <mergeCell ref="A137:A140"/>
    <mergeCell ref="T48:T49"/>
    <mergeCell ref="C95:C98"/>
    <mergeCell ref="C64:C73"/>
    <mergeCell ref="C82:C86"/>
    <mergeCell ref="C87:C94"/>
    <mergeCell ref="C74:C75"/>
    <mergeCell ref="A74:A75"/>
    <mergeCell ref="B48:B52"/>
    <mergeCell ref="C48:C52"/>
    <mergeCell ref="A53:A63"/>
    <mergeCell ref="A64:A73"/>
    <mergeCell ref="B64:B73"/>
    <mergeCell ref="A48:A52"/>
    <mergeCell ref="B87:B94"/>
    <mergeCell ref="A87:A94"/>
    <mergeCell ref="A133:A136"/>
    <mergeCell ref="B76:B81"/>
    <mergeCell ref="C76:C81"/>
    <mergeCell ref="A126:A127"/>
    <mergeCell ref="A141:A143"/>
    <mergeCell ref="A148:A150"/>
    <mergeCell ref="A144:A147"/>
    <mergeCell ref="B99:B101"/>
    <mergeCell ref="A102:A103"/>
    <mergeCell ref="B102:B103"/>
    <mergeCell ref="A95:A98"/>
    <mergeCell ref="C133:C136"/>
    <mergeCell ref="C129:C132"/>
    <mergeCell ref="B133:B136"/>
    <mergeCell ref="B137:B140"/>
    <mergeCell ref="C137:C140"/>
    <mergeCell ref="B126:B127"/>
    <mergeCell ref="A111:A115"/>
    <mergeCell ref="A99:A101"/>
    <mergeCell ref="A82:A86"/>
    <mergeCell ref="A118:A124"/>
    <mergeCell ref="B95:B98"/>
    <mergeCell ref="B116:B117"/>
    <mergeCell ref="B82:B86"/>
    <mergeCell ref="A179:A180"/>
    <mergeCell ref="B173:B176"/>
    <mergeCell ref="A173:A176"/>
    <mergeCell ref="B179:B180"/>
    <mergeCell ref="A181:A190"/>
    <mergeCell ref="A164:A168"/>
    <mergeCell ref="B151:B154"/>
    <mergeCell ref="C155:C158"/>
    <mergeCell ref="A155:A158"/>
    <mergeCell ref="B155:B158"/>
    <mergeCell ref="C181:C190"/>
    <mergeCell ref="C179:C180"/>
    <mergeCell ref="C173:C176"/>
    <mergeCell ref="B105:B110"/>
    <mergeCell ref="B118:B124"/>
    <mergeCell ref="A116:A117"/>
    <mergeCell ref="T2:T3"/>
    <mergeCell ref="A1:T1"/>
    <mergeCell ref="A15:A19"/>
    <mergeCell ref="B15:B19"/>
    <mergeCell ref="C15:C19"/>
    <mergeCell ref="A2:A3"/>
    <mergeCell ref="C2:C3"/>
    <mergeCell ref="B2:B3"/>
    <mergeCell ref="I2:I3"/>
    <mergeCell ref="J2:J3"/>
    <mergeCell ref="D2:F2"/>
    <mergeCell ref="H2:H3"/>
    <mergeCell ref="G2:G3"/>
    <mergeCell ref="S2:S3"/>
    <mergeCell ref="Q2:Q3"/>
    <mergeCell ref="R2:R3"/>
    <mergeCell ref="K2:K3"/>
    <mergeCell ref="N2:N3"/>
    <mergeCell ref="O2:O3"/>
    <mergeCell ref="P2:P3"/>
    <mergeCell ref="L2:L3"/>
    <mergeCell ref="M2:M3"/>
    <mergeCell ref="B28:B37"/>
    <mergeCell ref="C28:C37"/>
    <mergeCell ref="A4:A14"/>
    <mergeCell ref="B4:B14"/>
    <mergeCell ref="C4:C14"/>
    <mergeCell ref="A20:A27"/>
    <mergeCell ref="B20:B27"/>
    <mergeCell ref="C20:C27"/>
    <mergeCell ref="A28:A37"/>
    <mergeCell ref="C309:C311"/>
    <mergeCell ref="A39:A47"/>
    <mergeCell ref="B39:B47"/>
    <mergeCell ref="C39:C47"/>
    <mergeCell ref="B164:B168"/>
    <mergeCell ref="B141:B143"/>
    <mergeCell ref="C151:C154"/>
    <mergeCell ref="C126:C127"/>
    <mergeCell ref="C111:C115"/>
    <mergeCell ref="C105:C110"/>
    <mergeCell ref="C102:C103"/>
    <mergeCell ref="B181:B190"/>
    <mergeCell ref="B53:B63"/>
    <mergeCell ref="A169:A172"/>
    <mergeCell ref="B169:B172"/>
    <mergeCell ref="B144:B147"/>
    <mergeCell ref="C144:C147"/>
    <mergeCell ref="B148:B150"/>
    <mergeCell ref="A159:A163"/>
    <mergeCell ref="B159:B163"/>
    <mergeCell ref="A151:A154"/>
    <mergeCell ref="B74:B75"/>
    <mergeCell ref="A105:A110"/>
    <mergeCell ref="B111:B115"/>
    <mergeCell ref="C342:C343"/>
    <mergeCell ref="B344:B345"/>
    <mergeCell ref="C344:C345"/>
    <mergeCell ref="A344:A345"/>
    <mergeCell ref="A342:A343"/>
    <mergeCell ref="B342:B343"/>
    <mergeCell ref="C208:C214"/>
    <mergeCell ref="C239:C246"/>
    <mergeCell ref="B215:B217"/>
    <mergeCell ref="A298:A302"/>
    <mergeCell ref="B309:B311"/>
    <mergeCell ref="A309:A311"/>
    <mergeCell ref="A313:A319"/>
    <mergeCell ref="B320:B322"/>
    <mergeCell ref="C276:C277"/>
    <mergeCell ref="A340:A341"/>
    <mergeCell ref="B340:B341"/>
    <mergeCell ref="C340:C341"/>
    <mergeCell ref="A323:A328"/>
    <mergeCell ref="B323:B328"/>
    <mergeCell ref="C323:C328"/>
    <mergeCell ref="A293:A297"/>
    <mergeCell ref="B293:B297"/>
    <mergeCell ref="C293:C297"/>
    <mergeCell ref="C374:C378"/>
    <mergeCell ref="A347:A352"/>
    <mergeCell ref="B347:B352"/>
    <mergeCell ref="C347:C352"/>
    <mergeCell ref="A353:A355"/>
    <mergeCell ref="B353:B355"/>
    <mergeCell ref="C353:C355"/>
    <mergeCell ref="A374:A378"/>
    <mergeCell ref="B374:B378"/>
    <mergeCell ref="A371:A373"/>
    <mergeCell ref="B371:B373"/>
    <mergeCell ref="C371:C373"/>
    <mergeCell ref="A357:A358"/>
    <mergeCell ref="B357:B358"/>
    <mergeCell ref="C357:C358"/>
    <mergeCell ref="A360:A364"/>
    <mergeCell ref="B360:B364"/>
    <mergeCell ref="C360:C364"/>
    <mergeCell ref="A365:A370"/>
    <mergeCell ref="B365:B370"/>
    <mergeCell ref="C365:C370"/>
    <mergeCell ref="B396:B397"/>
    <mergeCell ref="C379:C380"/>
    <mergeCell ref="A398:A403"/>
    <mergeCell ref="B398:B403"/>
    <mergeCell ref="C404:C407"/>
    <mergeCell ref="A404:A412"/>
    <mergeCell ref="B404:B412"/>
    <mergeCell ref="A389:A395"/>
    <mergeCell ref="B389:B395"/>
    <mergeCell ref="C389:C395"/>
    <mergeCell ref="A381:A384"/>
    <mergeCell ref="C385:C388"/>
    <mergeCell ref="B385:B388"/>
    <mergeCell ref="B379:B380"/>
    <mergeCell ref="A385:A388"/>
    <mergeCell ref="C402:C403"/>
    <mergeCell ref="C396:C397"/>
    <mergeCell ref="C398:C399"/>
    <mergeCell ref="B381:B384"/>
    <mergeCell ref="A379:A380"/>
    <mergeCell ref="C381:C384"/>
    <mergeCell ref="C408:C412"/>
    <mergeCell ref="A396:A397"/>
    <mergeCell ref="C320:C322"/>
    <mergeCell ref="A320:A322"/>
    <mergeCell ref="A218:A223"/>
    <mergeCell ref="B218:B223"/>
    <mergeCell ref="A215:A217"/>
    <mergeCell ref="C254:C257"/>
    <mergeCell ref="A274:A275"/>
    <mergeCell ref="B274:B275"/>
    <mergeCell ref="C247:C253"/>
    <mergeCell ref="A247:A253"/>
    <mergeCell ref="A254:A257"/>
    <mergeCell ref="B254:B257"/>
    <mergeCell ref="C258:C263"/>
    <mergeCell ref="C215:C216"/>
    <mergeCell ref="A239:A246"/>
    <mergeCell ref="B239:B246"/>
    <mergeCell ref="A269:A273"/>
    <mergeCell ref="B269:B273"/>
    <mergeCell ref="A290:A292"/>
    <mergeCell ref="B313:B319"/>
    <mergeCell ref="C280:C281"/>
    <mergeCell ref="A280:A281"/>
    <mergeCell ref="B280:B281"/>
    <mergeCell ref="C313:C319"/>
    <mergeCell ref="C307:C308"/>
    <mergeCell ref="A307:A308"/>
    <mergeCell ref="T290:T291"/>
    <mergeCell ref="C274:C275"/>
    <mergeCell ref="A282:A284"/>
    <mergeCell ref="B282:B284"/>
    <mergeCell ref="C282:C284"/>
    <mergeCell ref="C290:C292"/>
    <mergeCell ref="B265:B268"/>
    <mergeCell ref="C265:C268"/>
    <mergeCell ref="T286:T287"/>
    <mergeCell ref="A265:A268"/>
    <mergeCell ref="C269:C273"/>
    <mergeCell ref="A286:A289"/>
    <mergeCell ref="B286:B289"/>
    <mergeCell ref="C286:C289"/>
    <mergeCell ref="B307:B308"/>
    <mergeCell ref="C218:C223"/>
    <mergeCell ref="A191:A202"/>
    <mergeCell ref="B191:B202"/>
    <mergeCell ref="B247:B253"/>
    <mergeCell ref="B290:B292"/>
    <mergeCell ref="B298:B302"/>
    <mergeCell ref="C298:C302"/>
    <mergeCell ref="A303:A306"/>
    <mergeCell ref="B303:B306"/>
    <mergeCell ref="C303:C306"/>
    <mergeCell ref="B258:B263"/>
    <mergeCell ref="A258:A263"/>
    <mergeCell ref="C191:C202"/>
    <mergeCell ref="B208:B214"/>
    <mergeCell ref="A203:A207"/>
    <mergeCell ref="A208:A214"/>
    <mergeCell ref="C203:C207"/>
    <mergeCell ref="B203:B207"/>
  </mergeCells>
  <phoneticPr fontId="3" type="noConversion"/>
  <pageMargins left="0.75" right="0.75" top="1" bottom="0.15" header="0.5" footer="0.15"/>
  <pageSetup paperSize="9" orientation="landscape" verticalDpi="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indexed="24"/>
  </sheetPr>
  <dimension ref="A1:X1881"/>
  <sheetViews>
    <sheetView showGridLines="0" zoomScale="95" zoomScaleNormal="95" workbookViewId="0">
      <pane ySplit="3" topLeftCell="A4" activePane="bottomLeft" state="frozen"/>
      <selection pane="bottomLeft" sqref="A1:T1"/>
    </sheetView>
  </sheetViews>
  <sheetFormatPr defaultColWidth="9" defaultRowHeight="20.100000000000001" customHeight="1"/>
  <cols>
    <col min="1" max="1" width="4.25" style="40" customWidth="1"/>
    <col min="2" max="2" width="9.75" style="597" customWidth="1"/>
    <col min="3" max="3" width="15.125" style="597" customWidth="1"/>
    <col min="4" max="6" width="6.125" style="794" customWidth="1"/>
    <col min="7" max="7" width="8.25" style="41" customWidth="1"/>
    <col min="8" max="8" width="6.75" style="41" customWidth="1"/>
    <col min="9" max="9" width="6.5" style="598" customWidth="1"/>
    <col min="10" max="10" width="9.875" style="598" customWidth="1"/>
    <col min="11" max="11" width="7.125" style="599" customWidth="1"/>
    <col min="12" max="12" width="5.25" style="595" customWidth="1"/>
    <col min="13" max="14" width="10.5" style="595" customWidth="1"/>
    <col min="15" max="15" width="14.375" style="598" customWidth="1"/>
    <col min="16" max="16" width="13.75" style="598" customWidth="1"/>
    <col min="17" max="17" width="21" style="44" customWidth="1"/>
    <col min="18" max="18" width="9.125" style="600" customWidth="1"/>
    <col min="19" max="19" width="21" style="324" customWidth="1"/>
    <col min="20" max="20" width="15.125" style="44" customWidth="1"/>
    <col min="21" max="16384" width="9" style="595"/>
  </cols>
  <sheetData>
    <row r="1" spans="1:20" ht="20.100000000000001" customHeight="1">
      <c r="A1" s="1262" t="s">
        <v>5431</v>
      </c>
      <c r="B1" s="1263"/>
      <c r="C1" s="1263"/>
      <c r="D1" s="1264"/>
      <c r="E1" s="1264"/>
      <c r="F1" s="1264"/>
      <c r="G1" s="1263"/>
      <c r="H1" s="1263"/>
      <c r="I1" s="1263"/>
      <c r="J1" s="1263"/>
      <c r="K1" s="1263"/>
      <c r="L1" s="1263"/>
      <c r="M1" s="1263"/>
      <c r="N1" s="1263"/>
      <c r="O1" s="1263"/>
      <c r="P1" s="1263"/>
      <c r="Q1" s="1263"/>
      <c r="R1" s="1263"/>
      <c r="S1" s="1263"/>
      <c r="T1" s="1265"/>
    </row>
    <row r="2" spans="1:20" s="41" customFormat="1" ht="20.100000000000001" customHeight="1">
      <c r="A2" s="1129" t="s">
        <v>801</v>
      </c>
      <c r="B2" s="1129" t="s">
        <v>802</v>
      </c>
      <c r="C2" s="1129" t="s">
        <v>2880</v>
      </c>
      <c r="D2" s="1129" t="s">
        <v>5430</v>
      </c>
      <c r="E2" s="1129"/>
      <c r="F2" s="1129"/>
      <c r="G2" s="1129" t="s">
        <v>2263</v>
      </c>
      <c r="H2" s="1129" t="s">
        <v>2882</v>
      </c>
      <c r="I2" s="1129" t="s">
        <v>2883</v>
      </c>
      <c r="J2" s="1129" t="s">
        <v>2884</v>
      </c>
      <c r="K2" s="1129" t="s">
        <v>2885</v>
      </c>
      <c r="L2" s="1129" t="s">
        <v>2886</v>
      </c>
      <c r="M2" s="1268" t="s">
        <v>5429</v>
      </c>
      <c r="N2" s="1129" t="s">
        <v>803</v>
      </c>
      <c r="O2" s="1129" t="s">
        <v>2888</v>
      </c>
      <c r="P2" s="1129" t="s">
        <v>805</v>
      </c>
      <c r="Q2" s="1129" t="s">
        <v>2890</v>
      </c>
      <c r="R2" s="1129" t="s">
        <v>1029</v>
      </c>
      <c r="S2" s="1129" t="s">
        <v>3289</v>
      </c>
      <c r="T2" s="1129" t="s">
        <v>2833</v>
      </c>
    </row>
    <row r="3" spans="1:20" s="41" customFormat="1" ht="20.100000000000001" customHeight="1">
      <c r="A3" s="1129"/>
      <c r="B3" s="1129"/>
      <c r="C3" s="1129"/>
      <c r="D3" s="896" t="s">
        <v>57</v>
      </c>
      <c r="E3" s="896" t="s">
        <v>58</v>
      </c>
      <c r="F3" s="896" t="s">
        <v>59</v>
      </c>
      <c r="G3" s="1129"/>
      <c r="H3" s="1129"/>
      <c r="I3" s="1129"/>
      <c r="J3" s="1129"/>
      <c r="K3" s="1129"/>
      <c r="L3" s="1129"/>
      <c r="M3" s="1269"/>
      <c r="N3" s="1129"/>
      <c r="O3" s="1129"/>
      <c r="P3" s="1129"/>
      <c r="Q3" s="1129"/>
      <c r="R3" s="1129"/>
      <c r="S3" s="1129"/>
      <c r="T3" s="1129"/>
    </row>
    <row r="4" spans="1:20" ht="20.100000000000001" customHeight="1">
      <c r="A4" s="1270" t="s">
        <v>3701</v>
      </c>
      <c r="B4" s="1267" t="s">
        <v>2527</v>
      </c>
      <c r="C4" s="1267" t="s">
        <v>3703</v>
      </c>
      <c r="D4" s="1008">
        <v>1175</v>
      </c>
      <c r="E4" s="1008">
        <v>1250</v>
      </c>
      <c r="F4" s="1008">
        <v>1250</v>
      </c>
      <c r="G4" s="227" t="s">
        <v>1689</v>
      </c>
      <c r="H4" s="672">
        <v>2</v>
      </c>
      <c r="I4" s="152" t="s">
        <v>870</v>
      </c>
      <c r="J4" s="152"/>
      <c r="K4" s="670">
        <v>20</v>
      </c>
      <c r="L4" s="624" t="s">
        <v>860</v>
      </c>
      <c r="M4" s="156">
        <v>43076</v>
      </c>
      <c r="N4" s="156">
        <v>43083</v>
      </c>
      <c r="O4" s="153" t="s">
        <v>2529</v>
      </c>
      <c r="P4" s="61"/>
      <c r="Q4" s="7"/>
      <c r="R4" s="606" t="s">
        <v>3576</v>
      </c>
      <c r="S4" s="316" t="s">
        <v>2943</v>
      </c>
      <c r="T4" s="904"/>
    </row>
    <row r="5" spans="1:20" ht="20.100000000000001" customHeight="1">
      <c r="A5" s="1270" t="s">
        <v>3701</v>
      </c>
      <c r="B5" s="1267" t="s">
        <v>2527</v>
      </c>
      <c r="C5" s="1267" t="s">
        <v>3703</v>
      </c>
      <c r="D5" s="1008">
        <v>1550</v>
      </c>
      <c r="E5" s="1008">
        <v>1800</v>
      </c>
      <c r="F5" s="1008">
        <v>1800</v>
      </c>
      <c r="G5" s="638" t="s">
        <v>51</v>
      </c>
      <c r="H5" s="672">
        <v>2</v>
      </c>
      <c r="I5" s="152" t="s">
        <v>870</v>
      </c>
      <c r="J5" s="152"/>
      <c r="K5" s="670">
        <v>20</v>
      </c>
      <c r="L5" s="624" t="s">
        <v>860</v>
      </c>
      <c r="M5" s="611">
        <v>43086</v>
      </c>
      <c r="N5" s="611">
        <v>43100</v>
      </c>
      <c r="O5" s="61" t="s">
        <v>3291</v>
      </c>
      <c r="P5" s="52"/>
      <c r="Q5" s="52"/>
      <c r="R5" s="606" t="s">
        <v>3612</v>
      </c>
      <c r="S5" s="315" t="s">
        <v>3290</v>
      </c>
      <c r="T5" s="749" t="s">
        <v>2834</v>
      </c>
    </row>
    <row r="6" spans="1:20" ht="20.100000000000001" customHeight="1">
      <c r="A6" s="1270" t="s">
        <v>3701</v>
      </c>
      <c r="B6" s="1267" t="s">
        <v>2527</v>
      </c>
      <c r="C6" s="1267" t="s">
        <v>3703</v>
      </c>
      <c r="D6" s="1008">
        <v>1550</v>
      </c>
      <c r="E6" s="1008">
        <v>1800</v>
      </c>
      <c r="F6" s="1008">
        <v>1800</v>
      </c>
      <c r="G6" s="666" t="s">
        <v>878</v>
      </c>
      <c r="H6" s="151">
        <v>2</v>
      </c>
      <c r="I6" s="152" t="s">
        <v>870</v>
      </c>
      <c r="J6" s="152"/>
      <c r="K6" s="670">
        <v>20</v>
      </c>
      <c r="L6" s="624" t="s">
        <v>860</v>
      </c>
      <c r="M6" s="156">
        <v>43084</v>
      </c>
      <c r="N6" s="156">
        <v>43093</v>
      </c>
      <c r="O6" s="153" t="s">
        <v>2131</v>
      </c>
      <c r="P6" s="61"/>
      <c r="Q6" s="52"/>
      <c r="R6" s="606" t="s">
        <v>3584</v>
      </c>
      <c r="S6" s="315" t="s">
        <v>3337</v>
      </c>
      <c r="T6" s="904"/>
    </row>
    <row r="7" spans="1:20" ht="20.100000000000001" customHeight="1">
      <c r="A7" s="1270" t="s">
        <v>3701</v>
      </c>
      <c r="B7" s="1267" t="s">
        <v>2527</v>
      </c>
      <c r="C7" s="1267" t="s">
        <v>3703</v>
      </c>
      <c r="D7" s="1016">
        <v>1150</v>
      </c>
      <c r="E7" s="1016">
        <v>1200</v>
      </c>
      <c r="F7" s="1016">
        <v>1200</v>
      </c>
      <c r="G7" s="667" t="s">
        <v>669</v>
      </c>
      <c r="H7" s="151">
        <v>2</v>
      </c>
      <c r="I7" s="152" t="s">
        <v>870</v>
      </c>
      <c r="J7" s="152"/>
      <c r="K7" s="670">
        <v>20</v>
      </c>
      <c r="L7" s="624" t="s">
        <v>860</v>
      </c>
      <c r="M7" s="620">
        <v>43081</v>
      </c>
      <c r="N7" s="620">
        <v>43085</v>
      </c>
      <c r="O7" s="153" t="s">
        <v>880</v>
      </c>
      <c r="P7" s="61"/>
      <c r="Q7" s="52"/>
      <c r="R7" s="606" t="s">
        <v>3609</v>
      </c>
      <c r="S7" s="316" t="s">
        <v>3573</v>
      </c>
      <c r="T7" s="904"/>
    </row>
    <row r="8" spans="1:20" ht="20.100000000000001" customHeight="1">
      <c r="A8" s="1270" t="s">
        <v>3701</v>
      </c>
      <c r="B8" s="1267" t="s">
        <v>2527</v>
      </c>
      <c r="C8" s="1267" t="s">
        <v>3703</v>
      </c>
      <c r="D8" s="956">
        <v>1550</v>
      </c>
      <c r="E8" s="956">
        <v>1800</v>
      </c>
      <c r="F8" s="956">
        <v>1800</v>
      </c>
      <c r="G8" s="662" t="s">
        <v>679</v>
      </c>
      <c r="H8" s="671">
        <v>2</v>
      </c>
      <c r="I8" s="152" t="s">
        <v>870</v>
      </c>
      <c r="J8" s="152"/>
      <c r="K8" s="670">
        <v>20</v>
      </c>
      <c r="L8" s="624" t="s">
        <v>860</v>
      </c>
      <c r="M8" s="159">
        <v>43087</v>
      </c>
      <c r="N8" s="159">
        <v>43093</v>
      </c>
      <c r="O8" s="153" t="s">
        <v>879</v>
      </c>
      <c r="P8" s="61"/>
      <c r="Q8" s="7"/>
      <c r="R8" s="606" t="s">
        <v>3595</v>
      </c>
      <c r="S8" s="622"/>
      <c r="T8" s="904"/>
    </row>
    <row r="9" spans="1:20" ht="20.100000000000001" customHeight="1">
      <c r="A9" s="1270" t="s">
        <v>3701</v>
      </c>
      <c r="B9" s="1267" t="s">
        <v>2527</v>
      </c>
      <c r="C9" s="1267" t="s">
        <v>3703</v>
      </c>
      <c r="D9" s="1008">
        <v>1550</v>
      </c>
      <c r="E9" s="1008">
        <v>1800</v>
      </c>
      <c r="F9" s="1008">
        <v>1800</v>
      </c>
      <c r="G9" s="666" t="s">
        <v>19</v>
      </c>
      <c r="H9" s="4" t="s">
        <v>1102</v>
      </c>
      <c r="I9" s="5" t="s">
        <v>17</v>
      </c>
      <c r="J9" s="37"/>
      <c r="K9" s="16" t="s">
        <v>747</v>
      </c>
      <c r="L9" s="624" t="s">
        <v>860</v>
      </c>
      <c r="M9" s="156">
        <v>43084</v>
      </c>
      <c r="N9" s="156">
        <v>43093</v>
      </c>
      <c r="O9" s="153" t="s">
        <v>2131</v>
      </c>
      <c r="P9" s="61"/>
      <c r="Q9" s="7"/>
      <c r="R9" s="606" t="s">
        <v>2547</v>
      </c>
      <c r="S9" s="315" t="s">
        <v>3337</v>
      </c>
      <c r="T9" s="904"/>
    </row>
    <row r="10" spans="1:20" ht="20.100000000000001" customHeight="1">
      <c r="A10" s="1270" t="s">
        <v>3701</v>
      </c>
      <c r="B10" s="1267" t="s">
        <v>2527</v>
      </c>
      <c r="C10" s="1267" t="s">
        <v>3703</v>
      </c>
      <c r="D10" s="1015">
        <v>1225</v>
      </c>
      <c r="E10" s="1015">
        <v>1350</v>
      </c>
      <c r="F10" s="1015">
        <v>1350</v>
      </c>
      <c r="G10" s="636" t="s">
        <v>18</v>
      </c>
      <c r="H10" s="4" t="s">
        <v>1102</v>
      </c>
      <c r="I10" s="5" t="s">
        <v>17</v>
      </c>
      <c r="J10" s="37"/>
      <c r="K10" s="16" t="s">
        <v>747</v>
      </c>
      <c r="L10" s="607" t="s">
        <v>653</v>
      </c>
      <c r="M10" s="108">
        <v>43078</v>
      </c>
      <c r="N10" s="108">
        <v>43083</v>
      </c>
      <c r="O10" s="153" t="s">
        <v>2552</v>
      </c>
      <c r="P10" s="7"/>
      <c r="Q10" s="7"/>
      <c r="R10" s="606" t="s">
        <v>2547</v>
      </c>
      <c r="S10" s="622"/>
      <c r="T10" s="904"/>
    </row>
    <row r="11" spans="1:20" ht="20.100000000000001" customHeight="1">
      <c r="A11" s="1270" t="s">
        <v>3701</v>
      </c>
      <c r="B11" s="1267" t="s">
        <v>2527</v>
      </c>
      <c r="C11" s="1267" t="s">
        <v>3703</v>
      </c>
      <c r="D11" s="1067">
        <v>1550</v>
      </c>
      <c r="E11" s="1067">
        <v>1800</v>
      </c>
      <c r="F11" s="1067">
        <v>1800</v>
      </c>
      <c r="G11" s="662" t="s">
        <v>94</v>
      </c>
      <c r="H11" s="4" t="s">
        <v>1102</v>
      </c>
      <c r="I11" s="5" t="s">
        <v>17</v>
      </c>
      <c r="J11" s="37"/>
      <c r="K11" s="16" t="s">
        <v>747</v>
      </c>
      <c r="L11" s="624" t="s">
        <v>860</v>
      </c>
      <c r="M11" s="108">
        <v>43087</v>
      </c>
      <c r="N11" s="108">
        <v>43094</v>
      </c>
      <c r="O11" s="153" t="s">
        <v>884</v>
      </c>
      <c r="P11" s="61"/>
      <c r="Q11" s="7"/>
      <c r="R11" s="606" t="s">
        <v>2524</v>
      </c>
      <c r="S11" s="322" t="s">
        <v>1176</v>
      </c>
      <c r="T11" s="904"/>
    </row>
    <row r="12" spans="1:20" ht="20.100000000000001" customHeight="1">
      <c r="A12" s="1270" t="s">
        <v>3701</v>
      </c>
      <c r="B12" s="1267" t="s">
        <v>2527</v>
      </c>
      <c r="C12" s="1267" t="s">
        <v>3703</v>
      </c>
      <c r="D12" s="956">
        <v>1550</v>
      </c>
      <c r="E12" s="956">
        <v>1800</v>
      </c>
      <c r="F12" s="956">
        <v>1800</v>
      </c>
      <c r="G12" s="662" t="s">
        <v>679</v>
      </c>
      <c r="H12" s="168" t="s">
        <v>659</v>
      </c>
      <c r="I12" s="152" t="s">
        <v>870</v>
      </c>
      <c r="J12" s="152"/>
      <c r="K12" s="155" t="s">
        <v>829</v>
      </c>
      <c r="L12" s="624" t="s">
        <v>860</v>
      </c>
      <c r="M12" s="159">
        <v>43087</v>
      </c>
      <c r="N12" s="159">
        <v>43093</v>
      </c>
      <c r="O12" s="153" t="s">
        <v>879</v>
      </c>
      <c r="P12" s="61"/>
      <c r="Q12" s="7"/>
      <c r="R12" s="606" t="s">
        <v>3579</v>
      </c>
      <c r="S12" s="622"/>
      <c r="T12" s="904"/>
    </row>
    <row r="13" spans="1:20" ht="20.100000000000001" customHeight="1">
      <c r="A13" s="1270" t="s">
        <v>3701</v>
      </c>
      <c r="B13" s="1267" t="s">
        <v>2527</v>
      </c>
      <c r="C13" s="1267" t="s">
        <v>3703</v>
      </c>
      <c r="D13" s="1008">
        <v>1550</v>
      </c>
      <c r="E13" s="1008">
        <v>1800</v>
      </c>
      <c r="F13" s="1008">
        <v>1800</v>
      </c>
      <c r="G13" s="662" t="s">
        <v>51</v>
      </c>
      <c r="H13" s="168" t="s">
        <v>659</v>
      </c>
      <c r="I13" s="152" t="s">
        <v>870</v>
      </c>
      <c r="J13" s="152"/>
      <c r="K13" s="155" t="s">
        <v>829</v>
      </c>
      <c r="L13" s="624" t="s">
        <v>860</v>
      </c>
      <c r="M13" s="611">
        <v>43086</v>
      </c>
      <c r="N13" s="611">
        <v>43100</v>
      </c>
      <c r="O13" s="61" t="s">
        <v>3291</v>
      </c>
      <c r="P13" s="52"/>
      <c r="Q13" s="7"/>
      <c r="R13" s="606" t="s">
        <v>3618</v>
      </c>
      <c r="S13" s="315" t="s">
        <v>3290</v>
      </c>
      <c r="T13" s="749" t="s">
        <v>2834</v>
      </c>
    </row>
    <row r="14" spans="1:20" ht="20.100000000000001" customHeight="1">
      <c r="A14" s="1270" t="s">
        <v>3701</v>
      </c>
      <c r="B14" s="1267" t="s">
        <v>2527</v>
      </c>
      <c r="C14" s="1267" t="s">
        <v>3703</v>
      </c>
      <c r="D14" s="1008">
        <v>1550</v>
      </c>
      <c r="E14" s="1008">
        <v>1800</v>
      </c>
      <c r="F14" s="1008">
        <v>1800</v>
      </c>
      <c r="G14" s="668" t="s">
        <v>878</v>
      </c>
      <c r="H14" s="151" t="s">
        <v>659</v>
      </c>
      <c r="I14" s="152" t="s">
        <v>870</v>
      </c>
      <c r="J14" s="152"/>
      <c r="K14" s="155" t="s">
        <v>829</v>
      </c>
      <c r="L14" s="624" t="s">
        <v>860</v>
      </c>
      <c r="M14" s="156">
        <v>43084</v>
      </c>
      <c r="N14" s="156">
        <v>43093</v>
      </c>
      <c r="O14" s="153" t="s">
        <v>2131</v>
      </c>
      <c r="P14" s="61"/>
      <c r="Q14" s="7"/>
      <c r="R14" s="606" t="s">
        <v>3596</v>
      </c>
      <c r="S14" s="315" t="s">
        <v>3337</v>
      </c>
      <c r="T14" s="904"/>
    </row>
    <row r="15" spans="1:20" ht="20.100000000000001" customHeight="1">
      <c r="A15" s="1270" t="s">
        <v>3701</v>
      </c>
      <c r="B15" s="1267" t="s">
        <v>2527</v>
      </c>
      <c r="C15" s="1267" t="s">
        <v>3703</v>
      </c>
      <c r="D15" s="1016">
        <v>1150</v>
      </c>
      <c r="E15" s="1016">
        <v>1200</v>
      </c>
      <c r="F15" s="1016">
        <v>1200</v>
      </c>
      <c r="G15" s="667" t="s">
        <v>669</v>
      </c>
      <c r="H15" s="168" t="s">
        <v>659</v>
      </c>
      <c r="I15" s="152" t="s">
        <v>870</v>
      </c>
      <c r="J15" s="152"/>
      <c r="K15" s="155" t="s">
        <v>829</v>
      </c>
      <c r="L15" s="624" t="s">
        <v>860</v>
      </c>
      <c r="M15" s="620">
        <v>43081</v>
      </c>
      <c r="N15" s="620">
        <v>43085</v>
      </c>
      <c r="O15" s="153" t="s">
        <v>880</v>
      </c>
      <c r="P15" s="61"/>
      <c r="Q15" s="7"/>
      <c r="R15" s="606" t="s">
        <v>3617</v>
      </c>
      <c r="S15" s="316" t="s">
        <v>3573</v>
      </c>
      <c r="T15" s="904"/>
    </row>
    <row r="16" spans="1:20" ht="20.100000000000001" customHeight="1">
      <c r="A16" s="1270" t="s">
        <v>3701</v>
      </c>
      <c r="B16" s="1267" t="s">
        <v>2527</v>
      </c>
      <c r="C16" s="1267" t="s">
        <v>3703</v>
      </c>
      <c r="D16" s="1008">
        <v>1175</v>
      </c>
      <c r="E16" s="1008">
        <v>1250</v>
      </c>
      <c r="F16" s="1008">
        <v>1250</v>
      </c>
      <c r="G16" s="227" t="s">
        <v>1689</v>
      </c>
      <c r="H16" s="168" t="s">
        <v>659</v>
      </c>
      <c r="I16" s="152" t="s">
        <v>870</v>
      </c>
      <c r="J16" s="152"/>
      <c r="K16" s="155" t="s">
        <v>829</v>
      </c>
      <c r="L16" s="624" t="s">
        <v>860</v>
      </c>
      <c r="M16" s="156">
        <v>43076</v>
      </c>
      <c r="N16" s="156">
        <v>43083</v>
      </c>
      <c r="O16" s="153" t="s">
        <v>2529</v>
      </c>
      <c r="P16" s="61"/>
      <c r="Q16" s="7"/>
      <c r="R16" s="606" t="s">
        <v>3590</v>
      </c>
      <c r="S16" s="316" t="s">
        <v>2943</v>
      </c>
      <c r="T16" s="904"/>
    </row>
    <row r="17" spans="1:20" ht="20.100000000000001" customHeight="1">
      <c r="A17" s="1270" t="s">
        <v>3701</v>
      </c>
      <c r="B17" s="1267" t="s">
        <v>2527</v>
      </c>
      <c r="C17" s="1267" t="s">
        <v>3703</v>
      </c>
      <c r="D17" s="1006">
        <v>1125</v>
      </c>
      <c r="E17" s="1006">
        <v>1200</v>
      </c>
      <c r="F17" s="1006">
        <v>1200</v>
      </c>
      <c r="G17" s="660" t="s">
        <v>772</v>
      </c>
      <c r="H17" s="151">
        <v>4</v>
      </c>
      <c r="I17" s="152" t="s">
        <v>870</v>
      </c>
      <c r="J17" s="152"/>
      <c r="K17" s="152" t="s">
        <v>883</v>
      </c>
      <c r="L17" s="624" t="s">
        <v>860</v>
      </c>
      <c r="M17" s="15">
        <v>43078</v>
      </c>
      <c r="N17" s="159">
        <v>43084</v>
      </c>
      <c r="O17" s="153" t="s">
        <v>881</v>
      </c>
      <c r="P17" s="61"/>
      <c r="Q17" s="7"/>
      <c r="R17" s="606" t="s">
        <v>3568</v>
      </c>
      <c r="S17" s="316" t="s">
        <v>3567</v>
      </c>
      <c r="T17" s="626" t="s">
        <v>1018</v>
      </c>
    </row>
    <row r="18" spans="1:20" ht="20.100000000000001" customHeight="1">
      <c r="A18" s="1270" t="s">
        <v>3701</v>
      </c>
      <c r="B18" s="1267" t="s">
        <v>2527</v>
      </c>
      <c r="C18" s="1267" t="s">
        <v>3703</v>
      </c>
      <c r="D18" s="1067">
        <v>1550</v>
      </c>
      <c r="E18" s="1067">
        <v>1800</v>
      </c>
      <c r="F18" s="1067">
        <v>1800</v>
      </c>
      <c r="G18" s="662" t="s">
        <v>94</v>
      </c>
      <c r="H18" s="151">
        <v>4</v>
      </c>
      <c r="I18" s="152" t="s">
        <v>870</v>
      </c>
      <c r="J18" s="152"/>
      <c r="K18" s="152" t="s">
        <v>883</v>
      </c>
      <c r="L18" s="624" t="s">
        <v>860</v>
      </c>
      <c r="M18" s="108">
        <v>43087</v>
      </c>
      <c r="N18" s="108">
        <v>43094</v>
      </c>
      <c r="O18" s="153" t="s">
        <v>884</v>
      </c>
      <c r="P18" s="7"/>
      <c r="Q18" s="7"/>
      <c r="R18" s="606" t="s">
        <v>3593</v>
      </c>
      <c r="S18" s="322" t="s">
        <v>1176</v>
      </c>
      <c r="T18" s="859"/>
    </row>
    <row r="19" spans="1:20" ht="20.100000000000001" customHeight="1">
      <c r="A19" s="1270" t="s">
        <v>3701</v>
      </c>
      <c r="B19" s="1267" t="s">
        <v>2527</v>
      </c>
      <c r="C19" s="1267" t="s">
        <v>3703</v>
      </c>
      <c r="D19" s="1008">
        <v>1550</v>
      </c>
      <c r="E19" s="1008">
        <v>1800</v>
      </c>
      <c r="F19" s="1008">
        <v>1800</v>
      </c>
      <c r="G19" s="662" t="s">
        <v>666</v>
      </c>
      <c r="H19" s="151">
        <v>5</v>
      </c>
      <c r="I19" s="152" t="s">
        <v>870</v>
      </c>
      <c r="J19" s="152"/>
      <c r="K19" s="155" t="s">
        <v>1018</v>
      </c>
      <c r="L19" s="624" t="s">
        <v>860</v>
      </c>
      <c r="M19" s="611">
        <v>43086</v>
      </c>
      <c r="N19" s="611">
        <v>43100</v>
      </c>
      <c r="O19" s="61" t="s">
        <v>3291</v>
      </c>
      <c r="P19" s="52"/>
      <c r="Q19" s="52"/>
      <c r="R19" s="606" t="s">
        <v>2538</v>
      </c>
      <c r="S19" s="315" t="s">
        <v>3290</v>
      </c>
      <c r="T19" s="749" t="s">
        <v>2834</v>
      </c>
    </row>
    <row r="20" spans="1:20" ht="20.100000000000001" customHeight="1">
      <c r="A20" s="1270" t="s">
        <v>3701</v>
      </c>
      <c r="B20" s="1267" t="s">
        <v>2527</v>
      </c>
      <c r="C20" s="1267" t="s">
        <v>3703</v>
      </c>
      <c r="D20" s="956">
        <v>1500</v>
      </c>
      <c r="E20" s="956">
        <v>1750</v>
      </c>
      <c r="F20" s="956">
        <v>1750</v>
      </c>
      <c r="G20" s="660" t="s">
        <v>95</v>
      </c>
      <c r="H20" s="151">
        <v>5</v>
      </c>
      <c r="I20" s="152" t="s">
        <v>870</v>
      </c>
      <c r="J20" s="152"/>
      <c r="K20" s="155" t="s">
        <v>1018</v>
      </c>
      <c r="L20" s="624" t="s">
        <v>860</v>
      </c>
      <c r="M20" s="159">
        <v>43087</v>
      </c>
      <c r="N20" s="159">
        <v>43093</v>
      </c>
      <c r="O20" s="153" t="s">
        <v>2445</v>
      </c>
      <c r="P20" s="61"/>
      <c r="Q20" s="7"/>
      <c r="R20" s="606" t="s">
        <v>2538</v>
      </c>
      <c r="S20" s="316" t="s">
        <v>3333</v>
      </c>
      <c r="T20" s="858"/>
    </row>
    <row r="21" spans="1:20" ht="20.100000000000001" customHeight="1">
      <c r="A21" s="1270" t="s">
        <v>3701</v>
      </c>
      <c r="B21" s="1267" t="s">
        <v>2527</v>
      </c>
      <c r="C21" s="1267" t="s">
        <v>3703</v>
      </c>
      <c r="D21" s="1017">
        <v>1250</v>
      </c>
      <c r="E21" s="1017">
        <v>1400</v>
      </c>
      <c r="F21" s="1017">
        <v>1400</v>
      </c>
      <c r="G21" s="660" t="s">
        <v>4</v>
      </c>
      <c r="H21" s="151">
        <v>5</v>
      </c>
      <c r="I21" s="152" t="s">
        <v>870</v>
      </c>
      <c r="J21" s="152"/>
      <c r="K21" s="155" t="s">
        <v>1018</v>
      </c>
      <c r="L21" s="624" t="s">
        <v>860</v>
      </c>
      <c r="M21" s="156">
        <v>43073</v>
      </c>
      <c r="N21" s="156">
        <v>43083</v>
      </c>
      <c r="O21" s="153" t="s">
        <v>880</v>
      </c>
      <c r="P21" s="61"/>
      <c r="Q21" s="7"/>
      <c r="R21" s="606" t="s">
        <v>2536</v>
      </c>
      <c r="S21" s="316" t="s">
        <v>3334</v>
      </c>
      <c r="T21" s="858"/>
    </row>
    <row r="22" spans="1:20" ht="20.100000000000001" customHeight="1">
      <c r="A22" s="1270" t="s">
        <v>3701</v>
      </c>
      <c r="B22" s="1267" t="s">
        <v>2527</v>
      </c>
      <c r="C22" s="1267" t="s">
        <v>3703</v>
      </c>
      <c r="D22" s="1014">
        <v>1500</v>
      </c>
      <c r="E22" s="1014">
        <v>1700</v>
      </c>
      <c r="F22" s="1014">
        <v>1700</v>
      </c>
      <c r="G22" s="660" t="s">
        <v>667</v>
      </c>
      <c r="H22" s="151">
        <v>5</v>
      </c>
      <c r="I22" s="152" t="s">
        <v>870</v>
      </c>
      <c r="J22" s="152"/>
      <c r="K22" s="155" t="s">
        <v>1018</v>
      </c>
      <c r="L22" s="624" t="s">
        <v>860</v>
      </c>
      <c r="M22" s="620">
        <v>43086</v>
      </c>
      <c r="N22" s="620">
        <v>43100</v>
      </c>
      <c r="O22" s="153" t="s">
        <v>3559</v>
      </c>
      <c r="P22" s="59"/>
      <c r="Q22" s="7"/>
      <c r="R22" s="610" t="s">
        <v>3649</v>
      </c>
      <c r="S22" s="619"/>
      <c r="T22" s="858"/>
    </row>
    <row r="23" spans="1:20" ht="20.100000000000001" customHeight="1">
      <c r="A23" s="1270" t="s">
        <v>3701</v>
      </c>
      <c r="B23" s="1267" t="s">
        <v>2527</v>
      </c>
      <c r="C23" s="1267" t="s">
        <v>3703</v>
      </c>
      <c r="D23" s="1015">
        <v>1075</v>
      </c>
      <c r="E23" s="1015">
        <v>1250</v>
      </c>
      <c r="F23" s="1015">
        <v>1250</v>
      </c>
      <c r="G23" s="660" t="s">
        <v>885</v>
      </c>
      <c r="H23" s="151">
        <v>5</v>
      </c>
      <c r="I23" s="152" t="s">
        <v>870</v>
      </c>
      <c r="J23" s="152"/>
      <c r="K23" s="155" t="s">
        <v>1018</v>
      </c>
      <c r="L23" s="624" t="s">
        <v>860</v>
      </c>
      <c r="M23" s="620">
        <v>43084</v>
      </c>
      <c r="N23" s="620">
        <v>43086</v>
      </c>
      <c r="O23" s="153" t="s">
        <v>880</v>
      </c>
      <c r="P23" s="61"/>
      <c r="Q23" s="7"/>
      <c r="R23" s="606" t="s">
        <v>3562</v>
      </c>
      <c r="S23" s="316" t="s">
        <v>3561</v>
      </c>
      <c r="T23" s="858"/>
    </row>
    <row r="24" spans="1:20" ht="20.100000000000001" customHeight="1">
      <c r="A24" s="1270" t="s">
        <v>3701</v>
      </c>
      <c r="B24" s="1267" t="s">
        <v>2527</v>
      </c>
      <c r="C24" s="1267" t="s">
        <v>3703</v>
      </c>
      <c r="D24" s="956">
        <v>1550</v>
      </c>
      <c r="E24" s="956">
        <v>1800</v>
      </c>
      <c r="F24" s="956">
        <v>1800</v>
      </c>
      <c r="G24" s="662" t="s">
        <v>679</v>
      </c>
      <c r="H24" s="56" t="s">
        <v>681</v>
      </c>
      <c r="I24" s="152" t="s">
        <v>870</v>
      </c>
      <c r="J24" s="152"/>
      <c r="K24" s="152" t="s">
        <v>867</v>
      </c>
      <c r="L24" s="624" t="s">
        <v>860</v>
      </c>
      <c r="M24" s="159">
        <v>43087</v>
      </c>
      <c r="N24" s="159">
        <v>43093</v>
      </c>
      <c r="O24" s="153" t="s">
        <v>879</v>
      </c>
      <c r="P24" s="59"/>
      <c r="Q24" s="7"/>
      <c r="R24" s="610" t="s">
        <v>3652</v>
      </c>
      <c r="S24" s="619"/>
      <c r="T24" s="904"/>
    </row>
    <row r="25" spans="1:20" ht="20.100000000000001" customHeight="1">
      <c r="A25" s="1270" t="s">
        <v>3701</v>
      </c>
      <c r="B25" s="1267" t="s">
        <v>2527</v>
      </c>
      <c r="C25" s="1267" t="s">
        <v>3703</v>
      </c>
      <c r="D25" s="1008">
        <v>1550</v>
      </c>
      <c r="E25" s="1008">
        <v>1800</v>
      </c>
      <c r="F25" s="1008">
        <v>1800</v>
      </c>
      <c r="G25" s="662" t="s">
        <v>666</v>
      </c>
      <c r="H25" s="56" t="s">
        <v>681</v>
      </c>
      <c r="I25" s="152" t="s">
        <v>870</v>
      </c>
      <c r="J25" s="152"/>
      <c r="K25" s="152" t="s">
        <v>867</v>
      </c>
      <c r="L25" s="624" t="s">
        <v>860</v>
      </c>
      <c r="M25" s="611">
        <v>43086</v>
      </c>
      <c r="N25" s="611">
        <v>43100</v>
      </c>
      <c r="O25" s="61" t="s">
        <v>3291</v>
      </c>
      <c r="P25" s="52"/>
      <c r="Q25" s="52"/>
      <c r="R25" s="610" t="s">
        <v>3657</v>
      </c>
      <c r="S25" s="315" t="s">
        <v>3290</v>
      </c>
      <c r="T25" s="749" t="s">
        <v>2834</v>
      </c>
    </row>
    <row r="26" spans="1:20" ht="20.100000000000001" customHeight="1">
      <c r="A26" s="1270" t="s">
        <v>3701</v>
      </c>
      <c r="B26" s="1267" t="s">
        <v>2527</v>
      </c>
      <c r="C26" s="1267" t="s">
        <v>3703</v>
      </c>
      <c r="D26" s="1015">
        <v>1250</v>
      </c>
      <c r="E26" s="1015">
        <v>1500</v>
      </c>
      <c r="F26" s="1015">
        <v>1500</v>
      </c>
      <c r="G26" s="669" t="s">
        <v>31</v>
      </c>
      <c r="H26" s="640" t="s">
        <v>681</v>
      </c>
      <c r="I26" s="152" t="s">
        <v>870</v>
      </c>
      <c r="J26" s="152"/>
      <c r="K26" s="152" t="s">
        <v>867</v>
      </c>
      <c r="L26" s="624" t="s">
        <v>860</v>
      </c>
      <c r="M26" s="623">
        <v>43080</v>
      </c>
      <c r="N26" s="623">
        <v>43083</v>
      </c>
      <c r="O26" s="153" t="s">
        <v>881</v>
      </c>
      <c r="P26" s="61"/>
      <c r="Q26" s="52"/>
      <c r="R26" s="606" t="s">
        <v>3563</v>
      </c>
      <c r="S26" s="622" t="s">
        <v>1176</v>
      </c>
      <c r="T26" s="904"/>
    </row>
    <row r="27" spans="1:20" ht="20.100000000000001" customHeight="1">
      <c r="A27" s="1270" t="s">
        <v>3701</v>
      </c>
      <c r="B27" s="1267" t="s">
        <v>2527</v>
      </c>
      <c r="C27" s="1267" t="s">
        <v>3703</v>
      </c>
      <c r="D27" s="1008">
        <v>1550</v>
      </c>
      <c r="E27" s="1008">
        <v>1800</v>
      </c>
      <c r="F27" s="1008">
        <v>1800</v>
      </c>
      <c r="G27" s="668" t="s">
        <v>878</v>
      </c>
      <c r="H27" s="56" t="s">
        <v>681</v>
      </c>
      <c r="I27" s="152" t="s">
        <v>870</v>
      </c>
      <c r="J27" s="152"/>
      <c r="K27" s="152" t="s">
        <v>867</v>
      </c>
      <c r="L27" s="624" t="s">
        <v>860</v>
      </c>
      <c r="M27" s="156">
        <v>43084</v>
      </c>
      <c r="N27" s="156">
        <v>43093</v>
      </c>
      <c r="O27" s="153" t="s">
        <v>2131</v>
      </c>
      <c r="P27" s="61"/>
      <c r="Q27" s="52"/>
      <c r="R27" s="606" t="s">
        <v>3637</v>
      </c>
      <c r="S27" s="315" t="s">
        <v>3337</v>
      </c>
      <c r="T27" s="904"/>
    </row>
    <row r="28" spans="1:20" ht="20.100000000000001" customHeight="1">
      <c r="A28" s="1270" t="s">
        <v>3701</v>
      </c>
      <c r="B28" s="1267" t="s">
        <v>2527</v>
      </c>
      <c r="C28" s="1267" t="s">
        <v>3703</v>
      </c>
      <c r="D28" s="1008">
        <v>1175</v>
      </c>
      <c r="E28" s="1008">
        <v>1250</v>
      </c>
      <c r="F28" s="1008">
        <v>1250</v>
      </c>
      <c r="G28" s="227" t="s">
        <v>1689</v>
      </c>
      <c r="H28" s="56" t="s">
        <v>681</v>
      </c>
      <c r="I28" s="152" t="s">
        <v>870</v>
      </c>
      <c r="J28" s="152"/>
      <c r="K28" s="152" t="s">
        <v>867</v>
      </c>
      <c r="L28" s="624" t="s">
        <v>860</v>
      </c>
      <c r="M28" s="156">
        <v>43076</v>
      </c>
      <c r="N28" s="156">
        <v>43083</v>
      </c>
      <c r="O28" s="153" t="s">
        <v>2529</v>
      </c>
      <c r="P28" s="61"/>
      <c r="Q28" s="52"/>
      <c r="R28" s="606" t="s">
        <v>3634</v>
      </c>
      <c r="S28" s="316" t="s">
        <v>2943</v>
      </c>
      <c r="T28" s="904"/>
    </row>
    <row r="29" spans="1:20" ht="20.100000000000001" customHeight="1">
      <c r="A29" s="1270" t="s">
        <v>3701</v>
      </c>
      <c r="B29" s="1267" t="s">
        <v>2527</v>
      </c>
      <c r="C29" s="1267" t="s">
        <v>3703</v>
      </c>
      <c r="D29" s="1016">
        <v>1150</v>
      </c>
      <c r="E29" s="1016">
        <v>1200</v>
      </c>
      <c r="F29" s="1016">
        <v>1200</v>
      </c>
      <c r="G29" s="667" t="s">
        <v>669</v>
      </c>
      <c r="H29" s="56" t="s">
        <v>681</v>
      </c>
      <c r="I29" s="152" t="s">
        <v>870</v>
      </c>
      <c r="J29" s="152"/>
      <c r="K29" s="152" t="s">
        <v>867</v>
      </c>
      <c r="L29" s="624" t="s">
        <v>860</v>
      </c>
      <c r="M29" s="620">
        <v>43081</v>
      </c>
      <c r="N29" s="620">
        <v>43085</v>
      </c>
      <c r="O29" s="153" t="s">
        <v>880</v>
      </c>
      <c r="P29" s="61"/>
      <c r="Q29" s="52"/>
      <c r="R29" s="606" t="s">
        <v>3656</v>
      </c>
      <c r="S29" s="316" t="s">
        <v>3573</v>
      </c>
      <c r="T29" s="904"/>
    </row>
    <row r="30" spans="1:20" ht="20.100000000000001" customHeight="1">
      <c r="A30" s="1270" t="s">
        <v>3701</v>
      </c>
      <c r="B30" s="1267" t="s">
        <v>2527</v>
      </c>
      <c r="C30" s="1267" t="s">
        <v>3703</v>
      </c>
      <c r="D30" s="1008">
        <v>1550</v>
      </c>
      <c r="E30" s="1008">
        <v>1800</v>
      </c>
      <c r="F30" s="1008">
        <v>1800</v>
      </c>
      <c r="G30" s="662" t="s">
        <v>666</v>
      </c>
      <c r="H30" s="151">
        <v>6</v>
      </c>
      <c r="I30" s="152" t="s">
        <v>870</v>
      </c>
      <c r="J30" s="152"/>
      <c r="K30" s="155" t="s">
        <v>743</v>
      </c>
      <c r="L30" s="624" t="s">
        <v>860</v>
      </c>
      <c r="M30" s="611">
        <v>43086</v>
      </c>
      <c r="N30" s="611">
        <v>43100</v>
      </c>
      <c r="O30" s="61" t="s">
        <v>3291</v>
      </c>
      <c r="P30" s="52"/>
      <c r="Q30" s="7"/>
      <c r="R30" s="606" t="s">
        <v>3336</v>
      </c>
      <c r="S30" s="315" t="s">
        <v>3290</v>
      </c>
      <c r="T30" s="749" t="s">
        <v>2834</v>
      </c>
    </row>
    <row r="31" spans="1:20" ht="20.100000000000001" customHeight="1">
      <c r="A31" s="1270" t="s">
        <v>3701</v>
      </c>
      <c r="B31" s="1267" t="s">
        <v>2527</v>
      </c>
      <c r="C31" s="1267" t="s">
        <v>3703</v>
      </c>
      <c r="D31" s="956">
        <v>1500</v>
      </c>
      <c r="E31" s="956">
        <v>1750</v>
      </c>
      <c r="F31" s="956">
        <v>1750</v>
      </c>
      <c r="G31" s="660" t="s">
        <v>95</v>
      </c>
      <c r="H31" s="151">
        <v>6</v>
      </c>
      <c r="I31" s="152" t="s">
        <v>870</v>
      </c>
      <c r="J31" s="152"/>
      <c r="K31" s="155" t="s">
        <v>743</v>
      </c>
      <c r="L31" s="624" t="s">
        <v>860</v>
      </c>
      <c r="M31" s="159">
        <v>43087</v>
      </c>
      <c r="N31" s="159">
        <v>43093</v>
      </c>
      <c r="O31" s="153" t="s">
        <v>2445</v>
      </c>
      <c r="P31" s="61"/>
      <c r="Q31" s="7"/>
      <c r="R31" s="606" t="s">
        <v>3336</v>
      </c>
      <c r="S31" s="316" t="s">
        <v>3333</v>
      </c>
      <c r="T31" s="858"/>
    </row>
    <row r="32" spans="1:20" ht="20.100000000000001" customHeight="1">
      <c r="A32" s="1270" t="s">
        <v>3701</v>
      </c>
      <c r="B32" s="1267" t="s">
        <v>2527</v>
      </c>
      <c r="C32" s="1267" t="s">
        <v>3703</v>
      </c>
      <c r="D32" s="1017">
        <v>1250</v>
      </c>
      <c r="E32" s="1017">
        <v>1400</v>
      </c>
      <c r="F32" s="1017">
        <v>1400</v>
      </c>
      <c r="G32" s="660" t="s">
        <v>4</v>
      </c>
      <c r="H32" s="151">
        <v>6</v>
      </c>
      <c r="I32" s="152" t="s">
        <v>870</v>
      </c>
      <c r="J32" s="152"/>
      <c r="K32" s="155" t="s">
        <v>743</v>
      </c>
      <c r="L32" s="624" t="s">
        <v>860</v>
      </c>
      <c r="M32" s="156">
        <v>43073</v>
      </c>
      <c r="N32" s="156">
        <v>43083</v>
      </c>
      <c r="O32" s="153" t="s">
        <v>880</v>
      </c>
      <c r="P32" s="61"/>
      <c r="Q32" s="7"/>
      <c r="R32" s="606" t="s">
        <v>3336</v>
      </c>
      <c r="S32" s="316" t="s">
        <v>3334</v>
      </c>
      <c r="T32" s="858"/>
    </row>
    <row r="33" spans="1:20" ht="20.100000000000001" customHeight="1">
      <c r="A33" s="1270" t="s">
        <v>3701</v>
      </c>
      <c r="B33" s="1267" t="s">
        <v>2527</v>
      </c>
      <c r="C33" s="1267" t="s">
        <v>3703</v>
      </c>
      <c r="D33" s="1014">
        <v>1500</v>
      </c>
      <c r="E33" s="1014">
        <v>1700</v>
      </c>
      <c r="F33" s="1014">
        <v>1700</v>
      </c>
      <c r="G33" s="660" t="s">
        <v>28</v>
      </c>
      <c r="H33" s="151">
        <v>6</v>
      </c>
      <c r="I33" s="152" t="s">
        <v>870</v>
      </c>
      <c r="J33" s="152"/>
      <c r="K33" s="155" t="s">
        <v>743</v>
      </c>
      <c r="L33" s="624" t="s">
        <v>860</v>
      </c>
      <c r="M33" s="620">
        <v>43086</v>
      </c>
      <c r="N33" s="620">
        <v>43100</v>
      </c>
      <c r="O33" s="153" t="s">
        <v>882</v>
      </c>
      <c r="P33" s="61"/>
      <c r="Q33" s="7"/>
      <c r="R33" s="610" t="s">
        <v>3616</v>
      </c>
      <c r="S33" s="619"/>
      <c r="T33" s="858"/>
    </row>
    <row r="34" spans="1:20" ht="20.100000000000001" customHeight="1">
      <c r="A34" s="1270" t="s">
        <v>3701</v>
      </c>
      <c r="B34" s="1267" t="s">
        <v>2527</v>
      </c>
      <c r="C34" s="1267" t="s">
        <v>3703</v>
      </c>
      <c r="D34" s="1015">
        <v>1075</v>
      </c>
      <c r="E34" s="1015">
        <v>1250</v>
      </c>
      <c r="F34" s="1015">
        <v>1250</v>
      </c>
      <c r="G34" s="150" t="s">
        <v>885</v>
      </c>
      <c r="H34" s="151">
        <v>6</v>
      </c>
      <c r="I34" s="152" t="s">
        <v>870</v>
      </c>
      <c r="J34" s="152"/>
      <c r="K34" s="155" t="s">
        <v>743</v>
      </c>
      <c r="L34" s="624" t="s">
        <v>860</v>
      </c>
      <c r="M34" s="620">
        <v>43084</v>
      </c>
      <c r="N34" s="620">
        <v>43086</v>
      </c>
      <c r="O34" s="153" t="s">
        <v>880</v>
      </c>
      <c r="P34" s="61"/>
      <c r="Q34" s="7"/>
      <c r="R34" s="606" t="s">
        <v>3336</v>
      </c>
      <c r="S34" s="316" t="s">
        <v>3561</v>
      </c>
      <c r="T34" s="858"/>
    </row>
    <row r="35" spans="1:20" ht="20.100000000000001" customHeight="1">
      <c r="A35" s="1270" t="s">
        <v>3701</v>
      </c>
      <c r="B35" s="1267" t="s">
        <v>2527</v>
      </c>
      <c r="C35" s="1267" t="s">
        <v>3703</v>
      </c>
      <c r="D35" s="1008">
        <v>1550</v>
      </c>
      <c r="E35" s="1008">
        <v>1800</v>
      </c>
      <c r="F35" s="1008">
        <v>1800</v>
      </c>
      <c r="G35" s="666" t="s">
        <v>878</v>
      </c>
      <c r="H35" s="168" t="s">
        <v>1233</v>
      </c>
      <c r="I35" s="155" t="s">
        <v>870</v>
      </c>
      <c r="J35" s="155"/>
      <c r="K35" s="155" t="s">
        <v>968</v>
      </c>
      <c r="L35" s="624" t="s">
        <v>860</v>
      </c>
      <c r="M35" s="156">
        <v>43084</v>
      </c>
      <c r="N35" s="156">
        <v>43093</v>
      </c>
      <c r="O35" s="153" t="s">
        <v>2131</v>
      </c>
      <c r="P35" s="59"/>
      <c r="Q35" s="7"/>
      <c r="R35" s="610" t="s">
        <v>2469</v>
      </c>
      <c r="S35" s="315" t="s">
        <v>3337</v>
      </c>
      <c r="T35" s="749"/>
    </row>
    <row r="36" spans="1:20" ht="20.100000000000001" customHeight="1">
      <c r="A36" s="1270" t="s">
        <v>3701</v>
      </c>
      <c r="B36" s="1267" t="s">
        <v>2527</v>
      </c>
      <c r="C36" s="1267" t="s">
        <v>3703</v>
      </c>
      <c r="D36" s="1008">
        <v>1175</v>
      </c>
      <c r="E36" s="1008">
        <v>1250</v>
      </c>
      <c r="F36" s="1008">
        <v>1250</v>
      </c>
      <c r="G36" s="227" t="s">
        <v>1689</v>
      </c>
      <c r="H36" s="168" t="s">
        <v>1233</v>
      </c>
      <c r="I36" s="155" t="s">
        <v>870</v>
      </c>
      <c r="J36" s="155"/>
      <c r="K36" s="155" t="s">
        <v>968</v>
      </c>
      <c r="L36" s="624" t="s">
        <v>860</v>
      </c>
      <c r="M36" s="156">
        <v>43076</v>
      </c>
      <c r="N36" s="156">
        <v>43083</v>
      </c>
      <c r="O36" s="153" t="s">
        <v>2529</v>
      </c>
      <c r="P36" s="59"/>
      <c r="Q36" s="52"/>
      <c r="R36" s="610" t="s">
        <v>2470</v>
      </c>
      <c r="S36" s="316" t="s">
        <v>2943</v>
      </c>
      <c r="T36" s="749"/>
    </row>
    <row r="37" spans="1:20" ht="20.100000000000001" customHeight="1">
      <c r="A37" s="1270" t="s">
        <v>3701</v>
      </c>
      <c r="B37" s="1267" t="s">
        <v>2527</v>
      </c>
      <c r="C37" s="1267" t="s">
        <v>3703</v>
      </c>
      <c r="D37" s="1008">
        <v>1550</v>
      </c>
      <c r="E37" s="1008">
        <v>1800</v>
      </c>
      <c r="F37" s="1008">
        <v>1800</v>
      </c>
      <c r="G37" s="662" t="s">
        <v>666</v>
      </c>
      <c r="H37" s="168" t="s">
        <v>1233</v>
      </c>
      <c r="I37" s="155" t="s">
        <v>870</v>
      </c>
      <c r="J37" s="155"/>
      <c r="K37" s="155" t="s">
        <v>968</v>
      </c>
      <c r="L37" s="624" t="s">
        <v>860</v>
      </c>
      <c r="M37" s="611">
        <v>43086</v>
      </c>
      <c r="N37" s="611">
        <v>43100</v>
      </c>
      <c r="O37" s="61" t="s">
        <v>3291</v>
      </c>
      <c r="P37" s="52"/>
      <c r="Q37" s="52"/>
      <c r="R37" s="610" t="s">
        <v>2472</v>
      </c>
      <c r="S37" s="315" t="s">
        <v>3290</v>
      </c>
      <c r="T37" s="749" t="s">
        <v>2834</v>
      </c>
    </row>
    <row r="38" spans="1:20" ht="20.100000000000001" customHeight="1">
      <c r="A38" s="1270" t="s">
        <v>3701</v>
      </c>
      <c r="B38" s="1267" t="s">
        <v>2527</v>
      </c>
      <c r="C38" s="1267" t="s">
        <v>3703</v>
      </c>
      <c r="D38" s="956">
        <v>1550</v>
      </c>
      <c r="E38" s="956">
        <v>1800</v>
      </c>
      <c r="F38" s="956">
        <v>1800</v>
      </c>
      <c r="G38" s="662" t="s">
        <v>679</v>
      </c>
      <c r="H38" s="168" t="s">
        <v>1233</v>
      </c>
      <c r="I38" s="155" t="s">
        <v>870</v>
      </c>
      <c r="J38" s="155"/>
      <c r="K38" s="155" t="s">
        <v>968</v>
      </c>
      <c r="L38" s="624" t="s">
        <v>860</v>
      </c>
      <c r="M38" s="159">
        <v>43087</v>
      </c>
      <c r="N38" s="159">
        <v>43093</v>
      </c>
      <c r="O38" s="153" t="s">
        <v>879</v>
      </c>
      <c r="P38" s="59"/>
      <c r="Q38" s="7"/>
      <c r="R38" s="610" t="s">
        <v>2566</v>
      </c>
      <c r="S38" s="619"/>
      <c r="T38" s="724"/>
    </row>
    <row r="39" spans="1:20" ht="20.100000000000001" customHeight="1">
      <c r="A39" s="1256" t="s">
        <v>3701</v>
      </c>
      <c r="B39" s="1138" t="s">
        <v>2527</v>
      </c>
      <c r="C39" s="1138" t="s">
        <v>3702</v>
      </c>
      <c r="D39" s="1008">
        <v>1550</v>
      </c>
      <c r="E39" s="1008">
        <v>1800</v>
      </c>
      <c r="F39" s="1008">
        <v>1800</v>
      </c>
      <c r="G39" s="665" t="s">
        <v>19</v>
      </c>
      <c r="H39" s="4" t="s">
        <v>1102</v>
      </c>
      <c r="I39" s="5" t="s">
        <v>17</v>
      </c>
      <c r="J39" s="37"/>
      <c r="K39" s="34" t="s">
        <v>813</v>
      </c>
      <c r="L39" s="607" t="s">
        <v>653</v>
      </c>
      <c r="M39" s="156">
        <v>43084</v>
      </c>
      <c r="N39" s="156">
        <v>43093</v>
      </c>
      <c r="O39" s="153" t="s">
        <v>2131</v>
      </c>
      <c r="P39" s="61"/>
      <c r="Q39" s="7"/>
      <c r="R39" s="606" t="s">
        <v>2547</v>
      </c>
      <c r="S39" s="315" t="s">
        <v>3337</v>
      </c>
      <c r="T39" s="904"/>
    </row>
    <row r="40" spans="1:20" ht="20.100000000000001" customHeight="1">
      <c r="A40" s="1256" t="s">
        <v>3701</v>
      </c>
      <c r="B40" s="1138" t="s">
        <v>2527</v>
      </c>
      <c r="C40" s="1138" t="s">
        <v>3702</v>
      </c>
      <c r="D40" s="1015">
        <v>1225</v>
      </c>
      <c r="E40" s="1015">
        <v>1350</v>
      </c>
      <c r="F40" s="1015">
        <v>1350</v>
      </c>
      <c r="G40" s="636" t="s">
        <v>18</v>
      </c>
      <c r="H40" s="4" t="s">
        <v>1102</v>
      </c>
      <c r="I40" s="5" t="s">
        <v>17</v>
      </c>
      <c r="J40" s="37"/>
      <c r="K40" s="34" t="s">
        <v>813</v>
      </c>
      <c r="L40" s="607" t="s">
        <v>653</v>
      </c>
      <c r="M40" s="108">
        <v>43078</v>
      </c>
      <c r="N40" s="108">
        <v>43083</v>
      </c>
      <c r="O40" s="153" t="s">
        <v>2552</v>
      </c>
      <c r="P40" s="7"/>
      <c r="Q40" s="7"/>
      <c r="R40" s="606" t="s">
        <v>2547</v>
      </c>
      <c r="S40" s="322"/>
      <c r="T40" s="904"/>
    </row>
    <row r="41" spans="1:20" ht="20.100000000000001" customHeight="1">
      <c r="A41" s="1256" t="s">
        <v>3701</v>
      </c>
      <c r="B41" s="1138" t="s">
        <v>2527</v>
      </c>
      <c r="C41" s="1138" t="s">
        <v>3702</v>
      </c>
      <c r="D41" s="1067">
        <v>1550</v>
      </c>
      <c r="E41" s="1067">
        <v>1800</v>
      </c>
      <c r="F41" s="1067">
        <v>1800</v>
      </c>
      <c r="G41" s="662" t="s">
        <v>94</v>
      </c>
      <c r="H41" s="4" t="s">
        <v>1102</v>
      </c>
      <c r="I41" s="5" t="s">
        <v>17</v>
      </c>
      <c r="J41" s="37"/>
      <c r="K41" s="34" t="s">
        <v>813</v>
      </c>
      <c r="L41" s="607" t="s">
        <v>653</v>
      </c>
      <c r="M41" s="108">
        <v>43087</v>
      </c>
      <c r="N41" s="108">
        <v>43094</v>
      </c>
      <c r="O41" s="61" t="s">
        <v>2444</v>
      </c>
      <c r="P41" s="61"/>
      <c r="Q41" s="7"/>
      <c r="R41" s="606" t="s">
        <v>2524</v>
      </c>
      <c r="S41" s="322" t="s">
        <v>1176</v>
      </c>
      <c r="T41" s="904"/>
    </row>
    <row r="42" spans="1:20" ht="20.100000000000001" customHeight="1">
      <c r="A42" s="1256" t="s">
        <v>3701</v>
      </c>
      <c r="B42" s="1138" t="s">
        <v>2527</v>
      </c>
      <c r="C42" s="1138" t="s">
        <v>3702</v>
      </c>
      <c r="D42" s="956">
        <v>1550</v>
      </c>
      <c r="E42" s="956">
        <v>1800</v>
      </c>
      <c r="F42" s="956">
        <v>1800</v>
      </c>
      <c r="G42" s="662" t="s">
        <v>679</v>
      </c>
      <c r="H42" s="168" t="s">
        <v>659</v>
      </c>
      <c r="I42" s="50" t="s">
        <v>17</v>
      </c>
      <c r="J42" s="50"/>
      <c r="K42" s="19" t="s">
        <v>1107</v>
      </c>
      <c r="L42" s="607" t="s">
        <v>653</v>
      </c>
      <c r="M42" s="159">
        <v>43087</v>
      </c>
      <c r="N42" s="159">
        <v>43093</v>
      </c>
      <c r="O42" s="61" t="s">
        <v>2445</v>
      </c>
      <c r="P42" s="61"/>
      <c r="Q42" s="7"/>
      <c r="R42" s="606" t="s">
        <v>3579</v>
      </c>
      <c r="S42" s="622"/>
      <c r="T42" s="857"/>
    </row>
    <row r="43" spans="1:20" ht="20.100000000000001" customHeight="1">
      <c r="A43" s="1256" t="s">
        <v>3701</v>
      </c>
      <c r="B43" s="1138" t="s">
        <v>2527</v>
      </c>
      <c r="C43" s="1138" t="s">
        <v>3702</v>
      </c>
      <c r="D43" s="1008">
        <v>1550</v>
      </c>
      <c r="E43" s="1008">
        <v>1800</v>
      </c>
      <c r="F43" s="1008">
        <v>1800</v>
      </c>
      <c r="G43" s="629" t="s">
        <v>51</v>
      </c>
      <c r="H43" s="168" t="s">
        <v>659</v>
      </c>
      <c r="I43" s="37" t="s">
        <v>17</v>
      </c>
      <c r="J43" s="37"/>
      <c r="K43" s="19" t="s">
        <v>1107</v>
      </c>
      <c r="L43" s="607" t="s">
        <v>653</v>
      </c>
      <c r="M43" s="611">
        <v>43086</v>
      </c>
      <c r="N43" s="611">
        <v>43100</v>
      </c>
      <c r="O43" s="61" t="s">
        <v>3291</v>
      </c>
      <c r="P43" s="52"/>
      <c r="Q43" s="7"/>
      <c r="R43" s="606" t="s">
        <v>3618</v>
      </c>
      <c r="S43" s="315" t="s">
        <v>3290</v>
      </c>
      <c r="T43" s="749" t="s">
        <v>2834</v>
      </c>
    </row>
    <row r="44" spans="1:20" ht="20.100000000000001" customHeight="1">
      <c r="A44" s="1256" t="s">
        <v>3701</v>
      </c>
      <c r="B44" s="1138" t="s">
        <v>2527</v>
      </c>
      <c r="C44" s="1138" t="s">
        <v>3702</v>
      </c>
      <c r="D44" s="1008">
        <v>1550</v>
      </c>
      <c r="E44" s="1008">
        <v>1800</v>
      </c>
      <c r="F44" s="1008">
        <v>1800</v>
      </c>
      <c r="G44" s="639" t="s">
        <v>19</v>
      </c>
      <c r="H44" s="151" t="s">
        <v>659</v>
      </c>
      <c r="I44" s="37" t="s">
        <v>17</v>
      </c>
      <c r="J44" s="37"/>
      <c r="K44" s="19" t="s">
        <v>1107</v>
      </c>
      <c r="L44" s="607" t="s">
        <v>653</v>
      </c>
      <c r="M44" s="156">
        <v>43084</v>
      </c>
      <c r="N44" s="156">
        <v>43093</v>
      </c>
      <c r="O44" s="153" t="s">
        <v>2131</v>
      </c>
      <c r="P44" s="61"/>
      <c r="Q44" s="7"/>
      <c r="R44" s="606" t="s">
        <v>3596</v>
      </c>
      <c r="S44" s="315" t="s">
        <v>3337</v>
      </c>
      <c r="T44" s="857"/>
    </row>
    <row r="45" spans="1:20" ht="20.100000000000001" customHeight="1">
      <c r="A45" s="1256" t="s">
        <v>3701</v>
      </c>
      <c r="B45" s="1138" t="s">
        <v>2527</v>
      </c>
      <c r="C45" s="1138" t="s">
        <v>3702</v>
      </c>
      <c r="D45" s="1016">
        <v>1150</v>
      </c>
      <c r="E45" s="1016">
        <v>1200</v>
      </c>
      <c r="F45" s="1016">
        <v>1200</v>
      </c>
      <c r="G45" s="636" t="s">
        <v>233</v>
      </c>
      <c r="H45" s="168" t="s">
        <v>659</v>
      </c>
      <c r="I45" s="37" t="s">
        <v>17</v>
      </c>
      <c r="J45" s="37"/>
      <c r="K45" s="19" t="s">
        <v>1107</v>
      </c>
      <c r="L45" s="607" t="s">
        <v>653</v>
      </c>
      <c r="M45" s="620">
        <v>43081</v>
      </c>
      <c r="N45" s="620">
        <v>43085</v>
      </c>
      <c r="O45" s="153" t="s">
        <v>880</v>
      </c>
      <c r="P45" s="61"/>
      <c r="Q45" s="7"/>
      <c r="R45" s="606" t="s">
        <v>3617</v>
      </c>
      <c r="S45" s="316" t="s">
        <v>3573</v>
      </c>
      <c r="T45" s="857"/>
    </row>
    <row r="46" spans="1:20" ht="20.100000000000001" customHeight="1">
      <c r="A46" s="1256" t="s">
        <v>3701</v>
      </c>
      <c r="B46" s="1138" t="s">
        <v>2527</v>
      </c>
      <c r="C46" s="1138" t="s">
        <v>3702</v>
      </c>
      <c r="D46" s="1008">
        <v>1175</v>
      </c>
      <c r="E46" s="1008">
        <v>1250</v>
      </c>
      <c r="F46" s="1008">
        <v>1250</v>
      </c>
      <c r="G46" s="227" t="s">
        <v>1689</v>
      </c>
      <c r="H46" s="168" t="s">
        <v>659</v>
      </c>
      <c r="I46" s="50" t="s">
        <v>17</v>
      </c>
      <c r="J46" s="50"/>
      <c r="K46" s="19" t="s">
        <v>1107</v>
      </c>
      <c r="L46" s="607" t="s">
        <v>653</v>
      </c>
      <c r="M46" s="156">
        <v>43076</v>
      </c>
      <c r="N46" s="156">
        <v>43083</v>
      </c>
      <c r="O46" s="153" t="s">
        <v>2529</v>
      </c>
      <c r="P46" s="61"/>
      <c r="Q46" s="7"/>
      <c r="R46" s="606" t="s">
        <v>3590</v>
      </c>
      <c r="S46" s="316" t="s">
        <v>2943</v>
      </c>
      <c r="T46" s="857"/>
    </row>
    <row r="47" spans="1:20" ht="20.100000000000001" customHeight="1">
      <c r="A47" s="1256" t="s">
        <v>3701</v>
      </c>
      <c r="B47" s="1138" t="s">
        <v>2527</v>
      </c>
      <c r="C47" s="1138" t="s">
        <v>3702</v>
      </c>
      <c r="D47" s="1008">
        <v>1550</v>
      </c>
      <c r="E47" s="1008">
        <v>1800</v>
      </c>
      <c r="F47" s="1008">
        <v>1800</v>
      </c>
      <c r="G47" s="629" t="s">
        <v>51</v>
      </c>
      <c r="H47" s="4">
        <v>5</v>
      </c>
      <c r="I47" s="37" t="s">
        <v>17</v>
      </c>
      <c r="J47" s="37"/>
      <c r="K47" s="19" t="s">
        <v>830</v>
      </c>
      <c r="L47" s="607" t="s">
        <v>653</v>
      </c>
      <c r="M47" s="611">
        <v>43086</v>
      </c>
      <c r="N47" s="611">
        <v>43100</v>
      </c>
      <c r="O47" s="61" t="s">
        <v>3291</v>
      </c>
      <c r="P47" s="52"/>
      <c r="Q47" s="7"/>
      <c r="R47" s="606" t="s">
        <v>2538</v>
      </c>
      <c r="S47" s="315" t="s">
        <v>3290</v>
      </c>
      <c r="T47" s="749" t="s">
        <v>2834</v>
      </c>
    </row>
    <row r="48" spans="1:20" ht="20.100000000000001" customHeight="1">
      <c r="A48" s="1256" t="s">
        <v>3701</v>
      </c>
      <c r="B48" s="1138" t="s">
        <v>2527</v>
      </c>
      <c r="C48" s="1138" t="s">
        <v>3702</v>
      </c>
      <c r="D48" s="956">
        <v>1500</v>
      </c>
      <c r="E48" s="956">
        <v>1750</v>
      </c>
      <c r="F48" s="956">
        <v>1750</v>
      </c>
      <c r="G48" s="633" t="s">
        <v>33</v>
      </c>
      <c r="H48" s="4">
        <v>5</v>
      </c>
      <c r="I48" s="37" t="s">
        <v>17</v>
      </c>
      <c r="J48" s="37"/>
      <c r="K48" s="19" t="s">
        <v>830</v>
      </c>
      <c r="L48" s="607" t="s">
        <v>653</v>
      </c>
      <c r="M48" s="159">
        <v>43087</v>
      </c>
      <c r="N48" s="159">
        <v>43093</v>
      </c>
      <c r="O48" s="153" t="s">
        <v>2445</v>
      </c>
      <c r="P48" s="61"/>
      <c r="Q48" s="7"/>
      <c r="R48" s="606" t="s">
        <v>2538</v>
      </c>
      <c r="S48" s="316" t="s">
        <v>3333</v>
      </c>
      <c r="T48" s="858"/>
    </row>
    <row r="49" spans="1:20" ht="20.100000000000001" customHeight="1">
      <c r="A49" s="1256" t="s">
        <v>3701</v>
      </c>
      <c r="B49" s="1138" t="s">
        <v>2527</v>
      </c>
      <c r="C49" s="1138" t="s">
        <v>3702</v>
      </c>
      <c r="D49" s="1017">
        <v>1250</v>
      </c>
      <c r="E49" s="1017">
        <v>1400</v>
      </c>
      <c r="F49" s="1017">
        <v>1400</v>
      </c>
      <c r="G49" s="633" t="s">
        <v>13</v>
      </c>
      <c r="H49" s="4">
        <v>5</v>
      </c>
      <c r="I49" s="37" t="s">
        <v>17</v>
      </c>
      <c r="J49" s="37"/>
      <c r="K49" s="19" t="s">
        <v>830</v>
      </c>
      <c r="L49" s="607" t="s">
        <v>653</v>
      </c>
      <c r="M49" s="156">
        <v>43073</v>
      </c>
      <c r="N49" s="156">
        <v>43083</v>
      </c>
      <c r="O49" s="61" t="s">
        <v>3335</v>
      </c>
      <c r="P49" s="61"/>
      <c r="Q49" s="7"/>
      <c r="R49" s="606" t="s">
        <v>2536</v>
      </c>
      <c r="S49" s="316" t="s">
        <v>3334</v>
      </c>
      <c r="T49" s="858"/>
    </row>
    <row r="50" spans="1:20" ht="20.100000000000001" customHeight="1">
      <c r="A50" s="1256" t="s">
        <v>3701</v>
      </c>
      <c r="B50" s="1138" t="s">
        <v>2527</v>
      </c>
      <c r="C50" s="1138" t="s">
        <v>3702</v>
      </c>
      <c r="D50" s="1014">
        <v>1500</v>
      </c>
      <c r="E50" s="1014">
        <v>1700</v>
      </c>
      <c r="F50" s="1014">
        <v>1700</v>
      </c>
      <c r="G50" s="633" t="s">
        <v>28</v>
      </c>
      <c r="H50" s="4">
        <v>5</v>
      </c>
      <c r="I50" s="37" t="s">
        <v>17</v>
      </c>
      <c r="J50" s="37"/>
      <c r="K50" s="19" t="s">
        <v>830</v>
      </c>
      <c r="L50" s="607" t="s">
        <v>653</v>
      </c>
      <c r="M50" s="620">
        <v>43086</v>
      </c>
      <c r="N50" s="620">
        <v>43100</v>
      </c>
      <c r="O50" s="153" t="s">
        <v>882</v>
      </c>
      <c r="P50" s="59"/>
      <c r="Q50" s="7"/>
      <c r="R50" s="610" t="s">
        <v>3649</v>
      </c>
      <c r="S50" s="619"/>
      <c r="T50" s="858"/>
    </row>
    <row r="51" spans="1:20" ht="20.100000000000001" customHeight="1">
      <c r="A51" s="1256" t="s">
        <v>3701</v>
      </c>
      <c r="B51" s="1138" t="s">
        <v>2527</v>
      </c>
      <c r="C51" s="1138" t="s">
        <v>3702</v>
      </c>
      <c r="D51" s="1015">
        <v>1075</v>
      </c>
      <c r="E51" s="1015">
        <v>1250</v>
      </c>
      <c r="F51" s="1015">
        <v>1250</v>
      </c>
      <c r="G51" s="633" t="s">
        <v>29</v>
      </c>
      <c r="H51" s="4">
        <v>5</v>
      </c>
      <c r="I51" s="37" t="s">
        <v>17</v>
      </c>
      <c r="J51" s="37"/>
      <c r="K51" s="19" t="s">
        <v>830</v>
      </c>
      <c r="L51" s="607" t="s">
        <v>653</v>
      </c>
      <c r="M51" s="620">
        <v>43084</v>
      </c>
      <c r="N51" s="620">
        <v>43086</v>
      </c>
      <c r="O51" s="61" t="s">
        <v>3335</v>
      </c>
      <c r="P51" s="61"/>
      <c r="Q51" s="7"/>
      <c r="R51" s="606" t="s">
        <v>3562</v>
      </c>
      <c r="S51" s="316" t="s">
        <v>3561</v>
      </c>
      <c r="T51" s="858"/>
    </row>
    <row r="52" spans="1:20" ht="20.100000000000001" customHeight="1">
      <c r="A52" s="1256" t="s">
        <v>3701</v>
      </c>
      <c r="B52" s="1138" t="s">
        <v>2527</v>
      </c>
      <c r="C52" s="1138" t="s">
        <v>3702</v>
      </c>
      <c r="D52" s="956">
        <v>1550</v>
      </c>
      <c r="E52" s="956">
        <v>1800</v>
      </c>
      <c r="F52" s="956">
        <v>1800</v>
      </c>
      <c r="G52" s="662" t="s">
        <v>679</v>
      </c>
      <c r="H52" s="56" t="s">
        <v>681</v>
      </c>
      <c r="I52" s="50" t="s">
        <v>17</v>
      </c>
      <c r="J52" s="50"/>
      <c r="K52" s="19" t="s">
        <v>680</v>
      </c>
      <c r="L52" s="607" t="s">
        <v>653</v>
      </c>
      <c r="M52" s="159">
        <v>43087</v>
      </c>
      <c r="N52" s="159">
        <v>43093</v>
      </c>
      <c r="O52" s="61" t="s">
        <v>2445</v>
      </c>
      <c r="P52" s="61"/>
      <c r="Q52" s="7"/>
      <c r="R52" s="610" t="s">
        <v>3652</v>
      </c>
      <c r="S52" s="619"/>
      <c r="T52" s="904"/>
    </row>
    <row r="53" spans="1:20" ht="20.100000000000001" customHeight="1">
      <c r="A53" s="1256" t="s">
        <v>3701</v>
      </c>
      <c r="B53" s="1138" t="s">
        <v>2527</v>
      </c>
      <c r="C53" s="1138" t="s">
        <v>3702</v>
      </c>
      <c r="D53" s="1008">
        <v>1550</v>
      </c>
      <c r="E53" s="1008">
        <v>1800</v>
      </c>
      <c r="F53" s="1008">
        <v>1800</v>
      </c>
      <c r="G53" s="662" t="s">
        <v>51</v>
      </c>
      <c r="H53" s="56" t="s">
        <v>681</v>
      </c>
      <c r="I53" s="50" t="s">
        <v>17</v>
      </c>
      <c r="J53" s="50"/>
      <c r="K53" s="19" t="s">
        <v>680</v>
      </c>
      <c r="L53" s="607" t="s">
        <v>653</v>
      </c>
      <c r="M53" s="611">
        <v>43086</v>
      </c>
      <c r="N53" s="611">
        <v>43100</v>
      </c>
      <c r="O53" s="61" t="s">
        <v>3291</v>
      </c>
      <c r="P53" s="52"/>
      <c r="Q53" s="52"/>
      <c r="R53" s="610" t="s">
        <v>3657</v>
      </c>
      <c r="S53" s="315" t="s">
        <v>3290</v>
      </c>
      <c r="T53" s="749" t="s">
        <v>2834</v>
      </c>
    </row>
    <row r="54" spans="1:20" ht="20.100000000000001" customHeight="1">
      <c r="A54" s="1256" t="s">
        <v>3701</v>
      </c>
      <c r="B54" s="1138" t="s">
        <v>2527</v>
      </c>
      <c r="C54" s="1138" t="s">
        <v>3702</v>
      </c>
      <c r="D54" s="1008">
        <v>1550</v>
      </c>
      <c r="E54" s="1008">
        <v>1800</v>
      </c>
      <c r="F54" s="1008">
        <v>1800</v>
      </c>
      <c r="G54" s="664" t="s">
        <v>19</v>
      </c>
      <c r="H54" s="56" t="s">
        <v>681</v>
      </c>
      <c r="I54" s="37" t="s">
        <v>17</v>
      </c>
      <c r="J54" s="37"/>
      <c r="K54" s="19" t="s">
        <v>680</v>
      </c>
      <c r="L54" s="607" t="s">
        <v>653</v>
      </c>
      <c r="M54" s="156">
        <v>43084</v>
      </c>
      <c r="N54" s="156">
        <v>43093</v>
      </c>
      <c r="O54" s="153" t="s">
        <v>2131</v>
      </c>
      <c r="P54" s="61"/>
      <c r="Q54" s="52"/>
      <c r="R54" s="606" t="s">
        <v>3637</v>
      </c>
      <c r="S54" s="315" t="s">
        <v>3337</v>
      </c>
      <c r="T54" s="904"/>
    </row>
    <row r="55" spans="1:20" ht="20.100000000000001" customHeight="1">
      <c r="A55" s="1256" t="s">
        <v>3701</v>
      </c>
      <c r="B55" s="1138" t="s">
        <v>2527</v>
      </c>
      <c r="C55" s="1138" t="s">
        <v>3702</v>
      </c>
      <c r="D55" s="1008">
        <v>1175</v>
      </c>
      <c r="E55" s="1008">
        <v>1250</v>
      </c>
      <c r="F55" s="1008">
        <v>1250</v>
      </c>
      <c r="G55" s="227" t="s">
        <v>1689</v>
      </c>
      <c r="H55" s="56" t="s">
        <v>681</v>
      </c>
      <c r="I55" s="50" t="s">
        <v>17</v>
      </c>
      <c r="J55" s="50"/>
      <c r="K55" s="19" t="s">
        <v>680</v>
      </c>
      <c r="L55" s="607" t="s">
        <v>653</v>
      </c>
      <c r="M55" s="156">
        <v>43076</v>
      </c>
      <c r="N55" s="156">
        <v>43083</v>
      </c>
      <c r="O55" s="153" t="s">
        <v>2529</v>
      </c>
      <c r="P55" s="61"/>
      <c r="Q55" s="52"/>
      <c r="R55" s="606" t="s">
        <v>3634</v>
      </c>
      <c r="S55" s="316" t="s">
        <v>2943</v>
      </c>
      <c r="T55" s="904"/>
    </row>
    <row r="56" spans="1:20" ht="20.100000000000001" customHeight="1">
      <c r="A56" s="1256" t="s">
        <v>3701</v>
      </c>
      <c r="B56" s="1138" t="s">
        <v>2527</v>
      </c>
      <c r="C56" s="1138" t="s">
        <v>3702</v>
      </c>
      <c r="D56" s="1016">
        <v>1150</v>
      </c>
      <c r="E56" s="1016">
        <v>1200</v>
      </c>
      <c r="F56" s="1016">
        <v>1200</v>
      </c>
      <c r="G56" s="640" t="s">
        <v>233</v>
      </c>
      <c r="H56" s="56" t="s">
        <v>681</v>
      </c>
      <c r="I56" s="50" t="s">
        <v>17</v>
      </c>
      <c r="J56" s="50"/>
      <c r="K56" s="19" t="s">
        <v>680</v>
      </c>
      <c r="L56" s="607" t="s">
        <v>653</v>
      </c>
      <c r="M56" s="620">
        <v>43081</v>
      </c>
      <c r="N56" s="620">
        <v>43085</v>
      </c>
      <c r="O56" s="153" t="s">
        <v>880</v>
      </c>
      <c r="P56" s="61"/>
      <c r="Q56" s="52"/>
      <c r="R56" s="606" t="s">
        <v>3656</v>
      </c>
      <c r="S56" s="316" t="s">
        <v>3573</v>
      </c>
      <c r="T56" s="904"/>
    </row>
    <row r="57" spans="1:20" ht="20.100000000000001" customHeight="1">
      <c r="A57" s="1256" t="s">
        <v>3701</v>
      </c>
      <c r="B57" s="1138" t="s">
        <v>2527</v>
      </c>
      <c r="C57" s="1138" t="s">
        <v>3702</v>
      </c>
      <c r="D57" s="1015">
        <v>1250</v>
      </c>
      <c r="E57" s="1015">
        <v>1500</v>
      </c>
      <c r="F57" s="1015">
        <v>1500</v>
      </c>
      <c r="G57" s="640" t="s">
        <v>31</v>
      </c>
      <c r="H57" s="56" t="s">
        <v>681</v>
      </c>
      <c r="I57" s="50" t="s">
        <v>17</v>
      </c>
      <c r="J57" s="50"/>
      <c r="K57" s="19" t="s">
        <v>680</v>
      </c>
      <c r="L57" s="607" t="s">
        <v>653</v>
      </c>
      <c r="M57" s="623">
        <v>43080</v>
      </c>
      <c r="N57" s="623">
        <v>43083</v>
      </c>
      <c r="O57" s="153" t="s">
        <v>881</v>
      </c>
      <c r="P57" s="61"/>
      <c r="Q57" s="52"/>
      <c r="R57" s="606" t="s">
        <v>3563</v>
      </c>
      <c r="S57" s="622" t="s">
        <v>1176</v>
      </c>
      <c r="T57" s="904"/>
    </row>
    <row r="58" spans="1:20" ht="20.100000000000001" customHeight="1">
      <c r="A58" s="1256" t="s">
        <v>3701</v>
      </c>
      <c r="B58" s="1138" t="s">
        <v>2527</v>
      </c>
      <c r="C58" s="1138" t="s">
        <v>4270</v>
      </c>
      <c r="D58" s="1015">
        <v>1275</v>
      </c>
      <c r="E58" s="1015">
        <v>1450</v>
      </c>
      <c r="F58" s="1015">
        <v>1450</v>
      </c>
      <c r="G58" s="636" t="s">
        <v>18</v>
      </c>
      <c r="H58" s="160" t="s">
        <v>1102</v>
      </c>
      <c r="I58" s="37" t="s">
        <v>2526</v>
      </c>
      <c r="J58" s="50"/>
      <c r="K58" s="19" t="s">
        <v>970</v>
      </c>
      <c r="L58" s="607" t="s">
        <v>653</v>
      </c>
      <c r="M58" s="108">
        <v>43078</v>
      </c>
      <c r="N58" s="108">
        <v>43083</v>
      </c>
      <c r="O58" s="153" t="s">
        <v>2552</v>
      </c>
      <c r="P58" s="59"/>
      <c r="Q58" s="7"/>
      <c r="R58" s="606" t="s">
        <v>2547</v>
      </c>
      <c r="S58" s="316"/>
      <c r="T58" s="749"/>
    </row>
    <row r="59" spans="1:20" ht="20.100000000000001" customHeight="1">
      <c r="A59" s="1256" t="s">
        <v>3701</v>
      </c>
      <c r="B59" s="1138" t="s">
        <v>2527</v>
      </c>
      <c r="C59" s="1138" t="s">
        <v>4270</v>
      </c>
      <c r="D59" s="1015">
        <f>D11+100</f>
        <v>1650</v>
      </c>
      <c r="E59" s="1015">
        <f>E11+200</f>
        <v>2000</v>
      </c>
      <c r="F59" s="1015">
        <f>F11+200</f>
        <v>2000</v>
      </c>
      <c r="G59" s="608" t="s">
        <v>94</v>
      </c>
      <c r="H59" s="661" t="s">
        <v>1102</v>
      </c>
      <c r="I59" s="5" t="s">
        <v>2127</v>
      </c>
      <c r="J59" s="37"/>
      <c r="K59" s="19" t="s">
        <v>830</v>
      </c>
      <c r="L59" s="607" t="s">
        <v>653</v>
      </c>
      <c r="M59" s="108">
        <v>43087</v>
      </c>
      <c r="N59" s="108">
        <v>43094</v>
      </c>
      <c r="O59" s="61" t="s">
        <v>2444</v>
      </c>
      <c r="P59" s="61"/>
      <c r="Q59" s="7"/>
      <c r="R59" s="606" t="s">
        <v>2524</v>
      </c>
      <c r="S59" s="322" t="s">
        <v>1176</v>
      </c>
      <c r="T59" s="749"/>
    </row>
    <row r="60" spans="1:20" ht="20.100000000000001" customHeight="1">
      <c r="A60" s="1256" t="s">
        <v>3701</v>
      </c>
      <c r="B60" s="1138" t="s">
        <v>2527</v>
      </c>
      <c r="C60" s="1138" t="s">
        <v>4270</v>
      </c>
      <c r="D60" s="956">
        <v>1600</v>
      </c>
      <c r="E60" s="956">
        <v>1900</v>
      </c>
      <c r="F60" s="956">
        <v>1900</v>
      </c>
      <c r="G60" s="662" t="s">
        <v>5</v>
      </c>
      <c r="H60" s="56" t="s">
        <v>681</v>
      </c>
      <c r="I60" s="50" t="s">
        <v>17</v>
      </c>
      <c r="J60" s="50"/>
      <c r="K60" s="19" t="s">
        <v>747</v>
      </c>
      <c r="L60" s="607" t="s">
        <v>653</v>
      </c>
      <c r="M60" s="159">
        <v>43087</v>
      </c>
      <c r="N60" s="159">
        <v>43093</v>
      </c>
      <c r="O60" s="61" t="s">
        <v>2445</v>
      </c>
      <c r="P60" s="59"/>
      <c r="Q60" s="7"/>
      <c r="R60" s="610" t="s">
        <v>3652</v>
      </c>
      <c r="S60" s="619"/>
      <c r="T60" s="106"/>
    </row>
    <row r="61" spans="1:20" ht="20.100000000000001" customHeight="1">
      <c r="A61" s="1256" t="s">
        <v>3701</v>
      </c>
      <c r="B61" s="1138" t="s">
        <v>2527</v>
      </c>
      <c r="C61" s="1138" t="s">
        <v>4270</v>
      </c>
      <c r="D61" s="1008">
        <v>1550</v>
      </c>
      <c r="E61" s="1008">
        <v>1800</v>
      </c>
      <c r="F61" s="1008">
        <v>1800</v>
      </c>
      <c r="G61" s="662" t="s">
        <v>51</v>
      </c>
      <c r="H61" s="56" t="s">
        <v>681</v>
      </c>
      <c r="I61" s="50" t="s">
        <v>17</v>
      </c>
      <c r="J61" s="50"/>
      <c r="K61" s="19" t="s">
        <v>747</v>
      </c>
      <c r="L61" s="607" t="s">
        <v>653</v>
      </c>
      <c r="M61" s="611">
        <v>43086</v>
      </c>
      <c r="N61" s="611">
        <v>43100</v>
      </c>
      <c r="O61" s="61" t="s">
        <v>3291</v>
      </c>
      <c r="P61" s="52"/>
      <c r="Q61" s="52"/>
      <c r="R61" s="610" t="s">
        <v>3657</v>
      </c>
      <c r="S61" s="315" t="s">
        <v>3290</v>
      </c>
      <c r="T61" s="749" t="s">
        <v>2834</v>
      </c>
    </row>
    <row r="62" spans="1:20" ht="20.100000000000001" customHeight="1">
      <c r="A62" s="1256" t="s">
        <v>3701</v>
      </c>
      <c r="B62" s="1138" t="s">
        <v>2527</v>
      </c>
      <c r="C62" s="1138" t="s">
        <v>4270</v>
      </c>
      <c r="D62" s="1008">
        <v>1600</v>
      </c>
      <c r="E62" s="1008">
        <v>1900</v>
      </c>
      <c r="F62" s="1008">
        <v>1900</v>
      </c>
      <c r="G62" s="639" t="s">
        <v>19</v>
      </c>
      <c r="H62" s="56" t="s">
        <v>681</v>
      </c>
      <c r="I62" s="37" t="s">
        <v>17</v>
      </c>
      <c r="J62" s="37"/>
      <c r="K62" s="19" t="s">
        <v>747</v>
      </c>
      <c r="L62" s="607" t="s">
        <v>653</v>
      </c>
      <c r="M62" s="156">
        <v>43084</v>
      </c>
      <c r="N62" s="156">
        <v>43093</v>
      </c>
      <c r="O62" s="153" t="s">
        <v>2131</v>
      </c>
      <c r="P62" s="7"/>
      <c r="Q62" s="52"/>
      <c r="R62" s="606" t="s">
        <v>3637</v>
      </c>
      <c r="S62" s="315" t="s">
        <v>3337</v>
      </c>
      <c r="T62" s="106"/>
    </row>
    <row r="63" spans="1:20" ht="20.100000000000001" customHeight="1">
      <c r="A63" s="1256" t="s">
        <v>3701</v>
      </c>
      <c r="B63" s="1138" t="s">
        <v>2527</v>
      </c>
      <c r="C63" s="1138" t="s">
        <v>4270</v>
      </c>
      <c r="D63" s="1008">
        <v>1275</v>
      </c>
      <c r="E63" s="1008"/>
      <c r="F63" s="1008">
        <v>1450</v>
      </c>
      <c r="G63" s="227" t="s">
        <v>1689</v>
      </c>
      <c r="H63" s="56" t="s">
        <v>681</v>
      </c>
      <c r="I63" s="50" t="s">
        <v>17</v>
      </c>
      <c r="J63" s="50"/>
      <c r="K63" s="19" t="s">
        <v>747</v>
      </c>
      <c r="L63" s="607" t="s">
        <v>653</v>
      </c>
      <c r="M63" s="156">
        <v>43076</v>
      </c>
      <c r="N63" s="156">
        <v>43083</v>
      </c>
      <c r="O63" s="153" t="s">
        <v>2529</v>
      </c>
      <c r="P63" s="61"/>
      <c r="Q63" s="52"/>
      <c r="R63" s="606" t="s">
        <v>3634</v>
      </c>
      <c r="S63" s="316" t="s">
        <v>2943</v>
      </c>
      <c r="T63" s="106"/>
    </row>
    <row r="64" spans="1:20" ht="20.100000000000001" customHeight="1">
      <c r="A64" s="1256" t="s">
        <v>3701</v>
      </c>
      <c r="B64" s="1138" t="s">
        <v>2527</v>
      </c>
      <c r="C64" s="1138" t="s">
        <v>4270</v>
      </c>
      <c r="D64" s="1016">
        <v>1150</v>
      </c>
      <c r="E64" s="1016">
        <v>1200</v>
      </c>
      <c r="F64" s="1016">
        <v>1200</v>
      </c>
      <c r="G64" s="640" t="s">
        <v>233</v>
      </c>
      <c r="H64" s="56" t="s">
        <v>681</v>
      </c>
      <c r="I64" s="50" t="s">
        <v>17</v>
      </c>
      <c r="J64" s="50"/>
      <c r="K64" s="19" t="s">
        <v>747</v>
      </c>
      <c r="L64" s="607" t="s">
        <v>653</v>
      </c>
      <c r="M64" s="620">
        <v>43081</v>
      </c>
      <c r="N64" s="620">
        <v>43085</v>
      </c>
      <c r="O64" s="153" t="s">
        <v>880</v>
      </c>
      <c r="P64" s="61"/>
      <c r="Q64" s="52"/>
      <c r="R64" s="606" t="s">
        <v>3656</v>
      </c>
      <c r="S64" s="316" t="s">
        <v>3573</v>
      </c>
      <c r="T64" s="106"/>
    </row>
    <row r="65" spans="1:20" ht="20.100000000000001" customHeight="1">
      <c r="A65" s="1256" t="s">
        <v>3701</v>
      </c>
      <c r="B65" s="1138" t="s">
        <v>2527</v>
      </c>
      <c r="C65" s="1138" t="s">
        <v>4270</v>
      </c>
      <c r="D65" s="1015">
        <v>1250</v>
      </c>
      <c r="E65" s="1015">
        <v>1500</v>
      </c>
      <c r="F65" s="1015">
        <v>1500</v>
      </c>
      <c r="G65" s="640" t="s">
        <v>31</v>
      </c>
      <c r="H65" s="56" t="s">
        <v>681</v>
      </c>
      <c r="I65" s="50" t="s">
        <v>17</v>
      </c>
      <c r="J65" s="50"/>
      <c r="K65" s="19" t="s">
        <v>747</v>
      </c>
      <c r="L65" s="607" t="s">
        <v>653</v>
      </c>
      <c r="M65" s="623">
        <v>43080</v>
      </c>
      <c r="N65" s="623">
        <v>43083</v>
      </c>
      <c r="O65" s="153" t="s">
        <v>881</v>
      </c>
      <c r="P65" s="61"/>
      <c r="Q65" s="52"/>
      <c r="R65" s="606" t="s">
        <v>3563</v>
      </c>
      <c r="S65" s="622" t="s">
        <v>1176</v>
      </c>
      <c r="T65" s="106"/>
    </row>
    <row r="66" spans="1:20" ht="20.100000000000001" customHeight="1">
      <c r="A66" s="1256" t="s">
        <v>3701</v>
      </c>
      <c r="B66" s="1138" t="s">
        <v>2527</v>
      </c>
      <c r="C66" s="1138" t="s">
        <v>4270</v>
      </c>
      <c r="D66" s="1008">
        <v>1550</v>
      </c>
      <c r="E66" s="1008">
        <v>1800</v>
      </c>
      <c r="F66" s="1008">
        <v>1800</v>
      </c>
      <c r="G66" s="662" t="s">
        <v>51</v>
      </c>
      <c r="H66" s="168" t="s">
        <v>1233</v>
      </c>
      <c r="I66" s="50" t="s">
        <v>17</v>
      </c>
      <c r="J66" s="50"/>
      <c r="K66" s="34" t="s">
        <v>813</v>
      </c>
      <c r="L66" s="607" t="s">
        <v>653</v>
      </c>
      <c r="M66" s="611">
        <v>43086</v>
      </c>
      <c r="N66" s="611">
        <v>43100</v>
      </c>
      <c r="O66" s="61" t="s">
        <v>3291</v>
      </c>
      <c r="P66" s="52"/>
      <c r="Q66" s="52"/>
      <c r="R66" s="610" t="s">
        <v>2472</v>
      </c>
      <c r="S66" s="315" t="s">
        <v>3290</v>
      </c>
      <c r="T66" s="749" t="s">
        <v>2834</v>
      </c>
    </row>
    <row r="67" spans="1:20" ht="20.100000000000001" customHeight="1">
      <c r="A67" s="1256" t="s">
        <v>3701</v>
      </c>
      <c r="B67" s="1138" t="s">
        <v>2527</v>
      </c>
      <c r="C67" s="1138" t="s">
        <v>4270</v>
      </c>
      <c r="D67" s="956">
        <v>1600</v>
      </c>
      <c r="E67" s="956">
        <v>1900</v>
      </c>
      <c r="F67" s="956">
        <v>1900</v>
      </c>
      <c r="G67" s="662" t="s">
        <v>679</v>
      </c>
      <c r="H67" s="168" t="s">
        <v>1233</v>
      </c>
      <c r="I67" s="50" t="s">
        <v>17</v>
      </c>
      <c r="J67" s="50"/>
      <c r="K67" s="34" t="s">
        <v>813</v>
      </c>
      <c r="L67" s="607" t="s">
        <v>653</v>
      </c>
      <c r="M67" s="159">
        <v>43087</v>
      </c>
      <c r="N67" s="159">
        <v>43093</v>
      </c>
      <c r="O67" s="61" t="s">
        <v>2445</v>
      </c>
      <c r="P67" s="59"/>
      <c r="Q67" s="7"/>
      <c r="R67" s="610" t="s">
        <v>2566</v>
      </c>
      <c r="S67" s="619"/>
      <c r="T67" s="749"/>
    </row>
    <row r="68" spans="1:20" ht="20.100000000000001" customHeight="1">
      <c r="A68" s="1256" t="s">
        <v>3701</v>
      </c>
      <c r="B68" s="1138" t="s">
        <v>2527</v>
      </c>
      <c r="C68" s="1138" t="s">
        <v>4270</v>
      </c>
      <c r="D68" s="1008">
        <v>1275</v>
      </c>
      <c r="E68" s="1008"/>
      <c r="F68" s="1008">
        <v>1450</v>
      </c>
      <c r="G68" s="227" t="s">
        <v>1689</v>
      </c>
      <c r="H68" s="168" t="s">
        <v>1233</v>
      </c>
      <c r="I68" s="50" t="s">
        <v>17</v>
      </c>
      <c r="J68" s="50"/>
      <c r="K68" s="34" t="s">
        <v>813</v>
      </c>
      <c r="L68" s="607" t="s">
        <v>653</v>
      </c>
      <c r="M68" s="156">
        <v>43076</v>
      </c>
      <c r="N68" s="156">
        <v>43083</v>
      </c>
      <c r="O68" s="153" t="s">
        <v>2529</v>
      </c>
      <c r="P68" s="59"/>
      <c r="Q68" s="52"/>
      <c r="R68" s="610" t="s">
        <v>2470</v>
      </c>
      <c r="S68" s="316" t="s">
        <v>2943</v>
      </c>
      <c r="T68" s="749"/>
    </row>
    <row r="69" spans="1:20" ht="20.100000000000001" customHeight="1">
      <c r="A69" s="1256" t="s">
        <v>3701</v>
      </c>
      <c r="B69" s="1138" t="s">
        <v>2527</v>
      </c>
      <c r="C69" s="1138" t="s">
        <v>4270</v>
      </c>
      <c r="D69" s="1008">
        <v>1600</v>
      </c>
      <c r="E69" s="1008">
        <v>1900</v>
      </c>
      <c r="F69" s="1008">
        <v>1900</v>
      </c>
      <c r="G69" s="639" t="s">
        <v>19</v>
      </c>
      <c r="H69" s="168" t="s">
        <v>1233</v>
      </c>
      <c r="I69" s="50" t="s">
        <v>17</v>
      </c>
      <c r="J69" s="50"/>
      <c r="K69" s="34" t="s">
        <v>813</v>
      </c>
      <c r="L69" s="607" t="s">
        <v>653</v>
      </c>
      <c r="M69" s="156">
        <v>43084</v>
      </c>
      <c r="N69" s="156">
        <v>43093</v>
      </c>
      <c r="O69" s="153" t="s">
        <v>2131</v>
      </c>
      <c r="P69" s="59"/>
      <c r="Q69" s="7"/>
      <c r="R69" s="610" t="s">
        <v>2469</v>
      </c>
      <c r="S69" s="315" t="s">
        <v>3337</v>
      </c>
      <c r="T69" s="749"/>
    </row>
    <row r="70" spans="1:20" ht="20.100000000000001" customHeight="1">
      <c r="A70" s="1256" t="s">
        <v>2971</v>
      </c>
      <c r="B70" s="1138" t="s">
        <v>2527</v>
      </c>
      <c r="C70" s="1138" t="s">
        <v>4269</v>
      </c>
      <c r="D70" s="1018">
        <f>D41+4260+50</f>
        <v>5860</v>
      </c>
      <c r="E70" s="1018">
        <f>E41+4260+100</f>
        <v>6160</v>
      </c>
      <c r="F70" s="1018">
        <f>F41+4260+100</f>
        <v>6160</v>
      </c>
      <c r="G70" s="608" t="s">
        <v>94</v>
      </c>
      <c r="H70" s="661" t="s">
        <v>1102</v>
      </c>
      <c r="I70" s="5" t="s">
        <v>2526</v>
      </c>
      <c r="J70" s="37" t="s">
        <v>2525</v>
      </c>
      <c r="K70" s="16">
        <v>26</v>
      </c>
      <c r="L70" s="607" t="s">
        <v>653</v>
      </c>
      <c r="M70" s="108">
        <v>43087</v>
      </c>
      <c r="N70" s="108">
        <v>43094</v>
      </c>
      <c r="O70" s="61" t="s">
        <v>2444</v>
      </c>
      <c r="P70" s="7"/>
      <c r="Q70" s="7"/>
      <c r="R70" s="606" t="s">
        <v>2524</v>
      </c>
      <c r="S70" s="322" t="s">
        <v>1176</v>
      </c>
      <c r="T70" s="858"/>
    </row>
    <row r="71" spans="1:20" ht="20.100000000000001" customHeight="1">
      <c r="A71" s="1256" t="s">
        <v>2971</v>
      </c>
      <c r="B71" s="1138" t="s">
        <v>2527</v>
      </c>
      <c r="C71" s="1138" t="s">
        <v>4269</v>
      </c>
      <c r="D71" s="1018">
        <f>D18+4150+50</f>
        <v>5750</v>
      </c>
      <c r="E71" s="1018">
        <f>E18+4150+100</f>
        <v>6050</v>
      </c>
      <c r="F71" s="1018">
        <f>F18+4150+100</f>
        <v>6050</v>
      </c>
      <c r="G71" s="608" t="s">
        <v>94</v>
      </c>
      <c r="H71" s="56" t="s">
        <v>657</v>
      </c>
      <c r="I71" s="5" t="s">
        <v>2127</v>
      </c>
      <c r="J71" s="37" t="s">
        <v>2525</v>
      </c>
      <c r="K71" s="34">
        <v>25</v>
      </c>
      <c r="L71" s="607" t="s">
        <v>653</v>
      </c>
      <c r="M71" s="108">
        <v>43087</v>
      </c>
      <c r="N71" s="108">
        <v>43094</v>
      </c>
      <c r="O71" s="61" t="s">
        <v>2444</v>
      </c>
      <c r="P71" s="7"/>
      <c r="Q71" s="7"/>
      <c r="R71" s="606" t="s">
        <v>2126</v>
      </c>
      <c r="S71" s="322" t="s">
        <v>1176</v>
      </c>
      <c r="T71" s="858"/>
    </row>
    <row r="72" spans="1:20" ht="20.100000000000001" customHeight="1">
      <c r="A72" s="1256" t="s">
        <v>2971</v>
      </c>
      <c r="B72" s="1138" t="s">
        <v>2527</v>
      </c>
      <c r="C72" s="1138" t="s">
        <v>4269</v>
      </c>
      <c r="D72" s="1020">
        <f>E72*0.8</f>
        <v>2560</v>
      </c>
      <c r="E72" s="1020">
        <v>3200</v>
      </c>
      <c r="F72" s="1020">
        <f>E72</f>
        <v>3200</v>
      </c>
      <c r="G72" s="637" t="s">
        <v>12</v>
      </c>
      <c r="H72" s="56">
        <v>3</v>
      </c>
      <c r="I72" s="37" t="s">
        <v>2471</v>
      </c>
      <c r="J72" s="37"/>
      <c r="K72" s="16" t="s">
        <v>683</v>
      </c>
      <c r="L72" s="607" t="s">
        <v>653</v>
      </c>
      <c r="M72" s="15">
        <v>43076</v>
      </c>
      <c r="N72" s="15">
        <v>43083</v>
      </c>
      <c r="O72" s="59" t="s">
        <v>3700</v>
      </c>
      <c r="P72" s="61"/>
      <c r="Q72" s="7"/>
      <c r="R72" s="606" t="s">
        <v>3398</v>
      </c>
      <c r="S72" s="322" t="s">
        <v>1176</v>
      </c>
      <c r="T72" s="858"/>
    </row>
    <row r="73" spans="1:20" ht="20.100000000000001" customHeight="1">
      <c r="A73" s="1256" t="s">
        <v>2971</v>
      </c>
      <c r="B73" s="1138" t="s">
        <v>2527</v>
      </c>
      <c r="C73" s="1138" t="s">
        <v>4269</v>
      </c>
      <c r="D73" s="1008">
        <v>3850</v>
      </c>
      <c r="E73" s="1008">
        <v>4600</v>
      </c>
      <c r="F73" s="1008">
        <v>4600</v>
      </c>
      <c r="G73" s="639" t="s">
        <v>19</v>
      </c>
      <c r="H73" s="168" t="s">
        <v>1233</v>
      </c>
      <c r="I73" s="50" t="s">
        <v>3362</v>
      </c>
      <c r="J73" s="50"/>
      <c r="K73" s="19" t="s">
        <v>2567</v>
      </c>
      <c r="L73" s="607" t="s">
        <v>653</v>
      </c>
      <c r="M73" s="156">
        <v>43084</v>
      </c>
      <c r="N73" s="156">
        <v>43093</v>
      </c>
      <c r="O73" s="153" t="s">
        <v>2131</v>
      </c>
      <c r="P73" s="59"/>
      <c r="Q73" s="7"/>
      <c r="R73" s="610" t="s">
        <v>2469</v>
      </c>
      <c r="S73" s="315" t="s">
        <v>3337</v>
      </c>
      <c r="T73" s="858"/>
    </row>
    <row r="74" spans="1:20" ht="20.100000000000001" customHeight="1">
      <c r="A74" s="1256" t="s">
        <v>2971</v>
      </c>
      <c r="B74" s="1138" t="s">
        <v>2527</v>
      </c>
      <c r="C74" s="1138" t="s">
        <v>4269</v>
      </c>
      <c r="D74" s="1008">
        <v>2625</v>
      </c>
      <c r="E74" s="1008">
        <v>3250</v>
      </c>
      <c r="F74" s="1008">
        <v>3250</v>
      </c>
      <c r="G74" s="227" t="s">
        <v>1689</v>
      </c>
      <c r="H74" s="168" t="s">
        <v>1233</v>
      </c>
      <c r="I74" s="37" t="s">
        <v>2569</v>
      </c>
      <c r="J74" s="37"/>
      <c r="K74" s="5" t="s">
        <v>986</v>
      </c>
      <c r="L74" s="607" t="s">
        <v>653</v>
      </c>
      <c r="M74" s="156">
        <v>43074</v>
      </c>
      <c r="N74" s="156">
        <v>43083</v>
      </c>
      <c r="O74" s="153" t="s">
        <v>2529</v>
      </c>
      <c r="P74" s="61"/>
      <c r="Q74" s="52"/>
      <c r="R74" s="610" t="s">
        <v>2470</v>
      </c>
      <c r="S74" s="622"/>
      <c r="T74" s="858"/>
    </row>
    <row r="75" spans="1:20" ht="20.100000000000001" customHeight="1">
      <c r="A75" s="1256" t="s">
        <v>2971</v>
      </c>
      <c r="B75" s="1138" t="s">
        <v>2527</v>
      </c>
      <c r="C75" s="1138" t="s">
        <v>4269</v>
      </c>
      <c r="D75" s="1008">
        <v>3500</v>
      </c>
      <c r="E75" s="1008">
        <v>4400</v>
      </c>
      <c r="F75" s="1008">
        <v>4400</v>
      </c>
      <c r="G75" s="637" t="s">
        <v>5</v>
      </c>
      <c r="H75" s="168" t="s">
        <v>1233</v>
      </c>
      <c r="I75" s="51" t="s">
        <v>2471</v>
      </c>
      <c r="J75" s="51"/>
      <c r="K75" s="34" t="s">
        <v>986</v>
      </c>
      <c r="L75" s="607" t="s">
        <v>653</v>
      </c>
      <c r="M75" s="607"/>
      <c r="N75" s="159">
        <v>42978</v>
      </c>
      <c r="O75" s="61" t="s">
        <v>2445</v>
      </c>
      <c r="P75" s="59"/>
      <c r="Q75" s="7"/>
      <c r="R75" s="610" t="s">
        <v>2566</v>
      </c>
      <c r="S75" s="619"/>
      <c r="T75" s="858"/>
    </row>
    <row r="76" spans="1:20" ht="20.100000000000001" customHeight="1">
      <c r="A76" s="1256" t="s">
        <v>2971</v>
      </c>
      <c r="B76" s="1138" t="s">
        <v>2527</v>
      </c>
      <c r="C76" s="1138" t="s">
        <v>4500</v>
      </c>
      <c r="D76" s="1018">
        <f>D44+4250</f>
        <v>5800</v>
      </c>
      <c r="E76" s="1018">
        <f>E44+4250</f>
        <v>6050</v>
      </c>
      <c r="F76" s="1018">
        <f>F44+4250</f>
        <v>6050</v>
      </c>
      <c r="G76" s="216" t="s">
        <v>19</v>
      </c>
      <c r="H76" s="56" t="s">
        <v>1444</v>
      </c>
      <c r="I76" s="5" t="s">
        <v>2526</v>
      </c>
      <c r="J76" s="37" t="s">
        <v>2525</v>
      </c>
      <c r="K76" s="16" t="s">
        <v>775</v>
      </c>
      <c r="L76" s="607" t="s">
        <v>653</v>
      </c>
      <c r="M76" s="156">
        <v>43084</v>
      </c>
      <c r="N76" s="156">
        <v>43093</v>
      </c>
      <c r="O76" s="153" t="s">
        <v>2131</v>
      </c>
      <c r="P76" s="59"/>
      <c r="Q76" s="52"/>
      <c r="R76" s="610" t="s">
        <v>1841</v>
      </c>
      <c r="S76" s="315" t="s">
        <v>3337</v>
      </c>
      <c r="T76" s="858"/>
    </row>
    <row r="77" spans="1:20" ht="20.100000000000001" customHeight="1">
      <c r="A77" s="1256" t="s">
        <v>2971</v>
      </c>
      <c r="B77" s="1138" t="s">
        <v>2527</v>
      </c>
      <c r="C77" s="1138" t="s">
        <v>4500</v>
      </c>
      <c r="D77" s="1010"/>
      <c r="E77" s="1010"/>
      <c r="F77" s="1010"/>
      <c r="G77" s="35" t="s">
        <v>76</v>
      </c>
      <c r="H77" s="56" t="s">
        <v>659</v>
      </c>
      <c r="I77" s="5" t="s">
        <v>2543</v>
      </c>
      <c r="J77" s="5"/>
      <c r="K77" s="34">
        <v>45</v>
      </c>
      <c r="L77" s="607" t="s">
        <v>653</v>
      </c>
      <c r="M77" s="6">
        <v>43087</v>
      </c>
      <c r="N77" s="6">
        <v>43093</v>
      </c>
      <c r="O77" s="61" t="s">
        <v>3401</v>
      </c>
      <c r="P77" s="61"/>
      <c r="Q77" s="61"/>
      <c r="R77" s="606"/>
      <c r="S77" s="315" t="s">
        <v>3341</v>
      </c>
      <c r="T77" s="858"/>
    </row>
    <row r="78" spans="1:20" ht="20.100000000000001" customHeight="1">
      <c r="A78" s="1256" t="s">
        <v>2971</v>
      </c>
      <c r="B78" s="1138" t="s">
        <v>2527</v>
      </c>
      <c r="C78" s="1138" t="s">
        <v>4500</v>
      </c>
      <c r="D78" s="1018">
        <f>D73+1284</f>
        <v>5134</v>
      </c>
      <c r="E78" s="1018">
        <f>E73+1284</f>
        <v>5884</v>
      </c>
      <c r="F78" s="1018">
        <f>F73+1284</f>
        <v>5884</v>
      </c>
      <c r="G78" s="216" t="s">
        <v>19</v>
      </c>
      <c r="H78" s="168" t="s">
        <v>1233</v>
      </c>
      <c r="I78" s="5" t="s">
        <v>4501</v>
      </c>
      <c r="J78" s="37" t="s">
        <v>2525</v>
      </c>
      <c r="K78" s="16" t="s">
        <v>2565</v>
      </c>
      <c r="L78" s="607" t="s">
        <v>653</v>
      </c>
      <c r="M78" s="156">
        <v>43084</v>
      </c>
      <c r="N78" s="156">
        <v>43093</v>
      </c>
      <c r="O78" s="153" t="s">
        <v>2131</v>
      </c>
      <c r="P78" s="59"/>
      <c r="Q78" s="7"/>
      <c r="R78" s="610" t="s">
        <v>2469</v>
      </c>
      <c r="S78" s="315" t="s">
        <v>3337</v>
      </c>
      <c r="T78" s="858"/>
    </row>
    <row r="79" spans="1:20" ht="20.100000000000001" customHeight="1">
      <c r="A79" s="1256" t="s">
        <v>2971</v>
      </c>
      <c r="B79" s="1138" t="s">
        <v>2527</v>
      </c>
      <c r="C79" s="1138" t="s">
        <v>4500</v>
      </c>
      <c r="D79" s="1018">
        <f>D114+3385</f>
        <v>5765</v>
      </c>
      <c r="E79" s="1018">
        <f>E114+3385</f>
        <v>5985</v>
      </c>
      <c r="F79" s="1018">
        <f>F114+3385</f>
        <v>5985</v>
      </c>
      <c r="G79" s="216" t="s">
        <v>19</v>
      </c>
      <c r="H79" s="168" t="s">
        <v>1233</v>
      </c>
      <c r="I79" s="50" t="s">
        <v>4499</v>
      </c>
      <c r="J79" s="37" t="s">
        <v>2525</v>
      </c>
      <c r="K79" s="19" t="s">
        <v>982</v>
      </c>
      <c r="L79" s="607" t="s">
        <v>653</v>
      </c>
      <c r="M79" s="156">
        <v>43084</v>
      </c>
      <c r="N79" s="156">
        <v>43093</v>
      </c>
      <c r="O79" s="153" t="s">
        <v>2131</v>
      </c>
      <c r="P79" s="59"/>
      <c r="Q79" s="7"/>
      <c r="R79" s="610" t="s">
        <v>2469</v>
      </c>
      <c r="S79" s="315" t="s">
        <v>3337</v>
      </c>
      <c r="T79" s="858"/>
    </row>
    <row r="80" spans="1:20" ht="20.100000000000001" customHeight="1">
      <c r="A80" s="1256" t="s">
        <v>2971</v>
      </c>
      <c r="B80" s="1138" t="s">
        <v>2527</v>
      </c>
      <c r="C80" s="1138" t="s">
        <v>4497</v>
      </c>
      <c r="D80" s="1018">
        <f>D41+2464+50</f>
        <v>4064</v>
      </c>
      <c r="E80" s="1018">
        <f>E41+2464+100</f>
        <v>4364</v>
      </c>
      <c r="F80" s="1018">
        <f>F41+2464+100</f>
        <v>4364</v>
      </c>
      <c r="G80" s="608" t="s">
        <v>94</v>
      </c>
      <c r="H80" s="661" t="s">
        <v>1102</v>
      </c>
      <c r="I80" s="5" t="s">
        <v>2526</v>
      </c>
      <c r="J80" s="37" t="s">
        <v>2525</v>
      </c>
      <c r="K80" s="16">
        <v>26</v>
      </c>
      <c r="L80" s="607" t="s">
        <v>653</v>
      </c>
      <c r="M80" s="108">
        <v>43087</v>
      </c>
      <c r="N80" s="108">
        <v>43094</v>
      </c>
      <c r="O80" s="61" t="s">
        <v>2444</v>
      </c>
      <c r="P80" s="7"/>
      <c r="Q80" s="7"/>
      <c r="R80" s="606" t="s">
        <v>2524</v>
      </c>
      <c r="S80" s="322" t="s">
        <v>1176</v>
      </c>
      <c r="T80" s="858"/>
    </row>
    <row r="81" spans="1:20" ht="20.100000000000001" customHeight="1">
      <c r="A81" s="1256" t="s">
        <v>2971</v>
      </c>
      <c r="B81" s="1138" t="s">
        <v>2527</v>
      </c>
      <c r="C81" s="1138" t="s">
        <v>4497</v>
      </c>
      <c r="D81" s="1006">
        <f>D6+300</f>
        <v>1850</v>
      </c>
      <c r="E81" s="1006">
        <f>E6+600</f>
        <v>2400</v>
      </c>
      <c r="F81" s="1006">
        <f>F6+600</f>
        <v>2400</v>
      </c>
      <c r="G81" s="614" t="s">
        <v>19</v>
      </c>
      <c r="H81" s="160" t="s">
        <v>2537</v>
      </c>
      <c r="I81" s="37" t="s">
        <v>2127</v>
      </c>
      <c r="J81" s="37"/>
      <c r="K81" s="16" t="s">
        <v>4498</v>
      </c>
      <c r="L81" s="607" t="s">
        <v>653</v>
      </c>
      <c r="M81" s="156">
        <v>43084</v>
      </c>
      <c r="N81" s="156">
        <v>43093</v>
      </c>
      <c r="O81" s="153" t="s">
        <v>2131</v>
      </c>
      <c r="P81" s="61"/>
      <c r="Q81" s="7"/>
      <c r="R81" s="606" t="s">
        <v>3339</v>
      </c>
      <c r="S81" s="315" t="s">
        <v>3337</v>
      </c>
      <c r="T81" s="858"/>
    </row>
    <row r="82" spans="1:20" ht="20.100000000000001" customHeight="1">
      <c r="A82" s="1256" t="s">
        <v>2129</v>
      </c>
      <c r="B82" s="1138" t="s">
        <v>2527</v>
      </c>
      <c r="C82" s="1138" t="s">
        <v>4497</v>
      </c>
      <c r="D82" s="1006">
        <f>D4+1694</f>
        <v>2869</v>
      </c>
      <c r="E82" s="1006">
        <f>E4+1694</f>
        <v>2944</v>
      </c>
      <c r="F82" s="1006">
        <f>F4+1694</f>
        <v>2944</v>
      </c>
      <c r="G82" s="609" t="s">
        <v>1689</v>
      </c>
      <c r="H82" s="160" t="s">
        <v>645</v>
      </c>
      <c r="I82" s="37" t="s">
        <v>2127</v>
      </c>
      <c r="J82" s="37" t="s">
        <v>2525</v>
      </c>
      <c r="K82" s="5">
        <v>20</v>
      </c>
      <c r="L82" s="607" t="s">
        <v>653</v>
      </c>
      <c r="M82" s="156">
        <v>43076</v>
      </c>
      <c r="N82" s="156">
        <v>43083</v>
      </c>
      <c r="O82" s="153" t="s">
        <v>2529</v>
      </c>
      <c r="P82" s="61"/>
      <c r="Q82" s="61" t="s">
        <v>2125</v>
      </c>
      <c r="R82" s="606" t="s">
        <v>2530</v>
      </c>
      <c r="S82" s="316" t="s">
        <v>2943</v>
      </c>
      <c r="T82" s="858"/>
    </row>
    <row r="83" spans="1:20" ht="20.100000000000001" customHeight="1">
      <c r="A83" s="1256" t="s">
        <v>2971</v>
      </c>
      <c r="B83" s="1138" t="s">
        <v>2527</v>
      </c>
      <c r="C83" s="1138" t="s">
        <v>4497</v>
      </c>
      <c r="D83" s="1018">
        <f>D18+1600+50</f>
        <v>3200</v>
      </c>
      <c r="E83" s="1018">
        <f>E18+1600+100</f>
        <v>3500</v>
      </c>
      <c r="F83" s="1018">
        <f>F18+1600+100</f>
        <v>3500</v>
      </c>
      <c r="G83" s="608" t="s">
        <v>94</v>
      </c>
      <c r="H83" s="56" t="s">
        <v>657</v>
      </c>
      <c r="I83" s="5" t="s">
        <v>2127</v>
      </c>
      <c r="J83" s="37" t="s">
        <v>2525</v>
      </c>
      <c r="K83" s="5">
        <v>22</v>
      </c>
      <c r="L83" s="607" t="s">
        <v>653</v>
      </c>
      <c r="M83" s="108">
        <v>43087</v>
      </c>
      <c r="N83" s="108">
        <v>43094</v>
      </c>
      <c r="O83" s="61" t="s">
        <v>2444</v>
      </c>
      <c r="P83" s="7"/>
      <c r="Q83" s="7"/>
      <c r="R83" s="606" t="s">
        <v>2126</v>
      </c>
      <c r="S83" s="322" t="s">
        <v>1176</v>
      </c>
      <c r="T83" s="858"/>
    </row>
    <row r="84" spans="1:20" ht="20.100000000000001" customHeight="1">
      <c r="A84" s="1256" t="s">
        <v>2971</v>
      </c>
      <c r="B84" s="1138" t="s">
        <v>2527</v>
      </c>
      <c r="C84" s="1138" t="s">
        <v>4497</v>
      </c>
      <c r="D84" s="1015">
        <f>D26+200</f>
        <v>1450</v>
      </c>
      <c r="E84" s="1015">
        <f>E26+400</f>
        <v>1900</v>
      </c>
      <c r="F84" s="1015">
        <f>F26+400</f>
        <v>1900</v>
      </c>
      <c r="G84" s="618" t="s">
        <v>31</v>
      </c>
      <c r="H84" s="56" t="s">
        <v>681</v>
      </c>
      <c r="I84" s="37" t="s">
        <v>2127</v>
      </c>
      <c r="J84" s="37"/>
      <c r="K84" s="5">
        <v>25</v>
      </c>
      <c r="L84" s="607" t="s">
        <v>653</v>
      </c>
      <c r="M84" s="623">
        <v>43080</v>
      </c>
      <c r="N84" s="623">
        <v>43083</v>
      </c>
      <c r="O84" s="61" t="s">
        <v>1307</v>
      </c>
      <c r="P84" s="61"/>
      <c r="Q84" s="52"/>
      <c r="R84" s="606" t="s">
        <v>3563</v>
      </c>
      <c r="S84" s="622" t="s">
        <v>1176</v>
      </c>
      <c r="T84" s="858"/>
    </row>
    <row r="85" spans="1:20" ht="20.100000000000001" customHeight="1">
      <c r="A85" s="1256" t="s">
        <v>2129</v>
      </c>
      <c r="B85" s="1138" t="s">
        <v>2527</v>
      </c>
      <c r="C85" s="1138" t="s">
        <v>3525</v>
      </c>
      <c r="D85" s="1018">
        <f>D6+2472</f>
        <v>4022</v>
      </c>
      <c r="E85" s="1018">
        <f>E6+2472</f>
        <v>4272</v>
      </c>
      <c r="F85" s="1018">
        <f>F6+2472</f>
        <v>4272</v>
      </c>
      <c r="G85" s="614" t="s">
        <v>19</v>
      </c>
      <c r="H85" s="160" t="s">
        <v>2537</v>
      </c>
      <c r="I85" s="37" t="s">
        <v>2127</v>
      </c>
      <c r="J85" s="37" t="s">
        <v>2525</v>
      </c>
      <c r="K85" s="16" t="s">
        <v>1107</v>
      </c>
      <c r="L85" s="607" t="s">
        <v>653</v>
      </c>
      <c r="M85" s="156">
        <v>43084</v>
      </c>
      <c r="N85" s="156">
        <v>43093</v>
      </c>
      <c r="O85" s="153" t="s">
        <v>2131</v>
      </c>
      <c r="P85" s="61"/>
      <c r="Q85" s="7"/>
      <c r="R85" s="606" t="s">
        <v>3339</v>
      </c>
      <c r="S85" s="315" t="s">
        <v>3337</v>
      </c>
      <c r="T85" s="858"/>
    </row>
    <row r="86" spans="1:20" ht="20.100000000000001" customHeight="1">
      <c r="A86" s="1256" t="s">
        <v>2129</v>
      </c>
      <c r="B86" s="1138" t="s">
        <v>2527</v>
      </c>
      <c r="C86" s="1138" t="s">
        <v>3525</v>
      </c>
      <c r="D86" s="1015">
        <f>D26+200</f>
        <v>1450</v>
      </c>
      <c r="E86" s="1015">
        <f>E26+400</f>
        <v>1900</v>
      </c>
      <c r="F86" s="1015">
        <f>F26+400</f>
        <v>1900</v>
      </c>
      <c r="G86" s="618" t="s">
        <v>31</v>
      </c>
      <c r="H86" s="56" t="s">
        <v>681</v>
      </c>
      <c r="I86" s="37" t="s">
        <v>2127</v>
      </c>
      <c r="J86" s="37"/>
      <c r="K86" s="5">
        <v>25</v>
      </c>
      <c r="L86" s="607" t="s">
        <v>653</v>
      </c>
      <c r="M86" s="623">
        <v>43080</v>
      </c>
      <c r="N86" s="623">
        <v>43083</v>
      </c>
      <c r="O86" s="61" t="s">
        <v>1307</v>
      </c>
      <c r="P86" s="61"/>
      <c r="Q86" s="52"/>
      <c r="R86" s="606" t="s">
        <v>3563</v>
      </c>
      <c r="S86" s="622" t="s">
        <v>1176</v>
      </c>
      <c r="T86" s="858"/>
    </row>
    <row r="87" spans="1:20" ht="20.100000000000001" customHeight="1">
      <c r="A87" s="1256" t="s">
        <v>2129</v>
      </c>
      <c r="B87" s="1138" t="s">
        <v>2527</v>
      </c>
      <c r="C87" s="1138" t="s">
        <v>3525</v>
      </c>
      <c r="D87" s="1018">
        <f>D69+1680</f>
        <v>3280</v>
      </c>
      <c r="E87" s="1018">
        <f>E69+1680</f>
        <v>3580</v>
      </c>
      <c r="F87" s="1018">
        <f>F69+1680</f>
        <v>3580</v>
      </c>
      <c r="G87" s="614" t="s">
        <v>19</v>
      </c>
      <c r="H87" s="56" t="s">
        <v>1539</v>
      </c>
      <c r="I87" s="5" t="s">
        <v>2540</v>
      </c>
      <c r="J87" s="37" t="s">
        <v>2525</v>
      </c>
      <c r="K87" s="16" t="s">
        <v>830</v>
      </c>
      <c r="L87" s="607" t="s">
        <v>653</v>
      </c>
      <c r="M87" s="156">
        <v>43084</v>
      </c>
      <c r="N87" s="156">
        <v>43093</v>
      </c>
      <c r="O87" s="153" t="s">
        <v>2131</v>
      </c>
      <c r="P87" s="7"/>
      <c r="Q87" s="7"/>
      <c r="R87" s="610" t="s">
        <v>4496</v>
      </c>
      <c r="S87" s="315" t="s">
        <v>3337</v>
      </c>
      <c r="T87" s="858"/>
    </row>
    <row r="88" spans="1:20" ht="20.100000000000001" customHeight="1">
      <c r="A88" s="1256" t="s">
        <v>2129</v>
      </c>
      <c r="B88" s="1138" t="s">
        <v>2527</v>
      </c>
      <c r="C88" s="1138" t="s">
        <v>3525</v>
      </c>
      <c r="D88" s="1018">
        <f>D92+3334</f>
        <v>5714</v>
      </c>
      <c r="E88" s="1018">
        <f>E92+3334</f>
        <v>5934</v>
      </c>
      <c r="F88" s="1018">
        <f>F92+3334</f>
        <v>5934</v>
      </c>
      <c r="G88" s="614" t="s">
        <v>19</v>
      </c>
      <c r="H88" s="168" t="s">
        <v>1233</v>
      </c>
      <c r="I88" s="50" t="s">
        <v>4160</v>
      </c>
      <c r="J88" s="37" t="s">
        <v>2525</v>
      </c>
      <c r="K88" s="19" t="s">
        <v>835</v>
      </c>
      <c r="L88" s="607" t="s">
        <v>653</v>
      </c>
      <c r="M88" s="156">
        <v>43084</v>
      </c>
      <c r="N88" s="156">
        <v>43093</v>
      </c>
      <c r="O88" s="153" t="s">
        <v>2131</v>
      </c>
      <c r="P88" s="59"/>
      <c r="Q88" s="7"/>
      <c r="R88" s="610" t="s">
        <v>2469</v>
      </c>
      <c r="S88" s="315" t="s">
        <v>3337</v>
      </c>
      <c r="T88" s="858"/>
    </row>
    <row r="89" spans="1:20" ht="20.100000000000001" customHeight="1">
      <c r="A89" s="1138" t="s">
        <v>2971</v>
      </c>
      <c r="B89" s="1138" t="s">
        <v>2527</v>
      </c>
      <c r="C89" s="1138" t="s">
        <v>4159</v>
      </c>
      <c r="D89" s="1061">
        <f>D26+400</f>
        <v>1650</v>
      </c>
      <c r="E89" s="1061">
        <f>E26+600</f>
        <v>2100</v>
      </c>
      <c r="F89" s="1061">
        <f>F26+600</f>
        <v>2100</v>
      </c>
      <c r="G89" s="618" t="s">
        <v>31</v>
      </c>
      <c r="H89" s="56" t="s">
        <v>659</v>
      </c>
      <c r="I89" s="38" t="s">
        <v>2468</v>
      </c>
      <c r="J89" s="37" t="s">
        <v>4157</v>
      </c>
      <c r="K89" s="5">
        <v>47</v>
      </c>
      <c r="L89" s="607" t="s">
        <v>653</v>
      </c>
      <c r="M89" s="623">
        <v>43080</v>
      </c>
      <c r="N89" s="623">
        <v>43083</v>
      </c>
      <c r="O89" s="61" t="s">
        <v>1307</v>
      </c>
      <c r="P89" s="61"/>
      <c r="Q89" s="52"/>
      <c r="R89" s="606" t="s">
        <v>4158</v>
      </c>
      <c r="S89" s="622" t="s">
        <v>1176</v>
      </c>
      <c r="T89" s="137"/>
    </row>
    <row r="90" spans="1:20" ht="20.100000000000001" customHeight="1">
      <c r="A90" s="1138" t="s">
        <v>2971</v>
      </c>
      <c r="B90" s="1138" t="s">
        <v>2527</v>
      </c>
      <c r="C90" s="1245" t="s">
        <v>4159</v>
      </c>
      <c r="D90" s="1060" t="s">
        <v>4268</v>
      </c>
      <c r="E90" s="1060" t="s">
        <v>4267</v>
      </c>
      <c r="F90" s="1060" t="s">
        <v>4267</v>
      </c>
      <c r="G90" s="780" t="s">
        <v>76</v>
      </c>
      <c r="H90" s="56" t="s">
        <v>659</v>
      </c>
      <c r="I90" s="50" t="s">
        <v>2471</v>
      </c>
      <c r="J90" s="50"/>
      <c r="K90" s="34">
        <v>45</v>
      </c>
      <c r="L90" s="607" t="s">
        <v>653</v>
      </c>
      <c r="M90" s="6">
        <v>43087</v>
      </c>
      <c r="N90" s="6">
        <v>43093</v>
      </c>
      <c r="O90" s="61" t="s">
        <v>3400</v>
      </c>
      <c r="P90" s="61"/>
      <c r="Q90" s="7"/>
      <c r="R90" s="606" t="s">
        <v>3398</v>
      </c>
      <c r="S90" s="315" t="s">
        <v>3341</v>
      </c>
      <c r="T90" s="137"/>
    </row>
    <row r="91" spans="1:20" ht="20.100000000000001" customHeight="1">
      <c r="A91" s="1138" t="s">
        <v>2971</v>
      </c>
      <c r="B91" s="1138" t="s">
        <v>2527</v>
      </c>
      <c r="C91" s="1138" t="s">
        <v>4159</v>
      </c>
      <c r="D91" s="1027">
        <f>E91*0.8</f>
        <v>2320</v>
      </c>
      <c r="E91" s="1027">
        <v>2900</v>
      </c>
      <c r="F91" s="1027">
        <f>E91</f>
        <v>2900</v>
      </c>
      <c r="G91" s="637" t="s">
        <v>12</v>
      </c>
      <c r="H91" s="56">
        <v>3</v>
      </c>
      <c r="I91" s="37" t="s">
        <v>2471</v>
      </c>
      <c r="J91" s="37" t="s">
        <v>4157</v>
      </c>
      <c r="K91" s="16" t="s">
        <v>683</v>
      </c>
      <c r="L91" s="607" t="s">
        <v>653</v>
      </c>
      <c r="M91" s="15">
        <v>43076</v>
      </c>
      <c r="N91" s="15">
        <v>43083</v>
      </c>
      <c r="O91" s="59" t="s">
        <v>3700</v>
      </c>
      <c r="P91" s="61"/>
      <c r="Q91" s="7"/>
      <c r="R91" s="606" t="s">
        <v>3398</v>
      </c>
      <c r="S91" s="322" t="s">
        <v>1176</v>
      </c>
      <c r="T91" s="137"/>
    </row>
    <row r="92" spans="1:20" ht="20.100000000000001" customHeight="1">
      <c r="A92" s="1138" t="s">
        <v>2971</v>
      </c>
      <c r="B92" s="1138" t="s">
        <v>2527</v>
      </c>
      <c r="C92" s="1138" t="s">
        <v>4159</v>
      </c>
      <c r="D92" s="1008">
        <v>2380</v>
      </c>
      <c r="E92" s="1008">
        <v>2600</v>
      </c>
      <c r="F92" s="1008">
        <v>2600</v>
      </c>
      <c r="G92" s="215" t="s">
        <v>19</v>
      </c>
      <c r="H92" s="168" t="s">
        <v>1233</v>
      </c>
      <c r="I92" s="50" t="s">
        <v>3362</v>
      </c>
      <c r="J92" s="37" t="s">
        <v>4157</v>
      </c>
      <c r="K92" s="19" t="s">
        <v>980</v>
      </c>
      <c r="L92" s="607" t="s">
        <v>653</v>
      </c>
      <c r="M92" s="156">
        <v>43084</v>
      </c>
      <c r="N92" s="156">
        <v>43093</v>
      </c>
      <c r="O92" s="153" t="s">
        <v>2131</v>
      </c>
      <c r="P92" s="59"/>
      <c r="Q92" s="7"/>
      <c r="R92" s="610" t="s">
        <v>2469</v>
      </c>
      <c r="S92" s="315" t="s">
        <v>3337</v>
      </c>
      <c r="T92" s="137"/>
    </row>
    <row r="93" spans="1:20" ht="20.100000000000001" customHeight="1">
      <c r="A93" s="1138" t="s">
        <v>2971</v>
      </c>
      <c r="B93" s="1138" t="s">
        <v>2527</v>
      </c>
      <c r="C93" s="1138" t="s">
        <v>4159</v>
      </c>
      <c r="D93" s="1008">
        <f>D232+50</f>
        <v>1575</v>
      </c>
      <c r="E93" s="1008">
        <f>E232+100</f>
        <v>1675</v>
      </c>
      <c r="F93" s="1008">
        <f>E93+0</f>
        <v>1675</v>
      </c>
      <c r="G93" s="609" t="s">
        <v>1689</v>
      </c>
      <c r="H93" s="168" t="s">
        <v>1233</v>
      </c>
      <c r="I93" s="37" t="s">
        <v>2569</v>
      </c>
      <c r="J93" s="37" t="s">
        <v>4157</v>
      </c>
      <c r="K93" s="5">
        <v>29</v>
      </c>
      <c r="L93" s="607" t="s">
        <v>653</v>
      </c>
      <c r="M93" s="156">
        <v>43076</v>
      </c>
      <c r="N93" s="156">
        <v>43083</v>
      </c>
      <c r="O93" s="153" t="s">
        <v>2529</v>
      </c>
      <c r="P93" s="61"/>
      <c r="Q93" s="52"/>
      <c r="R93" s="610" t="s">
        <v>2470</v>
      </c>
      <c r="S93" s="622"/>
      <c r="T93" s="137"/>
    </row>
    <row r="94" spans="1:20" ht="20.100000000000001" customHeight="1">
      <c r="A94" s="1138" t="s">
        <v>2971</v>
      </c>
      <c r="B94" s="1138" t="s">
        <v>2527</v>
      </c>
      <c r="C94" s="1138" t="s">
        <v>4159</v>
      </c>
      <c r="D94" s="1008">
        <v>2975</v>
      </c>
      <c r="E94" s="1008">
        <v>3350</v>
      </c>
      <c r="F94" s="1008">
        <v>3350</v>
      </c>
      <c r="G94" s="215" t="s">
        <v>5</v>
      </c>
      <c r="H94" s="168" t="s">
        <v>1233</v>
      </c>
      <c r="I94" s="51" t="s">
        <v>2471</v>
      </c>
      <c r="J94" s="37" t="s">
        <v>4157</v>
      </c>
      <c r="K94" s="34" t="s">
        <v>987</v>
      </c>
      <c r="L94" s="607" t="s">
        <v>653</v>
      </c>
      <c r="M94" s="607"/>
      <c r="N94" s="159">
        <v>42960</v>
      </c>
      <c r="O94" s="61" t="s">
        <v>2445</v>
      </c>
      <c r="P94" s="59"/>
      <c r="Q94" s="7"/>
      <c r="R94" s="610" t="s">
        <v>2566</v>
      </c>
      <c r="S94" s="316"/>
      <c r="T94" s="137"/>
    </row>
    <row r="95" spans="1:20" ht="20.100000000000001" customHeight="1">
      <c r="A95" s="1256" t="s">
        <v>2971</v>
      </c>
      <c r="B95" s="1138" t="s">
        <v>2527</v>
      </c>
      <c r="C95" s="1138" t="s">
        <v>4159</v>
      </c>
      <c r="D95" s="1012">
        <f>D41+1128+50</f>
        <v>2728</v>
      </c>
      <c r="E95" s="1012">
        <f>E41+1177+100</f>
        <v>3077</v>
      </c>
      <c r="F95" s="1012">
        <f>F41+1177+100</f>
        <v>3077</v>
      </c>
      <c r="G95" s="608" t="s">
        <v>94</v>
      </c>
      <c r="H95" s="661" t="s">
        <v>1102</v>
      </c>
      <c r="I95" s="5" t="s">
        <v>2526</v>
      </c>
      <c r="J95" s="37" t="s">
        <v>2539</v>
      </c>
      <c r="K95" s="16">
        <v>32</v>
      </c>
      <c r="L95" s="607" t="s">
        <v>653</v>
      </c>
      <c r="M95" s="108">
        <v>43087</v>
      </c>
      <c r="N95" s="108">
        <v>43094</v>
      </c>
      <c r="O95" s="61" t="s">
        <v>2444</v>
      </c>
      <c r="P95" s="7"/>
      <c r="Q95" s="7"/>
      <c r="R95" s="606" t="s">
        <v>2524</v>
      </c>
      <c r="S95" s="322" t="s">
        <v>1176</v>
      </c>
      <c r="T95" s="137"/>
    </row>
    <row r="96" spans="1:20" ht="20.100000000000001" customHeight="1">
      <c r="A96" s="1256" t="s">
        <v>2971</v>
      </c>
      <c r="B96" s="1138" t="s">
        <v>2527</v>
      </c>
      <c r="C96" s="1138" t="s">
        <v>4159</v>
      </c>
      <c r="D96" s="1006">
        <f>D6+977</f>
        <v>2527</v>
      </c>
      <c r="E96" s="1006">
        <f>E6+1124</f>
        <v>2924</v>
      </c>
      <c r="F96" s="1006">
        <f>F6+1124</f>
        <v>2924</v>
      </c>
      <c r="G96" s="216" t="s">
        <v>19</v>
      </c>
      <c r="H96" s="160" t="s">
        <v>2537</v>
      </c>
      <c r="I96" s="37" t="s">
        <v>2127</v>
      </c>
      <c r="J96" s="37" t="s">
        <v>2539</v>
      </c>
      <c r="K96" s="5" t="s">
        <v>764</v>
      </c>
      <c r="L96" s="607" t="s">
        <v>653</v>
      </c>
      <c r="M96" s="156">
        <v>43084</v>
      </c>
      <c r="N96" s="156">
        <v>43093</v>
      </c>
      <c r="O96" s="153" t="s">
        <v>2131</v>
      </c>
      <c r="P96" s="61" t="s">
        <v>3338</v>
      </c>
      <c r="Q96" s="7"/>
      <c r="R96" s="606" t="s">
        <v>3339</v>
      </c>
      <c r="S96" s="315" t="s">
        <v>3337</v>
      </c>
      <c r="T96" s="858"/>
    </row>
    <row r="97" spans="1:20" ht="20.100000000000001" customHeight="1">
      <c r="A97" s="1256" t="s">
        <v>2971</v>
      </c>
      <c r="B97" s="1138" t="s">
        <v>2527</v>
      </c>
      <c r="C97" s="1138" t="s">
        <v>4159</v>
      </c>
      <c r="D97" s="1008">
        <f>D18+2200+50</f>
        <v>3800</v>
      </c>
      <c r="E97" s="1008">
        <f>E18+2630+100</f>
        <v>4530</v>
      </c>
      <c r="F97" s="1008">
        <f>F18+2630+100</f>
        <v>4530</v>
      </c>
      <c r="G97" s="608" t="s">
        <v>94</v>
      </c>
      <c r="H97" s="56" t="s">
        <v>657</v>
      </c>
      <c r="I97" s="5" t="s">
        <v>2127</v>
      </c>
      <c r="J97" s="37" t="s">
        <v>2539</v>
      </c>
      <c r="K97" s="5">
        <v>22</v>
      </c>
      <c r="L97" s="607" t="s">
        <v>653</v>
      </c>
      <c r="M97" s="108">
        <v>43087</v>
      </c>
      <c r="N97" s="108">
        <v>43094</v>
      </c>
      <c r="O97" s="61" t="s">
        <v>2444</v>
      </c>
      <c r="P97" s="7"/>
      <c r="Q97" s="7"/>
      <c r="R97" s="606" t="s">
        <v>2126</v>
      </c>
      <c r="S97" s="322" t="s">
        <v>1176</v>
      </c>
      <c r="T97" s="921"/>
    </row>
    <row r="98" spans="1:20" ht="20.100000000000001" customHeight="1">
      <c r="A98" s="1256" t="s">
        <v>2971</v>
      </c>
      <c r="B98" s="1138" t="s">
        <v>2527</v>
      </c>
      <c r="C98" s="1138" t="s">
        <v>4159</v>
      </c>
      <c r="D98" s="1008"/>
      <c r="E98" s="1008"/>
      <c r="F98" s="1008"/>
      <c r="G98" s="608" t="s">
        <v>51</v>
      </c>
      <c r="H98" s="160" t="s">
        <v>645</v>
      </c>
      <c r="I98" s="37" t="s">
        <v>2526</v>
      </c>
      <c r="J98" s="37" t="s">
        <v>2539</v>
      </c>
      <c r="K98" s="5"/>
      <c r="L98" s="607" t="s">
        <v>653</v>
      </c>
      <c r="M98" s="611">
        <v>43086</v>
      </c>
      <c r="N98" s="611">
        <v>43100</v>
      </c>
      <c r="O98" s="61" t="s">
        <v>3291</v>
      </c>
      <c r="P98" s="52"/>
      <c r="Q98" s="167" t="s">
        <v>4156</v>
      </c>
      <c r="R98" s="610"/>
      <c r="S98" s="315" t="s">
        <v>3290</v>
      </c>
      <c r="T98" s="921"/>
    </row>
    <row r="99" spans="1:20" ht="20.100000000000001" customHeight="1">
      <c r="A99" s="1256" t="s">
        <v>2971</v>
      </c>
      <c r="B99" s="1138" t="s">
        <v>2527</v>
      </c>
      <c r="C99" s="1138" t="s">
        <v>4159</v>
      </c>
      <c r="D99" s="1006"/>
      <c r="E99" s="1006"/>
      <c r="F99" s="1006"/>
      <c r="G99" s="216" t="s">
        <v>19</v>
      </c>
      <c r="H99" s="4" t="s">
        <v>1444</v>
      </c>
      <c r="I99" s="37" t="s">
        <v>2526</v>
      </c>
      <c r="J99" s="37" t="s">
        <v>2539</v>
      </c>
      <c r="K99" s="5" t="s">
        <v>764</v>
      </c>
      <c r="L99" s="607" t="s">
        <v>653</v>
      </c>
      <c r="M99" s="156">
        <v>43084</v>
      </c>
      <c r="N99" s="156">
        <v>43093</v>
      </c>
      <c r="O99" s="153" t="s">
        <v>2131</v>
      </c>
      <c r="P99" s="61" t="s">
        <v>3338</v>
      </c>
      <c r="Q99" s="7"/>
      <c r="R99" s="610" t="s">
        <v>1841</v>
      </c>
      <c r="S99" s="315" t="s">
        <v>3337</v>
      </c>
      <c r="T99" s="858"/>
    </row>
    <row r="100" spans="1:20" ht="20.100000000000001" customHeight="1">
      <c r="A100" s="1256" t="s">
        <v>2971</v>
      </c>
      <c r="B100" s="1138" t="s">
        <v>2527</v>
      </c>
      <c r="C100" s="1138" t="s">
        <v>4159</v>
      </c>
      <c r="D100" s="1008">
        <f>D136+1800</f>
        <v>3400</v>
      </c>
      <c r="E100" s="1008">
        <f>E136+2250</f>
        <v>4250</v>
      </c>
      <c r="F100" s="1008">
        <f>F136+2250</f>
        <v>4250</v>
      </c>
      <c r="G100" s="613" t="s">
        <v>33</v>
      </c>
      <c r="H100" s="4">
        <v>5</v>
      </c>
      <c r="I100" s="50" t="s">
        <v>2526</v>
      </c>
      <c r="J100" s="37" t="s">
        <v>2539</v>
      </c>
      <c r="K100" s="34">
        <v>20</v>
      </c>
      <c r="L100" s="607" t="s">
        <v>653</v>
      </c>
      <c r="M100" s="159">
        <v>43084</v>
      </c>
      <c r="N100" s="159">
        <v>43086</v>
      </c>
      <c r="O100" s="153" t="s">
        <v>2445</v>
      </c>
      <c r="P100" s="59"/>
      <c r="Q100" s="7"/>
      <c r="R100" s="610" t="s">
        <v>2538</v>
      </c>
      <c r="S100" s="316" t="s">
        <v>3333</v>
      </c>
      <c r="T100" s="921"/>
    </row>
    <row r="101" spans="1:20" ht="20.100000000000001" customHeight="1">
      <c r="A101" s="1256" t="s">
        <v>2971</v>
      </c>
      <c r="B101" s="1138" t="s">
        <v>2527</v>
      </c>
      <c r="C101" s="1138" t="s">
        <v>4159</v>
      </c>
      <c r="D101" s="1006">
        <f>D135+1800</f>
        <v>3400</v>
      </c>
      <c r="E101" s="1006">
        <f>E135+2250</f>
        <v>4250</v>
      </c>
      <c r="F101" s="1006">
        <f>F135+2250</f>
        <v>4250</v>
      </c>
      <c r="G101" s="613" t="s">
        <v>33</v>
      </c>
      <c r="H101" s="4" t="s">
        <v>2535</v>
      </c>
      <c r="I101" s="37" t="s">
        <v>2127</v>
      </c>
      <c r="J101" s="37" t="s">
        <v>2539</v>
      </c>
      <c r="K101" s="16">
        <v>20</v>
      </c>
      <c r="L101" s="607" t="s">
        <v>653</v>
      </c>
      <c r="M101" s="159">
        <v>43084</v>
      </c>
      <c r="N101" s="159">
        <v>43086</v>
      </c>
      <c r="O101" s="153" t="s">
        <v>2445</v>
      </c>
      <c r="P101" s="61"/>
      <c r="Q101" s="7"/>
      <c r="R101" s="606" t="s">
        <v>2542</v>
      </c>
      <c r="S101" s="316" t="s">
        <v>3333</v>
      </c>
      <c r="T101" s="858"/>
    </row>
    <row r="102" spans="1:20" ht="20.100000000000001" customHeight="1">
      <c r="A102" s="1256" t="s">
        <v>2971</v>
      </c>
      <c r="B102" s="1138" t="s">
        <v>2527</v>
      </c>
      <c r="C102" s="1138" t="s">
        <v>4159</v>
      </c>
      <c r="D102" s="1006"/>
      <c r="E102" s="1006"/>
      <c r="F102" s="1006"/>
      <c r="G102" s="216" t="s">
        <v>19</v>
      </c>
      <c r="H102" s="4" t="s">
        <v>1444</v>
      </c>
      <c r="I102" s="37" t="s">
        <v>2526</v>
      </c>
      <c r="J102" s="37" t="s">
        <v>1211</v>
      </c>
      <c r="K102" s="5" t="s">
        <v>764</v>
      </c>
      <c r="L102" s="607" t="s">
        <v>653</v>
      </c>
      <c r="M102" s="156">
        <v>43084</v>
      </c>
      <c r="N102" s="156">
        <v>43093</v>
      </c>
      <c r="O102" s="153" t="s">
        <v>2131</v>
      </c>
      <c r="P102" s="61" t="s">
        <v>3338</v>
      </c>
      <c r="Q102" s="7"/>
      <c r="R102" s="610" t="s">
        <v>1841</v>
      </c>
      <c r="S102" s="315" t="s">
        <v>3337</v>
      </c>
      <c r="T102" s="921"/>
    </row>
    <row r="103" spans="1:20" ht="20.100000000000001" customHeight="1">
      <c r="A103" s="1256" t="s">
        <v>2971</v>
      </c>
      <c r="B103" s="1138" t="s">
        <v>2527</v>
      </c>
      <c r="C103" s="1138" t="s">
        <v>4159</v>
      </c>
      <c r="D103" s="1006">
        <f>D136+2050</f>
        <v>3650</v>
      </c>
      <c r="E103" s="1006">
        <f>E136+2525</f>
        <v>4525</v>
      </c>
      <c r="F103" s="1006">
        <f>F136+2525</f>
        <v>4525</v>
      </c>
      <c r="G103" s="613" t="s">
        <v>33</v>
      </c>
      <c r="H103" s="4">
        <v>5</v>
      </c>
      <c r="I103" s="50" t="s">
        <v>2526</v>
      </c>
      <c r="J103" s="37" t="s">
        <v>1211</v>
      </c>
      <c r="K103" s="34">
        <v>20</v>
      </c>
      <c r="L103" s="607" t="s">
        <v>653</v>
      </c>
      <c r="M103" s="159">
        <v>43084</v>
      </c>
      <c r="N103" s="159">
        <v>43086</v>
      </c>
      <c r="O103" s="153" t="s">
        <v>2445</v>
      </c>
      <c r="P103" s="59"/>
      <c r="Q103" s="7"/>
      <c r="R103" s="610" t="s">
        <v>2538</v>
      </c>
      <c r="S103" s="316" t="s">
        <v>3333</v>
      </c>
      <c r="T103" s="858"/>
    </row>
    <row r="104" spans="1:20" ht="20.100000000000001" customHeight="1">
      <c r="A104" s="1256" t="s">
        <v>2971</v>
      </c>
      <c r="B104" s="1138" t="s">
        <v>2527</v>
      </c>
      <c r="C104" s="1138" t="s">
        <v>4159</v>
      </c>
      <c r="D104" s="1006">
        <f>D135+2050</f>
        <v>3650</v>
      </c>
      <c r="E104" s="1006">
        <f>E135+2525</f>
        <v>4525</v>
      </c>
      <c r="F104" s="1006">
        <f>F135+2525</f>
        <v>4525</v>
      </c>
      <c r="G104" s="613" t="s">
        <v>33</v>
      </c>
      <c r="H104" s="4" t="s">
        <v>2535</v>
      </c>
      <c r="I104" s="37" t="s">
        <v>2127</v>
      </c>
      <c r="J104" s="37" t="s">
        <v>1211</v>
      </c>
      <c r="K104" s="16">
        <v>20</v>
      </c>
      <c r="L104" s="607" t="s">
        <v>653</v>
      </c>
      <c r="M104" s="159">
        <v>43084</v>
      </c>
      <c r="N104" s="159">
        <v>43086</v>
      </c>
      <c r="O104" s="153" t="s">
        <v>2445</v>
      </c>
      <c r="P104" s="61"/>
      <c r="Q104" s="7"/>
      <c r="R104" s="606" t="s">
        <v>2542</v>
      </c>
      <c r="S104" s="316" t="s">
        <v>3333</v>
      </c>
      <c r="T104" s="921"/>
    </row>
    <row r="105" spans="1:20" ht="20.100000000000001" customHeight="1">
      <c r="A105" s="1256" t="s">
        <v>2971</v>
      </c>
      <c r="B105" s="1138" t="s">
        <v>2527</v>
      </c>
      <c r="C105" s="1138" t="s">
        <v>4159</v>
      </c>
      <c r="D105" s="1006">
        <f>D41+1970+50</f>
        <v>3570</v>
      </c>
      <c r="E105" s="1006">
        <f>E41+1970+100</f>
        <v>3870</v>
      </c>
      <c r="F105" s="1006">
        <f>F41+1970+100</f>
        <v>3870</v>
      </c>
      <c r="G105" s="608" t="s">
        <v>94</v>
      </c>
      <c r="H105" s="661" t="s">
        <v>1102</v>
      </c>
      <c r="I105" s="5" t="s">
        <v>2526</v>
      </c>
      <c r="J105" s="37" t="s">
        <v>2525</v>
      </c>
      <c r="K105" s="16">
        <v>26</v>
      </c>
      <c r="L105" s="607" t="s">
        <v>653</v>
      </c>
      <c r="M105" s="108">
        <v>43087</v>
      </c>
      <c r="N105" s="108">
        <v>43094</v>
      </c>
      <c r="O105" s="61" t="s">
        <v>2444</v>
      </c>
      <c r="P105" s="7"/>
      <c r="Q105" s="7"/>
      <c r="R105" s="606" t="s">
        <v>2524</v>
      </c>
      <c r="S105" s="322" t="s">
        <v>1176</v>
      </c>
      <c r="T105" s="921"/>
    </row>
    <row r="106" spans="1:20" ht="20.100000000000001" customHeight="1">
      <c r="A106" s="1256" t="s">
        <v>2971</v>
      </c>
      <c r="B106" s="1138" t="s">
        <v>2527</v>
      </c>
      <c r="C106" s="1138" t="s">
        <v>4159</v>
      </c>
      <c r="D106" s="1006">
        <f>D30+2400</f>
        <v>3950</v>
      </c>
      <c r="E106" s="1006">
        <f>E30+2400</f>
        <v>4200</v>
      </c>
      <c r="F106" s="1006">
        <f>F30+2400</f>
        <v>4200</v>
      </c>
      <c r="G106" s="608" t="s">
        <v>51</v>
      </c>
      <c r="H106" s="160" t="s">
        <v>2532</v>
      </c>
      <c r="I106" s="37" t="s">
        <v>2127</v>
      </c>
      <c r="J106" s="37" t="s">
        <v>2525</v>
      </c>
      <c r="K106" s="5"/>
      <c r="L106" s="607" t="s">
        <v>653</v>
      </c>
      <c r="M106" s="611">
        <v>43086</v>
      </c>
      <c r="N106" s="611">
        <v>43100</v>
      </c>
      <c r="O106" s="61" t="s">
        <v>3291</v>
      </c>
      <c r="P106" s="52"/>
      <c r="Q106" s="7" t="s">
        <v>4155</v>
      </c>
      <c r="R106" s="610"/>
      <c r="S106" s="315" t="s">
        <v>3290</v>
      </c>
      <c r="T106" s="921"/>
    </row>
    <row r="107" spans="1:20" ht="20.100000000000001" customHeight="1">
      <c r="A107" s="1256" t="s">
        <v>2971</v>
      </c>
      <c r="B107" s="1138" t="s">
        <v>2527</v>
      </c>
      <c r="C107" s="1138" t="s">
        <v>4159</v>
      </c>
      <c r="D107" s="1006">
        <f>D6+1450</f>
        <v>3000</v>
      </c>
      <c r="E107" s="1006">
        <f>E6+1450</f>
        <v>3250</v>
      </c>
      <c r="F107" s="1006">
        <f>F6+1450</f>
        <v>3250</v>
      </c>
      <c r="G107" s="216" t="s">
        <v>19</v>
      </c>
      <c r="H107" s="160" t="s">
        <v>2537</v>
      </c>
      <c r="I107" s="37" t="s">
        <v>2127</v>
      </c>
      <c r="J107" s="37" t="s">
        <v>2525</v>
      </c>
      <c r="K107" s="5" t="s">
        <v>764</v>
      </c>
      <c r="L107" s="607" t="s">
        <v>653</v>
      </c>
      <c r="M107" s="156">
        <v>43084</v>
      </c>
      <c r="N107" s="156">
        <v>43093</v>
      </c>
      <c r="O107" s="153" t="s">
        <v>2131</v>
      </c>
      <c r="P107" s="61" t="s">
        <v>3338</v>
      </c>
      <c r="Q107" s="7"/>
      <c r="R107" s="606" t="s">
        <v>3339</v>
      </c>
      <c r="S107" s="315" t="s">
        <v>3337</v>
      </c>
      <c r="T107" s="921"/>
    </row>
    <row r="108" spans="1:20" ht="20.100000000000001" customHeight="1">
      <c r="A108" s="1256" t="s">
        <v>2971</v>
      </c>
      <c r="B108" s="1138" t="s">
        <v>2527</v>
      </c>
      <c r="C108" s="1138" t="s">
        <v>4159</v>
      </c>
      <c r="D108" s="1006">
        <f>D18+1870+50</f>
        <v>3470</v>
      </c>
      <c r="E108" s="1006">
        <f>E18+1870+100</f>
        <v>3770</v>
      </c>
      <c r="F108" s="1006">
        <f>F18+1870+100</f>
        <v>3770</v>
      </c>
      <c r="G108" s="608" t="s">
        <v>94</v>
      </c>
      <c r="H108" s="56" t="s">
        <v>657</v>
      </c>
      <c r="I108" s="5" t="s">
        <v>2127</v>
      </c>
      <c r="J108" s="37" t="s">
        <v>2525</v>
      </c>
      <c r="K108" s="5">
        <v>22</v>
      </c>
      <c r="L108" s="607" t="s">
        <v>653</v>
      </c>
      <c r="M108" s="108">
        <v>43087</v>
      </c>
      <c r="N108" s="108">
        <v>43094</v>
      </c>
      <c r="O108" s="61" t="s">
        <v>2444</v>
      </c>
      <c r="P108" s="7"/>
      <c r="Q108" s="7"/>
      <c r="R108" s="606" t="s">
        <v>2126</v>
      </c>
      <c r="S108" s="322" t="s">
        <v>1176</v>
      </c>
      <c r="T108" s="921"/>
    </row>
    <row r="109" spans="1:20" ht="20.100000000000001" customHeight="1">
      <c r="A109" s="1256" t="s">
        <v>2971</v>
      </c>
      <c r="B109" s="1138" t="s">
        <v>2527</v>
      </c>
      <c r="C109" s="1138" t="s">
        <v>4159</v>
      </c>
      <c r="D109" s="1006"/>
      <c r="E109" s="1006"/>
      <c r="F109" s="1006"/>
      <c r="G109" s="216" t="s">
        <v>19</v>
      </c>
      <c r="H109" s="56" t="s">
        <v>1444</v>
      </c>
      <c r="I109" s="37" t="s">
        <v>2526</v>
      </c>
      <c r="J109" s="37" t="s">
        <v>2525</v>
      </c>
      <c r="K109" s="5" t="s">
        <v>764</v>
      </c>
      <c r="L109" s="607" t="s">
        <v>653</v>
      </c>
      <c r="M109" s="156">
        <v>43084</v>
      </c>
      <c r="N109" s="156">
        <v>43093</v>
      </c>
      <c r="O109" s="153" t="s">
        <v>2131</v>
      </c>
      <c r="P109" s="61" t="s">
        <v>3338</v>
      </c>
      <c r="Q109" s="7"/>
      <c r="R109" s="610" t="s">
        <v>1841</v>
      </c>
      <c r="S109" s="315" t="s">
        <v>3337</v>
      </c>
      <c r="T109" s="921"/>
    </row>
    <row r="110" spans="1:20" ht="20.100000000000001" customHeight="1">
      <c r="A110" s="1256" t="s">
        <v>2971</v>
      </c>
      <c r="B110" s="1138" t="s">
        <v>2527</v>
      </c>
      <c r="C110" s="1138" t="s">
        <v>4159</v>
      </c>
      <c r="D110" s="1006">
        <f>D135+3150</f>
        <v>4750</v>
      </c>
      <c r="E110" s="1006">
        <f>E135+3500</f>
        <v>5500</v>
      </c>
      <c r="F110" s="1006">
        <f>F135+3500</f>
        <v>5500</v>
      </c>
      <c r="G110" s="613" t="s">
        <v>33</v>
      </c>
      <c r="H110" s="56" t="s">
        <v>2535</v>
      </c>
      <c r="I110" s="37" t="s">
        <v>2127</v>
      </c>
      <c r="J110" s="37" t="s">
        <v>2525</v>
      </c>
      <c r="K110" s="16">
        <v>20</v>
      </c>
      <c r="L110" s="607" t="s">
        <v>653</v>
      </c>
      <c r="M110" s="159">
        <v>43084</v>
      </c>
      <c r="N110" s="159">
        <v>43086</v>
      </c>
      <c r="O110" s="153" t="s">
        <v>2445</v>
      </c>
      <c r="P110" s="61"/>
      <c r="Q110" s="7"/>
      <c r="R110" s="606" t="s">
        <v>2542</v>
      </c>
      <c r="S110" s="316" t="s">
        <v>3333</v>
      </c>
      <c r="T110" s="921"/>
    </row>
    <row r="111" spans="1:20" ht="20.100000000000001" customHeight="1">
      <c r="A111" s="1138" t="s">
        <v>2971</v>
      </c>
      <c r="B111" s="1138" t="s">
        <v>2527</v>
      </c>
      <c r="C111" s="1138" t="s">
        <v>4154</v>
      </c>
      <c r="D111" s="1027">
        <f>E111*0.8</f>
        <v>2320</v>
      </c>
      <c r="E111" s="1027">
        <v>2900</v>
      </c>
      <c r="F111" s="1027">
        <f>E111</f>
        <v>2900</v>
      </c>
      <c r="G111" s="637" t="s">
        <v>12</v>
      </c>
      <c r="H111" s="4">
        <v>3</v>
      </c>
      <c r="I111" s="37" t="s">
        <v>2471</v>
      </c>
      <c r="J111" s="37" t="s">
        <v>4157</v>
      </c>
      <c r="K111" s="16" t="s">
        <v>982</v>
      </c>
      <c r="L111" s="607" t="s">
        <v>653</v>
      </c>
      <c r="M111" s="15">
        <v>43076</v>
      </c>
      <c r="N111" s="15">
        <v>43083</v>
      </c>
      <c r="O111" s="59" t="s">
        <v>3700</v>
      </c>
      <c r="P111" s="61"/>
      <c r="Q111" s="7"/>
      <c r="R111" s="606" t="s">
        <v>3398</v>
      </c>
      <c r="S111" s="322" t="s">
        <v>1176</v>
      </c>
      <c r="T111" s="921"/>
    </row>
    <row r="112" spans="1:20" ht="20.100000000000001" customHeight="1">
      <c r="A112" s="1138" t="s">
        <v>2971</v>
      </c>
      <c r="B112" s="1138" t="s">
        <v>2527</v>
      </c>
      <c r="C112" s="1245" t="s">
        <v>4154</v>
      </c>
      <c r="D112" s="1060" t="s">
        <v>4268</v>
      </c>
      <c r="E112" s="1060" t="s">
        <v>4267</v>
      </c>
      <c r="F112" s="1060" t="s">
        <v>4267</v>
      </c>
      <c r="G112" s="780" t="s">
        <v>76</v>
      </c>
      <c r="H112" s="56" t="s">
        <v>659</v>
      </c>
      <c r="I112" s="50" t="s">
        <v>2471</v>
      </c>
      <c r="J112" s="50"/>
      <c r="K112" s="34">
        <v>45</v>
      </c>
      <c r="L112" s="607" t="s">
        <v>653</v>
      </c>
      <c r="M112" s="6">
        <v>43087</v>
      </c>
      <c r="N112" s="6">
        <v>43093</v>
      </c>
      <c r="O112" s="61" t="s">
        <v>3400</v>
      </c>
      <c r="P112" s="61"/>
      <c r="Q112" s="7"/>
      <c r="R112" s="606" t="s">
        <v>3398</v>
      </c>
      <c r="S112" s="315" t="s">
        <v>3341</v>
      </c>
      <c r="T112" s="921"/>
    </row>
    <row r="113" spans="1:20" ht="20.100000000000001" customHeight="1">
      <c r="A113" s="1138" t="s">
        <v>2971</v>
      </c>
      <c r="B113" s="1138" t="s">
        <v>2527</v>
      </c>
      <c r="C113" s="1138" t="s">
        <v>4154</v>
      </c>
      <c r="D113" s="1009">
        <f>D26+400</f>
        <v>1650</v>
      </c>
      <c r="E113" s="1009">
        <f>E26+600</f>
        <v>2100</v>
      </c>
      <c r="F113" s="1009">
        <f>F26+600</f>
        <v>2100</v>
      </c>
      <c r="G113" s="618" t="s">
        <v>31</v>
      </c>
      <c r="H113" s="56" t="s">
        <v>659</v>
      </c>
      <c r="I113" s="38" t="s">
        <v>2468</v>
      </c>
      <c r="J113" s="37" t="s">
        <v>4157</v>
      </c>
      <c r="K113" s="5">
        <v>45</v>
      </c>
      <c r="L113" s="607" t="s">
        <v>653</v>
      </c>
      <c r="M113" s="623">
        <v>43080</v>
      </c>
      <c r="N113" s="623">
        <v>43083</v>
      </c>
      <c r="O113" s="61" t="s">
        <v>1307</v>
      </c>
      <c r="P113" s="61"/>
      <c r="Q113" s="52"/>
      <c r="R113" s="606" t="s">
        <v>4158</v>
      </c>
      <c r="S113" s="622" t="s">
        <v>1176</v>
      </c>
      <c r="T113" s="921"/>
    </row>
    <row r="114" spans="1:20" ht="20.100000000000001" customHeight="1">
      <c r="A114" s="1138" t="s">
        <v>2971</v>
      </c>
      <c r="B114" s="1138" t="s">
        <v>2527</v>
      </c>
      <c r="C114" s="1138" t="s">
        <v>4154</v>
      </c>
      <c r="D114" s="1008">
        <v>2380</v>
      </c>
      <c r="E114" s="1008">
        <v>2600</v>
      </c>
      <c r="F114" s="1008">
        <v>2600</v>
      </c>
      <c r="G114" s="637" t="s">
        <v>19</v>
      </c>
      <c r="H114" s="168" t="s">
        <v>1233</v>
      </c>
      <c r="I114" s="50" t="s">
        <v>3362</v>
      </c>
      <c r="J114" s="37" t="s">
        <v>4157</v>
      </c>
      <c r="K114" s="19" t="s">
        <v>835</v>
      </c>
      <c r="L114" s="607" t="s">
        <v>653</v>
      </c>
      <c r="M114" s="156">
        <v>43084</v>
      </c>
      <c r="N114" s="156">
        <v>43093</v>
      </c>
      <c r="O114" s="153" t="s">
        <v>2131</v>
      </c>
      <c r="P114" s="59"/>
      <c r="Q114" s="7"/>
      <c r="R114" s="610" t="s">
        <v>2469</v>
      </c>
      <c r="S114" s="315" t="s">
        <v>3337</v>
      </c>
      <c r="T114" s="921"/>
    </row>
    <row r="115" spans="1:20" ht="20.100000000000001" customHeight="1">
      <c r="A115" s="1138" t="s">
        <v>2971</v>
      </c>
      <c r="B115" s="1138" t="s">
        <v>2527</v>
      </c>
      <c r="C115" s="1138" t="s">
        <v>4154</v>
      </c>
      <c r="D115" s="1008">
        <f>D232+100</f>
        <v>1625</v>
      </c>
      <c r="E115" s="1008">
        <f>E232+200</f>
        <v>1775</v>
      </c>
      <c r="F115" s="1008">
        <f>F232+200</f>
        <v>1775</v>
      </c>
      <c r="G115" s="609" t="s">
        <v>1689</v>
      </c>
      <c r="H115" s="168" t="s">
        <v>1233</v>
      </c>
      <c r="I115" s="37" t="s">
        <v>2569</v>
      </c>
      <c r="J115" s="37" t="s">
        <v>4157</v>
      </c>
      <c r="K115" s="5">
        <v>31</v>
      </c>
      <c r="L115" s="607" t="s">
        <v>653</v>
      </c>
      <c r="M115" s="156">
        <v>43076</v>
      </c>
      <c r="N115" s="156">
        <v>43083</v>
      </c>
      <c r="O115" s="153" t="s">
        <v>2529</v>
      </c>
      <c r="P115" s="61"/>
      <c r="Q115" s="52"/>
      <c r="R115" s="610" t="s">
        <v>2470</v>
      </c>
      <c r="S115" s="622"/>
      <c r="T115" s="921"/>
    </row>
    <row r="116" spans="1:20" ht="20.100000000000001" customHeight="1">
      <c r="A116" s="1138" t="s">
        <v>2971</v>
      </c>
      <c r="B116" s="1138" t="s">
        <v>2527</v>
      </c>
      <c r="C116" s="1138" t="s">
        <v>4154</v>
      </c>
      <c r="D116" s="1008">
        <v>2975</v>
      </c>
      <c r="E116" s="1008">
        <v>3350</v>
      </c>
      <c r="F116" s="1008">
        <v>3350</v>
      </c>
      <c r="G116" s="215" t="s">
        <v>5</v>
      </c>
      <c r="H116" s="168" t="s">
        <v>1233</v>
      </c>
      <c r="I116" s="51" t="s">
        <v>2471</v>
      </c>
      <c r="J116" s="37" t="s">
        <v>4157</v>
      </c>
      <c r="K116" s="34" t="s">
        <v>1979</v>
      </c>
      <c r="L116" s="607" t="s">
        <v>653</v>
      </c>
      <c r="M116" s="607"/>
      <c r="N116" s="159">
        <v>42960</v>
      </c>
      <c r="O116" s="61" t="s">
        <v>2445</v>
      </c>
      <c r="P116" s="59"/>
      <c r="Q116" s="7"/>
      <c r="R116" s="610" t="s">
        <v>2566</v>
      </c>
      <c r="S116" s="316"/>
      <c r="T116" s="921"/>
    </row>
    <row r="117" spans="1:20" ht="20.100000000000001" customHeight="1">
      <c r="A117" s="1256" t="s">
        <v>2971</v>
      </c>
      <c r="B117" s="1138" t="s">
        <v>2527</v>
      </c>
      <c r="C117" s="1138" t="s">
        <v>4154</v>
      </c>
      <c r="D117" s="1006"/>
      <c r="E117" s="1006"/>
      <c r="F117" s="1006"/>
      <c r="G117" s="615" t="s">
        <v>51</v>
      </c>
      <c r="H117" s="160" t="s">
        <v>645</v>
      </c>
      <c r="I117" s="37" t="s">
        <v>2526</v>
      </c>
      <c r="J117" s="37" t="s">
        <v>2539</v>
      </c>
      <c r="K117" s="5"/>
      <c r="L117" s="607" t="s">
        <v>653</v>
      </c>
      <c r="M117" s="611">
        <v>43086</v>
      </c>
      <c r="N117" s="611">
        <v>43100</v>
      </c>
      <c r="O117" s="61" t="s">
        <v>3291</v>
      </c>
      <c r="P117" s="52"/>
      <c r="Q117" s="167" t="s">
        <v>4156</v>
      </c>
      <c r="R117" s="610"/>
      <c r="S117" s="315" t="s">
        <v>3290</v>
      </c>
      <c r="T117" s="921"/>
    </row>
    <row r="118" spans="1:20" ht="20.100000000000001" customHeight="1">
      <c r="A118" s="1256" t="s">
        <v>2971</v>
      </c>
      <c r="B118" s="1138" t="s">
        <v>2527</v>
      </c>
      <c r="C118" s="1138" t="s">
        <v>4154</v>
      </c>
      <c r="D118" s="1006">
        <f>D44+1162</f>
        <v>2712</v>
      </c>
      <c r="E118" s="1006">
        <f>E44+1283</f>
        <v>3083</v>
      </c>
      <c r="F118" s="1006">
        <f>F44+1283</f>
        <v>3083</v>
      </c>
      <c r="G118" s="216" t="s">
        <v>19</v>
      </c>
      <c r="H118" s="4" t="s">
        <v>1444</v>
      </c>
      <c r="I118" s="37" t="s">
        <v>2526</v>
      </c>
      <c r="J118" s="37" t="s">
        <v>2539</v>
      </c>
      <c r="K118" s="5" t="s">
        <v>764</v>
      </c>
      <c r="L118" s="607" t="s">
        <v>653</v>
      </c>
      <c r="M118" s="156">
        <v>43084</v>
      </c>
      <c r="N118" s="156">
        <v>43093</v>
      </c>
      <c r="O118" s="153" t="s">
        <v>2131</v>
      </c>
      <c r="P118" s="61" t="s">
        <v>3338</v>
      </c>
      <c r="Q118" s="7"/>
      <c r="R118" s="610" t="s">
        <v>1841</v>
      </c>
      <c r="S118" s="315" t="s">
        <v>3337</v>
      </c>
      <c r="T118" s="921"/>
    </row>
    <row r="119" spans="1:20" ht="20.100000000000001" customHeight="1">
      <c r="A119" s="1256" t="s">
        <v>2971</v>
      </c>
      <c r="B119" s="1138" t="s">
        <v>2527</v>
      </c>
      <c r="C119" s="1138" t="s">
        <v>4154</v>
      </c>
      <c r="D119" s="1006">
        <f>D6+833</f>
        <v>2383</v>
      </c>
      <c r="E119" s="1006">
        <f>E6+982</f>
        <v>2782</v>
      </c>
      <c r="F119" s="1006">
        <f>F6+982</f>
        <v>2782</v>
      </c>
      <c r="G119" s="216" t="s">
        <v>19</v>
      </c>
      <c r="H119" s="160" t="s">
        <v>2537</v>
      </c>
      <c r="I119" s="37" t="s">
        <v>2127</v>
      </c>
      <c r="J119" s="37" t="s">
        <v>2539</v>
      </c>
      <c r="K119" s="5" t="s">
        <v>764</v>
      </c>
      <c r="L119" s="607" t="s">
        <v>653</v>
      </c>
      <c r="M119" s="156">
        <v>43084</v>
      </c>
      <c r="N119" s="156">
        <v>43093</v>
      </c>
      <c r="O119" s="153" t="s">
        <v>2131</v>
      </c>
      <c r="P119" s="61" t="s">
        <v>3338</v>
      </c>
      <c r="Q119" s="7"/>
      <c r="R119" s="606" t="s">
        <v>3339</v>
      </c>
      <c r="S119" s="315" t="s">
        <v>3337</v>
      </c>
      <c r="T119" s="921"/>
    </row>
    <row r="120" spans="1:20" ht="20.100000000000001" customHeight="1">
      <c r="A120" s="1256" t="s">
        <v>2971</v>
      </c>
      <c r="B120" s="1138" t="s">
        <v>2527</v>
      </c>
      <c r="C120" s="1138" t="s">
        <v>4154</v>
      </c>
      <c r="D120" s="1006">
        <f>D55+970</f>
        <v>2145</v>
      </c>
      <c r="E120" s="1006">
        <f>E55+1068</f>
        <v>2318</v>
      </c>
      <c r="F120" s="1006">
        <f>F55+1068</f>
        <v>2318</v>
      </c>
      <c r="G120" s="609" t="s">
        <v>1689</v>
      </c>
      <c r="H120" s="160" t="s">
        <v>1311</v>
      </c>
      <c r="I120" s="37" t="s">
        <v>2526</v>
      </c>
      <c r="J120" s="37" t="s">
        <v>2539</v>
      </c>
      <c r="K120" s="5">
        <v>30</v>
      </c>
      <c r="L120" s="607" t="s">
        <v>653</v>
      </c>
      <c r="M120" s="156">
        <v>43076</v>
      </c>
      <c r="N120" s="156">
        <v>43083</v>
      </c>
      <c r="O120" s="153" t="s">
        <v>2529</v>
      </c>
      <c r="P120" s="61"/>
      <c r="Q120" s="61" t="s">
        <v>2128</v>
      </c>
      <c r="R120" s="606" t="s">
        <v>2528</v>
      </c>
      <c r="S120" s="316" t="s">
        <v>2943</v>
      </c>
      <c r="T120" s="921"/>
    </row>
    <row r="121" spans="1:20" ht="20.100000000000001" customHeight="1">
      <c r="A121" s="1256" t="s">
        <v>2971</v>
      </c>
      <c r="B121" s="1138" t="s">
        <v>2527</v>
      </c>
      <c r="C121" s="1138" t="s">
        <v>4154</v>
      </c>
      <c r="D121" s="1006">
        <f>D136+1150</f>
        <v>2750</v>
      </c>
      <c r="E121" s="1006">
        <f>E136+1500</f>
        <v>3500</v>
      </c>
      <c r="F121" s="1006">
        <f>F136+1500</f>
        <v>3500</v>
      </c>
      <c r="G121" s="613" t="s">
        <v>33</v>
      </c>
      <c r="H121" s="56">
        <v>5</v>
      </c>
      <c r="I121" s="50" t="s">
        <v>2526</v>
      </c>
      <c r="J121" s="37" t="s">
        <v>2539</v>
      </c>
      <c r="K121" s="34">
        <v>20</v>
      </c>
      <c r="L121" s="607" t="s">
        <v>653</v>
      </c>
      <c r="M121" s="159">
        <v>43084</v>
      </c>
      <c r="N121" s="159">
        <v>43086</v>
      </c>
      <c r="O121" s="153" t="s">
        <v>2445</v>
      </c>
      <c r="P121" s="59"/>
      <c r="Q121" s="7"/>
      <c r="R121" s="610" t="s">
        <v>2538</v>
      </c>
      <c r="S121" s="316" t="s">
        <v>3333</v>
      </c>
      <c r="T121" s="921"/>
    </row>
    <row r="122" spans="1:20" ht="20.100000000000001" customHeight="1">
      <c r="A122" s="1256" t="s">
        <v>2971</v>
      </c>
      <c r="B122" s="1138" t="s">
        <v>2527</v>
      </c>
      <c r="C122" s="1138" t="s">
        <v>4154</v>
      </c>
      <c r="D122" s="1006">
        <f>D135+1150</f>
        <v>2750</v>
      </c>
      <c r="E122" s="1006">
        <f>E135+1500</f>
        <v>3500</v>
      </c>
      <c r="F122" s="1006">
        <f>F135+1500</f>
        <v>3500</v>
      </c>
      <c r="G122" s="613" t="s">
        <v>33</v>
      </c>
      <c r="H122" s="56" t="s">
        <v>2535</v>
      </c>
      <c r="I122" s="10" t="s">
        <v>2127</v>
      </c>
      <c r="J122" s="37" t="s">
        <v>2539</v>
      </c>
      <c r="K122" s="27">
        <v>20</v>
      </c>
      <c r="L122" s="607" t="s">
        <v>653</v>
      </c>
      <c r="M122" s="159">
        <v>43084</v>
      </c>
      <c r="N122" s="159">
        <v>43086</v>
      </c>
      <c r="O122" s="153" t="s">
        <v>2445</v>
      </c>
      <c r="P122" s="14"/>
      <c r="Q122" s="7"/>
      <c r="R122" s="612" t="s">
        <v>2130</v>
      </c>
      <c r="S122" s="316" t="s">
        <v>3333</v>
      </c>
      <c r="T122" s="921"/>
    </row>
    <row r="123" spans="1:20" ht="20.100000000000001" customHeight="1">
      <c r="A123" s="1256" t="s">
        <v>2129</v>
      </c>
      <c r="B123" s="1138" t="s">
        <v>2527</v>
      </c>
      <c r="C123" s="1138" t="s">
        <v>4154</v>
      </c>
      <c r="D123" s="1006">
        <f>D41+1690+50</f>
        <v>3290</v>
      </c>
      <c r="E123" s="1006">
        <f>E41+1700+100</f>
        <v>3600</v>
      </c>
      <c r="F123" s="1006">
        <f>F41+1700+100</f>
        <v>3600</v>
      </c>
      <c r="G123" s="608" t="s">
        <v>94</v>
      </c>
      <c r="H123" s="661" t="s">
        <v>1102</v>
      </c>
      <c r="I123" s="5" t="s">
        <v>2526</v>
      </c>
      <c r="J123" s="37" t="s">
        <v>1211</v>
      </c>
      <c r="K123" s="16">
        <v>26</v>
      </c>
      <c r="L123" s="607" t="s">
        <v>653</v>
      </c>
      <c r="M123" s="108">
        <v>43087</v>
      </c>
      <c r="N123" s="108">
        <v>43094</v>
      </c>
      <c r="O123" s="61" t="s">
        <v>2444</v>
      </c>
      <c r="P123" s="7"/>
      <c r="Q123" s="7"/>
      <c r="R123" s="606" t="s">
        <v>2524</v>
      </c>
      <c r="S123" s="322" t="s">
        <v>1176</v>
      </c>
      <c r="T123" s="921"/>
    </row>
    <row r="124" spans="1:20" ht="20.100000000000001" customHeight="1">
      <c r="A124" s="1256" t="s">
        <v>2971</v>
      </c>
      <c r="B124" s="1138" t="s">
        <v>2527</v>
      </c>
      <c r="C124" s="1138" t="s">
        <v>4154</v>
      </c>
      <c r="D124" s="1006">
        <f>D18+1720+50</f>
        <v>3320</v>
      </c>
      <c r="E124" s="1006">
        <f>E18+1720+100</f>
        <v>3620</v>
      </c>
      <c r="F124" s="1006">
        <f>F18+1720+100</f>
        <v>3620</v>
      </c>
      <c r="G124" s="608" t="s">
        <v>94</v>
      </c>
      <c r="H124" s="56" t="s">
        <v>657</v>
      </c>
      <c r="I124" s="5" t="s">
        <v>2127</v>
      </c>
      <c r="J124" s="37" t="s">
        <v>1211</v>
      </c>
      <c r="K124" s="5">
        <v>26</v>
      </c>
      <c r="L124" s="607" t="s">
        <v>653</v>
      </c>
      <c r="M124" s="108">
        <v>43087</v>
      </c>
      <c r="N124" s="108">
        <v>43094</v>
      </c>
      <c r="O124" s="61" t="s">
        <v>2444</v>
      </c>
      <c r="P124" s="7"/>
      <c r="Q124" s="7"/>
      <c r="R124" s="606" t="s">
        <v>2126</v>
      </c>
      <c r="S124" s="322" t="s">
        <v>1176</v>
      </c>
      <c r="T124" s="921"/>
    </row>
    <row r="125" spans="1:20" ht="20.100000000000001" customHeight="1">
      <c r="A125" s="1256" t="s">
        <v>2971</v>
      </c>
      <c r="B125" s="1138" t="s">
        <v>2527</v>
      </c>
      <c r="C125" s="1138" t="s">
        <v>4154</v>
      </c>
      <c r="D125" s="1006">
        <f>D44+1219</f>
        <v>2769</v>
      </c>
      <c r="E125" s="1006">
        <f>E44+1494</f>
        <v>3294</v>
      </c>
      <c r="F125" s="1006">
        <f>F44+1494</f>
        <v>3294</v>
      </c>
      <c r="G125" s="216" t="s">
        <v>19</v>
      </c>
      <c r="H125" s="56" t="s">
        <v>1444</v>
      </c>
      <c r="I125" s="37" t="s">
        <v>2526</v>
      </c>
      <c r="J125" s="37" t="s">
        <v>1211</v>
      </c>
      <c r="K125" s="5" t="s">
        <v>764</v>
      </c>
      <c r="L125" s="607" t="s">
        <v>653</v>
      </c>
      <c r="M125" s="156">
        <v>43084</v>
      </c>
      <c r="N125" s="156">
        <v>43093</v>
      </c>
      <c r="O125" s="153" t="s">
        <v>2131</v>
      </c>
      <c r="P125" s="61" t="s">
        <v>3338</v>
      </c>
      <c r="Q125" s="7"/>
      <c r="R125" s="610" t="s">
        <v>1841</v>
      </c>
      <c r="S125" s="315" t="s">
        <v>3337</v>
      </c>
      <c r="T125" s="921"/>
    </row>
    <row r="126" spans="1:20" ht="20.100000000000001" customHeight="1">
      <c r="A126" s="1256" t="s">
        <v>2971</v>
      </c>
      <c r="B126" s="1138" t="s">
        <v>2527</v>
      </c>
      <c r="C126" s="1138" t="s">
        <v>4154</v>
      </c>
      <c r="D126" s="1006">
        <f>D55+1332</f>
        <v>2507</v>
      </c>
      <c r="E126" s="1006">
        <f>E55+1430</f>
        <v>2680</v>
      </c>
      <c r="F126" s="1006">
        <f>F55+1430</f>
        <v>2680</v>
      </c>
      <c r="G126" s="609" t="s">
        <v>1689</v>
      </c>
      <c r="H126" s="160" t="s">
        <v>1311</v>
      </c>
      <c r="I126" s="37" t="s">
        <v>2526</v>
      </c>
      <c r="J126" s="37" t="s">
        <v>1211</v>
      </c>
      <c r="K126" s="5">
        <v>30</v>
      </c>
      <c r="L126" s="607" t="s">
        <v>653</v>
      </c>
      <c r="M126" s="156">
        <v>43076</v>
      </c>
      <c r="N126" s="156">
        <v>43083</v>
      </c>
      <c r="O126" s="153" t="s">
        <v>2131</v>
      </c>
      <c r="P126" s="61"/>
      <c r="Q126" s="61" t="s">
        <v>2128</v>
      </c>
      <c r="R126" s="606" t="s">
        <v>2528</v>
      </c>
      <c r="S126" s="316" t="s">
        <v>2943</v>
      </c>
      <c r="T126" s="921"/>
    </row>
    <row r="127" spans="1:20" ht="20.100000000000001" customHeight="1">
      <c r="A127" s="1256" t="s">
        <v>2971</v>
      </c>
      <c r="B127" s="1138" t="s">
        <v>2527</v>
      </c>
      <c r="C127" s="1138" t="s">
        <v>4154</v>
      </c>
      <c r="D127" s="1006">
        <f>D136+1550</f>
        <v>3150</v>
      </c>
      <c r="E127" s="1006">
        <f>E136+2000</f>
        <v>4000</v>
      </c>
      <c r="F127" s="1006">
        <f>F136+2000</f>
        <v>4000</v>
      </c>
      <c r="G127" s="613" t="s">
        <v>33</v>
      </c>
      <c r="H127" s="56">
        <v>5</v>
      </c>
      <c r="I127" s="50" t="s">
        <v>2526</v>
      </c>
      <c r="J127" s="37" t="s">
        <v>1211</v>
      </c>
      <c r="K127" s="34">
        <v>20</v>
      </c>
      <c r="L127" s="607" t="s">
        <v>653</v>
      </c>
      <c r="M127" s="159">
        <v>43084</v>
      </c>
      <c r="N127" s="159">
        <v>43086</v>
      </c>
      <c r="O127" s="153" t="s">
        <v>2445</v>
      </c>
      <c r="P127" s="59"/>
      <c r="Q127" s="7"/>
      <c r="R127" s="610" t="s">
        <v>2538</v>
      </c>
      <c r="S127" s="316" t="s">
        <v>3333</v>
      </c>
      <c r="T127" s="921"/>
    </row>
    <row r="128" spans="1:20" ht="20.100000000000001" customHeight="1">
      <c r="A128" s="1256" t="s">
        <v>2971</v>
      </c>
      <c r="B128" s="1138" t="s">
        <v>2527</v>
      </c>
      <c r="C128" s="1138" t="s">
        <v>4154</v>
      </c>
      <c r="D128" s="1006">
        <f>D135+1550</f>
        <v>3150</v>
      </c>
      <c r="E128" s="1006">
        <f>E135+2000</f>
        <v>4000</v>
      </c>
      <c r="F128" s="1006">
        <f>F135+2000</f>
        <v>4000</v>
      </c>
      <c r="G128" s="613" t="s">
        <v>33</v>
      </c>
      <c r="H128" s="56" t="s">
        <v>2535</v>
      </c>
      <c r="I128" s="10" t="s">
        <v>2127</v>
      </c>
      <c r="J128" s="37" t="s">
        <v>1211</v>
      </c>
      <c r="K128" s="27">
        <v>20</v>
      </c>
      <c r="L128" s="607" t="s">
        <v>653</v>
      </c>
      <c r="M128" s="159">
        <v>43084</v>
      </c>
      <c r="N128" s="159">
        <v>43086</v>
      </c>
      <c r="O128" s="153" t="s">
        <v>2445</v>
      </c>
      <c r="P128" s="14"/>
      <c r="Q128" s="7"/>
      <c r="R128" s="612" t="s">
        <v>2130</v>
      </c>
      <c r="S128" s="316" t="s">
        <v>3333</v>
      </c>
      <c r="T128" s="921"/>
    </row>
    <row r="129" spans="1:20" ht="20.100000000000001" customHeight="1">
      <c r="A129" s="1256" t="s">
        <v>2971</v>
      </c>
      <c r="B129" s="1138" t="s">
        <v>2527</v>
      </c>
      <c r="C129" s="1138" t="s">
        <v>4154</v>
      </c>
      <c r="D129" s="1006">
        <f>D41+2231+50</f>
        <v>3831</v>
      </c>
      <c r="E129" s="1006">
        <f>E41+2231+100</f>
        <v>4131</v>
      </c>
      <c r="F129" s="1006">
        <f>F41+2231+100</f>
        <v>4131</v>
      </c>
      <c r="G129" s="608" t="s">
        <v>94</v>
      </c>
      <c r="H129" s="661" t="s">
        <v>1102</v>
      </c>
      <c r="I129" s="5" t="s">
        <v>2526</v>
      </c>
      <c r="J129" s="37" t="s">
        <v>2525</v>
      </c>
      <c r="K129" s="16">
        <v>26</v>
      </c>
      <c r="L129" s="607" t="s">
        <v>653</v>
      </c>
      <c r="M129" s="108">
        <v>43087</v>
      </c>
      <c r="N129" s="108">
        <v>43094</v>
      </c>
      <c r="O129" s="61" t="s">
        <v>2444</v>
      </c>
      <c r="P129" s="7"/>
      <c r="Q129" s="7"/>
      <c r="R129" s="606" t="s">
        <v>2524</v>
      </c>
      <c r="S129" s="322" t="s">
        <v>1176</v>
      </c>
      <c r="T129" s="858"/>
    </row>
    <row r="130" spans="1:20" ht="20.100000000000001" customHeight="1">
      <c r="A130" s="1256" t="s">
        <v>2971</v>
      </c>
      <c r="B130" s="1138" t="s">
        <v>2527</v>
      </c>
      <c r="C130" s="1138" t="s">
        <v>4154</v>
      </c>
      <c r="D130" s="1006">
        <f>D30+2350</f>
        <v>3900</v>
      </c>
      <c r="E130" s="1006">
        <f>E30+2350</f>
        <v>4150</v>
      </c>
      <c r="F130" s="1006">
        <f>F30+2350</f>
        <v>4150</v>
      </c>
      <c r="G130" s="615" t="s">
        <v>51</v>
      </c>
      <c r="H130" s="160" t="s">
        <v>2532</v>
      </c>
      <c r="I130" s="37" t="s">
        <v>2127</v>
      </c>
      <c r="J130" s="37" t="s">
        <v>2525</v>
      </c>
      <c r="K130" s="5"/>
      <c r="L130" s="607" t="s">
        <v>653</v>
      </c>
      <c r="M130" s="611">
        <v>43086</v>
      </c>
      <c r="N130" s="611">
        <v>43100</v>
      </c>
      <c r="O130" s="61" t="s">
        <v>3291</v>
      </c>
      <c r="P130" s="52"/>
      <c r="Q130" s="7" t="s">
        <v>4155</v>
      </c>
      <c r="R130" s="610"/>
      <c r="S130" s="315" t="s">
        <v>3290</v>
      </c>
      <c r="T130" s="858"/>
    </row>
    <row r="131" spans="1:20" ht="20.100000000000001" customHeight="1">
      <c r="A131" s="1256" t="s">
        <v>2971</v>
      </c>
      <c r="B131" s="1138" t="s">
        <v>2527</v>
      </c>
      <c r="C131" s="1138" t="s">
        <v>4154</v>
      </c>
      <c r="D131" s="1006">
        <f>D6+2050</f>
        <v>3600</v>
      </c>
      <c r="E131" s="1006">
        <f>E6+2050</f>
        <v>3850</v>
      </c>
      <c r="F131" s="1006">
        <f>F6+2050</f>
        <v>3850</v>
      </c>
      <c r="G131" s="216" t="s">
        <v>19</v>
      </c>
      <c r="H131" s="160" t="s">
        <v>2537</v>
      </c>
      <c r="I131" s="37" t="s">
        <v>2127</v>
      </c>
      <c r="J131" s="37" t="s">
        <v>2525</v>
      </c>
      <c r="K131" s="5" t="s">
        <v>764</v>
      </c>
      <c r="L131" s="607" t="s">
        <v>653</v>
      </c>
      <c r="M131" s="156">
        <v>43084</v>
      </c>
      <c r="N131" s="156">
        <v>43093</v>
      </c>
      <c r="O131" s="153" t="s">
        <v>2131</v>
      </c>
      <c r="P131" s="61" t="s">
        <v>3338</v>
      </c>
      <c r="Q131" s="7"/>
      <c r="R131" s="606" t="s">
        <v>3339</v>
      </c>
      <c r="S131" s="315" t="s">
        <v>3337</v>
      </c>
      <c r="T131" s="858"/>
    </row>
    <row r="132" spans="1:20" ht="20.100000000000001" customHeight="1">
      <c r="A132" s="1256" t="s">
        <v>2971</v>
      </c>
      <c r="B132" s="1138" t="s">
        <v>2527</v>
      </c>
      <c r="C132" s="1138" t="s">
        <v>4154</v>
      </c>
      <c r="D132" s="1006">
        <f>D44+2190</f>
        <v>3740</v>
      </c>
      <c r="E132" s="1006">
        <f>E44+2190</f>
        <v>3990</v>
      </c>
      <c r="F132" s="1006">
        <f>F44+2190</f>
        <v>3990</v>
      </c>
      <c r="G132" s="216" t="s">
        <v>19</v>
      </c>
      <c r="H132" s="4" t="s">
        <v>1444</v>
      </c>
      <c r="I132" s="37" t="s">
        <v>2526</v>
      </c>
      <c r="J132" s="37" t="s">
        <v>2525</v>
      </c>
      <c r="K132" s="5" t="s">
        <v>764</v>
      </c>
      <c r="L132" s="607" t="s">
        <v>653</v>
      </c>
      <c r="M132" s="156">
        <v>43084</v>
      </c>
      <c r="N132" s="156">
        <v>43093</v>
      </c>
      <c r="O132" s="153" t="s">
        <v>2131</v>
      </c>
      <c r="P132" s="61" t="s">
        <v>3338</v>
      </c>
      <c r="Q132" s="7"/>
      <c r="R132" s="610" t="s">
        <v>1841</v>
      </c>
      <c r="S132" s="315" t="s">
        <v>3337</v>
      </c>
      <c r="T132" s="858"/>
    </row>
    <row r="133" spans="1:20" ht="20.100000000000001" customHeight="1">
      <c r="A133" s="1256" t="s">
        <v>2971</v>
      </c>
      <c r="B133" s="1138" t="s">
        <v>2527</v>
      </c>
      <c r="C133" s="1138" t="s">
        <v>4154</v>
      </c>
      <c r="D133" s="1006">
        <f>D18+2300+50</f>
        <v>3900</v>
      </c>
      <c r="E133" s="1006">
        <f>E18+2300+100</f>
        <v>4200</v>
      </c>
      <c r="F133" s="1006">
        <f>F18+2300+100</f>
        <v>4200</v>
      </c>
      <c r="G133" s="608" t="s">
        <v>94</v>
      </c>
      <c r="H133" s="56" t="s">
        <v>657</v>
      </c>
      <c r="I133" s="5" t="s">
        <v>2127</v>
      </c>
      <c r="J133" s="37" t="s">
        <v>2525</v>
      </c>
      <c r="K133" s="16">
        <v>21</v>
      </c>
      <c r="L133" s="607" t="s">
        <v>653</v>
      </c>
      <c r="M133" s="108">
        <v>43087</v>
      </c>
      <c r="N133" s="108">
        <v>43094</v>
      </c>
      <c r="O133" s="61" t="s">
        <v>2444</v>
      </c>
      <c r="P133" s="7"/>
      <c r="Q133" s="7"/>
      <c r="R133" s="606" t="s">
        <v>2126</v>
      </c>
      <c r="S133" s="322" t="s">
        <v>1176</v>
      </c>
      <c r="T133" s="858"/>
    </row>
    <row r="134" spans="1:20" ht="20.100000000000001" customHeight="1">
      <c r="A134" s="1256" t="s">
        <v>2971</v>
      </c>
      <c r="B134" s="1138" t="s">
        <v>2527</v>
      </c>
      <c r="C134" s="1138" t="s">
        <v>4154</v>
      </c>
      <c r="D134" s="1006">
        <f>D46+1823</f>
        <v>2998</v>
      </c>
      <c r="E134" s="1006">
        <f>E46+1823</f>
        <v>3073</v>
      </c>
      <c r="F134" s="1006">
        <f>F46+1823</f>
        <v>3073</v>
      </c>
      <c r="G134" s="609" t="s">
        <v>1689</v>
      </c>
      <c r="H134" s="160" t="s">
        <v>1311</v>
      </c>
      <c r="I134" s="37" t="s">
        <v>2526</v>
      </c>
      <c r="J134" s="37" t="s">
        <v>2525</v>
      </c>
      <c r="K134" s="5">
        <v>30</v>
      </c>
      <c r="L134" s="607" t="s">
        <v>653</v>
      </c>
      <c r="M134" s="156">
        <v>43076</v>
      </c>
      <c r="N134" s="156">
        <v>43083</v>
      </c>
      <c r="O134" s="153" t="s">
        <v>2529</v>
      </c>
      <c r="P134" s="61"/>
      <c r="Q134" s="61" t="s">
        <v>2125</v>
      </c>
      <c r="R134" s="606" t="s">
        <v>2528</v>
      </c>
      <c r="S134" s="316" t="s">
        <v>2943</v>
      </c>
      <c r="T134" s="858"/>
    </row>
    <row r="135" spans="1:20" ht="20.100000000000001" customHeight="1">
      <c r="A135" s="925" t="s">
        <v>2972</v>
      </c>
      <c r="B135" s="899" t="s">
        <v>2527</v>
      </c>
      <c r="C135" s="899" t="s">
        <v>4108</v>
      </c>
      <c r="D135" s="1015">
        <v>1600</v>
      </c>
      <c r="E135" s="1015">
        <v>2000</v>
      </c>
      <c r="F135" s="1015">
        <v>2000</v>
      </c>
      <c r="G135" s="660" t="s">
        <v>95</v>
      </c>
      <c r="H135" s="151">
        <v>6</v>
      </c>
      <c r="I135" s="152" t="s">
        <v>870</v>
      </c>
      <c r="J135" s="152"/>
      <c r="K135" s="155" t="s">
        <v>743</v>
      </c>
      <c r="L135" s="624" t="s">
        <v>860</v>
      </c>
      <c r="M135" s="159">
        <v>43084</v>
      </c>
      <c r="N135" s="159">
        <v>43086</v>
      </c>
      <c r="O135" s="153" t="s">
        <v>2445</v>
      </c>
      <c r="P135" s="61"/>
      <c r="Q135" s="7"/>
      <c r="R135" s="606" t="s">
        <v>3336</v>
      </c>
      <c r="S135" s="316" t="s">
        <v>3333</v>
      </c>
      <c r="T135" s="858"/>
    </row>
    <row r="136" spans="1:20" ht="20.100000000000001" customHeight="1">
      <c r="A136" s="925" t="s">
        <v>2972</v>
      </c>
      <c r="B136" s="899" t="s">
        <v>2527</v>
      </c>
      <c r="C136" s="899" t="s">
        <v>4108</v>
      </c>
      <c r="D136" s="1015">
        <v>1600</v>
      </c>
      <c r="E136" s="1015">
        <v>2000</v>
      </c>
      <c r="F136" s="1015">
        <v>2000</v>
      </c>
      <c r="G136" s="633" t="s">
        <v>33</v>
      </c>
      <c r="H136" s="4">
        <v>5</v>
      </c>
      <c r="I136" s="37" t="s">
        <v>17</v>
      </c>
      <c r="J136" s="37"/>
      <c r="K136" s="19" t="s">
        <v>830</v>
      </c>
      <c r="L136" s="607" t="s">
        <v>653</v>
      </c>
      <c r="M136" s="159">
        <v>43084</v>
      </c>
      <c r="N136" s="159">
        <v>43086</v>
      </c>
      <c r="O136" s="153" t="s">
        <v>2445</v>
      </c>
      <c r="P136" s="61"/>
      <c r="Q136" s="7"/>
      <c r="R136" s="606" t="s">
        <v>2538</v>
      </c>
      <c r="S136" s="316" t="s">
        <v>3333</v>
      </c>
      <c r="T136" s="858"/>
    </row>
    <row r="137" spans="1:20" ht="20.100000000000001" customHeight="1">
      <c r="A137" s="1257" t="s">
        <v>3695</v>
      </c>
      <c r="B137" s="1258" t="s">
        <v>3694</v>
      </c>
      <c r="C137" s="1258" t="s">
        <v>4153</v>
      </c>
      <c r="D137" s="1018">
        <v>1680</v>
      </c>
      <c r="E137" s="1018">
        <v>1850</v>
      </c>
      <c r="F137" s="1018">
        <v>1850</v>
      </c>
      <c r="G137" s="637" t="s">
        <v>19</v>
      </c>
      <c r="H137" s="4" t="s">
        <v>1102</v>
      </c>
      <c r="I137" s="5" t="s">
        <v>17</v>
      </c>
      <c r="J137" s="37"/>
      <c r="K137" s="16" t="s">
        <v>660</v>
      </c>
      <c r="L137" s="607" t="s">
        <v>653</v>
      </c>
      <c r="M137" s="156">
        <v>43084</v>
      </c>
      <c r="N137" s="156">
        <v>43093</v>
      </c>
      <c r="O137" s="59" t="s">
        <v>611</v>
      </c>
      <c r="P137" s="59"/>
      <c r="Q137" s="7"/>
      <c r="R137" s="606" t="s">
        <v>2547</v>
      </c>
      <c r="S137" s="315" t="s">
        <v>3337</v>
      </c>
      <c r="T137" s="904"/>
    </row>
    <row r="138" spans="1:20" ht="20.100000000000001" customHeight="1">
      <c r="A138" s="1257" t="s">
        <v>3695</v>
      </c>
      <c r="B138" s="1258" t="s">
        <v>3694</v>
      </c>
      <c r="C138" s="1258" t="s">
        <v>4153</v>
      </c>
      <c r="D138" s="1015">
        <v>1225</v>
      </c>
      <c r="E138" s="1015">
        <v>1300</v>
      </c>
      <c r="F138" s="1015">
        <v>1300</v>
      </c>
      <c r="G138" s="644" t="s">
        <v>18</v>
      </c>
      <c r="H138" s="4" t="s">
        <v>1102</v>
      </c>
      <c r="I138" s="5" t="s">
        <v>17</v>
      </c>
      <c r="J138" s="37"/>
      <c r="K138" s="16" t="s">
        <v>660</v>
      </c>
      <c r="L138" s="607" t="s">
        <v>653</v>
      </c>
      <c r="M138" s="108">
        <v>43078</v>
      </c>
      <c r="N138" s="108">
        <v>43083</v>
      </c>
      <c r="O138" s="61"/>
      <c r="P138" s="7"/>
      <c r="Q138" s="7"/>
      <c r="R138" s="606" t="s">
        <v>2547</v>
      </c>
      <c r="S138" s="322"/>
      <c r="T138" s="858"/>
    </row>
    <row r="139" spans="1:20" ht="20.100000000000001" customHeight="1">
      <c r="A139" s="1257" t="s">
        <v>3695</v>
      </c>
      <c r="B139" s="1258" t="s">
        <v>3694</v>
      </c>
      <c r="C139" s="1258" t="s">
        <v>4153</v>
      </c>
      <c r="D139" s="1067">
        <v>1650</v>
      </c>
      <c r="E139" s="1067">
        <v>1850</v>
      </c>
      <c r="F139" s="1067">
        <v>1850</v>
      </c>
      <c r="G139" s="637" t="s">
        <v>22</v>
      </c>
      <c r="H139" s="4" t="s">
        <v>1102</v>
      </c>
      <c r="I139" s="5" t="s">
        <v>17</v>
      </c>
      <c r="J139" s="37"/>
      <c r="K139" s="16" t="s">
        <v>660</v>
      </c>
      <c r="L139" s="607" t="s">
        <v>653</v>
      </c>
      <c r="M139" s="108">
        <v>43087</v>
      </c>
      <c r="N139" s="108">
        <v>43094</v>
      </c>
      <c r="O139" s="61" t="s">
        <v>2545</v>
      </c>
      <c r="P139" s="7"/>
      <c r="Q139" s="7"/>
      <c r="R139" s="606" t="s">
        <v>2524</v>
      </c>
      <c r="S139" s="322" t="s">
        <v>1176</v>
      </c>
      <c r="T139" s="858"/>
    </row>
    <row r="140" spans="1:20" ht="20.100000000000001" customHeight="1">
      <c r="A140" s="1257" t="s">
        <v>3695</v>
      </c>
      <c r="B140" s="1258" t="s">
        <v>3694</v>
      </c>
      <c r="C140" s="1258" t="s">
        <v>4153</v>
      </c>
      <c r="D140" s="1015">
        <v>1325</v>
      </c>
      <c r="E140" s="1015">
        <v>1400</v>
      </c>
      <c r="F140" s="1015">
        <v>1400</v>
      </c>
      <c r="G140" s="637" t="s">
        <v>5</v>
      </c>
      <c r="H140" s="168" t="s">
        <v>659</v>
      </c>
      <c r="I140" s="37" t="s">
        <v>17</v>
      </c>
      <c r="J140" s="37"/>
      <c r="K140" s="5" t="s">
        <v>975</v>
      </c>
      <c r="L140" s="607" t="s">
        <v>653</v>
      </c>
      <c r="M140" s="159">
        <v>43073</v>
      </c>
      <c r="N140" s="159">
        <v>43083</v>
      </c>
      <c r="O140" s="61" t="s">
        <v>1771</v>
      </c>
      <c r="P140" s="59"/>
      <c r="Q140" s="7"/>
      <c r="R140" s="610" t="s">
        <v>3579</v>
      </c>
      <c r="S140" s="619"/>
      <c r="T140" s="921"/>
    </row>
    <row r="141" spans="1:20" ht="20.100000000000001" customHeight="1">
      <c r="A141" s="1257" t="s">
        <v>3695</v>
      </c>
      <c r="B141" s="1258" t="s">
        <v>3694</v>
      </c>
      <c r="C141" s="1258" t="s">
        <v>4153</v>
      </c>
      <c r="D141" s="1008">
        <v>1550</v>
      </c>
      <c r="E141" s="1008">
        <v>1800</v>
      </c>
      <c r="F141" s="1008">
        <v>1800</v>
      </c>
      <c r="G141" s="637" t="s">
        <v>51</v>
      </c>
      <c r="H141" s="168" t="s">
        <v>659</v>
      </c>
      <c r="I141" s="37" t="s">
        <v>17</v>
      </c>
      <c r="J141" s="37"/>
      <c r="K141" s="5" t="s">
        <v>975</v>
      </c>
      <c r="L141" s="607" t="s">
        <v>653</v>
      </c>
      <c r="M141" s="611">
        <v>43086</v>
      </c>
      <c r="N141" s="611">
        <v>43100</v>
      </c>
      <c r="O141" s="59" t="s">
        <v>601</v>
      </c>
      <c r="P141" s="52"/>
      <c r="Q141" s="7"/>
      <c r="R141" s="610" t="s">
        <v>3618</v>
      </c>
      <c r="S141" s="315" t="s">
        <v>3290</v>
      </c>
      <c r="T141" s="921"/>
    </row>
    <row r="142" spans="1:20" ht="20.100000000000001" customHeight="1">
      <c r="A142" s="1257" t="s">
        <v>3695</v>
      </c>
      <c r="B142" s="1258" t="s">
        <v>3694</v>
      </c>
      <c r="C142" s="1258" t="s">
        <v>4153</v>
      </c>
      <c r="D142" s="1018">
        <v>1680</v>
      </c>
      <c r="E142" s="1018">
        <v>1850</v>
      </c>
      <c r="F142" s="1018">
        <v>1850</v>
      </c>
      <c r="G142" s="637" t="s">
        <v>19</v>
      </c>
      <c r="H142" s="151" t="s">
        <v>659</v>
      </c>
      <c r="I142" s="37" t="s">
        <v>17</v>
      </c>
      <c r="J142" s="37"/>
      <c r="K142" s="5" t="s">
        <v>975</v>
      </c>
      <c r="L142" s="607" t="s">
        <v>653</v>
      </c>
      <c r="M142" s="156">
        <v>43084</v>
      </c>
      <c r="N142" s="156">
        <v>43093</v>
      </c>
      <c r="O142" s="59" t="s">
        <v>611</v>
      </c>
      <c r="P142" s="59"/>
      <c r="Q142" s="7"/>
      <c r="R142" s="606" t="s">
        <v>3596</v>
      </c>
      <c r="S142" s="315" t="s">
        <v>3337</v>
      </c>
      <c r="T142" s="921"/>
    </row>
    <row r="143" spans="1:20" ht="20.100000000000001" customHeight="1">
      <c r="A143" s="1257" t="s">
        <v>3695</v>
      </c>
      <c r="B143" s="1258" t="s">
        <v>3694</v>
      </c>
      <c r="C143" s="1258" t="s">
        <v>4153</v>
      </c>
      <c r="D143" s="1018">
        <v>1675</v>
      </c>
      <c r="E143" s="1018">
        <v>1700</v>
      </c>
      <c r="F143" s="1018">
        <v>1700</v>
      </c>
      <c r="G143" s="227" t="s">
        <v>1689</v>
      </c>
      <c r="H143" s="168" t="s">
        <v>659</v>
      </c>
      <c r="I143" s="37" t="s">
        <v>17</v>
      </c>
      <c r="J143" s="37"/>
      <c r="K143" s="5" t="s">
        <v>975</v>
      </c>
      <c r="L143" s="607" t="s">
        <v>653</v>
      </c>
      <c r="M143" s="156">
        <v>43076</v>
      </c>
      <c r="N143" s="156">
        <v>43083</v>
      </c>
      <c r="O143" s="61" t="s">
        <v>1771</v>
      </c>
      <c r="P143" s="59"/>
      <c r="Q143" s="7"/>
      <c r="R143" s="606" t="s">
        <v>3590</v>
      </c>
      <c r="S143" s="316"/>
      <c r="T143" s="921"/>
    </row>
    <row r="144" spans="1:20" ht="20.100000000000001" customHeight="1">
      <c r="A144" s="1257" t="s">
        <v>3695</v>
      </c>
      <c r="B144" s="1258" t="s">
        <v>3694</v>
      </c>
      <c r="C144" s="1258" t="s">
        <v>4153</v>
      </c>
      <c r="D144" s="1015">
        <v>1325</v>
      </c>
      <c r="E144" s="1015">
        <v>1400</v>
      </c>
      <c r="F144" s="1015">
        <v>1400</v>
      </c>
      <c r="G144" s="637" t="s">
        <v>5</v>
      </c>
      <c r="H144" s="56" t="s">
        <v>681</v>
      </c>
      <c r="I144" s="50" t="s">
        <v>17</v>
      </c>
      <c r="J144" s="50"/>
      <c r="K144" s="34" t="s">
        <v>764</v>
      </c>
      <c r="L144" s="607" t="s">
        <v>653</v>
      </c>
      <c r="M144" s="159">
        <v>43073</v>
      </c>
      <c r="N144" s="159">
        <v>43083</v>
      </c>
      <c r="O144" s="61" t="s">
        <v>1771</v>
      </c>
      <c r="P144" s="59"/>
      <c r="Q144" s="7"/>
      <c r="R144" s="610" t="s">
        <v>3652</v>
      </c>
      <c r="S144" s="619"/>
      <c r="T144" s="904"/>
    </row>
    <row r="145" spans="1:20" ht="20.100000000000001" customHeight="1">
      <c r="A145" s="1257" t="s">
        <v>3695</v>
      </c>
      <c r="B145" s="1258" t="s">
        <v>3694</v>
      </c>
      <c r="C145" s="1258" t="s">
        <v>4153</v>
      </c>
      <c r="D145" s="1008">
        <v>1550</v>
      </c>
      <c r="E145" s="1008">
        <v>1800</v>
      </c>
      <c r="F145" s="1008">
        <v>1800</v>
      </c>
      <c r="G145" s="637" t="s">
        <v>51</v>
      </c>
      <c r="H145" s="56" t="s">
        <v>681</v>
      </c>
      <c r="I145" s="50" t="s">
        <v>17</v>
      </c>
      <c r="J145" s="50"/>
      <c r="K145" s="34" t="s">
        <v>764</v>
      </c>
      <c r="L145" s="607" t="s">
        <v>653</v>
      </c>
      <c r="M145" s="611">
        <v>43086</v>
      </c>
      <c r="N145" s="611">
        <v>43100</v>
      </c>
      <c r="O145" s="59" t="s">
        <v>601</v>
      </c>
      <c r="P145" s="52"/>
      <c r="Q145" s="52"/>
      <c r="R145" s="610" t="s">
        <v>3657</v>
      </c>
      <c r="S145" s="315" t="s">
        <v>3290</v>
      </c>
      <c r="T145" s="904"/>
    </row>
    <row r="146" spans="1:20" ht="20.100000000000001" customHeight="1">
      <c r="A146" s="1257" t="s">
        <v>3695</v>
      </c>
      <c r="B146" s="1258" t="s">
        <v>3694</v>
      </c>
      <c r="C146" s="1258" t="s">
        <v>4153</v>
      </c>
      <c r="D146" s="1015">
        <v>1250</v>
      </c>
      <c r="E146" s="1015">
        <v>1350</v>
      </c>
      <c r="F146" s="1015">
        <v>1350</v>
      </c>
      <c r="G146" s="631" t="s">
        <v>31</v>
      </c>
      <c r="H146" s="56" t="s">
        <v>681</v>
      </c>
      <c r="I146" s="50" t="s">
        <v>17</v>
      </c>
      <c r="J146" s="50"/>
      <c r="K146" s="34" t="s">
        <v>764</v>
      </c>
      <c r="L146" s="607" t="s">
        <v>653</v>
      </c>
      <c r="M146" s="623">
        <v>43080</v>
      </c>
      <c r="N146" s="623">
        <v>43083</v>
      </c>
      <c r="O146" s="61" t="s">
        <v>899</v>
      </c>
      <c r="P146" s="61"/>
      <c r="Q146" s="52"/>
      <c r="R146" s="606" t="s">
        <v>3563</v>
      </c>
      <c r="S146" s="622" t="s">
        <v>1176</v>
      </c>
      <c r="T146" s="904"/>
    </row>
    <row r="147" spans="1:20" ht="20.100000000000001" customHeight="1">
      <c r="A147" s="1257" t="s">
        <v>3695</v>
      </c>
      <c r="B147" s="1258" t="s">
        <v>3694</v>
      </c>
      <c r="C147" s="1258" t="s">
        <v>4153</v>
      </c>
      <c r="D147" s="1018">
        <v>1675</v>
      </c>
      <c r="E147" s="1018">
        <v>1700</v>
      </c>
      <c r="F147" s="1018">
        <v>1700</v>
      </c>
      <c r="G147" s="227" t="s">
        <v>1689</v>
      </c>
      <c r="H147" s="56" t="s">
        <v>681</v>
      </c>
      <c r="I147" s="50" t="s">
        <v>17</v>
      </c>
      <c r="J147" s="50"/>
      <c r="K147" s="34" t="s">
        <v>764</v>
      </c>
      <c r="L147" s="607" t="s">
        <v>653</v>
      </c>
      <c r="M147" s="156">
        <v>43076</v>
      </c>
      <c r="N147" s="156">
        <v>43083</v>
      </c>
      <c r="O147" s="61" t="s">
        <v>1771</v>
      </c>
      <c r="P147" s="59"/>
      <c r="Q147" s="52"/>
      <c r="R147" s="606" t="s">
        <v>3634</v>
      </c>
      <c r="S147" s="316"/>
      <c r="T147" s="904"/>
    </row>
    <row r="148" spans="1:20" ht="20.100000000000001" customHeight="1">
      <c r="A148" s="1257" t="s">
        <v>3695</v>
      </c>
      <c r="B148" s="1258" t="s">
        <v>3694</v>
      </c>
      <c r="C148" s="1258" t="s">
        <v>4153</v>
      </c>
      <c r="D148" s="1018">
        <v>1680</v>
      </c>
      <c r="E148" s="1018">
        <v>1850</v>
      </c>
      <c r="F148" s="1018">
        <v>1850</v>
      </c>
      <c r="G148" s="637" t="s">
        <v>19</v>
      </c>
      <c r="H148" s="56" t="s">
        <v>681</v>
      </c>
      <c r="I148" s="50" t="s">
        <v>17</v>
      </c>
      <c r="J148" s="50"/>
      <c r="K148" s="34" t="s">
        <v>764</v>
      </c>
      <c r="L148" s="607" t="s">
        <v>653</v>
      </c>
      <c r="M148" s="156">
        <v>43084</v>
      </c>
      <c r="N148" s="156">
        <v>43093</v>
      </c>
      <c r="O148" s="59" t="s">
        <v>611</v>
      </c>
      <c r="P148" s="59"/>
      <c r="Q148" s="52"/>
      <c r="R148" s="606" t="s">
        <v>3637</v>
      </c>
      <c r="S148" s="315" t="s">
        <v>3337</v>
      </c>
      <c r="T148" s="904"/>
    </row>
    <row r="149" spans="1:20" ht="20.100000000000001" customHeight="1">
      <c r="A149" s="1257" t="s">
        <v>3695</v>
      </c>
      <c r="B149" s="1258" t="s">
        <v>3694</v>
      </c>
      <c r="C149" s="1258" t="s">
        <v>4153</v>
      </c>
      <c r="D149" s="1018">
        <v>1680</v>
      </c>
      <c r="E149" s="1018">
        <v>1850</v>
      </c>
      <c r="F149" s="1018">
        <v>1850</v>
      </c>
      <c r="G149" s="637" t="s">
        <v>19</v>
      </c>
      <c r="H149" s="56" t="s">
        <v>681</v>
      </c>
      <c r="I149" s="50" t="s">
        <v>17</v>
      </c>
      <c r="J149" s="50"/>
      <c r="K149" s="34" t="s">
        <v>722</v>
      </c>
      <c r="L149" s="607" t="s">
        <v>653</v>
      </c>
      <c r="M149" s="156">
        <v>43084</v>
      </c>
      <c r="N149" s="156">
        <v>43093</v>
      </c>
      <c r="O149" s="59" t="s">
        <v>611</v>
      </c>
      <c r="P149" s="59"/>
      <c r="Q149" s="52"/>
      <c r="R149" s="606" t="s">
        <v>4152</v>
      </c>
      <c r="S149" s="315" t="s">
        <v>3337</v>
      </c>
      <c r="T149" s="904"/>
    </row>
    <row r="150" spans="1:20" ht="20.100000000000001" customHeight="1">
      <c r="A150" s="1257" t="s">
        <v>3695</v>
      </c>
      <c r="B150" s="1258" t="s">
        <v>3694</v>
      </c>
      <c r="C150" s="1258" t="s">
        <v>4151</v>
      </c>
      <c r="D150" s="1018">
        <v>1680</v>
      </c>
      <c r="E150" s="1018">
        <v>1850</v>
      </c>
      <c r="F150" s="1018">
        <v>1850</v>
      </c>
      <c r="G150" s="637" t="s">
        <v>19</v>
      </c>
      <c r="H150" s="56" t="s">
        <v>729</v>
      </c>
      <c r="I150" s="50" t="s">
        <v>17</v>
      </c>
      <c r="J150" s="50"/>
      <c r="K150" s="34" t="s">
        <v>660</v>
      </c>
      <c r="L150" s="607" t="s">
        <v>653</v>
      </c>
      <c r="M150" s="156">
        <v>43084</v>
      </c>
      <c r="N150" s="156">
        <v>43093</v>
      </c>
      <c r="O150" s="59" t="s">
        <v>611</v>
      </c>
      <c r="P150" s="59"/>
      <c r="Q150" s="7"/>
      <c r="R150" s="610" t="s">
        <v>1750</v>
      </c>
      <c r="S150" s="315" t="s">
        <v>3337</v>
      </c>
      <c r="T150" s="749"/>
    </row>
    <row r="151" spans="1:20" ht="20.100000000000001" customHeight="1">
      <c r="A151" s="1257" t="s">
        <v>3695</v>
      </c>
      <c r="B151" s="1258" t="s">
        <v>3694</v>
      </c>
      <c r="C151" s="1258" t="s">
        <v>4151</v>
      </c>
      <c r="D151" s="1006">
        <v>1275</v>
      </c>
      <c r="E151" s="1006">
        <v>1300</v>
      </c>
      <c r="F151" s="1006">
        <v>1300</v>
      </c>
      <c r="G151" s="660" t="s">
        <v>772</v>
      </c>
      <c r="H151" s="56" t="s">
        <v>729</v>
      </c>
      <c r="I151" s="50" t="s">
        <v>17</v>
      </c>
      <c r="J151" s="50"/>
      <c r="K151" s="34" t="s">
        <v>660</v>
      </c>
      <c r="L151" s="607" t="s">
        <v>653</v>
      </c>
      <c r="M151" s="15">
        <v>43075</v>
      </c>
      <c r="N151" s="159">
        <v>43083</v>
      </c>
      <c r="O151" s="59"/>
      <c r="P151" s="59"/>
      <c r="Q151" s="7"/>
      <c r="R151" s="610" t="s">
        <v>1750</v>
      </c>
      <c r="S151" s="316" t="s">
        <v>3567</v>
      </c>
      <c r="T151" s="749"/>
    </row>
    <row r="152" spans="1:20" ht="20.100000000000001" customHeight="1">
      <c r="A152" s="1257" t="s">
        <v>3695</v>
      </c>
      <c r="B152" s="1258" t="s">
        <v>3694</v>
      </c>
      <c r="C152" s="1258" t="s">
        <v>4151</v>
      </c>
      <c r="D152" s="1067">
        <v>1650</v>
      </c>
      <c r="E152" s="1067">
        <v>1850</v>
      </c>
      <c r="F152" s="1067">
        <v>1850</v>
      </c>
      <c r="G152" s="637" t="s">
        <v>22</v>
      </c>
      <c r="H152" s="56" t="s">
        <v>729</v>
      </c>
      <c r="I152" s="50" t="s">
        <v>17</v>
      </c>
      <c r="J152" s="50"/>
      <c r="K152" s="34" t="s">
        <v>660</v>
      </c>
      <c r="L152" s="607" t="s">
        <v>653</v>
      </c>
      <c r="M152" s="108">
        <v>43087</v>
      </c>
      <c r="N152" s="108">
        <v>43094</v>
      </c>
      <c r="O152" s="61" t="s">
        <v>2545</v>
      </c>
      <c r="P152" s="61"/>
      <c r="Q152" s="7"/>
      <c r="R152" s="606" t="s">
        <v>1750</v>
      </c>
      <c r="S152" s="322" t="s">
        <v>1176</v>
      </c>
      <c r="T152" s="749"/>
    </row>
    <row r="153" spans="1:20" ht="20.100000000000001" customHeight="1">
      <c r="A153" s="1257" t="s">
        <v>3695</v>
      </c>
      <c r="B153" s="1258" t="s">
        <v>3694</v>
      </c>
      <c r="C153" s="1258" t="s">
        <v>4151</v>
      </c>
      <c r="D153" s="1059">
        <v>2025</v>
      </c>
      <c r="E153" s="1059">
        <v>2150</v>
      </c>
      <c r="F153" s="1059">
        <v>2150</v>
      </c>
      <c r="G153" s="633" t="s">
        <v>28</v>
      </c>
      <c r="H153" s="56" t="s">
        <v>729</v>
      </c>
      <c r="I153" s="37" t="s">
        <v>17</v>
      </c>
      <c r="J153" s="37"/>
      <c r="K153" s="16" t="s">
        <v>660</v>
      </c>
      <c r="L153" s="607" t="s">
        <v>653</v>
      </c>
      <c r="M153" s="620">
        <v>42982</v>
      </c>
      <c r="N153" s="620">
        <v>42982</v>
      </c>
      <c r="O153" s="153" t="s">
        <v>601</v>
      </c>
      <c r="P153" s="61"/>
      <c r="Q153" s="7"/>
      <c r="R153" s="606" t="s">
        <v>1750</v>
      </c>
      <c r="S153" s="316"/>
      <c r="T153" s="749"/>
    </row>
    <row r="154" spans="1:20" ht="20.100000000000001" customHeight="1">
      <c r="A154" s="1257" t="s">
        <v>3695</v>
      </c>
      <c r="B154" s="1258" t="s">
        <v>3694</v>
      </c>
      <c r="C154" s="1258" t="s">
        <v>4151</v>
      </c>
      <c r="D154" s="1015">
        <v>1225</v>
      </c>
      <c r="E154" s="1015">
        <v>1300</v>
      </c>
      <c r="F154" s="1015">
        <v>1300</v>
      </c>
      <c r="G154" s="630" t="s">
        <v>18</v>
      </c>
      <c r="H154" s="56" t="s">
        <v>1102</v>
      </c>
      <c r="I154" s="50" t="s">
        <v>2548</v>
      </c>
      <c r="J154" s="50"/>
      <c r="K154" s="34" t="s">
        <v>687</v>
      </c>
      <c r="L154" s="607" t="s">
        <v>653</v>
      </c>
      <c r="M154" s="108">
        <v>43078</v>
      </c>
      <c r="N154" s="108">
        <v>43083</v>
      </c>
      <c r="O154" s="61"/>
      <c r="P154" s="61"/>
      <c r="Q154" s="7"/>
      <c r="R154" s="606" t="s">
        <v>2547</v>
      </c>
      <c r="S154" s="322"/>
      <c r="T154" s="749"/>
    </row>
    <row r="155" spans="1:20" ht="20.100000000000001" customHeight="1">
      <c r="A155" s="1257" t="s">
        <v>3695</v>
      </c>
      <c r="B155" s="1258" t="s">
        <v>3694</v>
      </c>
      <c r="C155" s="1258" t="s">
        <v>4151</v>
      </c>
      <c r="D155" s="1020">
        <f>E155*0.9</f>
        <v>2070</v>
      </c>
      <c r="E155" s="1020">
        <v>2300</v>
      </c>
      <c r="F155" s="1020">
        <f>E155+0</f>
        <v>2300</v>
      </c>
      <c r="G155" s="637" t="s">
        <v>12</v>
      </c>
      <c r="H155" s="4">
        <v>3</v>
      </c>
      <c r="I155" s="50" t="s">
        <v>2471</v>
      </c>
      <c r="J155" s="37"/>
      <c r="K155" s="16" t="s">
        <v>775</v>
      </c>
      <c r="L155" s="607" t="s">
        <v>653</v>
      </c>
      <c r="M155" s="15">
        <v>43070</v>
      </c>
      <c r="N155" s="15">
        <v>43083</v>
      </c>
      <c r="O155" s="61" t="s">
        <v>2545</v>
      </c>
      <c r="P155" s="61"/>
      <c r="Q155" s="7"/>
      <c r="R155" s="606" t="s">
        <v>3398</v>
      </c>
      <c r="S155" s="322" t="s">
        <v>1176</v>
      </c>
      <c r="T155" s="749"/>
    </row>
    <row r="156" spans="1:20" ht="20.100000000000001" customHeight="1">
      <c r="A156" s="1257" t="s">
        <v>3695</v>
      </c>
      <c r="B156" s="1258" t="s">
        <v>3694</v>
      </c>
      <c r="C156" s="1258" t="s">
        <v>4151</v>
      </c>
      <c r="D156" s="1008">
        <v>1600</v>
      </c>
      <c r="E156" s="1008">
        <v>1850</v>
      </c>
      <c r="F156" s="1008">
        <v>1850</v>
      </c>
      <c r="G156" s="637" t="s">
        <v>51</v>
      </c>
      <c r="H156" s="168" t="s">
        <v>1233</v>
      </c>
      <c r="I156" s="50" t="s">
        <v>17</v>
      </c>
      <c r="J156" s="50"/>
      <c r="K156" s="34" t="s">
        <v>680</v>
      </c>
      <c r="L156" s="607" t="s">
        <v>653</v>
      </c>
      <c r="M156" s="611">
        <v>43086</v>
      </c>
      <c r="N156" s="611">
        <v>43100</v>
      </c>
      <c r="O156" s="61"/>
      <c r="P156" s="61"/>
      <c r="Q156" s="52"/>
      <c r="R156" s="610" t="s">
        <v>2472</v>
      </c>
      <c r="S156" s="316" t="s">
        <v>3341</v>
      </c>
      <c r="T156" s="749"/>
    </row>
    <row r="157" spans="1:20" ht="20.100000000000001" customHeight="1">
      <c r="A157" s="1257" t="s">
        <v>3695</v>
      </c>
      <c r="B157" s="1258" t="s">
        <v>3694</v>
      </c>
      <c r="C157" s="1258" t="s">
        <v>4151</v>
      </c>
      <c r="D157" s="1015">
        <v>1325</v>
      </c>
      <c r="E157" s="1015">
        <v>1400</v>
      </c>
      <c r="F157" s="1015">
        <v>1400</v>
      </c>
      <c r="G157" s="637" t="s">
        <v>5</v>
      </c>
      <c r="H157" s="168" t="s">
        <v>1233</v>
      </c>
      <c r="I157" s="50" t="s">
        <v>17</v>
      </c>
      <c r="J157" s="50"/>
      <c r="K157" s="34" t="s">
        <v>680</v>
      </c>
      <c r="L157" s="607" t="s">
        <v>653</v>
      </c>
      <c r="M157" s="159">
        <v>43073</v>
      </c>
      <c r="N157" s="159">
        <v>43083</v>
      </c>
      <c r="O157" s="61" t="s">
        <v>1771</v>
      </c>
      <c r="P157" s="59"/>
      <c r="Q157" s="7"/>
      <c r="R157" s="610" t="s">
        <v>2566</v>
      </c>
      <c r="S157" s="619"/>
      <c r="T157" s="749"/>
    </row>
    <row r="158" spans="1:20" ht="20.100000000000001" customHeight="1">
      <c r="A158" s="1257" t="s">
        <v>3695</v>
      </c>
      <c r="B158" s="1258" t="s">
        <v>3694</v>
      </c>
      <c r="C158" s="1258" t="s">
        <v>4151</v>
      </c>
      <c r="D158" s="1018">
        <v>1575</v>
      </c>
      <c r="E158" s="1018">
        <v>1600</v>
      </c>
      <c r="F158" s="1018">
        <v>1600</v>
      </c>
      <c r="G158" s="227" t="s">
        <v>1689</v>
      </c>
      <c r="H158" s="168" t="s">
        <v>1233</v>
      </c>
      <c r="I158" s="50" t="s">
        <v>17</v>
      </c>
      <c r="J158" s="50"/>
      <c r="K158" s="34" t="s">
        <v>680</v>
      </c>
      <c r="L158" s="607" t="s">
        <v>653</v>
      </c>
      <c r="M158" s="156">
        <v>43076</v>
      </c>
      <c r="N158" s="156">
        <v>43083</v>
      </c>
      <c r="O158" s="61" t="s">
        <v>1771</v>
      </c>
      <c r="P158" s="59"/>
      <c r="Q158" s="52"/>
      <c r="R158" s="610" t="s">
        <v>2470</v>
      </c>
      <c r="S158" s="619"/>
      <c r="T158" s="749"/>
    </row>
    <row r="159" spans="1:20" ht="20.100000000000001" customHeight="1">
      <c r="A159" s="1257" t="s">
        <v>3695</v>
      </c>
      <c r="B159" s="1258" t="s">
        <v>3694</v>
      </c>
      <c r="C159" s="1258" t="s">
        <v>4151</v>
      </c>
      <c r="D159" s="1018">
        <v>1680</v>
      </c>
      <c r="E159" s="1018">
        <v>1850</v>
      </c>
      <c r="F159" s="1018">
        <v>1850</v>
      </c>
      <c r="G159" s="637" t="s">
        <v>19</v>
      </c>
      <c r="H159" s="168" t="s">
        <v>1233</v>
      </c>
      <c r="I159" s="50" t="s">
        <v>17</v>
      </c>
      <c r="J159" s="50"/>
      <c r="K159" s="34" t="s">
        <v>680</v>
      </c>
      <c r="L159" s="607" t="s">
        <v>653</v>
      </c>
      <c r="M159" s="156">
        <v>43084</v>
      </c>
      <c r="N159" s="156">
        <v>43093</v>
      </c>
      <c r="O159" s="59" t="s">
        <v>611</v>
      </c>
      <c r="P159" s="59"/>
      <c r="Q159" s="7"/>
      <c r="R159" s="610" t="s">
        <v>2469</v>
      </c>
      <c r="S159" s="315" t="s">
        <v>3337</v>
      </c>
      <c r="T159" s="749"/>
    </row>
    <row r="160" spans="1:20" ht="20.100000000000001" customHeight="1">
      <c r="A160" s="1257" t="s">
        <v>3695</v>
      </c>
      <c r="B160" s="1258" t="s">
        <v>3694</v>
      </c>
      <c r="C160" s="1258" t="s">
        <v>4495</v>
      </c>
      <c r="D160" s="1051">
        <v>1300</v>
      </c>
      <c r="E160" s="1051">
        <v>1375</v>
      </c>
      <c r="F160" s="1051">
        <v>1375</v>
      </c>
      <c r="G160" s="630" t="s">
        <v>33</v>
      </c>
      <c r="H160" s="56" t="s">
        <v>729</v>
      </c>
      <c r="I160" s="37" t="s">
        <v>17</v>
      </c>
      <c r="J160" s="37"/>
      <c r="K160" s="16" t="s">
        <v>968</v>
      </c>
      <c r="L160" s="607" t="s">
        <v>653</v>
      </c>
      <c r="M160" s="159">
        <v>43080</v>
      </c>
      <c r="N160" s="159">
        <v>43086</v>
      </c>
      <c r="O160" s="61"/>
      <c r="P160" s="61"/>
      <c r="Q160" s="7"/>
      <c r="R160" s="606" t="s">
        <v>2756</v>
      </c>
      <c r="S160" s="622" t="s">
        <v>1176</v>
      </c>
      <c r="T160" s="923"/>
    </row>
    <row r="161" spans="1:20" ht="20.100000000000001" customHeight="1">
      <c r="A161" s="1257" t="s">
        <v>3695</v>
      </c>
      <c r="B161" s="1258" t="s">
        <v>3694</v>
      </c>
      <c r="C161" s="1258" t="s">
        <v>4495</v>
      </c>
      <c r="D161" s="1008">
        <v>1600</v>
      </c>
      <c r="E161" s="1008">
        <v>1850</v>
      </c>
      <c r="F161" s="1008">
        <v>1850</v>
      </c>
      <c r="G161" s="637" t="s">
        <v>51</v>
      </c>
      <c r="H161" s="56" t="s">
        <v>729</v>
      </c>
      <c r="I161" s="37" t="s">
        <v>17</v>
      </c>
      <c r="J161" s="37"/>
      <c r="K161" s="16" t="s">
        <v>830</v>
      </c>
      <c r="L161" s="607" t="s">
        <v>653</v>
      </c>
      <c r="M161" s="611">
        <v>43086</v>
      </c>
      <c r="N161" s="611">
        <v>43100</v>
      </c>
      <c r="O161" s="61"/>
      <c r="P161" s="61"/>
      <c r="Q161" s="52"/>
      <c r="R161" s="606" t="s">
        <v>1834</v>
      </c>
      <c r="S161" s="316" t="s">
        <v>3341</v>
      </c>
      <c r="T161" s="923"/>
    </row>
    <row r="162" spans="1:20" ht="20.100000000000001" customHeight="1">
      <c r="A162" s="1257" t="s">
        <v>3695</v>
      </c>
      <c r="B162" s="1258" t="s">
        <v>3694</v>
      </c>
      <c r="C162" s="1258" t="s">
        <v>3699</v>
      </c>
      <c r="D162" s="1006">
        <f>D153+100</f>
        <v>2125</v>
      </c>
      <c r="E162" s="1006">
        <f>E153+100</f>
        <v>2250</v>
      </c>
      <c r="F162" s="1006">
        <f>F153+100</f>
        <v>2250</v>
      </c>
      <c r="G162" s="613" t="s">
        <v>28</v>
      </c>
      <c r="H162" s="56" t="s">
        <v>729</v>
      </c>
      <c r="I162" s="50" t="s">
        <v>3362</v>
      </c>
      <c r="J162" s="50"/>
      <c r="K162" s="19" t="s">
        <v>766</v>
      </c>
      <c r="L162" s="607" t="s">
        <v>653</v>
      </c>
      <c r="M162" s="620">
        <v>42982</v>
      </c>
      <c r="N162" s="620">
        <v>42982</v>
      </c>
      <c r="O162" s="153" t="s">
        <v>601</v>
      </c>
      <c r="P162" s="61"/>
      <c r="Q162" s="14" t="s">
        <v>100</v>
      </c>
      <c r="R162" s="606" t="s">
        <v>1750</v>
      </c>
      <c r="S162" s="316"/>
      <c r="T162" s="858"/>
    </row>
    <row r="163" spans="1:20" ht="20.100000000000001" customHeight="1">
      <c r="A163" s="1257" t="s">
        <v>3695</v>
      </c>
      <c r="B163" s="1258" t="s">
        <v>3694</v>
      </c>
      <c r="C163" s="1258" t="s">
        <v>3699</v>
      </c>
      <c r="D163" s="1006">
        <f t="shared" ref="D163:F164" si="0">D150</f>
        <v>1680</v>
      </c>
      <c r="E163" s="1006">
        <f t="shared" si="0"/>
        <v>1850</v>
      </c>
      <c r="F163" s="1006">
        <f t="shared" si="0"/>
        <v>1850</v>
      </c>
      <c r="G163" s="216" t="s">
        <v>19</v>
      </c>
      <c r="H163" s="56" t="s">
        <v>729</v>
      </c>
      <c r="I163" s="50" t="s">
        <v>3362</v>
      </c>
      <c r="J163" s="50"/>
      <c r="K163" s="19" t="s">
        <v>766</v>
      </c>
      <c r="L163" s="607" t="s">
        <v>653</v>
      </c>
      <c r="M163" s="156">
        <v>43084</v>
      </c>
      <c r="N163" s="156">
        <v>43093</v>
      </c>
      <c r="O163" s="59" t="s">
        <v>611</v>
      </c>
      <c r="P163" s="59"/>
      <c r="Q163" s="7"/>
      <c r="R163" s="610" t="s">
        <v>1750</v>
      </c>
      <c r="S163" s="315" t="s">
        <v>3337</v>
      </c>
      <c r="T163" s="858"/>
    </row>
    <row r="164" spans="1:20" ht="20.100000000000001" customHeight="1">
      <c r="A164" s="1257" t="s">
        <v>3695</v>
      </c>
      <c r="B164" s="1258" t="s">
        <v>3694</v>
      </c>
      <c r="C164" s="1258" t="s">
        <v>3699</v>
      </c>
      <c r="D164" s="1006">
        <f t="shared" si="0"/>
        <v>1275</v>
      </c>
      <c r="E164" s="1006">
        <f t="shared" si="0"/>
        <v>1300</v>
      </c>
      <c r="F164" s="1006">
        <f t="shared" si="0"/>
        <v>1300</v>
      </c>
      <c r="G164" s="613" t="s">
        <v>30</v>
      </c>
      <c r="H164" s="56" t="s">
        <v>729</v>
      </c>
      <c r="I164" s="50" t="s">
        <v>3362</v>
      </c>
      <c r="J164" s="50"/>
      <c r="K164" s="34" t="s">
        <v>766</v>
      </c>
      <c r="L164" s="607" t="s">
        <v>653</v>
      </c>
      <c r="M164" s="15">
        <v>43075</v>
      </c>
      <c r="N164" s="159">
        <v>43083</v>
      </c>
      <c r="O164" s="59"/>
      <c r="P164" s="59"/>
      <c r="Q164" s="7"/>
      <c r="R164" s="610" t="s">
        <v>1750</v>
      </c>
      <c r="S164" s="316" t="s">
        <v>3567</v>
      </c>
      <c r="T164" s="858"/>
    </row>
    <row r="165" spans="1:20" ht="20.100000000000001" customHeight="1">
      <c r="A165" s="1257" t="s">
        <v>3695</v>
      </c>
      <c r="B165" s="1258" t="s">
        <v>3694</v>
      </c>
      <c r="C165" s="1258" t="s">
        <v>3699</v>
      </c>
      <c r="D165" s="1051">
        <v>1300</v>
      </c>
      <c r="E165" s="1051">
        <v>1375</v>
      </c>
      <c r="F165" s="1051">
        <v>1375</v>
      </c>
      <c r="G165" s="630" t="s">
        <v>33</v>
      </c>
      <c r="H165" s="56" t="s">
        <v>729</v>
      </c>
      <c r="I165" s="50" t="s">
        <v>2656</v>
      </c>
      <c r="J165" s="50"/>
      <c r="K165" s="19" t="s">
        <v>680</v>
      </c>
      <c r="L165" s="607" t="s">
        <v>653</v>
      </c>
      <c r="M165" s="159">
        <v>43080</v>
      </c>
      <c r="N165" s="159">
        <v>43086</v>
      </c>
      <c r="O165" s="61"/>
      <c r="P165" s="61"/>
      <c r="Q165" s="7"/>
      <c r="R165" s="606" t="s">
        <v>2756</v>
      </c>
      <c r="S165" s="622" t="s">
        <v>1176</v>
      </c>
      <c r="T165" s="858"/>
    </row>
    <row r="166" spans="1:20" ht="20.100000000000001" customHeight="1">
      <c r="A166" s="1257" t="s">
        <v>3695</v>
      </c>
      <c r="B166" s="1258" t="s">
        <v>3694</v>
      </c>
      <c r="C166" s="1258" t="s">
        <v>3699</v>
      </c>
      <c r="D166" s="1051">
        <f>D142+391</f>
        <v>2071</v>
      </c>
      <c r="E166" s="1051">
        <f>E142+391</f>
        <v>2241</v>
      </c>
      <c r="F166" s="1051">
        <f>F142+391</f>
        <v>2241</v>
      </c>
      <c r="G166" s="216" t="s">
        <v>19</v>
      </c>
      <c r="H166" s="4" t="s">
        <v>3697</v>
      </c>
      <c r="I166" s="50" t="s">
        <v>2548</v>
      </c>
      <c r="J166" s="50"/>
      <c r="K166" s="34" t="s">
        <v>764</v>
      </c>
      <c r="L166" s="607" t="s">
        <v>653</v>
      </c>
      <c r="M166" s="156">
        <v>43084</v>
      </c>
      <c r="N166" s="156">
        <v>43093</v>
      </c>
      <c r="O166" s="59" t="s">
        <v>611</v>
      </c>
      <c r="P166" s="59"/>
      <c r="Q166" s="72" t="s">
        <v>100</v>
      </c>
      <c r="R166" s="606" t="s">
        <v>3696</v>
      </c>
      <c r="S166" s="315" t="s">
        <v>3337</v>
      </c>
      <c r="T166" s="858"/>
    </row>
    <row r="167" spans="1:20" ht="20.100000000000001" customHeight="1">
      <c r="A167" s="1257" t="s">
        <v>3695</v>
      </c>
      <c r="B167" s="1258" t="s">
        <v>3694</v>
      </c>
      <c r="C167" s="1258" t="s">
        <v>3699</v>
      </c>
      <c r="D167" s="1020">
        <f>E167*0.9</f>
        <v>2070</v>
      </c>
      <c r="E167" s="1020">
        <v>2300</v>
      </c>
      <c r="F167" s="1020">
        <f>E167+0</f>
        <v>2300</v>
      </c>
      <c r="G167" s="637" t="s">
        <v>12</v>
      </c>
      <c r="H167" s="4">
        <v>3</v>
      </c>
      <c r="I167" s="50" t="s">
        <v>2471</v>
      </c>
      <c r="J167" s="37"/>
      <c r="K167" s="16" t="s">
        <v>775</v>
      </c>
      <c r="L167" s="607" t="s">
        <v>653</v>
      </c>
      <c r="M167" s="15">
        <v>43070</v>
      </c>
      <c r="N167" s="15">
        <v>43083</v>
      </c>
      <c r="O167" s="61" t="s">
        <v>2545</v>
      </c>
      <c r="P167" s="61"/>
      <c r="Q167" s="7"/>
      <c r="R167" s="606" t="s">
        <v>3398</v>
      </c>
      <c r="S167" s="322" t="s">
        <v>1176</v>
      </c>
      <c r="T167" s="858"/>
    </row>
    <row r="168" spans="1:20" ht="20.100000000000001" customHeight="1">
      <c r="A168" s="1257" t="s">
        <v>3695</v>
      </c>
      <c r="B168" s="1258" t="s">
        <v>3694</v>
      </c>
      <c r="C168" s="1258" t="s">
        <v>3699</v>
      </c>
      <c r="D168" s="1006">
        <f>D161+100</f>
        <v>1700</v>
      </c>
      <c r="E168" s="1006">
        <f>E161+100</f>
        <v>1950</v>
      </c>
      <c r="F168" s="1006">
        <f>F161+100</f>
        <v>1950</v>
      </c>
      <c r="G168" s="216" t="s">
        <v>51</v>
      </c>
      <c r="H168" s="56" t="s">
        <v>729</v>
      </c>
      <c r="I168" s="50" t="s">
        <v>2656</v>
      </c>
      <c r="J168" s="50"/>
      <c r="K168" s="19" t="s">
        <v>830</v>
      </c>
      <c r="L168" s="607" t="s">
        <v>653</v>
      </c>
      <c r="M168" s="611">
        <v>43086</v>
      </c>
      <c r="N168" s="611">
        <v>43100</v>
      </c>
      <c r="O168" s="61"/>
      <c r="P168" s="61"/>
      <c r="Q168" s="14" t="s">
        <v>100</v>
      </c>
      <c r="R168" s="606" t="s">
        <v>1834</v>
      </c>
      <c r="S168" s="316" t="s">
        <v>3341</v>
      </c>
      <c r="T168" s="904"/>
    </row>
    <row r="169" spans="1:20" ht="20.100000000000001" customHeight="1">
      <c r="A169" s="1257" t="s">
        <v>3695</v>
      </c>
      <c r="B169" s="1258" t="s">
        <v>3694</v>
      </c>
      <c r="C169" s="1258" t="s">
        <v>3699</v>
      </c>
      <c r="D169" s="1051">
        <f>D146+100</f>
        <v>1350</v>
      </c>
      <c r="E169" s="1051">
        <f>E146+100</f>
        <v>1450</v>
      </c>
      <c r="F169" s="1051">
        <f>F146+100</f>
        <v>1450</v>
      </c>
      <c r="G169" s="618" t="s">
        <v>31</v>
      </c>
      <c r="H169" s="56" t="s">
        <v>681</v>
      </c>
      <c r="I169" s="37" t="s">
        <v>2548</v>
      </c>
      <c r="J169" s="37"/>
      <c r="K169" s="5" t="s">
        <v>1107</v>
      </c>
      <c r="L169" s="607" t="s">
        <v>653</v>
      </c>
      <c r="M169" s="623">
        <v>43080</v>
      </c>
      <c r="N169" s="623">
        <v>43083</v>
      </c>
      <c r="O169" s="61" t="s">
        <v>899</v>
      </c>
      <c r="P169" s="61"/>
      <c r="Q169" s="7" t="s">
        <v>100</v>
      </c>
      <c r="R169" s="606" t="s">
        <v>3563</v>
      </c>
      <c r="S169" s="622" t="s">
        <v>1176</v>
      </c>
      <c r="T169" s="858"/>
    </row>
    <row r="170" spans="1:20" ht="20.100000000000001" customHeight="1">
      <c r="A170" s="1257" t="s">
        <v>3695</v>
      </c>
      <c r="B170" s="1258" t="s">
        <v>3694</v>
      </c>
      <c r="C170" s="1258" t="s">
        <v>3699</v>
      </c>
      <c r="D170" s="1006">
        <f>D156+100</f>
        <v>1700</v>
      </c>
      <c r="E170" s="1006">
        <f>E156+100</f>
        <v>1950</v>
      </c>
      <c r="F170" s="1006">
        <f>F156+100</f>
        <v>1950</v>
      </c>
      <c r="G170" s="216" t="s">
        <v>51</v>
      </c>
      <c r="H170" s="168" t="s">
        <v>1233</v>
      </c>
      <c r="I170" s="50" t="s">
        <v>3362</v>
      </c>
      <c r="J170" s="50"/>
      <c r="K170" s="34" t="s">
        <v>660</v>
      </c>
      <c r="L170" s="607" t="s">
        <v>653</v>
      </c>
      <c r="M170" s="611">
        <v>43086</v>
      </c>
      <c r="N170" s="611">
        <v>43100</v>
      </c>
      <c r="O170" s="59" t="s">
        <v>601</v>
      </c>
      <c r="P170" s="59"/>
      <c r="Q170" s="14" t="s">
        <v>100</v>
      </c>
      <c r="R170" s="610" t="s">
        <v>2472</v>
      </c>
      <c r="S170" s="316" t="s">
        <v>3341</v>
      </c>
      <c r="T170" s="858"/>
    </row>
    <row r="171" spans="1:20" ht="20.100000000000001" customHeight="1">
      <c r="A171" s="1257" t="s">
        <v>3695</v>
      </c>
      <c r="B171" s="1258" t="s">
        <v>3694</v>
      </c>
      <c r="C171" s="1258" t="s">
        <v>3699</v>
      </c>
      <c r="D171" s="1006">
        <f>D158+100</f>
        <v>1675</v>
      </c>
      <c r="E171" s="1006">
        <f>E158+200</f>
        <v>1800</v>
      </c>
      <c r="F171" s="1006">
        <f>F158+200</f>
        <v>1800</v>
      </c>
      <c r="G171" s="609" t="s">
        <v>1689</v>
      </c>
      <c r="H171" s="168" t="s">
        <v>1233</v>
      </c>
      <c r="I171" s="50" t="s">
        <v>3362</v>
      </c>
      <c r="J171" s="50"/>
      <c r="K171" s="34" t="s">
        <v>764</v>
      </c>
      <c r="L171" s="607" t="s">
        <v>653</v>
      </c>
      <c r="M171" s="156">
        <v>43076</v>
      </c>
      <c r="N171" s="156">
        <v>43083</v>
      </c>
      <c r="O171" s="61" t="s">
        <v>1771</v>
      </c>
      <c r="P171" s="59"/>
      <c r="Q171" s="72" t="s">
        <v>100</v>
      </c>
      <c r="R171" s="610" t="s">
        <v>2470</v>
      </c>
      <c r="S171" s="316"/>
      <c r="T171" s="858"/>
    </row>
    <row r="172" spans="1:20" ht="20.100000000000001" customHeight="1">
      <c r="A172" s="1257" t="s">
        <v>3695</v>
      </c>
      <c r="B172" s="1258" t="s">
        <v>3694</v>
      </c>
      <c r="C172" s="1258" t="s">
        <v>3699</v>
      </c>
      <c r="D172" s="1006">
        <f>D159</f>
        <v>1680</v>
      </c>
      <c r="E172" s="1006">
        <f>E159</f>
        <v>1850</v>
      </c>
      <c r="F172" s="1006">
        <f>F159</f>
        <v>1850</v>
      </c>
      <c r="G172" s="216" t="s">
        <v>19</v>
      </c>
      <c r="H172" s="168" t="s">
        <v>1233</v>
      </c>
      <c r="I172" s="50" t="s">
        <v>3362</v>
      </c>
      <c r="J172" s="50"/>
      <c r="K172" s="34" t="s">
        <v>835</v>
      </c>
      <c r="L172" s="607" t="s">
        <v>653</v>
      </c>
      <c r="M172" s="156">
        <v>43084</v>
      </c>
      <c r="N172" s="156">
        <v>43093</v>
      </c>
      <c r="O172" s="59" t="s">
        <v>611</v>
      </c>
      <c r="P172" s="59"/>
      <c r="Q172" s="7"/>
      <c r="R172" s="610" t="s">
        <v>2469</v>
      </c>
      <c r="S172" s="315" t="s">
        <v>3337</v>
      </c>
      <c r="T172" s="858"/>
    </row>
    <row r="173" spans="1:20" ht="20.100000000000001" customHeight="1">
      <c r="A173" s="1257" t="s">
        <v>3695</v>
      </c>
      <c r="B173" s="1258" t="s">
        <v>3694</v>
      </c>
      <c r="C173" s="1258" t="s">
        <v>3699</v>
      </c>
      <c r="D173" s="1018">
        <f>D159+106</f>
        <v>1786</v>
      </c>
      <c r="E173" s="1018">
        <f>E159+200</f>
        <v>2050</v>
      </c>
      <c r="F173" s="1018">
        <f>F159+200</f>
        <v>2050</v>
      </c>
      <c r="G173" s="216" t="s">
        <v>19</v>
      </c>
      <c r="H173" s="168" t="s">
        <v>1233</v>
      </c>
      <c r="I173" s="50" t="s">
        <v>3362</v>
      </c>
      <c r="J173" s="50"/>
      <c r="K173" s="34" t="s">
        <v>835</v>
      </c>
      <c r="L173" s="607" t="s">
        <v>653</v>
      </c>
      <c r="M173" s="156">
        <v>43084</v>
      </c>
      <c r="N173" s="156">
        <v>43093</v>
      </c>
      <c r="O173" s="59" t="s">
        <v>611</v>
      </c>
      <c r="P173" s="59"/>
      <c r="Q173" s="72" t="s">
        <v>100</v>
      </c>
      <c r="R173" s="610" t="s">
        <v>2469</v>
      </c>
      <c r="S173" s="315" t="s">
        <v>3337</v>
      </c>
      <c r="T173" s="858"/>
    </row>
    <row r="174" spans="1:20" ht="20.100000000000001" customHeight="1">
      <c r="A174" s="1257" t="s">
        <v>3695</v>
      </c>
      <c r="B174" s="1258" t="s">
        <v>3694</v>
      </c>
      <c r="C174" s="1258" t="s">
        <v>3699</v>
      </c>
      <c r="D174" s="1018">
        <f>D157</f>
        <v>1325</v>
      </c>
      <c r="E174" s="1018">
        <f>E157</f>
        <v>1400</v>
      </c>
      <c r="F174" s="1018">
        <f>F157</f>
        <v>1400</v>
      </c>
      <c r="G174" s="216" t="s">
        <v>5</v>
      </c>
      <c r="H174" s="168" t="s">
        <v>1233</v>
      </c>
      <c r="I174" s="50" t="s">
        <v>17</v>
      </c>
      <c r="J174" s="50"/>
      <c r="K174" s="19" t="s">
        <v>687</v>
      </c>
      <c r="L174" s="607" t="s">
        <v>653</v>
      </c>
      <c r="M174" s="159">
        <v>43073</v>
      </c>
      <c r="N174" s="159">
        <v>43083</v>
      </c>
      <c r="O174" s="61" t="s">
        <v>1771</v>
      </c>
      <c r="P174" s="59"/>
      <c r="Q174" s="7"/>
      <c r="R174" s="610" t="s">
        <v>2566</v>
      </c>
      <c r="S174" s="619"/>
      <c r="T174" s="858"/>
    </row>
    <row r="175" spans="1:20" ht="20.100000000000001" customHeight="1">
      <c r="A175" s="1257" t="s">
        <v>3695</v>
      </c>
      <c r="B175" s="1258" t="s">
        <v>3694</v>
      </c>
      <c r="C175" s="1258" t="s">
        <v>3699</v>
      </c>
      <c r="D175" s="1019">
        <f>D157+125+25</f>
        <v>1475</v>
      </c>
      <c r="E175" s="1019">
        <f>E157+242+50</f>
        <v>1692</v>
      </c>
      <c r="F175" s="1019">
        <f>F157+242+50</f>
        <v>1692</v>
      </c>
      <c r="G175" s="216" t="s">
        <v>5</v>
      </c>
      <c r="H175" s="168" t="s">
        <v>1233</v>
      </c>
      <c r="I175" s="50" t="s">
        <v>3362</v>
      </c>
      <c r="J175" s="50"/>
      <c r="K175" s="19" t="s">
        <v>764</v>
      </c>
      <c r="L175" s="607" t="s">
        <v>653</v>
      </c>
      <c r="M175" s="159">
        <v>43073</v>
      </c>
      <c r="N175" s="159">
        <v>43083</v>
      </c>
      <c r="O175" s="61" t="s">
        <v>1771</v>
      </c>
      <c r="P175" s="59"/>
      <c r="Q175" s="72" t="s">
        <v>3342</v>
      </c>
      <c r="R175" s="610" t="s">
        <v>2566</v>
      </c>
      <c r="S175" s="619"/>
      <c r="T175" s="858"/>
    </row>
    <row r="176" spans="1:20" ht="20.100000000000001" customHeight="1">
      <c r="A176" s="1257" t="s">
        <v>3695</v>
      </c>
      <c r="B176" s="1258" t="s">
        <v>3694</v>
      </c>
      <c r="C176" s="1258" t="s">
        <v>3698</v>
      </c>
      <c r="D176" s="1020">
        <f>E176*0.9</f>
        <v>2070</v>
      </c>
      <c r="E176" s="1020">
        <v>2300</v>
      </c>
      <c r="F176" s="1020">
        <f>E176+0</f>
        <v>2300</v>
      </c>
      <c r="G176" s="637" t="s">
        <v>12</v>
      </c>
      <c r="H176" s="56">
        <v>3</v>
      </c>
      <c r="I176" s="50" t="s">
        <v>2471</v>
      </c>
      <c r="J176" s="37"/>
      <c r="K176" s="16" t="s">
        <v>775</v>
      </c>
      <c r="L176" s="607" t="s">
        <v>653</v>
      </c>
      <c r="M176" s="15">
        <v>43070</v>
      </c>
      <c r="N176" s="15">
        <v>43083</v>
      </c>
      <c r="O176" s="61" t="s">
        <v>2545</v>
      </c>
      <c r="P176" s="61"/>
      <c r="Q176" s="7"/>
      <c r="R176" s="606" t="s">
        <v>3398</v>
      </c>
      <c r="S176" s="322" t="s">
        <v>1176</v>
      </c>
      <c r="T176" s="921"/>
    </row>
    <row r="177" spans="1:20" ht="20.100000000000001" customHeight="1">
      <c r="A177" s="1257" t="s">
        <v>3695</v>
      </c>
      <c r="B177" s="1258" t="s">
        <v>3694</v>
      </c>
      <c r="C177" s="1258" t="s">
        <v>3698</v>
      </c>
      <c r="D177" s="1015">
        <f>D146</f>
        <v>1250</v>
      </c>
      <c r="E177" s="1015">
        <f>E146</f>
        <v>1350</v>
      </c>
      <c r="F177" s="1015">
        <f>F146</f>
        <v>1350</v>
      </c>
      <c r="G177" s="618" t="s">
        <v>31</v>
      </c>
      <c r="H177" s="56" t="s">
        <v>725</v>
      </c>
      <c r="I177" s="50" t="s">
        <v>17</v>
      </c>
      <c r="J177" s="37"/>
      <c r="K177" s="5" t="s">
        <v>968</v>
      </c>
      <c r="L177" s="607" t="s">
        <v>653</v>
      </c>
      <c r="M177" s="623">
        <v>43080</v>
      </c>
      <c r="N177" s="623">
        <v>43083</v>
      </c>
      <c r="O177" s="61" t="s">
        <v>899</v>
      </c>
      <c r="P177" s="61"/>
      <c r="Q177" s="52"/>
      <c r="R177" s="606" t="s">
        <v>2586</v>
      </c>
      <c r="S177" s="622" t="s">
        <v>1176</v>
      </c>
      <c r="T177" s="921"/>
    </row>
    <row r="178" spans="1:20" ht="20.100000000000001" customHeight="1">
      <c r="A178" s="1257" t="s">
        <v>3695</v>
      </c>
      <c r="B178" s="1258" t="s">
        <v>3694</v>
      </c>
      <c r="C178" s="1258" t="s">
        <v>3698</v>
      </c>
      <c r="D178" s="1019">
        <f>D157+125</f>
        <v>1450</v>
      </c>
      <c r="E178" s="1019">
        <f>E157+242+50</f>
        <v>1692</v>
      </c>
      <c r="F178" s="1019">
        <f>F157+242+50</f>
        <v>1692</v>
      </c>
      <c r="G178" s="216" t="s">
        <v>5</v>
      </c>
      <c r="H178" s="168" t="s">
        <v>1233</v>
      </c>
      <c r="I178" s="50" t="s">
        <v>3362</v>
      </c>
      <c r="J178" s="50"/>
      <c r="K178" s="19" t="s">
        <v>764</v>
      </c>
      <c r="L178" s="607" t="s">
        <v>653</v>
      </c>
      <c r="M178" s="159">
        <v>43073</v>
      </c>
      <c r="N178" s="159">
        <v>43083</v>
      </c>
      <c r="O178" s="61" t="s">
        <v>1771</v>
      </c>
      <c r="P178" s="61"/>
      <c r="Q178" s="72" t="s">
        <v>3342</v>
      </c>
      <c r="R178" s="610" t="s">
        <v>2566</v>
      </c>
      <c r="S178" s="316"/>
      <c r="T178" s="921"/>
    </row>
    <row r="179" spans="1:20" ht="20.100000000000001" customHeight="1">
      <c r="A179" s="1257" t="s">
        <v>3695</v>
      </c>
      <c r="B179" s="1258" t="s">
        <v>3694</v>
      </c>
      <c r="C179" s="1258" t="s">
        <v>3693</v>
      </c>
      <c r="D179" s="1019">
        <f>D153+250</f>
        <v>2275</v>
      </c>
      <c r="E179" s="1019">
        <f>E153+250</f>
        <v>2400</v>
      </c>
      <c r="F179" s="1019">
        <f>F153+250</f>
        <v>2400</v>
      </c>
      <c r="G179" s="613" t="s">
        <v>28</v>
      </c>
      <c r="H179" s="56" t="s">
        <v>729</v>
      </c>
      <c r="I179" s="51" t="s">
        <v>2656</v>
      </c>
      <c r="J179" s="51"/>
      <c r="K179" s="19" t="s">
        <v>766</v>
      </c>
      <c r="L179" s="607" t="s">
        <v>653</v>
      </c>
      <c r="M179" s="620">
        <v>42982</v>
      </c>
      <c r="N179" s="620">
        <v>42982</v>
      </c>
      <c r="O179" s="153" t="s">
        <v>601</v>
      </c>
      <c r="P179" s="61"/>
      <c r="Q179" s="14" t="s">
        <v>100</v>
      </c>
      <c r="R179" s="606" t="s">
        <v>1750</v>
      </c>
      <c r="S179" s="316"/>
      <c r="T179" s="858"/>
    </row>
    <row r="180" spans="1:20" ht="20.100000000000001" customHeight="1">
      <c r="A180" s="1257" t="s">
        <v>3695</v>
      </c>
      <c r="B180" s="1258" t="s">
        <v>3694</v>
      </c>
      <c r="C180" s="1258" t="s">
        <v>3693</v>
      </c>
      <c r="D180" s="1021">
        <f>D160+250</f>
        <v>1550</v>
      </c>
      <c r="E180" s="1021">
        <f>E160+250</f>
        <v>1625</v>
      </c>
      <c r="F180" s="1021">
        <f>F160+250</f>
        <v>1625</v>
      </c>
      <c r="G180" s="613" t="s">
        <v>33</v>
      </c>
      <c r="H180" s="56" t="s">
        <v>729</v>
      </c>
      <c r="I180" s="50" t="s">
        <v>2656</v>
      </c>
      <c r="J180" s="50"/>
      <c r="K180" s="19" t="s">
        <v>680</v>
      </c>
      <c r="L180" s="607" t="s">
        <v>653</v>
      </c>
      <c r="M180" s="159">
        <v>43080</v>
      </c>
      <c r="N180" s="159">
        <v>43086</v>
      </c>
      <c r="O180" s="61"/>
      <c r="P180" s="61"/>
      <c r="Q180" s="72" t="s">
        <v>100</v>
      </c>
      <c r="R180" s="606" t="s">
        <v>2756</v>
      </c>
      <c r="S180" s="622" t="s">
        <v>1176</v>
      </c>
      <c r="T180" s="858"/>
    </row>
    <row r="181" spans="1:20" ht="20.100000000000001" customHeight="1">
      <c r="A181" s="1257" t="s">
        <v>3695</v>
      </c>
      <c r="B181" s="1258" t="s">
        <v>3694</v>
      </c>
      <c r="C181" s="1258" t="s">
        <v>3693</v>
      </c>
      <c r="D181" s="1019">
        <f>D142+255</f>
        <v>1935</v>
      </c>
      <c r="E181" s="1019">
        <f>E142+255</f>
        <v>2105</v>
      </c>
      <c r="F181" s="1019">
        <f>F142+255</f>
        <v>2105</v>
      </c>
      <c r="G181" s="216" t="s">
        <v>19</v>
      </c>
      <c r="H181" s="4" t="s">
        <v>3697</v>
      </c>
      <c r="I181" s="50" t="s">
        <v>2548</v>
      </c>
      <c r="J181" s="50"/>
      <c r="K181" s="34" t="s">
        <v>764</v>
      </c>
      <c r="L181" s="607" t="s">
        <v>653</v>
      </c>
      <c r="M181" s="156">
        <v>43084</v>
      </c>
      <c r="N181" s="156">
        <v>43093</v>
      </c>
      <c r="O181" s="59" t="s">
        <v>611</v>
      </c>
      <c r="P181" s="59"/>
      <c r="Q181" s="72" t="s">
        <v>100</v>
      </c>
      <c r="R181" s="606" t="s">
        <v>3696</v>
      </c>
      <c r="S181" s="315" t="s">
        <v>3337</v>
      </c>
      <c r="T181" s="858"/>
    </row>
    <row r="182" spans="1:20" ht="20.100000000000001" customHeight="1">
      <c r="A182" s="1257" t="s">
        <v>3695</v>
      </c>
      <c r="B182" s="1258" t="s">
        <v>3694</v>
      </c>
      <c r="C182" s="1258" t="s">
        <v>3693</v>
      </c>
      <c r="D182" s="1019">
        <f>D155+150</f>
        <v>2220</v>
      </c>
      <c r="E182" s="1019">
        <f>E155+150</f>
        <v>2450</v>
      </c>
      <c r="F182" s="1019">
        <f>F155+150</f>
        <v>2450</v>
      </c>
      <c r="G182" s="216" t="s">
        <v>12</v>
      </c>
      <c r="H182" s="4">
        <v>3</v>
      </c>
      <c r="I182" s="50" t="s">
        <v>2471</v>
      </c>
      <c r="J182" s="37"/>
      <c r="K182" s="16" t="s">
        <v>775</v>
      </c>
      <c r="L182" s="607" t="s">
        <v>653</v>
      </c>
      <c r="M182" s="15">
        <v>43070</v>
      </c>
      <c r="N182" s="15">
        <v>43083</v>
      </c>
      <c r="O182" s="61" t="s">
        <v>2545</v>
      </c>
      <c r="P182" s="61"/>
      <c r="Q182" s="7"/>
      <c r="R182" s="606" t="s">
        <v>3398</v>
      </c>
      <c r="S182" s="322" t="s">
        <v>1176</v>
      </c>
      <c r="T182" s="858"/>
    </row>
    <row r="183" spans="1:20" ht="20.100000000000001" customHeight="1">
      <c r="A183" s="1257" t="s">
        <v>3695</v>
      </c>
      <c r="B183" s="1258" t="s">
        <v>3694</v>
      </c>
      <c r="C183" s="1258" t="s">
        <v>3693</v>
      </c>
      <c r="D183" s="1019">
        <f>D168+100</f>
        <v>1800</v>
      </c>
      <c r="E183" s="1019">
        <f>E168+100</f>
        <v>2050</v>
      </c>
      <c r="F183" s="1019">
        <f>F168+100</f>
        <v>2050</v>
      </c>
      <c r="G183" s="216" t="s">
        <v>51</v>
      </c>
      <c r="H183" s="56" t="s">
        <v>729</v>
      </c>
      <c r="I183" s="51" t="s">
        <v>2656</v>
      </c>
      <c r="J183" s="51"/>
      <c r="K183" s="19" t="s">
        <v>830</v>
      </c>
      <c r="L183" s="607" t="s">
        <v>653</v>
      </c>
      <c r="M183" s="611">
        <v>43086</v>
      </c>
      <c r="N183" s="611">
        <v>43100</v>
      </c>
      <c r="O183" s="61"/>
      <c r="P183" s="61"/>
      <c r="Q183" s="14" t="s">
        <v>100</v>
      </c>
      <c r="R183" s="606" t="s">
        <v>1834</v>
      </c>
      <c r="S183" s="316" t="s">
        <v>3341</v>
      </c>
      <c r="T183" s="858"/>
    </row>
    <row r="184" spans="1:20" ht="20.100000000000001" customHeight="1">
      <c r="A184" s="1257" t="s">
        <v>3695</v>
      </c>
      <c r="B184" s="1258" t="s">
        <v>3694</v>
      </c>
      <c r="C184" s="1258" t="s">
        <v>3693</v>
      </c>
      <c r="D184" s="1019">
        <f>D170+100</f>
        <v>1800</v>
      </c>
      <c r="E184" s="1019">
        <f>E170+100</f>
        <v>2050</v>
      </c>
      <c r="F184" s="1019">
        <f>F170+100</f>
        <v>2050</v>
      </c>
      <c r="G184" s="216" t="s">
        <v>51</v>
      </c>
      <c r="H184" s="168" t="s">
        <v>1233</v>
      </c>
      <c r="I184" s="50" t="s">
        <v>3362</v>
      </c>
      <c r="J184" s="50"/>
      <c r="K184" s="34" t="s">
        <v>660</v>
      </c>
      <c r="L184" s="607" t="s">
        <v>653</v>
      </c>
      <c r="M184" s="611">
        <v>43086</v>
      </c>
      <c r="N184" s="611">
        <v>43100</v>
      </c>
      <c r="O184" s="59" t="s">
        <v>601</v>
      </c>
      <c r="P184" s="59"/>
      <c r="Q184" s="72" t="s">
        <v>100</v>
      </c>
      <c r="R184" s="610" t="s">
        <v>2472</v>
      </c>
      <c r="S184" s="316" t="s">
        <v>3341</v>
      </c>
      <c r="T184" s="904"/>
    </row>
    <row r="185" spans="1:20" ht="20.100000000000001" customHeight="1">
      <c r="A185" s="1257" t="s">
        <v>3695</v>
      </c>
      <c r="B185" s="1258" t="s">
        <v>3694</v>
      </c>
      <c r="C185" s="1258" t="s">
        <v>3693</v>
      </c>
      <c r="D185" s="1019">
        <f>D157+375+25</f>
        <v>1725</v>
      </c>
      <c r="E185" s="1019">
        <f>E157+400+50</f>
        <v>1850</v>
      </c>
      <c r="F185" s="1019">
        <f>F157+400+50</f>
        <v>1850</v>
      </c>
      <c r="G185" s="216" t="s">
        <v>5</v>
      </c>
      <c r="H185" s="168" t="s">
        <v>1233</v>
      </c>
      <c r="I185" s="50" t="s">
        <v>3362</v>
      </c>
      <c r="J185" s="50"/>
      <c r="K185" s="34" t="s">
        <v>775</v>
      </c>
      <c r="L185" s="607" t="s">
        <v>653</v>
      </c>
      <c r="M185" s="159">
        <v>43073</v>
      </c>
      <c r="N185" s="159">
        <v>43083</v>
      </c>
      <c r="O185" s="61" t="s">
        <v>1771</v>
      </c>
      <c r="P185" s="59"/>
      <c r="Q185" s="72" t="s">
        <v>3342</v>
      </c>
      <c r="R185" s="610" t="s">
        <v>2566</v>
      </c>
      <c r="S185" s="316"/>
      <c r="T185" s="904"/>
    </row>
    <row r="186" spans="1:20" ht="20.100000000000001" customHeight="1">
      <c r="A186" s="1257" t="s">
        <v>3695</v>
      </c>
      <c r="B186" s="1258" t="s">
        <v>3694</v>
      </c>
      <c r="C186" s="1258" t="s">
        <v>3693</v>
      </c>
      <c r="D186" s="1019">
        <f>D159+393</f>
        <v>2073</v>
      </c>
      <c r="E186" s="1019">
        <f>E159+393</f>
        <v>2243</v>
      </c>
      <c r="F186" s="1019">
        <f>F159+393</f>
        <v>2243</v>
      </c>
      <c r="G186" s="216" t="s">
        <v>19</v>
      </c>
      <c r="H186" s="168" t="s">
        <v>1233</v>
      </c>
      <c r="I186" s="50" t="s">
        <v>3362</v>
      </c>
      <c r="J186" s="50"/>
      <c r="K186" s="19" t="s">
        <v>835</v>
      </c>
      <c r="L186" s="607" t="s">
        <v>653</v>
      </c>
      <c r="M186" s="156">
        <v>43084</v>
      </c>
      <c r="N186" s="156">
        <v>43093</v>
      </c>
      <c r="O186" s="59" t="s">
        <v>611</v>
      </c>
      <c r="P186" s="59"/>
      <c r="Q186" s="72" t="s">
        <v>100</v>
      </c>
      <c r="R186" s="610" t="s">
        <v>2469</v>
      </c>
      <c r="S186" s="315" t="s">
        <v>3337</v>
      </c>
      <c r="T186" s="904"/>
    </row>
    <row r="187" spans="1:20" ht="20.100000000000001" customHeight="1">
      <c r="A187" s="1257" t="s">
        <v>3695</v>
      </c>
      <c r="B187" s="1258" t="s">
        <v>3694</v>
      </c>
      <c r="C187" s="1258" t="s">
        <v>3693</v>
      </c>
      <c r="D187" s="1021">
        <f>D158+370</f>
        <v>1945</v>
      </c>
      <c r="E187" s="1021">
        <f>E158+370</f>
        <v>1970</v>
      </c>
      <c r="F187" s="1021">
        <f>F158+370</f>
        <v>1970</v>
      </c>
      <c r="G187" s="609" t="s">
        <v>1689</v>
      </c>
      <c r="H187" s="168" t="s">
        <v>1233</v>
      </c>
      <c r="I187" s="50" t="s">
        <v>3362</v>
      </c>
      <c r="J187" s="50"/>
      <c r="K187" s="34" t="s">
        <v>764</v>
      </c>
      <c r="L187" s="607" t="s">
        <v>653</v>
      </c>
      <c r="M187" s="156">
        <v>43076</v>
      </c>
      <c r="N187" s="156">
        <v>43083</v>
      </c>
      <c r="O187" s="61" t="s">
        <v>1771</v>
      </c>
      <c r="P187" s="61"/>
      <c r="Q187" s="72" t="s">
        <v>100</v>
      </c>
      <c r="R187" s="610" t="s">
        <v>2470</v>
      </c>
      <c r="S187" s="316"/>
      <c r="T187" s="858"/>
    </row>
    <row r="188" spans="1:20" ht="20.100000000000001" customHeight="1">
      <c r="A188" s="1257" t="s">
        <v>2973</v>
      </c>
      <c r="B188" s="1258" t="s">
        <v>3688</v>
      </c>
      <c r="C188" s="1258" t="s">
        <v>3689</v>
      </c>
      <c r="D188" s="1006">
        <v>2800</v>
      </c>
      <c r="E188" s="1006">
        <v>3175</v>
      </c>
      <c r="F188" s="1006">
        <v>3175</v>
      </c>
      <c r="G188" s="631" t="s">
        <v>33</v>
      </c>
      <c r="H188" s="56"/>
      <c r="I188" s="50" t="s">
        <v>2656</v>
      </c>
      <c r="J188" s="50"/>
      <c r="K188" s="19" t="s">
        <v>728</v>
      </c>
      <c r="L188" s="607" t="s">
        <v>653</v>
      </c>
      <c r="M188" s="159">
        <v>43080</v>
      </c>
      <c r="N188" s="159">
        <v>43086</v>
      </c>
      <c r="O188" s="61"/>
      <c r="P188" s="61" t="s">
        <v>939</v>
      </c>
      <c r="Q188" s="7"/>
      <c r="R188" s="606" t="s">
        <v>2756</v>
      </c>
      <c r="S188" s="622" t="s">
        <v>1176</v>
      </c>
      <c r="T188" s="858"/>
    </row>
    <row r="189" spans="1:20" ht="20.100000000000001" customHeight="1">
      <c r="A189" s="1257" t="s">
        <v>2973</v>
      </c>
      <c r="B189" s="1258" t="s">
        <v>3688</v>
      </c>
      <c r="C189" s="1258" t="s">
        <v>3689</v>
      </c>
      <c r="D189" s="1020">
        <f>E189*0.8</f>
        <v>2320</v>
      </c>
      <c r="E189" s="1020">
        <v>2900</v>
      </c>
      <c r="F189" s="1020">
        <f>E189</f>
        <v>2900</v>
      </c>
      <c r="G189" s="637" t="s">
        <v>12</v>
      </c>
      <c r="H189" s="56">
        <v>3</v>
      </c>
      <c r="I189" s="50" t="s">
        <v>2471</v>
      </c>
      <c r="J189" s="50"/>
      <c r="K189" s="34" t="s">
        <v>662</v>
      </c>
      <c r="L189" s="607" t="s">
        <v>653</v>
      </c>
      <c r="M189" s="15">
        <v>43076</v>
      </c>
      <c r="N189" s="15">
        <v>43083</v>
      </c>
      <c r="O189" s="59" t="s">
        <v>2621</v>
      </c>
      <c r="P189" s="59"/>
      <c r="Q189" s="7"/>
      <c r="R189" s="610" t="s">
        <v>3398</v>
      </c>
      <c r="S189" s="322" t="s">
        <v>1176</v>
      </c>
      <c r="T189" s="858"/>
    </row>
    <row r="190" spans="1:20" ht="20.100000000000001" customHeight="1">
      <c r="A190" s="1257" t="s">
        <v>2973</v>
      </c>
      <c r="B190" s="1258" t="s">
        <v>3688</v>
      </c>
      <c r="C190" s="1258" t="s">
        <v>3689</v>
      </c>
      <c r="D190" s="1008">
        <v>2300</v>
      </c>
      <c r="E190" s="1008">
        <v>2800</v>
      </c>
      <c r="F190" s="1008">
        <v>2800</v>
      </c>
      <c r="G190" s="637" t="s">
        <v>51</v>
      </c>
      <c r="H190" s="56" t="s">
        <v>3379</v>
      </c>
      <c r="I190" s="51" t="s">
        <v>2695</v>
      </c>
      <c r="J190" s="51"/>
      <c r="K190" s="19" t="s">
        <v>3692</v>
      </c>
      <c r="L190" s="607" t="s">
        <v>653</v>
      </c>
      <c r="M190" s="611">
        <v>43058</v>
      </c>
      <c r="N190" s="611">
        <v>43100</v>
      </c>
      <c r="O190" s="61"/>
      <c r="P190" s="61"/>
      <c r="Q190" s="52"/>
      <c r="R190" s="606" t="s">
        <v>2787</v>
      </c>
      <c r="S190" s="316" t="s">
        <v>3341</v>
      </c>
      <c r="T190" s="858"/>
    </row>
    <row r="191" spans="1:20" ht="20.100000000000001" customHeight="1">
      <c r="A191" s="1257" t="s">
        <v>2973</v>
      </c>
      <c r="B191" s="1258" t="s">
        <v>3688</v>
      </c>
      <c r="C191" s="1258" t="s">
        <v>3689</v>
      </c>
      <c r="D191" s="1006">
        <v>3442</v>
      </c>
      <c r="E191" s="1006">
        <v>3962</v>
      </c>
      <c r="F191" s="1006">
        <v>3962</v>
      </c>
      <c r="G191" s="631" t="s">
        <v>31</v>
      </c>
      <c r="H191" s="56" t="s">
        <v>725</v>
      </c>
      <c r="I191" s="38" t="s">
        <v>2468</v>
      </c>
      <c r="J191" s="37"/>
      <c r="K191" s="16">
        <v>35</v>
      </c>
      <c r="L191" s="607" t="s">
        <v>653</v>
      </c>
      <c r="M191" s="623">
        <v>43040</v>
      </c>
      <c r="N191" s="623">
        <v>43100</v>
      </c>
      <c r="O191" s="61"/>
      <c r="P191" s="61" t="s">
        <v>3691</v>
      </c>
      <c r="Q191" s="52"/>
      <c r="R191" s="606" t="s">
        <v>2586</v>
      </c>
      <c r="S191" s="622" t="s">
        <v>1176</v>
      </c>
      <c r="T191" s="858"/>
    </row>
    <row r="192" spans="1:20" ht="20.100000000000001" customHeight="1">
      <c r="A192" s="1257" t="s">
        <v>2973</v>
      </c>
      <c r="B192" s="1258" t="s">
        <v>3688</v>
      </c>
      <c r="C192" s="1258" t="s">
        <v>3689</v>
      </c>
      <c r="D192" s="1007">
        <v>2425</v>
      </c>
      <c r="E192" s="1007">
        <v>2750</v>
      </c>
      <c r="F192" s="1007">
        <v>2750</v>
      </c>
      <c r="G192" s="637" t="s">
        <v>5</v>
      </c>
      <c r="H192" s="168" t="s">
        <v>1233</v>
      </c>
      <c r="I192" s="51" t="s">
        <v>2471</v>
      </c>
      <c r="J192" s="51"/>
      <c r="K192" s="34" t="s">
        <v>985</v>
      </c>
      <c r="L192" s="607" t="s">
        <v>653</v>
      </c>
      <c r="M192" s="607"/>
      <c r="N192" s="159">
        <v>42981</v>
      </c>
      <c r="O192" s="61" t="s">
        <v>1771</v>
      </c>
      <c r="P192" s="59"/>
      <c r="Q192" s="7"/>
      <c r="R192" s="610" t="s">
        <v>2566</v>
      </c>
      <c r="S192" s="619"/>
      <c r="T192" s="858"/>
    </row>
    <row r="193" spans="1:20" ht="20.100000000000001" customHeight="1">
      <c r="A193" s="1257" t="s">
        <v>2973</v>
      </c>
      <c r="B193" s="1258" t="s">
        <v>3688</v>
      </c>
      <c r="C193" s="1258" t="s">
        <v>3689</v>
      </c>
      <c r="D193" s="1008">
        <f>D232+400</f>
        <v>1925</v>
      </c>
      <c r="E193" s="1008">
        <f>E232+700</f>
        <v>2275</v>
      </c>
      <c r="F193" s="1008">
        <f>F232+700</f>
        <v>2275</v>
      </c>
      <c r="G193" s="609" t="s">
        <v>1689</v>
      </c>
      <c r="H193" s="168" t="s">
        <v>1233</v>
      </c>
      <c r="I193" s="37" t="s">
        <v>2569</v>
      </c>
      <c r="J193" s="37"/>
      <c r="K193" s="5">
        <v>44</v>
      </c>
      <c r="L193" s="607" t="s">
        <v>653</v>
      </c>
      <c r="M193" s="156">
        <v>43076</v>
      </c>
      <c r="N193" s="156">
        <v>43083</v>
      </c>
      <c r="O193" s="61" t="s">
        <v>1771</v>
      </c>
      <c r="P193" s="61" t="s">
        <v>3690</v>
      </c>
      <c r="Q193" s="52"/>
      <c r="R193" s="610" t="s">
        <v>2470</v>
      </c>
      <c r="S193" s="622"/>
      <c r="T193" s="858"/>
    </row>
    <row r="194" spans="1:20" ht="20.100000000000001" customHeight="1">
      <c r="A194" s="1257" t="s">
        <v>2973</v>
      </c>
      <c r="B194" s="1258" t="s">
        <v>3688</v>
      </c>
      <c r="C194" s="1258" t="s">
        <v>3689</v>
      </c>
      <c r="D194" s="1019">
        <f>D233+250</f>
        <v>2430</v>
      </c>
      <c r="E194" s="1019">
        <f>E233+500</f>
        <v>2900</v>
      </c>
      <c r="F194" s="1019">
        <f>F233+500</f>
        <v>2900</v>
      </c>
      <c r="G194" s="216" t="s">
        <v>19</v>
      </c>
      <c r="H194" s="168" t="s">
        <v>1233</v>
      </c>
      <c r="I194" s="50" t="s">
        <v>2569</v>
      </c>
      <c r="J194" s="50"/>
      <c r="K194" s="34" t="s">
        <v>2396</v>
      </c>
      <c r="L194" s="607" t="s">
        <v>653</v>
      </c>
      <c r="M194" s="156">
        <v>43084</v>
      </c>
      <c r="N194" s="156">
        <v>43093</v>
      </c>
      <c r="O194" s="59" t="s">
        <v>611</v>
      </c>
      <c r="P194" s="59"/>
      <c r="Q194" s="7"/>
      <c r="R194" s="610" t="s">
        <v>2469</v>
      </c>
      <c r="S194" s="315" t="s">
        <v>3337</v>
      </c>
      <c r="T194" s="858"/>
    </row>
    <row r="195" spans="1:20" ht="20.100000000000001" customHeight="1">
      <c r="A195" s="1257" t="s">
        <v>2973</v>
      </c>
      <c r="B195" s="1258" t="s">
        <v>3688</v>
      </c>
      <c r="C195" s="1258" t="s">
        <v>3687</v>
      </c>
      <c r="D195" s="1006">
        <f>D188+0</f>
        <v>2800</v>
      </c>
      <c r="E195" s="1006">
        <f>E188+0</f>
        <v>3175</v>
      </c>
      <c r="F195" s="1006">
        <f>F188+0</f>
        <v>3175</v>
      </c>
      <c r="G195" s="613" t="s">
        <v>33</v>
      </c>
      <c r="H195" s="56" t="s">
        <v>729</v>
      </c>
      <c r="I195" s="50" t="s">
        <v>2656</v>
      </c>
      <c r="J195" s="50"/>
      <c r="K195" s="19" t="s">
        <v>728</v>
      </c>
      <c r="L195" s="607" t="s">
        <v>653</v>
      </c>
      <c r="M195" s="159">
        <v>43080</v>
      </c>
      <c r="N195" s="159">
        <v>43086</v>
      </c>
      <c r="O195" s="61"/>
      <c r="P195" s="61" t="s">
        <v>939</v>
      </c>
      <c r="Q195" s="7"/>
      <c r="R195" s="606" t="s">
        <v>2756</v>
      </c>
      <c r="S195" s="622" t="s">
        <v>1176</v>
      </c>
      <c r="T195" s="858"/>
    </row>
    <row r="196" spans="1:20" ht="20.100000000000001" customHeight="1">
      <c r="A196" s="1257" t="s">
        <v>2973</v>
      </c>
      <c r="B196" s="1258" t="s">
        <v>3688</v>
      </c>
      <c r="C196" s="1258" t="s">
        <v>3687</v>
      </c>
      <c r="D196" s="1020">
        <f>E196*0.8</f>
        <v>2480</v>
      </c>
      <c r="E196" s="1020">
        <v>3100</v>
      </c>
      <c r="F196" s="1020">
        <f>E196</f>
        <v>3100</v>
      </c>
      <c r="G196" s="637" t="s">
        <v>12</v>
      </c>
      <c r="H196" s="4">
        <v>3</v>
      </c>
      <c r="I196" s="50" t="s">
        <v>2471</v>
      </c>
      <c r="J196" s="50"/>
      <c r="K196" s="34" t="s">
        <v>980</v>
      </c>
      <c r="L196" s="607" t="s">
        <v>653</v>
      </c>
      <c r="M196" s="15">
        <v>43076</v>
      </c>
      <c r="N196" s="15">
        <v>43083</v>
      </c>
      <c r="O196" s="59" t="s">
        <v>2621</v>
      </c>
      <c r="P196" s="59"/>
      <c r="Q196" s="7"/>
      <c r="R196" s="610" t="s">
        <v>3398</v>
      </c>
      <c r="S196" s="322" t="s">
        <v>1176</v>
      </c>
      <c r="T196" s="858"/>
    </row>
    <row r="197" spans="1:20" ht="20.100000000000001" customHeight="1">
      <c r="A197" s="1257" t="s">
        <v>2973</v>
      </c>
      <c r="B197" s="1258" t="s">
        <v>3688</v>
      </c>
      <c r="C197" s="1258" t="s">
        <v>3687</v>
      </c>
      <c r="D197" s="1019">
        <f>D192</f>
        <v>2425</v>
      </c>
      <c r="E197" s="1019">
        <f>E192</f>
        <v>2750</v>
      </c>
      <c r="F197" s="1019">
        <f>F192</f>
        <v>2750</v>
      </c>
      <c r="G197" s="216" t="s">
        <v>5</v>
      </c>
      <c r="H197" s="168" t="s">
        <v>1233</v>
      </c>
      <c r="I197" s="51" t="s">
        <v>2471</v>
      </c>
      <c r="J197" s="51"/>
      <c r="K197" s="34" t="s">
        <v>982</v>
      </c>
      <c r="L197" s="607" t="s">
        <v>653</v>
      </c>
      <c r="M197" s="607"/>
      <c r="N197" s="159">
        <v>42981</v>
      </c>
      <c r="O197" s="61" t="s">
        <v>1771</v>
      </c>
      <c r="P197" s="59"/>
      <c r="Q197" s="7"/>
      <c r="R197" s="610" t="s">
        <v>2566</v>
      </c>
      <c r="S197" s="619"/>
      <c r="T197" s="858"/>
    </row>
    <row r="198" spans="1:20" ht="20.100000000000001" customHeight="1">
      <c r="A198" s="1257" t="s">
        <v>2973</v>
      </c>
      <c r="B198" s="1258" t="s">
        <v>3688</v>
      </c>
      <c r="C198" s="1258" t="s">
        <v>3687</v>
      </c>
      <c r="D198" s="1019">
        <f>D233+250</f>
        <v>2430</v>
      </c>
      <c r="E198" s="1019">
        <f>E233+500</f>
        <v>2900</v>
      </c>
      <c r="F198" s="1019">
        <f>F233+500</f>
        <v>2900</v>
      </c>
      <c r="G198" s="216" t="s">
        <v>19</v>
      </c>
      <c r="H198" s="168" t="s">
        <v>1233</v>
      </c>
      <c r="I198" s="50" t="s">
        <v>2569</v>
      </c>
      <c r="J198" s="50"/>
      <c r="K198" s="34" t="s">
        <v>2151</v>
      </c>
      <c r="L198" s="607" t="s">
        <v>653</v>
      </c>
      <c r="M198" s="156">
        <v>43084</v>
      </c>
      <c r="N198" s="156">
        <v>43093</v>
      </c>
      <c r="O198" s="59" t="s">
        <v>611</v>
      </c>
      <c r="P198" s="59"/>
      <c r="Q198" s="7"/>
      <c r="R198" s="610" t="s">
        <v>2469</v>
      </c>
      <c r="S198" s="315" t="s">
        <v>3337</v>
      </c>
      <c r="T198" s="858"/>
    </row>
    <row r="199" spans="1:20" ht="20.100000000000001" customHeight="1">
      <c r="A199" s="1257" t="s">
        <v>2973</v>
      </c>
      <c r="B199" s="1258" t="s">
        <v>3685</v>
      </c>
      <c r="C199" s="1258" t="s">
        <v>3686</v>
      </c>
      <c r="D199" s="1051">
        <v>1600</v>
      </c>
      <c r="E199" s="1051">
        <v>1725</v>
      </c>
      <c r="F199" s="1051">
        <v>1725</v>
      </c>
      <c r="G199" s="630" t="s">
        <v>33</v>
      </c>
      <c r="H199" s="56" t="s">
        <v>729</v>
      </c>
      <c r="I199" s="50" t="s">
        <v>2656</v>
      </c>
      <c r="J199" s="50"/>
      <c r="K199" s="19" t="s">
        <v>766</v>
      </c>
      <c r="L199" s="607" t="s">
        <v>653</v>
      </c>
      <c r="M199" s="159">
        <v>43080</v>
      </c>
      <c r="N199" s="159">
        <v>43086</v>
      </c>
      <c r="O199" s="61"/>
      <c r="P199" s="61"/>
      <c r="Q199" s="7"/>
      <c r="R199" s="606" t="s">
        <v>2756</v>
      </c>
      <c r="S199" s="622" t="s">
        <v>1176</v>
      </c>
      <c r="T199" s="858"/>
    </row>
    <row r="200" spans="1:20" ht="20.100000000000001" customHeight="1">
      <c r="A200" s="1257" t="s">
        <v>2973</v>
      </c>
      <c r="B200" s="1258" t="s">
        <v>3685</v>
      </c>
      <c r="C200" s="1258" t="s">
        <v>3686</v>
      </c>
      <c r="D200" s="1051">
        <v>1825</v>
      </c>
      <c r="E200" s="1051">
        <v>1900</v>
      </c>
      <c r="F200" s="1051">
        <v>1900</v>
      </c>
      <c r="G200" s="630" t="s">
        <v>18</v>
      </c>
      <c r="H200" s="56" t="s">
        <v>1102</v>
      </c>
      <c r="I200" s="50" t="s">
        <v>2548</v>
      </c>
      <c r="J200" s="50"/>
      <c r="K200" s="34" t="s">
        <v>687</v>
      </c>
      <c r="L200" s="607" t="s">
        <v>653</v>
      </c>
      <c r="M200" s="108">
        <v>43078</v>
      </c>
      <c r="N200" s="108">
        <v>43083</v>
      </c>
      <c r="O200" s="61"/>
      <c r="P200" s="61"/>
      <c r="Q200" s="7"/>
      <c r="R200" s="606" t="s">
        <v>2547</v>
      </c>
      <c r="S200" s="622"/>
      <c r="T200" s="858"/>
    </row>
    <row r="201" spans="1:20" ht="20.100000000000001" customHeight="1">
      <c r="A201" s="1257" t="s">
        <v>2973</v>
      </c>
      <c r="B201" s="1258" t="s">
        <v>3685</v>
      </c>
      <c r="C201" s="1258" t="s">
        <v>3686</v>
      </c>
      <c r="D201" s="1020">
        <f>E201*0.9</f>
        <v>1530</v>
      </c>
      <c r="E201" s="1020">
        <v>1700</v>
      </c>
      <c r="F201" s="1020">
        <f>E201</f>
        <v>1700</v>
      </c>
      <c r="G201" s="637" t="s">
        <v>12</v>
      </c>
      <c r="H201" s="56">
        <v>3</v>
      </c>
      <c r="I201" s="50" t="s">
        <v>17</v>
      </c>
      <c r="J201" s="50"/>
      <c r="K201" s="161" t="s">
        <v>766</v>
      </c>
      <c r="L201" s="607" t="s">
        <v>653</v>
      </c>
      <c r="M201" s="15">
        <v>43076</v>
      </c>
      <c r="N201" s="15">
        <v>43083</v>
      </c>
      <c r="O201" s="59" t="s">
        <v>2545</v>
      </c>
      <c r="P201" s="59" t="s">
        <v>2643</v>
      </c>
      <c r="Q201" s="7"/>
      <c r="R201" s="610" t="s">
        <v>3398</v>
      </c>
      <c r="S201" s="322" t="s">
        <v>1176</v>
      </c>
      <c r="T201" s="858"/>
    </row>
    <row r="202" spans="1:20" ht="20.100000000000001" customHeight="1">
      <c r="A202" s="1257" t="s">
        <v>2973</v>
      </c>
      <c r="B202" s="1258" t="s">
        <v>3685</v>
      </c>
      <c r="C202" s="1258" t="s">
        <v>3686</v>
      </c>
      <c r="D202" s="1040">
        <v>1600</v>
      </c>
      <c r="E202" s="1040">
        <v>1700</v>
      </c>
      <c r="F202" s="1040">
        <v>1700</v>
      </c>
      <c r="G202" s="631" t="s">
        <v>31</v>
      </c>
      <c r="H202" s="56" t="s">
        <v>725</v>
      </c>
      <c r="I202" s="38" t="s">
        <v>2468</v>
      </c>
      <c r="J202" s="37"/>
      <c r="K202" s="16">
        <v>36</v>
      </c>
      <c r="L202" s="607" t="s">
        <v>653</v>
      </c>
      <c r="M202" s="623">
        <v>43080</v>
      </c>
      <c r="N202" s="623">
        <v>43083</v>
      </c>
      <c r="O202" s="61" t="s">
        <v>1307</v>
      </c>
      <c r="P202" s="61"/>
      <c r="Q202" s="52"/>
      <c r="R202" s="606" t="s">
        <v>2586</v>
      </c>
      <c r="S202" s="622" t="s">
        <v>1176</v>
      </c>
      <c r="T202" s="858"/>
    </row>
    <row r="203" spans="1:20" ht="20.100000000000001" customHeight="1">
      <c r="A203" s="1257" t="s">
        <v>2973</v>
      </c>
      <c r="B203" s="1258" t="s">
        <v>3685</v>
      </c>
      <c r="C203" s="1259" t="s">
        <v>3686</v>
      </c>
      <c r="D203" s="1010" t="s">
        <v>4382</v>
      </c>
      <c r="E203" s="1010" t="s">
        <v>3475</v>
      </c>
      <c r="F203" s="1010" t="s">
        <v>3475</v>
      </c>
      <c r="G203" s="780" t="s">
        <v>76</v>
      </c>
      <c r="H203" s="56" t="s">
        <v>1233</v>
      </c>
      <c r="I203" s="50" t="s">
        <v>17</v>
      </c>
      <c r="J203" s="50"/>
      <c r="K203" s="19" t="s">
        <v>975</v>
      </c>
      <c r="L203" s="607" t="s">
        <v>653</v>
      </c>
      <c r="M203" s="6">
        <v>43087</v>
      </c>
      <c r="N203" s="6">
        <v>43093</v>
      </c>
      <c r="O203" s="61" t="s">
        <v>3400</v>
      </c>
      <c r="P203" s="61"/>
      <c r="Q203" s="52"/>
      <c r="R203" s="610" t="s">
        <v>2470</v>
      </c>
      <c r="S203" s="315" t="s">
        <v>3341</v>
      </c>
      <c r="T203" s="858"/>
    </row>
    <row r="204" spans="1:20" ht="20.100000000000001" customHeight="1">
      <c r="A204" s="1257" t="s">
        <v>2973</v>
      </c>
      <c r="B204" s="1258" t="s">
        <v>3685</v>
      </c>
      <c r="C204" s="1258" t="s">
        <v>3686</v>
      </c>
      <c r="D204" s="1050">
        <v>2150</v>
      </c>
      <c r="E204" s="1050">
        <v>2450</v>
      </c>
      <c r="F204" s="1050">
        <v>2450</v>
      </c>
      <c r="G204" s="637" t="s">
        <v>51</v>
      </c>
      <c r="H204" s="168" t="s">
        <v>1233</v>
      </c>
      <c r="I204" s="50" t="s">
        <v>17</v>
      </c>
      <c r="J204" s="50"/>
      <c r="K204" s="19" t="s">
        <v>975</v>
      </c>
      <c r="L204" s="607" t="s">
        <v>653</v>
      </c>
      <c r="M204" s="611">
        <v>43086</v>
      </c>
      <c r="N204" s="611">
        <v>43100</v>
      </c>
      <c r="O204" s="61"/>
      <c r="P204" s="61"/>
      <c r="Q204" s="52"/>
      <c r="R204" s="610" t="s">
        <v>2472</v>
      </c>
      <c r="S204" s="316" t="s">
        <v>3341</v>
      </c>
      <c r="T204" s="859"/>
    </row>
    <row r="205" spans="1:20" ht="20.100000000000001" customHeight="1">
      <c r="A205" s="1257" t="s">
        <v>2973</v>
      </c>
      <c r="B205" s="1258" t="s">
        <v>3685</v>
      </c>
      <c r="C205" s="1258" t="s">
        <v>3686</v>
      </c>
      <c r="D205" s="1007">
        <v>1625</v>
      </c>
      <c r="E205" s="1007">
        <v>1750</v>
      </c>
      <c r="F205" s="1007">
        <v>1750</v>
      </c>
      <c r="G205" s="637" t="s">
        <v>5</v>
      </c>
      <c r="H205" s="168" t="s">
        <v>1233</v>
      </c>
      <c r="I205" s="50" t="s">
        <v>17</v>
      </c>
      <c r="J205" s="50"/>
      <c r="K205" s="19" t="s">
        <v>975</v>
      </c>
      <c r="L205" s="607" t="s">
        <v>653</v>
      </c>
      <c r="M205" s="159">
        <v>43073</v>
      </c>
      <c r="N205" s="159">
        <v>43083</v>
      </c>
      <c r="O205" s="61" t="s">
        <v>1771</v>
      </c>
      <c r="P205" s="59"/>
      <c r="Q205" s="7"/>
      <c r="R205" s="610" t="s">
        <v>2566</v>
      </c>
      <c r="S205" s="619"/>
      <c r="T205" s="859"/>
    </row>
    <row r="206" spans="1:20" ht="20.100000000000001" customHeight="1">
      <c r="A206" s="1257" t="s">
        <v>2973</v>
      </c>
      <c r="B206" s="1258" t="s">
        <v>3685</v>
      </c>
      <c r="C206" s="1258" t="s">
        <v>3686</v>
      </c>
      <c r="D206" s="1018">
        <v>1525</v>
      </c>
      <c r="E206" s="1018">
        <v>1575</v>
      </c>
      <c r="F206" s="1018">
        <v>1575</v>
      </c>
      <c r="G206" s="227" t="s">
        <v>1689</v>
      </c>
      <c r="H206" s="168" t="s">
        <v>1233</v>
      </c>
      <c r="I206" s="50" t="s">
        <v>17</v>
      </c>
      <c r="J206" s="50"/>
      <c r="K206" s="19" t="s">
        <v>975</v>
      </c>
      <c r="L206" s="607" t="s">
        <v>653</v>
      </c>
      <c r="M206" s="156">
        <v>43076</v>
      </c>
      <c r="N206" s="156">
        <v>43083</v>
      </c>
      <c r="O206" s="61" t="s">
        <v>1771</v>
      </c>
      <c r="P206" s="59"/>
      <c r="Q206" s="52"/>
      <c r="R206" s="610" t="s">
        <v>2470</v>
      </c>
      <c r="S206" s="619"/>
      <c r="T206" s="859"/>
    </row>
    <row r="207" spans="1:20" ht="20.100000000000001" customHeight="1">
      <c r="A207" s="1257" t="s">
        <v>2973</v>
      </c>
      <c r="B207" s="1258" t="s">
        <v>3685</v>
      </c>
      <c r="C207" s="1258" t="s">
        <v>3686</v>
      </c>
      <c r="D207" s="1018">
        <v>2180</v>
      </c>
      <c r="E207" s="1018">
        <v>2400</v>
      </c>
      <c r="F207" s="1018">
        <v>2400</v>
      </c>
      <c r="G207" s="637" t="s">
        <v>19</v>
      </c>
      <c r="H207" s="168" t="s">
        <v>1233</v>
      </c>
      <c r="I207" s="50" t="s">
        <v>17</v>
      </c>
      <c r="J207" s="50"/>
      <c r="K207" s="19" t="s">
        <v>975</v>
      </c>
      <c r="L207" s="607" t="s">
        <v>653</v>
      </c>
      <c r="M207" s="156">
        <v>43084</v>
      </c>
      <c r="N207" s="156">
        <v>43093</v>
      </c>
      <c r="O207" s="59" t="s">
        <v>611</v>
      </c>
      <c r="P207" s="59"/>
      <c r="Q207" s="7"/>
      <c r="R207" s="610" t="s">
        <v>2469</v>
      </c>
      <c r="S207" s="315" t="s">
        <v>3337</v>
      </c>
      <c r="T207" s="859"/>
    </row>
    <row r="208" spans="1:20" ht="20.100000000000001" customHeight="1">
      <c r="A208" s="1257" t="s">
        <v>2973</v>
      </c>
      <c r="B208" s="1258" t="s">
        <v>3685</v>
      </c>
      <c r="C208" s="1258" t="s">
        <v>3684</v>
      </c>
      <c r="D208" s="1019"/>
      <c r="E208" s="1019"/>
      <c r="F208" s="1019"/>
      <c r="G208" s="637" t="s">
        <v>5</v>
      </c>
      <c r="H208" s="168" t="s">
        <v>1233</v>
      </c>
      <c r="I208" s="50" t="s">
        <v>2471</v>
      </c>
      <c r="J208" s="50"/>
      <c r="K208" s="34" t="s">
        <v>662</v>
      </c>
      <c r="L208" s="607" t="s">
        <v>653</v>
      </c>
      <c r="M208" s="159">
        <v>43073</v>
      </c>
      <c r="N208" s="159">
        <v>43083</v>
      </c>
      <c r="O208" s="61" t="s">
        <v>1771</v>
      </c>
      <c r="P208" s="61"/>
      <c r="Q208" s="72" t="s">
        <v>1024</v>
      </c>
      <c r="R208" s="606" t="s">
        <v>2566</v>
      </c>
      <c r="S208" s="622"/>
      <c r="T208" s="858"/>
    </row>
    <row r="209" spans="1:20" ht="20.100000000000001" customHeight="1">
      <c r="A209" s="1257" t="s">
        <v>2973</v>
      </c>
      <c r="B209" s="1258" t="s">
        <v>3685</v>
      </c>
      <c r="C209" s="1258" t="s">
        <v>3684</v>
      </c>
      <c r="D209" s="1020">
        <f>E209*0.8</f>
        <v>2480</v>
      </c>
      <c r="E209" s="1020">
        <v>3100</v>
      </c>
      <c r="F209" s="1020">
        <f>E209</f>
        <v>3100</v>
      </c>
      <c r="G209" s="637" t="s">
        <v>12</v>
      </c>
      <c r="H209" s="4">
        <v>3</v>
      </c>
      <c r="I209" s="50" t="s">
        <v>2471</v>
      </c>
      <c r="J209" s="37"/>
      <c r="K209" s="16" t="s">
        <v>975</v>
      </c>
      <c r="L209" s="607" t="s">
        <v>653</v>
      </c>
      <c r="M209" s="15">
        <v>43070</v>
      </c>
      <c r="N209" s="15">
        <v>43083</v>
      </c>
      <c r="O209" s="59" t="s">
        <v>2545</v>
      </c>
      <c r="P209" s="59" t="s">
        <v>2643</v>
      </c>
      <c r="Q209" s="7"/>
      <c r="R209" s="606" t="s">
        <v>3398</v>
      </c>
      <c r="S209" s="322" t="s">
        <v>1176</v>
      </c>
      <c r="T209" s="858"/>
    </row>
    <row r="210" spans="1:20" ht="20.100000000000001" customHeight="1">
      <c r="A210" s="1257" t="s">
        <v>2973</v>
      </c>
      <c r="B210" s="1258" t="s">
        <v>3681</v>
      </c>
      <c r="C210" s="1258" t="s">
        <v>3683</v>
      </c>
      <c r="D210" s="1067">
        <v>2150</v>
      </c>
      <c r="E210" s="1067">
        <v>2500</v>
      </c>
      <c r="F210" s="1067">
        <v>2500</v>
      </c>
      <c r="G210" s="637" t="s">
        <v>22</v>
      </c>
      <c r="H210" s="56" t="s">
        <v>729</v>
      </c>
      <c r="I210" s="50" t="s">
        <v>3362</v>
      </c>
      <c r="J210" s="50"/>
      <c r="K210" s="34" t="s">
        <v>1107</v>
      </c>
      <c r="L210" s="607" t="s">
        <v>653</v>
      </c>
      <c r="M210" s="108">
        <v>43087</v>
      </c>
      <c r="N210" s="108">
        <v>43094</v>
      </c>
      <c r="O210" s="61" t="s">
        <v>2545</v>
      </c>
      <c r="P210" s="61"/>
      <c r="Q210" s="7"/>
      <c r="R210" s="606" t="s">
        <v>1750</v>
      </c>
      <c r="S210" s="322" t="s">
        <v>1176</v>
      </c>
      <c r="T210" s="859"/>
    </row>
    <row r="211" spans="1:20" ht="20.100000000000001" customHeight="1">
      <c r="A211" s="1257" t="s">
        <v>2973</v>
      </c>
      <c r="B211" s="1258" t="s">
        <v>3681</v>
      </c>
      <c r="C211" s="1258" t="s">
        <v>3683</v>
      </c>
      <c r="D211" s="1020">
        <f>(E211-229)*0.9+189</f>
        <v>1989</v>
      </c>
      <c r="E211" s="1020">
        <f>2000+229</f>
        <v>2229</v>
      </c>
      <c r="F211" s="1020">
        <f>E211</f>
        <v>2229</v>
      </c>
      <c r="G211" s="637" t="s">
        <v>12</v>
      </c>
      <c r="H211" s="659">
        <v>3</v>
      </c>
      <c r="I211" s="50" t="s">
        <v>2471</v>
      </c>
      <c r="J211" s="37"/>
      <c r="K211" s="16" t="s">
        <v>662</v>
      </c>
      <c r="L211" s="607" t="s">
        <v>653</v>
      </c>
      <c r="M211" s="15">
        <v>43076</v>
      </c>
      <c r="N211" s="15">
        <v>43083</v>
      </c>
      <c r="O211" s="59" t="s">
        <v>2545</v>
      </c>
      <c r="P211" s="61" t="s">
        <v>3682</v>
      </c>
      <c r="Q211" s="7"/>
      <c r="R211" s="606" t="s">
        <v>3398</v>
      </c>
      <c r="S211" s="322" t="s">
        <v>1176</v>
      </c>
      <c r="T211" s="859"/>
    </row>
    <row r="212" spans="1:20" ht="20.100000000000001" customHeight="1">
      <c r="A212" s="1257" t="s">
        <v>2973</v>
      </c>
      <c r="B212" s="1258" t="s">
        <v>3681</v>
      </c>
      <c r="C212" s="1258" t="s">
        <v>3683</v>
      </c>
      <c r="D212" s="1040">
        <v>1750</v>
      </c>
      <c r="E212" s="1040">
        <v>2000</v>
      </c>
      <c r="F212" s="1040">
        <v>2000</v>
      </c>
      <c r="G212" s="631" t="s">
        <v>31</v>
      </c>
      <c r="H212" s="56" t="s">
        <v>725</v>
      </c>
      <c r="I212" s="38" t="s">
        <v>2468</v>
      </c>
      <c r="J212" s="37"/>
      <c r="K212" s="16">
        <v>38</v>
      </c>
      <c r="L212" s="607" t="s">
        <v>653</v>
      </c>
      <c r="M212" s="623">
        <v>43080</v>
      </c>
      <c r="N212" s="623">
        <v>43083</v>
      </c>
      <c r="O212" s="61"/>
      <c r="P212" s="61"/>
      <c r="Q212" s="52"/>
      <c r="R212" s="606" t="s">
        <v>2586</v>
      </c>
      <c r="S212" s="622" t="s">
        <v>1176</v>
      </c>
      <c r="T212" s="859"/>
    </row>
    <row r="213" spans="1:20" ht="20.100000000000001" customHeight="1">
      <c r="A213" s="1257" t="s">
        <v>2973</v>
      </c>
      <c r="B213" s="1258" t="s">
        <v>3681</v>
      </c>
      <c r="C213" s="1258" t="s">
        <v>3683</v>
      </c>
      <c r="D213" s="1008">
        <v>2250</v>
      </c>
      <c r="E213" s="1008">
        <v>2650</v>
      </c>
      <c r="F213" s="1008">
        <v>2650</v>
      </c>
      <c r="G213" s="637" t="s">
        <v>51</v>
      </c>
      <c r="H213" s="168" t="s">
        <v>1233</v>
      </c>
      <c r="I213" s="50" t="s">
        <v>2613</v>
      </c>
      <c r="J213" s="50"/>
      <c r="K213" s="19" t="s">
        <v>835</v>
      </c>
      <c r="L213" s="607" t="s">
        <v>653</v>
      </c>
      <c r="M213" s="611">
        <v>43086</v>
      </c>
      <c r="N213" s="611">
        <v>43100</v>
      </c>
      <c r="O213" s="59"/>
      <c r="P213" s="59"/>
      <c r="Q213" s="52"/>
      <c r="R213" s="610" t="s">
        <v>2472</v>
      </c>
      <c r="S213" s="316" t="s">
        <v>3341</v>
      </c>
      <c r="T213" s="859"/>
    </row>
    <row r="214" spans="1:20" ht="20.100000000000001" customHeight="1">
      <c r="A214" s="1257" t="s">
        <v>2973</v>
      </c>
      <c r="B214" s="1258" t="s">
        <v>3681</v>
      </c>
      <c r="C214" s="1258" t="s">
        <v>3683</v>
      </c>
      <c r="D214" s="1022">
        <f>D205+0</f>
        <v>1625</v>
      </c>
      <c r="E214" s="1022">
        <f>E205+0</f>
        <v>1750</v>
      </c>
      <c r="F214" s="1022">
        <f>F205+0</f>
        <v>1750</v>
      </c>
      <c r="G214" s="216" t="s">
        <v>5</v>
      </c>
      <c r="H214" s="168" t="s">
        <v>1233</v>
      </c>
      <c r="I214" s="50" t="s">
        <v>2471</v>
      </c>
      <c r="J214" s="50"/>
      <c r="K214" s="19" t="s">
        <v>984</v>
      </c>
      <c r="L214" s="607" t="s">
        <v>653</v>
      </c>
      <c r="M214" s="159">
        <v>43073</v>
      </c>
      <c r="N214" s="159">
        <v>43083</v>
      </c>
      <c r="O214" s="61" t="s">
        <v>1771</v>
      </c>
      <c r="P214" s="59"/>
      <c r="Q214" s="7"/>
      <c r="R214" s="610" t="s">
        <v>2566</v>
      </c>
      <c r="S214" s="619"/>
      <c r="T214" s="859"/>
    </row>
    <row r="215" spans="1:20" ht="20.100000000000001" customHeight="1">
      <c r="A215" s="1257" t="s">
        <v>2973</v>
      </c>
      <c r="B215" s="1258" t="s">
        <v>3681</v>
      </c>
      <c r="C215" s="1258" t="s">
        <v>3683</v>
      </c>
      <c r="D215" s="1058">
        <f>D232+200</f>
        <v>1725</v>
      </c>
      <c r="E215" s="1058">
        <f>E232+200</f>
        <v>1775</v>
      </c>
      <c r="F215" s="1058">
        <f>F232+200</f>
        <v>1775</v>
      </c>
      <c r="G215" s="609" t="s">
        <v>1689</v>
      </c>
      <c r="H215" s="168" t="s">
        <v>1233</v>
      </c>
      <c r="I215" s="50" t="s">
        <v>2471</v>
      </c>
      <c r="J215" s="50"/>
      <c r="K215" s="19" t="s">
        <v>722</v>
      </c>
      <c r="L215" s="607" t="s">
        <v>653</v>
      </c>
      <c r="M215" s="156">
        <v>43076</v>
      </c>
      <c r="N215" s="156">
        <v>43083</v>
      </c>
      <c r="O215" s="61" t="s">
        <v>1771</v>
      </c>
      <c r="P215" s="59"/>
      <c r="Q215" s="52"/>
      <c r="R215" s="610" t="s">
        <v>2470</v>
      </c>
      <c r="S215" s="619"/>
      <c r="T215" s="859"/>
    </row>
    <row r="216" spans="1:20" ht="20.100000000000001" customHeight="1">
      <c r="A216" s="1257" t="s">
        <v>2973</v>
      </c>
      <c r="B216" s="1258" t="s">
        <v>3681</v>
      </c>
      <c r="C216" s="1258" t="s">
        <v>3683</v>
      </c>
      <c r="D216" s="1018">
        <v>2180</v>
      </c>
      <c r="E216" s="1018">
        <v>2400</v>
      </c>
      <c r="F216" s="1018">
        <v>2400</v>
      </c>
      <c r="G216" s="637" t="s">
        <v>19</v>
      </c>
      <c r="H216" s="168" t="s">
        <v>1233</v>
      </c>
      <c r="I216" s="50" t="s">
        <v>2471</v>
      </c>
      <c r="J216" s="50"/>
      <c r="K216" s="19" t="s">
        <v>722</v>
      </c>
      <c r="L216" s="607" t="s">
        <v>653</v>
      </c>
      <c r="M216" s="156">
        <v>43084</v>
      </c>
      <c r="N216" s="156">
        <v>43093</v>
      </c>
      <c r="O216" s="59" t="s">
        <v>611</v>
      </c>
      <c r="P216" s="59"/>
      <c r="Q216" s="7"/>
      <c r="R216" s="610" t="s">
        <v>2469</v>
      </c>
      <c r="S216" s="315" t="s">
        <v>3337</v>
      </c>
      <c r="T216" s="859"/>
    </row>
    <row r="217" spans="1:20" ht="20.100000000000001" customHeight="1">
      <c r="A217" s="1257" t="s">
        <v>2973</v>
      </c>
      <c r="B217" s="1258" t="s">
        <v>3681</v>
      </c>
      <c r="C217" s="1259" t="s">
        <v>3683</v>
      </c>
      <c r="D217" s="1010" t="s">
        <v>4382</v>
      </c>
      <c r="E217" s="1010" t="s">
        <v>3475</v>
      </c>
      <c r="F217" s="1010" t="s">
        <v>3475</v>
      </c>
      <c r="G217" s="780" t="s">
        <v>76</v>
      </c>
      <c r="H217" s="56" t="s">
        <v>1233</v>
      </c>
      <c r="I217" s="50" t="s">
        <v>2471</v>
      </c>
      <c r="J217" s="50"/>
      <c r="K217" s="34" t="s">
        <v>835</v>
      </c>
      <c r="L217" s="607" t="s">
        <v>653</v>
      </c>
      <c r="M217" s="6">
        <v>43087</v>
      </c>
      <c r="N217" s="6">
        <v>43093</v>
      </c>
      <c r="O217" s="61" t="s">
        <v>3400</v>
      </c>
      <c r="P217" s="61"/>
      <c r="Q217" s="7"/>
      <c r="R217" s="610" t="s">
        <v>2470</v>
      </c>
      <c r="S217" s="315" t="s">
        <v>3341</v>
      </c>
      <c r="T217" s="859"/>
    </row>
    <row r="218" spans="1:20" ht="20.100000000000001" customHeight="1">
      <c r="A218" s="1257" t="s">
        <v>2973</v>
      </c>
      <c r="B218" s="1258" t="s">
        <v>3681</v>
      </c>
      <c r="C218" s="1258" t="s">
        <v>3680</v>
      </c>
      <c r="D218" s="1009">
        <v>2600</v>
      </c>
      <c r="E218" s="1009">
        <v>3175</v>
      </c>
      <c r="F218" s="1009">
        <v>3175</v>
      </c>
      <c r="G218" s="630" t="s">
        <v>33</v>
      </c>
      <c r="H218" s="56" t="s">
        <v>729</v>
      </c>
      <c r="I218" s="50" t="s">
        <v>2471</v>
      </c>
      <c r="J218" s="50"/>
      <c r="K218" s="19" t="s">
        <v>970</v>
      </c>
      <c r="L218" s="607" t="s">
        <v>653</v>
      </c>
      <c r="M218" s="159">
        <v>43080</v>
      </c>
      <c r="N218" s="159">
        <v>43086</v>
      </c>
      <c r="O218" s="61"/>
      <c r="P218" s="61"/>
      <c r="Q218" s="7"/>
      <c r="R218" s="606" t="s">
        <v>2756</v>
      </c>
      <c r="S218" s="622" t="s">
        <v>1176</v>
      </c>
      <c r="T218" s="858"/>
    </row>
    <row r="219" spans="1:20" ht="20.100000000000001" customHeight="1">
      <c r="A219" s="1257" t="s">
        <v>2973</v>
      </c>
      <c r="B219" s="1258" t="s">
        <v>3681</v>
      </c>
      <c r="C219" s="1258" t="s">
        <v>3680</v>
      </c>
      <c r="D219" s="1051">
        <v>1825</v>
      </c>
      <c r="E219" s="1051">
        <v>1900</v>
      </c>
      <c r="F219" s="1051">
        <v>1900</v>
      </c>
      <c r="G219" s="630" t="s">
        <v>18</v>
      </c>
      <c r="H219" s="56" t="s">
        <v>1102</v>
      </c>
      <c r="I219" s="50" t="s">
        <v>2548</v>
      </c>
      <c r="J219" s="50"/>
      <c r="K219" s="34" t="s">
        <v>984</v>
      </c>
      <c r="L219" s="607" t="s">
        <v>653</v>
      </c>
      <c r="M219" s="108">
        <v>43078</v>
      </c>
      <c r="N219" s="108">
        <v>43083</v>
      </c>
      <c r="O219" s="61"/>
      <c r="P219" s="61"/>
      <c r="Q219" s="7"/>
      <c r="R219" s="606" t="s">
        <v>2547</v>
      </c>
      <c r="S219" s="622"/>
      <c r="T219" s="858"/>
    </row>
    <row r="220" spans="1:20" ht="20.100000000000001" customHeight="1">
      <c r="A220" s="1257" t="s">
        <v>2973</v>
      </c>
      <c r="B220" s="1258" t="s">
        <v>3681</v>
      </c>
      <c r="C220" s="1258" t="s">
        <v>3680</v>
      </c>
      <c r="D220" s="1020">
        <f>(E220-229)*0.9+189</f>
        <v>1899</v>
      </c>
      <c r="E220" s="1020">
        <f>1900+229</f>
        <v>2129</v>
      </c>
      <c r="F220" s="1020">
        <f>E220</f>
        <v>2129</v>
      </c>
      <c r="G220" s="637" t="s">
        <v>12</v>
      </c>
      <c r="H220" s="659">
        <v>3</v>
      </c>
      <c r="I220" s="50" t="s">
        <v>2471</v>
      </c>
      <c r="J220" s="50"/>
      <c r="K220" s="34" t="s">
        <v>982</v>
      </c>
      <c r="L220" s="607" t="s">
        <v>653</v>
      </c>
      <c r="M220" s="15">
        <v>43076</v>
      </c>
      <c r="N220" s="15">
        <v>43083</v>
      </c>
      <c r="O220" s="59" t="s">
        <v>2545</v>
      </c>
      <c r="P220" s="61" t="s">
        <v>3682</v>
      </c>
      <c r="Q220" s="7"/>
      <c r="R220" s="610" t="s">
        <v>3398</v>
      </c>
      <c r="S220" s="322" t="s">
        <v>1176</v>
      </c>
      <c r="T220" s="858"/>
    </row>
    <row r="221" spans="1:20" ht="20.100000000000001" customHeight="1">
      <c r="A221" s="1257" t="s">
        <v>2973</v>
      </c>
      <c r="B221" s="1258" t="s">
        <v>3681</v>
      </c>
      <c r="C221" s="1258" t="s">
        <v>3680</v>
      </c>
      <c r="D221" s="1022">
        <f>D205+0</f>
        <v>1625</v>
      </c>
      <c r="E221" s="1022">
        <f>E205+0</f>
        <v>1750</v>
      </c>
      <c r="F221" s="1022">
        <f>F205+0</f>
        <v>1750</v>
      </c>
      <c r="G221" s="216" t="s">
        <v>5</v>
      </c>
      <c r="H221" s="168" t="s">
        <v>1233</v>
      </c>
      <c r="I221" s="51" t="s">
        <v>2471</v>
      </c>
      <c r="J221" s="51"/>
      <c r="K221" s="34" t="s">
        <v>1242</v>
      </c>
      <c r="L221" s="607" t="s">
        <v>653</v>
      </c>
      <c r="M221" s="159">
        <v>43073</v>
      </c>
      <c r="N221" s="159">
        <v>43083</v>
      </c>
      <c r="O221" s="61" t="s">
        <v>1771</v>
      </c>
      <c r="P221" s="59"/>
      <c r="Q221" s="7"/>
      <c r="R221" s="610" t="s">
        <v>2566</v>
      </c>
      <c r="S221" s="619"/>
      <c r="T221" s="858"/>
    </row>
    <row r="222" spans="1:20" ht="20.100000000000001" customHeight="1">
      <c r="A222" s="1257" t="s">
        <v>2973</v>
      </c>
      <c r="B222" s="1258" t="s">
        <v>3681</v>
      </c>
      <c r="C222" s="1258" t="s">
        <v>3680</v>
      </c>
      <c r="D222" s="1008">
        <f>D232+300</f>
        <v>1825</v>
      </c>
      <c r="E222" s="1008">
        <f>E232+350</f>
        <v>1925</v>
      </c>
      <c r="F222" s="1008">
        <f>F232+350</f>
        <v>1925</v>
      </c>
      <c r="G222" s="609" t="s">
        <v>1689</v>
      </c>
      <c r="H222" s="168" t="s">
        <v>1233</v>
      </c>
      <c r="I222" s="37" t="s">
        <v>2569</v>
      </c>
      <c r="J222" s="37"/>
      <c r="K222" s="5">
        <v>39</v>
      </c>
      <c r="L222" s="607" t="s">
        <v>653</v>
      </c>
      <c r="M222" s="156">
        <v>43076</v>
      </c>
      <c r="N222" s="156">
        <v>43083</v>
      </c>
      <c r="O222" s="61" t="s">
        <v>1771</v>
      </c>
      <c r="P222" s="61"/>
      <c r="Q222" s="52"/>
      <c r="R222" s="610" t="s">
        <v>2470</v>
      </c>
      <c r="S222" s="622"/>
      <c r="T222" s="858"/>
    </row>
    <row r="223" spans="1:20" ht="20.100000000000001" customHeight="1">
      <c r="A223" s="1257" t="s">
        <v>2973</v>
      </c>
      <c r="B223" s="1258" t="s">
        <v>3681</v>
      </c>
      <c r="C223" s="1258" t="s">
        <v>3680</v>
      </c>
      <c r="D223" s="1040">
        <f>D207+600</f>
        <v>2780</v>
      </c>
      <c r="E223" s="1040">
        <f>E207+950</f>
        <v>3350</v>
      </c>
      <c r="F223" s="1040">
        <f>F207+950</f>
        <v>3350</v>
      </c>
      <c r="G223" s="216" t="s">
        <v>19</v>
      </c>
      <c r="H223" s="168" t="s">
        <v>1233</v>
      </c>
      <c r="I223" s="50" t="s">
        <v>3362</v>
      </c>
      <c r="J223" s="50"/>
      <c r="K223" s="19" t="s">
        <v>975</v>
      </c>
      <c r="L223" s="607" t="s">
        <v>653</v>
      </c>
      <c r="M223" s="156">
        <v>43084</v>
      </c>
      <c r="N223" s="156">
        <v>43093</v>
      </c>
      <c r="O223" s="59" t="s">
        <v>611</v>
      </c>
      <c r="P223" s="59"/>
      <c r="Q223" s="7"/>
      <c r="R223" s="610" t="s">
        <v>2469</v>
      </c>
      <c r="S223" s="315" t="s">
        <v>3337</v>
      </c>
      <c r="T223" s="858"/>
    </row>
    <row r="224" spans="1:20" ht="20.100000000000001" customHeight="1">
      <c r="A224" s="1257" t="s">
        <v>2973</v>
      </c>
      <c r="B224" s="1258" t="s">
        <v>3681</v>
      </c>
      <c r="C224" s="1259" t="s">
        <v>3680</v>
      </c>
      <c r="D224" s="1010" t="s">
        <v>4187</v>
      </c>
      <c r="E224" s="1010" t="s">
        <v>4371</v>
      </c>
      <c r="F224" s="1010" t="s">
        <v>4371</v>
      </c>
      <c r="G224" s="780" t="s">
        <v>76</v>
      </c>
      <c r="H224" s="56" t="s">
        <v>659</v>
      </c>
      <c r="I224" s="50" t="s">
        <v>2471</v>
      </c>
      <c r="J224" s="50"/>
      <c r="K224" s="34" t="s">
        <v>835</v>
      </c>
      <c r="L224" s="607" t="s">
        <v>653</v>
      </c>
      <c r="M224" s="6">
        <v>43087</v>
      </c>
      <c r="N224" s="6">
        <v>43093</v>
      </c>
      <c r="O224" s="61" t="s">
        <v>3400</v>
      </c>
      <c r="P224" s="61"/>
      <c r="Q224" s="7"/>
      <c r="R224" s="606" t="s">
        <v>3398</v>
      </c>
      <c r="S224" s="315" t="s">
        <v>3341</v>
      </c>
      <c r="T224" s="858"/>
    </row>
    <row r="225" spans="1:20" ht="20.100000000000001" customHeight="1">
      <c r="A225" s="1257" t="s">
        <v>2973</v>
      </c>
      <c r="B225" s="1258" t="s">
        <v>2549</v>
      </c>
      <c r="C225" s="1258" t="s">
        <v>2744</v>
      </c>
      <c r="D225" s="1050">
        <v>2425</v>
      </c>
      <c r="E225" s="1050">
        <v>2750</v>
      </c>
      <c r="F225" s="1050">
        <v>2750</v>
      </c>
      <c r="G225" s="633" t="s">
        <v>28</v>
      </c>
      <c r="H225" s="56" t="s">
        <v>729</v>
      </c>
      <c r="I225" s="50" t="s">
        <v>2656</v>
      </c>
      <c r="J225" s="50"/>
      <c r="K225" s="34" t="s">
        <v>728</v>
      </c>
      <c r="L225" s="607" t="s">
        <v>653</v>
      </c>
      <c r="M225" s="620">
        <v>42982</v>
      </c>
      <c r="N225" s="620">
        <v>42982</v>
      </c>
      <c r="O225" s="153" t="s">
        <v>2735</v>
      </c>
      <c r="P225" s="61"/>
      <c r="Q225" s="7"/>
      <c r="R225" s="606" t="s">
        <v>1750</v>
      </c>
      <c r="S225" s="622"/>
      <c r="T225" s="859"/>
    </row>
    <row r="226" spans="1:20" ht="20.100000000000001" customHeight="1">
      <c r="A226" s="1257" t="s">
        <v>2973</v>
      </c>
      <c r="B226" s="1258" t="s">
        <v>2549</v>
      </c>
      <c r="C226" s="1258" t="s">
        <v>2744</v>
      </c>
      <c r="D226" s="1067">
        <v>2150</v>
      </c>
      <c r="E226" s="1067">
        <v>2500</v>
      </c>
      <c r="F226" s="1067">
        <v>2500</v>
      </c>
      <c r="G226" s="637" t="s">
        <v>22</v>
      </c>
      <c r="H226" s="56" t="s">
        <v>729</v>
      </c>
      <c r="I226" s="50" t="s">
        <v>3362</v>
      </c>
      <c r="J226" s="50"/>
      <c r="K226" s="34" t="s">
        <v>1107</v>
      </c>
      <c r="L226" s="607" t="s">
        <v>653</v>
      </c>
      <c r="M226" s="108">
        <v>43087</v>
      </c>
      <c r="N226" s="108">
        <v>43094</v>
      </c>
      <c r="O226" s="61" t="s">
        <v>2545</v>
      </c>
      <c r="P226" s="61"/>
      <c r="Q226" s="7"/>
      <c r="R226" s="606" t="s">
        <v>1750</v>
      </c>
      <c r="S226" s="322" t="s">
        <v>1176</v>
      </c>
      <c r="T226" s="859"/>
    </row>
    <row r="227" spans="1:20" ht="20.100000000000001" customHeight="1">
      <c r="A227" s="1257" t="s">
        <v>2973</v>
      </c>
      <c r="B227" s="1258" t="s">
        <v>2549</v>
      </c>
      <c r="C227" s="1258" t="s">
        <v>2744</v>
      </c>
      <c r="D227" s="1051">
        <v>1600</v>
      </c>
      <c r="E227" s="1051">
        <v>1725</v>
      </c>
      <c r="F227" s="1051">
        <v>1725</v>
      </c>
      <c r="G227" s="630" t="s">
        <v>33</v>
      </c>
      <c r="H227" s="56" t="s">
        <v>729</v>
      </c>
      <c r="I227" s="50" t="s">
        <v>2656</v>
      </c>
      <c r="J227" s="50"/>
      <c r="K227" s="34" t="s">
        <v>728</v>
      </c>
      <c r="L227" s="607" t="s">
        <v>653</v>
      </c>
      <c r="M227" s="159">
        <v>43080</v>
      </c>
      <c r="N227" s="159">
        <v>43086</v>
      </c>
      <c r="O227" s="61"/>
      <c r="P227" s="61"/>
      <c r="Q227" s="7"/>
      <c r="R227" s="606" t="s">
        <v>2756</v>
      </c>
      <c r="S227" s="622" t="s">
        <v>1176</v>
      </c>
      <c r="T227" s="859"/>
    </row>
    <row r="228" spans="1:20" ht="20.100000000000001" customHeight="1">
      <c r="A228" s="1257" t="s">
        <v>2973</v>
      </c>
      <c r="B228" s="1258" t="s">
        <v>2549</v>
      </c>
      <c r="C228" s="1258" t="s">
        <v>2744</v>
      </c>
      <c r="D228" s="1051">
        <v>1675</v>
      </c>
      <c r="E228" s="1051">
        <v>1800</v>
      </c>
      <c r="F228" s="1051">
        <v>1800</v>
      </c>
      <c r="G228" s="630" t="s">
        <v>18</v>
      </c>
      <c r="H228" s="56" t="s">
        <v>1102</v>
      </c>
      <c r="I228" s="50" t="s">
        <v>2548</v>
      </c>
      <c r="J228" s="50"/>
      <c r="K228" s="34" t="s">
        <v>731</v>
      </c>
      <c r="L228" s="607" t="s">
        <v>653</v>
      </c>
      <c r="M228" s="108">
        <v>43078</v>
      </c>
      <c r="N228" s="108">
        <v>43083</v>
      </c>
      <c r="O228" s="61"/>
      <c r="P228" s="61"/>
      <c r="Q228" s="7"/>
      <c r="R228" s="606" t="s">
        <v>2547</v>
      </c>
      <c r="S228" s="322"/>
      <c r="T228" s="859"/>
    </row>
    <row r="229" spans="1:20" ht="20.100000000000001" customHeight="1">
      <c r="A229" s="1257" t="s">
        <v>2973</v>
      </c>
      <c r="B229" s="1258" t="s">
        <v>2549</v>
      </c>
      <c r="C229" s="1258" t="s">
        <v>2744</v>
      </c>
      <c r="D229" s="1020">
        <f>E229*0.9</f>
        <v>1575</v>
      </c>
      <c r="E229" s="1020">
        <v>1750</v>
      </c>
      <c r="F229" s="1020">
        <f>E229</f>
        <v>1750</v>
      </c>
      <c r="G229" s="637" t="s">
        <v>12</v>
      </c>
      <c r="H229" s="56">
        <v>3</v>
      </c>
      <c r="I229" s="50" t="s">
        <v>2471</v>
      </c>
      <c r="J229" s="50"/>
      <c r="K229" s="34" t="s">
        <v>683</v>
      </c>
      <c r="L229" s="607" t="s">
        <v>653</v>
      </c>
      <c r="M229" s="15">
        <v>43076</v>
      </c>
      <c r="N229" s="15">
        <v>43083</v>
      </c>
      <c r="O229" s="59" t="s">
        <v>2545</v>
      </c>
      <c r="P229" s="59" t="s">
        <v>2643</v>
      </c>
      <c r="Q229" s="7"/>
      <c r="R229" s="610" t="s">
        <v>3398</v>
      </c>
      <c r="S229" s="322" t="s">
        <v>1176</v>
      </c>
      <c r="T229" s="858"/>
    </row>
    <row r="230" spans="1:20" ht="20.100000000000001" customHeight="1">
      <c r="A230" s="1257" t="s">
        <v>2973</v>
      </c>
      <c r="B230" s="1258" t="s">
        <v>2549</v>
      </c>
      <c r="C230" s="1258" t="s">
        <v>2744</v>
      </c>
      <c r="D230" s="1040">
        <v>1550</v>
      </c>
      <c r="E230" s="1040">
        <v>1600</v>
      </c>
      <c r="F230" s="1040">
        <v>1600</v>
      </c>
      <c r="G230" s="631" t="s">
        <v>31</v>
      </c>
      <c r="H230" s="56" t="s">
        <v>725</v>
      </c>
      <c r="I230" s="38" t="s">
        <v>2468</v>
      </c>
      <c r="J230" s="37"/>
      <c r="K230" s="5">
        <v>31</v>
      </c>
      <c r="L230" s="607" t="s">
        <v>653</v>
      </c>
      <c r="M230" s="623">
        <v>43080</v>
      </c>
      <c r="N230" s="623">
        <v>43083</v>
      </c>
      <c r="O230" s="61" t="s">
        <v>601</v>
      </c>
      <c r="P230" s="61"/>
      <c r="Q230" s="52"/>
      <c r="R230" s="606" t="s">
        <v>2586</v>
      </c>
      <c r="S230" s="622" t="s">
        <v>1176</v>
      </c>
      <c r="T230" s="858"/>
    </row>
    <row r="231" spans="1:20" ht="20.100000000000001" customHeight="1">
      <c r="A231" s="1257" t="s">
        <v>2973</v>
      </c>
      <c r="B231" s="1258" t="s">
        <v>2549</v>
      </c>
      <c r="C231" s="1258" t="s">
        <v>2744</v>
      </c>
      <c r="D231" s="1007">
        <v>1625</v>
      </c>
      <c r="E231" s="1007">
        <v>1750</v>
      </c>
      <c r="F231" s="1007">
        <v>1750</v>
      </c>
      <c r="G231" s="637" t="s">
        <v>5</v>
      </c>
      <c r="H231" s="168" t="s">
        <v>1233</v>
      </c>
      <c r="I231" s="50" t="s">
        <v>17</v>
      </c>
      <c r="J231" s="50"/>
      <c r="K231" s="34" t="s">
        <v>775</v>
      </c>
      <c r="L231" s="607" t="s">
        <v>653</v>
      </c>
      <c r="M231" s="159">
        <v>43073</v>
      </c>
      <c r="N231" s="159">
        <v>43083</v>
      </c>
      <c r="O231" s="61" t="s">
        <v>1771</v>
      </c>
      <c r="P231" s="59"/>
      <c r="Q231" s="7"/>
      <c r="R231" s="610" t="s">
        <v>2566</v>
      </c>
      <c r="S231" s="619"/>
      <c r="T231" s="857"/>
    </row>
    <row r="232" spans="1:20" ht="20.100000000000001" customHeight="1">
      <c r="A232" s="1257" t="s">
        <v>2973</v>
      </c>
      <c r="B232" s="1258" t="s">
        <v>2549</v>
      </c>
      <c r="C232" s="1258" t="s">
        <v>2744</v>
      </c>
      <c r="D232" s="1018">
        <v>1525</v>
      </c>
      <c r="E232" s="1018">
        <v>1575</v>
      </c>
      <c r="F232" s="1018">
        <v>1575</v>
      </c>
      <c r="G232" s="227" t="s">
        <v>1689</v>
      </c>
      <c r="H232" s="168" t="s">
        <v>1233</v>
      </c>
      <c r="I232" s="50" t="s">
        <v>17</v>
      </c>
      <c r="J232" s="50"/>
      <c r="K232" s="34" t="s">
        <v>775</v>
      </c>
      <c r="L232" s="607" t="s">
        <v>653</v>
      </c>
      <c r="M232" s="156">
        <v>43076</v>
      </c>
      <c r="N232" s="156">
        <v>43083</v>
      </c>
      <c r="O232" s="61" t="s">
        <v>1771</v>
      </c>
      <c r="P232" s="59"/>
      <c r="Q232" s="52"/>
      <c r="R232" s="610" t="s">
        <v>2470</v>
      </c>
      <c r="S232" s="619"/>
      <c r="T232" s="857"/>
    </row>
    <row r="233" spans="1:20" ht="20.100000000000001" customHeight="1">
      <c r="A233" s="1257" t="s">
        <v>2973</v>
      </c>
      <c r="B233" s="1258" t="s">
        <v>2549</v>
      </c>
      <c r="C233" s="1258" t="s">
        <v>2744</v>
      </c>
      <c r="D233" s="1018">
        <v>2180</v>
      </c>
      <c r="E233" s="1018">
        <v>2400</v>
      </c>
      <c r="F233" s="1018">
        <v>2400</v>
      </c>
      <c r="G233" s="637" t="s">
        <v>19</v>
      </c>
      <c r="H233" s="168" t="s">
        <v>1233</v>
      </c>
      <c r="I233" s="50" t="s">
        <v>17</v>
      </c>
      <c r="J233" s="50"/>
      <c r="K233" s="34" t="s">
        <v>775</v>
      </c>
      <c r="L233" s="607" t="s">
        <v>653</v>
      </c>
      <c r="M233" s="156">
        <v>43084</v>
      </c>
      <c r="N233" s="156">
        <v>43093</v>
      </c>
      <c r="O233" s="59" t="s">
        <v>611</v>
      </c>
      <c r="P233" s="59"/>
      <c r="Q233" s="7"/>
      <c r="R233" s="610" t="s">
        <v>2469</v>
      </c>
      <c r="S233" s="315" t="s">
        <v>3337</v>
      </c>
      <c r="T233" s="857"/>
    </row>
    <row r="234" spans="1:20" ht="20.100000000000001" customHeight="1">
      <c r="A234" s="1257" t="s">
        <v>2973</v>
      </c>
      <c r="B234" s="1258" t="s">
        <v>2549</v>
      </c>
      <c r="C234" s="1258" t="s">
        <v>2744</v>
      </c>
      <c r="D234" s="1050">
        <v>2150</v>
      </c>
      <c r="E234" s="1050">
        <v>2450</v>
      </c>
      <c r="F234" s="1050">
        <v>2450</v>
      </c>
      <c r="G234" s="637" t="s">
        <v>51</v>
      </c>
      <c r="H234" s="168" t="s">
        <v>1233</v>
      </c>
      <c r="I234" s="50" t="s">
        <v>17</v>
      </c>
      <c r="J234" s="50"/>
      <c r="K234" s="34" t="s">
        <v>775</v>
      </c>
      <c r="L234" s="607" t="s">
        <v>653</v>
      </c>
      <c r="M234" s="611">
        <v>43086</v>
      </c>
      <c r="N234" s="611">
        <v>43100</v>
      </c>
      <c r="O234" s="61" t="s">
        <v>601</v>
      </c>
      <c r="P234" s="61"/>
      <c r="Q234" s="52"/>
      <c r="R234" s="610" t="s">
        <v>2472</v>
      </c>
      <c r="S234" s="316" t="s">
        <v>3341</v>
      </c>
      <c r="T234" s="857"/>
    </row>
    <row r="235" spans="1:20" ht="20.100000000000001" customHeight="1">
      <c r="A235" s="1257" t="s">
        <v>2973</v>
      </c>
      <c r="B235" s="1258" t="s">
        <v>2549</v>
      </c>
      <c r="C235" s="1258" t="s">
        <v>2743</v>
      </c>
      <c r="D235" s="1067">
        <v>2150</v>
      </c>
      <c r="E235" s="1067">
        <v>2500</v>
      </c>
      <c r="F235" s="1067">
        <v>2500</v>
      </c>
      <c r="G235" s="637" t="s">
        <v>22</v>
      </c>
      <c r="H235" s="56" t="s">
        <v>729</v>
      </c>
      <c r="I235" s="50" t="s">
        <v>3362</v>
      </c>
      <c r="J235" s="50"/>
      <c r="K235" s="34" t="s">
        <v>970</v>
      </c>
      <c r="L235" s="607" t="s">
        <v>653</v>
      </c>
      <c r="M235" s="108">
        <v>43087</v>
      </c>
      <c r="N235" s="108">
        <v>43094</v>
      </c>
      <c r="O235" s="61" t="s">
        <v>2545</v>
      </c>
      <c r="P235" s="61"/>
      <c r="Q235" s="7"/>
      <c r="R235" s="606" t="s">
        <v>1750</v>
      </c>
      <c r="S235" s="322" t="s">
        <v>1176</v>
      </c>
      <c r="T235" s="858"/>
    </row>
    <row r="236" spans="1:20" ht="20.100000000000001" customHeight="1">
      <c r="A236" s="1257" t="s">
        <v>3377</v>
      </c>
      <c r="B236" s="1258" t="s">
        <v>2549</v>
      </c>
      <c r="C236" s="1258" t="s">
        <v>2743</v>
      </c>
      <c r="D236" s="1008">
        <v>2325</v>
      </c>
      <c r="E236" s="1008">
        <v>2650</v>
      </c>
      <c r="F236" s="1008">
        <v>2650</v>
      </c>
      <c r="G236" s="633" t="s">
        <v>28</v>
      </c>
      <c r="H236" s="56" t="s">
        <v>729</v>
      </c>
      <c r="I236" s="51" t="s">
        <v>2656</v>
      </c>
      <c r="J236" s="51"/>
      <c r="K236" s="34" t="s">
        <v>829</v>
      </c>
      <c r="L236" s="607" t="s">
        <v>653</v>
      </c>
      <c r="M236" s="620">
        <v>42982</v>
      </c>
      <c r="N236" s="620">
        <v>42982</v>
      </c>
      <c r="O236" s="153" t="s">
        <v>2735</v>
      </c>
      <c r="P236" s="61"/>
      <c r="Q236" s="7"/>
      <c r="R236" s="606" t="s">
        <v>1750</v>
      </c>
      <c r="S236" s="316"/>
      <c r="T236" s="858"/>
    </row>
    <row r="237" spans="1:20" ht="20.100000000000001" customHeight="1">
      <c r="A237" s="1257" t="s">
        <v>2973</v>
      </c>
      <c r="B237" s="1258" t="s">
        <v>2549</v>
      </c>
      <c r="C237" s="1258" t="s">
        <v>2743</v>
      </c>
      <c r="D237" s="1051">
        <v>1600</v>
      </c>
      <c r="E237" s="1051">
        <v>1725</v>
      </c>
      <c r="F237" s="1051">
        <v>1725</v>
      </c>
      <c r="G237" s="630" t="s">
        <v>33</v>
      </c>
      <c r="H237" s="56" t="s">
        <v>729</v>
      </c>
      <c r="I237" s="50" t="s">
        <v>2656</v>
      </c>
      <c r="J237" s="50"/>
      <c r="K237" s="34" t="s">
        <v>829</v>
      </c>
      <c r="L237" s="607" t="s">
        <v>653</v>
      </c>
      <c r="M237" s="159">
        <v>43080</v>
      </c>
      <c r="N237" s="159">
        <v>43086</v>
      </c>
      <c r="O237" s="61"/>
      <c r="P237" s="61"/>
      <c r="Q237" s="7"/>
      <c r="R237" s="606" t="s">
        <v>2756</v>
      </c>
      <c r="S237" s="622" t="s">
        <v>1176</v>
      </c>
      <c r="T237" s="858"/>
    </row>
    <row r="238" spans="1:20" ht="20.100000000000001" customHeight="1">
      <c r="A238" s="1257" t="s">
        <v>2973</v>
      </c>
      <c r="B238" s="1258" t="s">
        <v>2549</v>
      </c>
      <c r="C238" s="1258" t="s">
        <v>2743</v>
      </c>
      <c r="D238" s="1051">
        <v>1675</v>
      </c>
      <c r="E238" s="1051">
        <v>1800</v>
      </c>
      <c r="F238" s="1051">
        <v>1800</v>
      </c>
      <c r="G238" s="630" t="s">
        <v>18</v>
      </c>
      <c r="H238" s="56" t="s">
        <v>1102</v>
      </c>
      <c r="I238" s="50" t="s">
        <v>2548</v>
      </c>
      <c r="J238" s="50"/>
      <c r="K238" s="34" t="s">
        <v>731</v>
      </c>
      <c r="L238" s="607" t="s">
        <v>653</v>
      </c>
      <c r="M238" s="108">
        <v>43078</v>
      </c>
      <c r="N238" s="108">
        <v>43083</v>
      </c>
      <c r="O238" s="61"/>
      <c r="P238" s="61"/>
      <c r="Q238" s="7"/>
      <c r="R238" s="606" t="s">
        <v>2547</v>
      </c>
      <c r="S238" s="622"/>
      <c r="T238" s="858"/>
    </row>
    <row r="239" spans="1:20" ht="20.100000000000001" customHeight="1">
      <c r="A239" s="1257" t="s">
        <v>2973</v>
      </c>
      <c r="B239" s="1258" t="s">
        <v>2549</v>
      </c>
      <c r="C239" s="1258" t="s">
        <v>2743</v>
      </c>
      <c r="D239" s="1020">
        <f>E239*0.9</f>
        <v>1575</v>
      </c>
      <c r="E239" s="1020">
        <v>1750</v>
      </c>
      <c r="F239" s="1020">
        <f>E239</f>
        <v>1750</v>
      </c>
      <c r="G239" s="637" t="s">
        <v>12</v>
      </c>
      <c r="H239" s="659">
        <v>3</v>
      </c>
      <c r="I239" s="50" t="s">
        <v>2471</v>
      </c>
      <c r="J239" s="50"/>
      <c r="K239" s="34" t="s">
        <v>980</v>
      </c>
      <c r="L239" s="607" t="s">
        <v>653</v>
      </c>
      <c r="M239" s="15">
        <v>43076</v>
      </c>
      <c r="N239" s="15">
        <v>43083</v>
      </c>
      <c r="O239" s="59" t="s">
        <v>2545</v>
      </c>
      <c r="P239" s="59" t="s">
        <v>2643</v>
      </c>
      <c r="Q239" s="7"/>
      <c r="R239" s="610" t="s">
        <v>3398</v>
      </c>
      <c r="S239" s="322" t="s">
        <v>1176</v>
      </c>
      <c r="T239" s="858"/>
    </row>
    <row r="240" spans="1:20" ht="20.100000000000001" customHeight="1">
      <c r="A240" s="1257" t="s">
        <v>3377</v>
      </c>
      <c r="B240" s="1258" t="s">
        <v>2549</v>
      </c>
      <c r="C240" s="1258" t="s">
        <v>2743</v>
      </c>
      <c r="D240" s="1050">
        <v>2150</v>
      </c>
      <c r="E240" s="1050">
        <v>2450</v>
      </c>
      <c r="F240" s="1050">
        <v>2450</v>
      </c>
      <c r="G240" s="637" t="s">
        <v>51</v>
      </c>
      <c r="H240" s="56" t="s">
        <v>3379</v>
      </c>
      <c r="I240" s="51" t="s">
        <v>2695</v>
      </c>
      <c r="J240" s="51"/>
      <c r="K240" s="34" t="s">
        <v>2694</v>
      </c>
      <c r="L240" s="607" t="s">
        <v>653</v>
      </c>
      <c r="M240" s="611">
        <v>43086</v>
      </c>
      <c r="N240" s="611">
        <v>43100</v>
      </c>
      <c r="O240" s="61" t="s">
        <v>601</v>
      </c>
      <c r="P240" s="61"/>
      <c r="Q240" s="52"/>
      <c r="R240" s="606" t="s">
        <v>2787</v>
      </c>
      <c r="S240" s="316" t="s">
        <v>3341</v>
      </c>
      <c r="T240" s="858"/>
    </row>
    <row r="241" spans="1:20" ht="20.100000000000001" customHeight="1">
      <c r="A241" s="1257" t="s">
        <v>2973</v>
      </c>
      <c r="B241" s="1258" t="s">
        <v>2549</v>
      </c>
      <c r="C241" s="1258" t="s">
        <v>2743</v>
      </c>
      <c r="D241" s="1007">
        <v>1625</v>
      </c>
      <c r="E241" s="1007">
        <v>1750</v>
      </c>
      <c r="F241" s="1007">
        <v>1750</v>
      </c>
      <c r="G241" s="637" t="s">
        <v>5</v>
      </c>
      <c r="H241" s="168" t="s">
        <v>1233</v>
      </c>
      <c r="I241" s="51" t="s">
        <v>2569</v>
      </c>
      <c r="J241" s="51"/>
      <c r="K241" s="34" t="s">
        <v>683</v>
      </c>
      <c r="L241" s="607" t="s">
        <v>653</v>
      </c>
      <c r="M241" s="159">
        <v>43073</v>
      </c>
      <c r="N241" s="159">
        <v>43083</v>
      </c>
      <c r="O241" s="61" t="s">
        <v>1771</v>
      </c>
      <c r="P241" s="59"/>
      <c r="Q241" s="7"/>
      <c r="R241" s="610" t="s">
        <v>2566</v>
      </c>
      <c r="S241" s="619"/>
      <c r="T241" s="858"/>
    </row>
    <row r="242" spans="1:20" ht="20.100000000000001" customHeight="1">
      <c r="A242" s="1257" t="s">
        <v>2973</v>
      </c>
      <c r="B242" s="1258" t="s">
        <v>2549</v>
      </c>
      <c r="C242" s="1258" t="s">
        <v>2743</v>
      </c>
      <c r="D242" s="1018">
        <v>1525</v>
      </c>
      <c r="E242" s="1018">
        <v>1575</v>
      </c>
      <c r="F242" s="1018">
        <v>1575</v>
      </c>
      <c r="G242" s="227" t="s">
        <v>1689</v>
      </c>
      <c r="H242" s="168" t="s">
        <v>1233</v>
      </c>
      <c r="I242" s="37" t="s">
        <v>2569</v>
      </c>
      <c r="J242" s="37"/>
      <c r="K242" s="5" t="s">
        <v>775</v>
      </c>
      <c r="L242" s="607" t="s">
        <v>653</v>
      </c>
      <c r="M242" s="156">
        <v>43076</v>
      </c>
      <c r="N242" s="156">
        <v>43083</v>
      </c>
      <c r="O242" s="61" t="s">
        <v>1771</v>
      </c>
      <c r="P242" s="61"/>
      <c r="Q242" s="52"/>
      <c r="R242" s="610" t="s">
        <v>2470</v>
      </c>
      <c r="S242" s="622"/>
      <c r="T242" s="858"/>
    </row>
    <row r="243" spans="1:20" ht="20.100000000000001" customHeight="1">
      <c r="A243" s="1257" t="s">
        <v>2973</v>
      </c>
      <c r="B243" s="1258" t="s">
        <v>2549</v>
      </c>
      <c r="C243" s="1258" t="s">
        <v>2743</v>
      </c>
      <c r="D243" s="1018">
        <v>2180</v>
      </c>
      <c r="E243" s="1018">
        <v>2400</v>
      </c>
      <c r="F243" s="1018">
        <v>2400</v>
      </c>
      <c r="G243" s="637" t="s">
        <v>19</v>
      </c>
      <c r="H243" s="168" t="s">
        <v>1233</v>
      </c>
      <c r="I243" s="50" t="s">
        <v>2569</v>
      </c>
      <c r="J243" s="50"/>
      <c r="K243" s="34" t="s">
        <v>984</v>
      </c>
      <c r="L243" s="607" t="s">
        <v>653</v>
      </c>
      <c r="M243" s="156">
        <v>43084</v>
      </c>
      <c r="N243" s="156">
        <v>43093</v>
      </c>
      <c r="O243" s="59" t="s">
        <v>611</v>
      </c>
      <c r="P243" s="59"/>
      <c r="Q243" s="7"/>
      <c r="R243" s="610" t="s">
        <v>2469</v>
      </c>
      <c r="S243" s="315" t="s">
        <v>3337</v>
      </c>
      <c r="T243" s="858"/>
    </row>
    <row r="244" spans="1:20" ht="20.100000000000001" customHeight="1">
      <c r="A244" s="927" t="s">
        <v>2974</v>
      </c>
      <c r="B244" s="928" t="s">
        <v>2549</v>
      </c>
      <c r="C244" s="928" t="s">
        <v>2742</v>
      </c>
      <c r="D244" s="1008">
        <f>D232+300</f>
        <v>1825</v>
      </c>
      <c r="E244" s="1008">
        <f>E232+600</f>
        <v>2175</v>
      </c>
      <c r="F244" s="1008">
        <f>F232+600</f>
        <v>2175</v>
      </c>
      <c r="G244" s="609" t="s">
        <v>1689</v>
      </c>
      <c r="H244" s="168" t="s">
        <v>1233</v>
      </c>
      <c r="I244" s="37" t="s">
        <v>2569</v>
      </c>
      <c r="J244" s="37"/>
      <c r="K244" s="5" t="s">
        <v>775</v>
      </c>
      <c r="L244" s="607" t="s">
        <v>653</v>
      </c>
      <c r="M244" s="156">
        <v>43076</v>
      </c>
      <c r="N244" s="156">
        <v>43083</v>
      </c>
      <c r="O244" s="61" t="s">
        <v>1771</v>
      </c>
      <c r="P244" s="61"/>
      <c r="Q244" s="52"/>
      <c r="R244" s="610" t="s">
        <v>2470</v>
      </c>
      <c r="S244" s="622"/>
      <c r="T244" s="858"/>
    </row>
    <row r="245" spans="1:20" ht="20.100000000000001" customHeight="1">
      <c r="A245" s="1257" t="s">
        <v>2973</v>
      </c>
      <c r="B245" s="1258" t="s">
        <v>2549</v>
      </c>
      <c r="C245" s="1258" t="s">
        <v>2740</v>
      </c>
      <c r="D245" s="1067">
        <v>2150</v>
      </c>
      <c r="E245" s="1067">
        <v>2500</v>
      </c>
      <c r="F245" s="1067">
        <v>2500</v>
      </c>
      <c r="G245" s="637" t="s">
        <v>22</v>
      </c>
      <c r="H245" s="56" t="s">
        <v>729</v>
      </c>
      <c r="I245" s="50" t="s">
        <v>3362</v>
      </c>
      <c r="J245" s="50"/>
      <c r="K245" s="34" t="s">
        <v>775</v>
      </c>
      <c r="L245" s="607" t="s">
        <v>653</v>
      </c>
      <c r="M245" s="108">
        <v>43087</v>
      </c>
      <c r="N245" s="108">
        <v>43094</v>
      </c>
      <c r="O245" s="61" t="s">
        <v>2545</v>
      </c>
      <c r="P245" s="61"/>
      <c r="Q245" s="7"/>
      <c r="R245" s="606" t="s">
        <v>1750</v>
      </c>
      <c r="S245" s="322" t="s">
        <v>1176</v>
      </c>
      <c r="T245" s="921"/>
    </row>
    <row r="246" spans="1:20" ht="20.100000000000001" customHeight="1">
      <c r="A246" s="1257" t="s">
        <v>2973</v>
      </c>
      <c r="B246" s="1258" t="s">
        <v>2549</v>
      </c>
      <c r="C246" s="1258" t="s">
        <v>2740</v>
      </c>
      <c r="D246" s="1008">
        <v>2325</v>
      </c>
      <c r="E246" s="1008">
        <v>2650</v>
      </c>
      <c r="F246" s="1008">
        <v>2650</v>
      </c>
      <c r="G246" s="633" t="s">
        <v>28</v>
      </c>
      <c r="H246" s="56" t="s">
        <v>729</v>
      </c>
      <c r="I246" s="51" t="s">
        <v>2656</v>
      </c>
      <c r="J246" s="51"/>
      <c r="K246" s="34" t="s">
        <v>764</v>
      </c>
      <c r="L246" s="607" t="s">
        <v>653</v>
      </c>
      <c r="M246" s="620">
        <v>42982</v>
      </c>
      <c r="N246" s="620">
        <v>42982</v>
      </c>
      <c r="O246" s="153" t="s">
        <v>2735</v>
      </c>
      <c r="P246" s="61"/>
      <c r="Q246" s="7"/>
      <c r="R246" s="606" t="s">
        <v>1750</v>
      </c>
      <c r="S246" s="316"/>
      <c r="T246" s="921"/>
    </row>
    <row r="247" spans="1:20" ht="20.100000000000001" customHeight="1">
      <c r="A247" s="1257" t="s">
        <v>2973</v>
      </c>
      <c r="B247" s="1258" t="s">
        <v>2549</v>
      </c>
      <c r="C247" s="1258" t="s">
        <v>2740</v>
      </c>
      <c r="D247" s="1051">
        <v>1600</v>
      </c>
      <c r="E247" s="1051">
        <v>1725</v>
      </c>
      <c r="F247" s="1051">
        <v>1725</v>
      </c>
      <c r="G247" s="630" t="s">
        <v>33</v>
      </c>
      <c r="H247" s="56" t="s">
        <v>729</v>
      </c>
      <c r="I247" s="50" t="s">
        <v>2656</v>
      </c>
      <c r="J247" s="50"/>
      <c r="K247" s="34" t="s">
        <v>764</v>
      </c>
      <c r="L247" s="607" t="s">
        <v>653</v>
      </c>
      <c r="M247" s="159">
        <v>43080</v>
      </c>
      <c r="N247" s="159">
        <v>43086</v>
      </c>
      <c r="O247" s="61"/>
      <c r="P247" s="61"/>
      <c r="Q247" s="7"/>
      <c r="R247" s="606" t="s">
        <v>2756</v>
      </c>
      <c r="S247" s="622" t="s">
        <v>1176</v>
      </c>
      <c r="T247" s="921"/>
    </row>
    <row r="248" spans="1:20" ht="20.100000000000001" customHeight="1">
      <c r="A248" s="1257" t="s">
        <v>2973</v>
      </c>
      <c r="B248" s="1258" t="s">
        <v>2549</v>
      </c>
      <c r="C248" s="1258" t="s">
        <v>2740</v>
      </c>
      <c r="D248" s="1051">
        <v>1675</v>
      </c>
      <c r="E248" s="1051">
        <v>1800</v>
      </c>
      <c r="F248" s="1051">
        <v>1800</v>
      </c>
      <c r="G248" s="630" t="s">
        <v>18</v>
      </c>
      <c r="H248" s="56" t="s">
        <v>1102</v>
      </c>
      <c r="I248" s="50" t="s">
        <v>2548</v>
      </c>
      <c r="J248" s="50"/>
      <c r="K248" s="34" t="s">
        <v>662</v>
      </c>
      <c r="L248" s="607" t="s">
        <v>653</v>
      </c>
      <c r="M248" s="108">
        <v>43078</v>
      </c>
      <c r="N248" s="108">
        <v>43083</v>
      </c>
      <c r="O248" s="61"/>
      <c r="P248" s="61"/>
      <c r="Q248" s="7"/>
      <c r="R248" s="606" t="s">
        <v>2547</v>
      </c>
      <c r="S248" s="622"/>
      <c r="T248" s="921"/>
    </row>
    <row r="249" spans="1:20" ht="20.100000000000001" customHeight="1">
      <c r="A249" s="1257" t="s">
        <v>2973</v>
      </c>
      <c r="B249" s="1258" t="s">
        <v>2549</v>
      </c>
      <c r="C249" s="1258" t="s">
        <v>2740</v>
      </c>
      <c r="D249" s="1050">
        <v>2150</v>
      </c>
      <c r="E249" s="1050">
        <v>2450</v>
      </c>
      <c r="F249" s="1050">
        <v>2450</v>
      </c>
      <c r="G249" s="637" t="s">
        <v>51</v>
      </c>
      <c r="H249" s="56" t="s">
        <v>3379</v>
      </c>
      <c r="I249" s="51" t="s">
        <v>2695</v>
      </c>
      <c r="J249" s="51"/>
      <c r="K249" s="34" t="s">
        <v>2741</v>
      </c>
      <c r="L249" s="607" t="s">
        <v>653</v>
      </c>
      <c r="M249" s="611">
        <v>43086</v>
      </c>
      <c r="N249" s="611">
        <v>43100</v>
      </c>
      <c r="O249" s="61" t="s">
        <v>601</v>
      </c>
      <c r="P249" s="61"/>
      <c r="Q249" s="52"/>
      <c r="R249" s="606" t="s">
        <v>2787</v>
      </c>
      <c r="S249" s="316" t="s">
        <v>3341</v>
      </c>
      <c r="T249" s="921"/>
    </row>
    <row r="250" spans="1:20" ht="20.100000000000001" customHeight="1">
      <c r="A250" s="1257" t="s">
        <v>2973</v>
      </c>
      <c r="B250" s="1258" t="s">
        <v>2549</v>
      </c>
      <c r="C250" s="1258" t="s">
        <v>2740</v>
      </c>
      <c r="D250" s="1008">
        <f>D233+500</f>
        <v>2680</v>
      </c>
      <c r="E250" s="1008">
        <f>E233+800</f>
        <v>3200</v>
      </c>
      <c r="F250" s="1008">
        <f>F233+800</f>
        <v>3200</v>
      </c>
      <c r="G250" s="216" t="s">
        <v>19</v>
      </c>
      <c r="H250" s="168" t="s">
        <v>1233</v>
      </c>
      <c r="I250" s="50" t="s">
        <v>2569</v>
      </c>
      <c r="J250" s="50"/>
      <c r="K250" s="34" t="s">
        <v>984</v>
      </c>
      <c r="L250" s="607" t="s">
        <v>653</v>
      </c>
      <c r="M250" s="156">
        <v>43084</v>
      </c>
      <c r="N250" s="156">
        <v>43093</v>
      </c>
      <c r="O250" s="59" t="s">
        <v>611</v>
      </c>
      <c r="P250" s="59"/>
      <c r="Q250" s="7"/>
      <c r="R250" s="610" t="s">
        <v>2469</v>
      </c>
      <c r="S250" s="315" t="s">
        <v>3337</v>
      </c>
      <c r="T250" s="921"/>
    </row>
    <row r="251" spans="1:20" ht="20.100000000000001" customHeight="1">
      <c r="A251" s="1257" t="s">
        <v>3377</v>
      </c>
      <c r="B251" s="1258" t="s">
        <v>2549</v>
      </c>
      <c r="C251" s="1258" t="s">
        <v>2740</v>
      </c>
      <c r="D251" s="1008">
        <f>D232</f>
        <v>1525</v>
      </c>
      <c r="E251" s="1008">
        <f>E232</f>
        <v>1575</v>
      </c>
      <c r="F251" s="1008">
        <f>F232</f>
        <v>1575</v>
      </c>
      <c r="G251" s="609" t="s">
        <v>1689</v>
      </c>
      <c r="H251" s="168" t="s">
        <v>1233</v>
      </c>
      <c r="I251" s="37" t="s">
        <v>2569</v>
      </c>
      <c r="J251" s="37"/>
      <c r="K251" s="5" t="s">
        <v>728</v>
      </c>
      <c r="L251" s="607" t="s">
        <v>653</v>
      </c>
      <c r="M251" s="156">
        <v>43076</v>
      </c>
      <c r="N251" s="156">
        <v>43083</v>
      </c>
      <c r="O251" s="61" t="s">
        <v>1771</v>
      </c>
      <c r="P251" s="61"/>
      <c r="Q251" s="52"/>
      <c r="R251" s="610" t="s">
        <v>2470</v>
      </c>
      <c r="S251" s="622"/>
      <c r="T251" s="858"/>
    </row>
    <row r="252" spans="1:20" ht="20.100000000000001" customHeight="1">
      <c r="A252" s="1257" t="s">
        <v>2973</v>
      </c>
      <c r="B252" s="1258" t="s">
        <v>2549</v>
      </c>
      <c r="C252" s="1258" t="s">
        <v>2740</v>
      </c>
      <c r="D252" s="1022">
        <f>D241</f>
        <v>1625</v>
      </c>
      <c r="E252" s="1022">
        <f>E241</f>
        <v>1750</v>
      </c>
      <c r="F252" s="1022">
        <f>F241</f>
        <v>1750</v>
      </c>
      <c r="G252" s="216" t="s">
        <v>5</v>
      </c>
      <c r="H252" s="168" t="s">
        <v>1233</v>
      </c>
      <c r="I252" s="51" t="s">
        <v>2569</v>
      </c>
      <c r="J252" s="51"/>
      <c r="K252" s="34" t="s">
        <v>835</v>
      </c>
      <c r="L252" s="607" t="s">
        <v>653</v>
      </c>
      <c r="M252" s="159">
        <v>43073</v>
      </c>
      <c r="N252" s="159">
        <v>43083</v>
      </c>
      <c r="O252" s="61" t="s">
        <v>1771</v>
      </c>
      <c r="P252" s="59"/>
      <c r="Q252" s="7"/>
      <c r="R252" s="610" t="s">
        <v>2566</v>
      </c>
      <c r="S252" s="619"/>
      <c r="T252" s="858"/>
    </row>
    <row r="253" spans="1:20" ht="20.100000000000001" customHeight="1">
      <c r="A253" s="927" t="s">
        <v>2974</v>
      </c>
      <c r="B253" s="928" t="s">
        <v>2549</v>
      </c>
      <c r="C253" s="928" t="s">
        <v>2551</v>
      </c>
      <c r="D253" s="1019">
        <f>D231+1311+25</f>
        <v>2961</v>
      </c>
      <c r="E253" s="1019">
        <f>E231+1958+50</f>
        <v>3758</v>
      </c>
      <c r="F253" s="1019">
        <f>F231+1958+50</f>
        <v>3758</v>
      </c>
      <c r="G253" s="216" t="s">
        <v>5</v>
      </c>
      <c r="H253" s="168" t="s">
        <v>1233</v>
      </c>
      <c r="I253" s="51" t="s">
        <v>2569</v>
      </c>
      <c r="J253" s="51"/>
      <c r="K253" s="34" t="s">
        <v>1107</v>
      </c>
      <c r="L253" s="607" t="s">
        <v>653</v>
      </c>
      <c r="M253" s="159">
        <v>43073</v>
      </c>
      <c r="N253" s="159">
        <v>43083</v>
      </c>
      <c r="O253" s="61" t="s">
        <v>1771</v>
      </c>
      <c r="P253" s="59"/>
      <c r="Q253" s="72" t="s">
        <v>3343</v>
      </c>
      <c r="R253" s="610" t="s">
        <v>2566</v>
      </c>
      <c r="S253" s="619"/>
      <c r="T253" s="921"/>
    </row>
    <row r="254" spans="1:20" ht="20.100000000000001" customHeight="1">
      <c r="A254" s="927" t="s">
        <v>2974</v>
      </c>
      <c r="B254" s="928" t="s">
        <v>2549</v>
      </c>
      <c r="C254" s="928" t="s">
        <v>2550</v>
      </c>
      <c r="D254" s="1019">
        <f>D231+1518+25</f>
        <v>3168</v>
      </c>
      <c r="E254" s="1019">
        <f>E231+2001+50</f>
        <v>3801</v>
      </c>
      <c r="F254" s="1019">
        <f>F231+2001+50</f>
        <v>3801</v>
      </c>
      <c r="G254" s="216" t="s">
        <v>5</v>
      </c>
      <c r="H254" s="168" t="s">
        <v>1233</v>
      </c>
      <c r="I254" s="51" t="s">
        <v>2569</v>
      </c>
      <c r="J254" s="51"/>
      <c r="K254" s="34" t="s">
        <v>1107</v>
      </c>
      <c r="L254" s="607" t="s">
        <v>653</v>
      </c>
      <c r="M254" s="159">
        <v>43073</v>
      </c>
      <c r="N254" s="159">
        <v>43083</v>
      </c>
      <c r="O254" s="61" t="s">
        <v>1771</v>
      </c>
      <c r="P254" s="59"/>
      <c r="Q254" s="72" t="s">
        <v>3343</v>
      </c>
      <c r="R254" s="610" t="s">
        <v>2566</v>
      </c>
      <c r="S254" s="619"/>
      <c r="T254" s="921"/>
    </row>
    <row r="255" spans="1:20" ht="20.100000000000001" customHeight="1">
      <c r="A255" s="927" t="s">
        <v>2974</v>
      </c>
      <c r="B255" s="928" t="s">
        <v>2549</v>
      </c>
      <c r="C255" s="928" t="s">
        <v>2739</v>
      </c>
      <c r="D255" s="1019">
        <f>D231+1104+25</f>
        <v>2754</v>
      </c>
      <c r="E255" s="1019">
        <f>E231+1682+50</f>
        <v>3482</v>
      </c>
      <c r="F255" s="1019">
        <f>F231+1682+50</f>
        <v>3482</v>
      </c>
      <c r="G255" s="216" t="s">
        <v>5</v>
      </c>
      <c r="H255" s="168" t="s">
        <v>1233</v>
      </c>
      <c r="I255" s="51" t="s">
        <v>2569</v>
      </c>
      <c r="J255" s="51"/>
      <c r="K255" s="34" t="s">
        <v>1107</v>
      </c>
      <c r="L255" s="607" t="s">
        <v>653</v>
      </c>
      <c r="M255" s="159">
        <v>43073</v>
      </c>
      <c r="N255" s="159">
        <v>43083</v>
      </c>
      <c r="O255" s="61" t="s">
        <v>1771</v>
      </c>
      <c r="P255" s="59"/>
      <c r="Q255" s="72" t="s">
        <v>3343</v>
      </c>
      <c r="R255" s="610" t="s">
        <v>2566</v>
      </c>
      <c r="S255" s="619"/>
      <c r="T255" s="921"/>
    </row>
    <row r="256" spans="1:20" ht="20.100000000000001" customHeight="1">
      <c r="A256" s="1257" t="s">
        <v>2973</v>
      </c>
      <c r="B256" s="1258" t="s">
        <v>2733</v>
      </c>
      <c r="C256" s="1258" t="s">
        <v>2738</v>
      </c>
      <c r="D256" s="1067">
        <v>2150</v>
      </c>
      <c r="E256" s="1067">
        <v>2500</v>
      </c>
      <c r="F256" s="1067">
        <v>2500</v>
      </c>
      <c r="G256" s="637" t="s">
        <v>22</v>
      </c>
      <c r="H256" s="56" t="s">
        <v>729</v>
      </c>
      <c r="I256" s="50" t="s">
        <v>3362</v>
      </c>
      <c r="J256" s="50"/>
      <c r="K256" s="34" t="s">
        <v>975</v>
      </c>
      <c r="L256" s="607" t="s">
        <v>653</v>
      </c>
      <c r="M256" s="108">
        <v>43087</v>
      </c>
      <c r="N256" s="108">
        <v>43094</v>
      </c>
      <c r="O256" s="61" t="s">
        <v>2545</v>
      </c>
      <c r="P256" s="61"/>
      <c r="Q256" s="7"/>
      <c r="R256" s="606" t="s">
        <v>1750</v>
      </c>
      <c r="S256" s="322" t="s">
        <v>1176</v>
      </c>
      <c r="T256" s="859"/>
    </row>
    <row r="257" spans="1:20" ht="20.100000000000001" customHeight="1">
      <c r="A257" s="1257" t="s">
        <v>2973</v>
      </c>
      <c r="B257" s="1258" t="s">
        <v>2733</v>
      </c>
      <c r="C257" s="1258" t="s">
        <v>2738</v>
      </c>
      <c r="D257" s="1051">
        <v>1600</v>
      </c>
      <c r="E257" s="1051">
        <v>1725</v>
      </c>
      <c r="F257" s="1051">
        <v>1725</v>
      </c>
      <c r="G257" s="630" t="s">
        <v>33</v>
      </c>
      <c r="H257" s="56" t="s">
        <v>729</v>
      </c>
      <c r="I257" s="50" t="s">
        <v>2656</v>
      </c>
      <c r="J257" s="50"/>
      <c r="K257" s="34" t="s">
        <v>970</v>
      </c>
      <c r="L257" s="607" t="s">
        <v>653</v>
      </c>
      <c r="M257" s="159">
        <v>43080</v>
      </c>
      <c r="N257" s="159">
        <v>43086</v>
      </c>
      <c r="O257" s="61" t="s">
        <v>2735</v>
      </c>
      <c r="P257" s="61"/>
      <c r="Q257" s="7"/>
      <c r="R257" s="606" t="s">
        <v>2756</v>
      </c>
      <c r="S257" s="622" t="s">
        <v>1176</v>
      </c>
      <c r="T257" s="859"/>
    </row>
    <row r="258" spans="1:20" ht="20.100000000000001" customHeight="1">
      <c r="A258" s="1257" t="s">
        <v>2973</v>
      </c>
      <c r="B258" s="1258" t="s">
        <v>2733</v>
      </c>
      <c r="C258" s="1258" t="s">
        <v>2738</v>
      </c>
      <c r="D258" s="1051">
        <v>1600</v>
      </c>
      <c r="E258" s="1051">
        <v>1675</v>
      </c>
      <c r="F258" s="1051">
        <v>1675</v>
      </c>
      <c r="G258" s="630" t="s">
        <v>18</v>
      </c>
      <c r="H258" s="56" t="s">
        <v>1102</v>
      </c>
      <c r="I258" s="50" t="s">
        <v>2548</v>
      </c>
      <c r="J258" s="50"/>
      <c r="K258" s="34" t="s">
        <v>835</v>
      </c>
      <c r="L258" s="607" t="s">
        <v>653</v>
      </c>
      <c r="M258" s="108">
        <v>43078</v>
      </c>
      <c r="N258" s="108">
        <v>43083</v>
      </c>
      <c r="O258" s="61"/>
      <c r="P258" s="61"/>
      <c r="Q258" s="7"/>
      <c r="R258" s="606" t="s">
        <v>2547</v>
      </c>
      <c r="S258" s="622"/>
      <c r="T258" s="859"/>
    </row>
    <row r="259" spans="1:20" ht="20.100000000000001" customHeight="1">
      <c r="A259" s="1257" t="s">
        <v>2973</v>
      </c>
      <c r="B259" s="1258" t="s">
        <v>2733</v>
      </c>
      <c r="C259" s="1258" t="s">
        <v>2738</v>
      </c>
      <c r="D259" s="1020">
        <f>E259*0.9</f>
        <v>1575</v>
      </c>
      <c r="E259" s="1020">
        <v>1750</v>
      </c>
      <c r="F259" s="1020">
        <f>E259</f>
        <v>1750</v>
      </c>
      <c r="G259" s="637" t="s">
        <v>12</v>
      </c>
      <c r="H259" s="56">
        <v>3</v>
      </c>
      <c r="I259" s="50" t="s">
        <v>2471</v>
      </c>
      <c r="J259" s="50"/>
      <c r="K259" s="34" t="s">
        <v>975</v>
      </c>
      <c r="L259" s="607" t="s">
        <v>653</v>
      </c>
      <c r="M259" s="15">
        <v>43076</v>
      </c>
      <c r="N259" s="15">
        <v>43083</v>
      </c>
      <c r="O259" s="59" t="s">
        <v>2545</v>
      </c>
      <c r="P259" s="59" t="s">
        <v>2643</v>
      </c>
      <c r="Q259" s="7"/>
      <c r="R259" s="610" t="s">
        <v>3398</v>
      </c>
      <c r="S259" s="322" t="s">
        <v>1176</v>
      </c>
      <c r="T259" s="858"/>
    </row>
    <row r="260" spans="1:20" ht="20.100000000000001" customHeight="1">
      <c r="A260" s="1257" t="s">
        <v>2973</v>
      </c>
      <c r="B260" s="1258" t="s">
        <v>2733</v>
      </c>
      <c r="C260" s="1258" t="s">
        <v>2738</v>
      </c>
      <c r="D260" s="1040">
        <v>1600</v>
      </c>
      <c r="E260" s="1040">
        <v>1700</v>
      </c>
      <c r="F260" s="1040">
        <v>1700</v>
      </c>
      <c r="G260" s="631" t="s">
        <v>31</v>
      </c>
      <c r="H260" s="56" t="s">
        <v>725</v>
      </c>
      <c r="I260" s="38" t="s">
        <v>2468</v>
      </c>
      <c r="J260" s="37"/>
      <c r="K260" s="16">
        <v>28</v>
      </c>
      <c r="L260" s="607" t="s">
        <v>653</v>
      </c>
      <c r="M260" s="623">
        <v>43080</v>
      </c>
      <c r="N260" s="623">
        <v>43083</v>
      </c>
      <c r="O260" s="61" t="s">
        <v>2734</v>
      </c>
      <c r="P260" s="61"/>
      <c r="Q260" s="52"/>
      <c r="R260" s="606" t="s">
        <v>2586</v>
      </c>
      <c r="S260" s="622" t="s">
        <v>1176</v>
      </c>
      <c r="T260" s="858"/>
    </row>
    <row r="261" spans="1:20" ht="20.100000000000001" customHeight="1">
      <c r="A261" s="1257" t="s">
        <v>2973</v>
      </c>
      <c r="B261" s="1258" t="s">
        <v>2733</v>
      </c>
      <c r="C261" s="1259" t="s">
        <v>2738</v>
      </c>
      <c r="D261" s="1010" t="s">
        <v>4382</v>
      </c>
      <c r="E261" s="1010" t="s">
        <v>3475</v>
      </c>
      <c r="F261" s="1010" t="s">
        <v>3475</v>
      </c>
      <c r="G261" s="780" t="s">
        <v>76</v>
      </c>
      <c r="H261" s="168" t="s">
        <v>1233</v>
      </c>
      <c r="I261" s="50" t="s">
        <v>17</v>
      </c>
      <c r="J261" s="50"/>
      <c r="K261" s="34" t="s">
        <v>722</v>
      </c>
      <c r="L261" s="607" t="s">
        <v>653</v>
      </c>
      <c r="M261" s="6">
        <v>43087</v>
      </c>
      <c r="N261" s="6">
        <v>43093</v>
      </c>
      <c r="O261" s="61" t="s">
        <v>3400</v>
      </c>
      <c r="P261" s="61"/>
      <c r="Q261" s="52"/>
      <c r="R261" s="610" t="s">
        <v>2470</v>
      </c>
      <c r="S261" s="315" t="s">
        <v>3341</v>
      </c>
      <c r="T261" s="859"/>
    </row>
    <row r="262" spans="1:20" ht="20.100000000000001" customHeight="1">
      <c r="A262" s="1257" t="s">
        <v>2973</v>
      </c>
      <c r="B262" s="1258" t="s">
        <v>2733</v>
      </c>
      <c r="C262" s="1258" t="s">
        <v>2738</v>
      </c>
      <c r="D262" s="1050">
        <v>2150</v>
      </c>
      <c r="E262" s="1050">
        <v>2450</v>
      </c>
      <c r="F262" s="1050">
        <v>2450</v>
      </c>
      <c r="G262" s="637" t="s">
        <v>51</v>
      </c>
      <c r="H262" s="168" t="s">
        <v>1233</v>
      </c>
      <c r="I262" s="50" t="s">
        <v>17</v>
      </c>
      <c r="J262" s="50"/>
      <c r="K262" s="34" t="s">
        <v>722</v>
      </c>
      <c r="L262" s="607" t="s">
        <v>653</v>
      </c>
      <c r="M262" s="611">
        <v>43086</v>
      </c>
      <c r="N262" s="611">
        <v>43100</v>
      </c>
      <c r="O262" s="59"/>
      <c r="P262" s="59"/>
      <c r="Q262" s="52"/>
      <c r="R262" s="610" t="s">
        <v>2472</v>
      </c>
      <c r="S262" s="316" t="s">
        <v>3341</v>
      </c>
      <c r="T262" s="859"/>
    </row>
    <row r="263" spans="1:20" ht="20.100000000000001" customHeight="1">
      <c r="A263" s="1257" t="s">
        <v>2973</v>
      </c>
      <c r="B263" s="1258" t="s">
        <v>2733</v>
      </c>
      <c r="C263" s="1258" t="s">
        <v>2738</v>
      </c>
      <c r="D263" s="1007">
        <v>1625</v>
      </c>
      <c r="E263" s="1007">
        <v>1750</v>
      </c>
      <c r="F263" s="1007">
        <v>1750</v>
      </c>
      <c r="G263" s="637" t="s">
        <v>5</v>
      </c>
      <c r="H263" s="168" t="s">
        <v>1233</v>
      </c>
      <c r="I263" s="50" t="s">
        <v>17</v>
      </c>
      <c r="J263" s="50"/>
      <c r="K263" s="34" t="s">
        <v>722</v>
      </c>
      <c r="L263" s="607" t="s">
        <v>653</v>
      </c>
      <c r="M263" s="159">
        <v>43073</v>
      </c>
      <c r="N263" s="159">
        <v>43083</v>
      </c>
      <c r="O263" s="61" t="s">
        <v>1771</v>
      </c>
      <c r="P263" s="59"/>
      <c r="Q263" s="7"/>
      <c r="R263" s="610" t="s">
        <v>2566</v>
      </c>
      <c r="S263" s="619"/>
      <c r="T263" s="859"/>
    </row>
    <row r="264" spans="1:20" ht="20.100000000000001" customHeight="1">
      <c r="A264" s="1257" t="s">
        <v>2973</v>
      </c>
      <c r="B264" s="1258" t="s">
        <v>2733</v>
      </c>
      <c r="C264" s="1258" t="s">
        <v>2738</v>
      </c>
      <c r="D264" s="1018">
        <v>1525</v>
      </c>
      <c r="E264" s="1018">
        <v>1575</v>
      </c>
      <c r="F264" s="1018">
        <v>1575</v>
      </c>
      <c r="G264" s="227" t="s">
        <v>1689</v>
      </c>
      <c r="H264" s="168" t="s">
        <v>1233</v>
      </c>
      <c r="I264" s="50" t="s">
        <v>17</v>
      </c>
      <c r="J264" s="50"/>
      <c r="K264" s="34" t="s">
        <v>722</v>
      </c>
      <c r="L264" s="607" t="s">
        <v>653</v>
      </c>
      <c r="M264" s="156">
        <v>43076</v>
      </c>
      <c r="N264" s="156">
        <v>43083</v>
      </c>
      <c r="O264" s="61" t="s">
        <v>1771</v>
      </c>
      <c r="P264" s="59"/>
      <c r="Q264" s="52"/>
      <c r="R264" s="610" t="s">
        <v>2470</v>
      </c>
      <c r="S264" s="619"/>
      <c r="T264" s="859"/>
    </row>
    <row r="265" spans="1:20" ht="20.100000000000001" customHeight="1">
      <c r="A265" s="1257" t="s">
        <v>2973</v>
      </c>
      <c r="B265" s="1258" t="s">
        <v>2733</v>
      </c>
      <c r="C265" s="1258" t="s">
        <v>2738</v>
      </c>
      <c r="D265" s="1018">
        <v>2180</v>
      </c>
      <c r="E265" s="1018">
        <v>2400</v>
      </c>
      <c r="F265" s="1018">
        <v>2400</v>
      </c>
      <c r="G265" s="637" t="s">
        <v>19</v>
      </c>
      <c r="H265" s="651" t="s">
        <v>1233</v>
      </c>
      <c r="I265" s="50" t="s">
        <v>17</v>
      </c>
      <c r="J265" s="50"/>
      <c r="K265" s="34" t="s">
        <v>722</v>
      </c>
      <c r="L265" s="607" t="s">
        <v>653</v>
      </c>
      <c r="M265" s="156">
        <v>43084</v>
      </c>
      <c r="N265" s="156">
        <v>43093</v>
      </c>
      <c r="O265" s="59" t="s">
        <v>611</v>
      </c>
      <c r="P265" s="59"/>
      <c r="Q265" s="7"/>
      <c r="R265" s="610" t="s">
        <v>2469</v>
      </c>
      <c r="S265" s="315" t="s">
        <v>3337</v>
      </c>
      <c r="T265" s="859"/>
    </row>
    <row r="266" spans="1:20" ht="20.100000000000001" customHeight="1">
      <c r="A266" s="1258" t="s">
        <v>2973</v>
      </c>
      <c r="B266" s="1258" t="s">
        <v>2733</v>
      </c>
      <c r="C266" s="1258" t="s">
        <v>2737</v>
      </c>
      <c r="D266" s="1051">
        <v>1600</v>
      </c>
      <c r="E266" s="1051">
        <v>1725</v>
      </c>
      <c r="F266" s="1051">
        <v>1725</v>
      </c>
      <c r="G266" s="630" t="s">
        <v>33</v>
      </c>
      <c r="H266" s="56" t="s">
        <v>729</v>
      </c>
      <c r="I266" s="50" t="s">
        <v>2656</v>
      </c>
      <c r="J266" s="50"/>
      <c r="K266" s="34" t="s">
        <v>1107</v>
      </c>
      <c r="L266" s="607" t="s">
        <v>653</v>
      </c>
      <c r="M266" s="159">
        <v>43080</v>
      </c>
      <c r="N266" s="159">
        <v>43086</v>
      </c>
      <c r="O266" s="61" t="s">
        <v>2735</v>
      </c>
      <c r="P266" s="61"/>
      <c r="Q266" s="7"/>
      <c r="R266" s="606" t="s">
        <v>2756</v>
      </c>
      <c r="S266" s="622" t="s">
        <v>1176</v>
      </c>
      <c r="T266" s="858"/>
    </row>
    <row r="267" spans="1:20" ht="20.100000000000001" customHeight="1">
      <c r="A267" s="1258" t="s">
        <v>2973</v>
      </c>
      <c r="B267" s="1258" t="s">
        <v>2733</v>
      </c>
      <c r="C267" s="1258" t="s">
        <v>2737</v>
      </c>
      <c r="D267" s="1067">
        <v>2150</v>
      </c>
      <c r="E267" s="1067">
        <v>2500</v>
      </c>
      <c r="F267" s="1067">
        <v>2500</v>
      </c>
      <c r="G267" s="637" t="s">
        <v>22</v>
      </c>
      <c r="H267" s="56" t="s">
        <v>729</v>
      </c>
      <c r="I267" s="50" t="s">
        <v>3362</v>
      </c>
      <c r="J267" s="50"/>
      <c r="K267" s="34" t="s">
        <v>687</v>
      </c>
      <c r="L267" s="607" t="s">
        <v>653</v>
      </c>
      <c r="M267" s="108">
        <v>43087</v>
      </c>
      <c r="N267" s="108">
        <v>43094</v>
      </c>
      <c r="O267" s="61" t="s">
        <v>2545</v>
      </c>
      <c r="P267" s="61"/>
      <c r="Q267" s="7"/>
      <c r="R267" s="606" t="s">
        <v>1750</v>
      </c>
      <c r="S267" s="322" t="s">
        <v>1176</v>
      </c>
      <c r="T267" s="859"/>
    </row>
    <row r="268" spans="1:20" ht="20.100000000000001" customHeight="1">
      <c r="A268" s="1258" t="s">
        <v>2973</v>
      </c>
      <c r="B268" s="1258" t="s">
        <v>2733</v>
      </c>
      <c r="C268" s="1258" t="s">
        <v>2737</v>
      </c>
      <c r="D268" s="1051">
        <v>1675</v>
      </c>
      <c r="E268" s="1051">
        <v>1800</v>
      </c>
      <c r="F268" s="1051">
        <v>1800</v>
      </c>
      <c r="G268" s="630" t="s">
        <v>18</v>
      </c>
      <c r="H268" s="56" t="s">
        <v>1102</v>
      </c>
      <c r="I268" s="50" t="s">
        <v>2548</v>
      </c>
      <c r="J268" s="50"/>
      <c r="K268" s="34" t="s">
        <v>722</v>
      </c>
      <c r="L268" s="607" t="s">
        <v>653</v>
      </c>
      <c r="M268" s="108">
        <v>43078</v>
      </c>
      <c r="N268" s="108">
        <v>43083</v>
      </c>
      <c r="O268" s="61"/>
      <c r="P268" s="61"/>
      <c r="Q268" s="7"/>
      <c r="R268" s="606" t="s">
        <v>2547</v>
      </c>
      <c r="S268" s="622"/>
      <c r="T268" s="858"/>
    </row>
    <row r="269" spans="1:20" ht="20.100000000000001" customHeight="1">
      <c r="A269" s="1258" t="s">
        <v>2973</v>
      </c>
      <c r="B269" s="1258" t="s">
        <v>2733</v>
      </c>
      <c r="C269" s="1258" t="s">
        <v>2737</v>
      </c>
      <c r="D269" s="1020">
        <f>E269*0.9</f>
        <v>1710</v>
      </c>
      <c r="E269" s="1020">
        <v>1900</v>
      </c>
      <c r="F269" s="1020">
        <f>E269</f>
        <v>1900</v>
      </c>
      <c r="G269" s="637" t="s">
        <v>12</v>
      </c>
      <c r="H269" s="659">
        <v>3</v>
      </c>
      <c r="I269" s="37" t="s">
        <v>2471</v>
      </c>
      <c r="J269" s="37"/>
      <c r="K269" s="16" t="s">
        <v>975</v>
      </c>
      <c r="L269" s="607" t="s">
        <v>653</v>
      </c>
      <c r="M269" s="15">
        <v>43076</v>
      </c>
      <c r="N269" s="15">
        <v>43083</v>
      </c>
      <c r="O269" s="59" t="s">
        <v>2545</v>
      </c>
      <c r="P269" s="59" t="s">
        <v>2643</v>
      </c>
      <c r="Q269" s="7"/>
      <c r="R269" s="606" t="s">
        <v>3398</v>
      </c>
      <c r="S269" s="322" t="s">
        <v>1176</v>
      </c>
      <c r="T269" s="858"/>
    </row>
    <row r="270" spans="1:20" ht="20.100000000000001" customHeight="1">
      <c r="A270" s="1258" t="s">
        <v>2973</v>
      </c>
      <c r="B270" s="1258" t="s">
        <v>2733</v>
      </c>
      <c r="C270" s="1258" t="s">
        <v>2737</v>
      </c>
      <c r="D270" s="1040">
        <v>1600</v>
      </c>
      <c r="E270" s="1040">
        <v>1700</v>
      </c>
      <c r="F270" s="1040">
        <v>1700</v>
      </c>
      <c r="G270" s="631" t="s">
        <v>31</v>
      </c>
      <c r="H270" s="56" t="s">
        <v>725</v>
      </c>
      <c r="I270" s="38" t="s">
        <v>2468</v>
      </c>
      <c r="J270" s="37"/>
      <c r="K270" s="16">
        <v>38</v>
      </c>
      <c r="L270" s="607" t="s">
        <v>653</v>
      </c>
      <c r="M270" s="623">
        <v>43080</v>
      </c>
      <c r="N270" s="623">
        <v>43083</v>
      </c>
      <c r="O270" s="61" t="s">
        <v>2734</v>
      </c>
      <c r="P270" s="61"/>
      <c r="Q270" s="52"/>
      <c r="R270" s="606" t="s">
        <v>2586</v>
      </c>
      <c r="S270" s="622" t="s">
        <v>1176</v>
      </c>
      <c r="T270" s="858"/>
    </row>
    <row r="271" spans="1:20" ht="20.100000000000001" customHeight="1">
      <c r="A271" s="1258" t="s">
        <v>2973</v>
      </c>
      <c r="B271" s="1258" t="s">
        <v>2733</v>
      </c>
      <c r="C271" s="1259" t="s">
        <v>2737</v>
      </c>
      <c r="D271" s="1010" t="s">
        <v>5428</v>
      </c>
      <c r="E271" s="1010" t="s">
        <v>5427</v>
      </c>
      <c r="F271" s="1010" t="s">
        <v>5427</v>
      </c>
      <c r="G271" s="781" t="s">
        <v>76</v>
      </c>
      <c r="H271" s="56" t="s">
        <v>1233</v>
      </c>
      <c r="I271" s="5" t="s">
        <v>2471</v>
      </c>
      <c r="J271" s="50"/>
      <c r="K271" s="19" t="s">
        <v>1242</v>
      </c>
      <c r="L271" s="607" t="s">
        <v>653</v>
      </c>
      <c r="M271" s="6">
        <v>43087</v>
      </c>
      <c r="N271" s="6">
        <v>43093</v>
      </c>
      <c r="O271" s="61" t="s">
        <v>3400</v>
      </c>
      <c r="P271" s="61"/>
      <c r="Q271" s="52"/>
      <c r="R271" s="610" t="s">
        <v>2470</v>
      </c>
      <c r="S271" s="315" t="s">
        <v>3341</v>
      </c>
      <c r="T271" s="858"/>
    </row>
    <row r="272" spans="1:20" ht="20.100000000000001" customHeight="1">
      <c r="A272" s="1258" t="s">
        <v>3377</v>
      </c>
      <c r="B272" s="1258" t="s">
        <v>2733</v>
      </c>
      <c r="C272" s="1258" t="s">
        <v>2737</v>
      </c>
      <c r="D272" s="1057">
        <f>D263+0</f>
        <v>1625</v>
      </c>
      <c r="E272" s="1057">
        <f>E263+0</f>
        <v>1750</v>
      </c>
      <c r="F272" s="1057">
        <f>F263+0</f>
        <v>1750</v>
      </c>
      <c r="G272" s="216" t="s">
        <v>5</v>
      </c>
      <c r="H272" s="168" t="s">
        <v>1233</v>
      </c>
      <c r="I272" s="51" t="s">
        <v>2471</v>
      </c>
      <c r="J272" s="51"/>
      <c r="K272" s="34" t="s">
        <v>731</v>
      </c>
      <c r="L272" s="607" t="s">
        <v>653</v>
      </c>
      <c r="M272" s="159">
        <v>43073</v>
      </c>
      <c r="N272" s="159">
        <v>43083</v>
      </c>
      <c r="O272" s="61" t="s">
        <v>1771</v>
      </c>
      <c r="P272" s="59"/>
      <c r="Q272" s="7"/>
      <c r="R272" s="610" t="s">
        <v>2566</v>
      </c>
      <c r="S272" s="619"/>
      <c r="T272" s="858"/>
    </row>
    <row r="273" spans="1:20" ht="20.100000000000001" customHeight="1">
      <c r="A273" s="1258" t="s">
        <v>3377</v>
      </c>
      <c r="B273" s="1258" t="s">
        <v>2733</v>
      </c>
      <c r="C273" s="1258" t="s">
        <v>2737</v>
      </c>
      <c r="D273" s="1022">
        <f>D207+300</f>
        <v>2480</v>
      </c>
      <c r="E273" s="1022">
        <f>E207+600</f>
        <v>3000</v>
      </c>
      <c r="F273" s="1022">
        <f>F207+600</f>
        <v>3000</v>
      </c>
      <c r="G273" s="216" t="s">
        <v>19</v>
      </c>
      <c r="H273" s="651" t="s">
        <v>1233</v>
      </c>
      <c r="I273" s="50" t="s">
        <v>2471</v>
      </c>
      <c r="J273" s="50"/>
      <c r="K273" s="19" t="s">
        <v>722</v>
      </c>
      <c r="L273" s="607" t="s">
        <v>653</v>
      </c>
      <c r="M273" s="156">
        <v>43084</v>
      </c>
      <c r="N273" s="156">
        <v>43093</v>
      </c>
      <c r="O273" s="59" t="s">
        <v>611</v>
      </c>
      <c r="P273" s="59"/>
      <c r="Q273" s="7"/>
      <c r="R273" s="610" t="s">
        <v>2469</v>
      </c>
      <c r="S273" s="315" t="s">
        <v>3337</v>
      </c>
      <c r="T273" s="858"/>
    </row>
    <row r="274" spans="1:20" ht="20.100000000000001" customHeight="1">
      <c r="A274" s="1258" t="s">
        <v>2973</v>
      </c>
      <c r="B274" s="1258" t="s">
        <v>2733</v>
      </c>
      <c r="C274" s="1258" t="s">
        <v>2737</v>
      </c>
      <c r="D274" s="1018">
        <v>1525</v>
      </c>
      <c r="E274" s="1018">
        <v>1575</v>
      </c>
      <c r="F274" s="1018">
        <v>1575</v>
      </c>
      <c r="G274" s="227" t="s">
        <v>1689</v>
      </c>
      <c r="H274" s="168" t="s">
        <v>1233</v>
      </c>
      <c r="I274" s="37" t="s">
        <v>2569</v>
      </c>
      <c r="J274" s="37"/>
      <c r="K274" s="5">
        <v>38</v>
      </c>
      <c r="L274" s="607" t="s">
        <v>653</v>
      </c>
      <c r="M274" s="156">
        <v>43076</v>
      </c>
      <c r="N274" s="156">
        <v>43083</v>
      </c>
      <c r="O274" s="61" t="s">
        <v>1771</v>
      </c>
      <c r="P274" s="61"/>
      <c r="Q274" s="52"/>
      <c r="R274" s="610" t="s">
        <v>2470</v>
      </c>
      <c r="S274" s="622"/>
      <c r="T274" s="858"/>
    </row>
    <row r="275" spans="1:20" ht="20.100000000000001" customHeight="1">
      <c r="A275" s="1257" t="s">
        <v>3377</v>
      </c>
      <c r="B275" s="1258" t="s">
        <v>2733</v>
      </c>
      <c r="C275" s="1258" t="s">
        <v>2736</v>
      </c>
      <c r="D275" s="1015">
        <f>D265+952</f>
        <v>3132</v>
      </c>
      <c r="E275" s="1015">
        <f>E265+952</f>
        <v>3352</v>
      </c>
      <c r="F275" s="1015">
        <f>F265+952</f>
        <v>3352</v>
      </c>
      <c r="G275" s="216" t="s">
        <v>19</v>
      </c>
      <c r="H275" s="651" t="s">
        <v>1233</v>
      </c>
      <c r="I275" s="50" t="s">
        <v>2613</v>
      </c>
      <c r="J275" s="50"/>
      <c r="K275" s="34" t="s">
        <v>683</v>
      </c>
      <c r="L275" s="607" t="s">
        <v>653</v>
      </c>
      <c r="M275" s="156">
        <v>43084</v>
      </c>
      <c r="N275" s="156">
        <v>43093</v>
      </c>
      <c r="O275" s="59" t="s">
        <v>611</v>
      </c>
      <c r="P275" s="59"/>
      <c r="Q275" s="72" t="s">
        <v>100</v>
      </c>
      <c r="R275" s="610" t="s">
        <v>2469</v>
      </c>
      <c r="S275" s="315" t="s">
        <v>3337</v>
      </c>
      <c r="T275" s="858"/>
    </row>
    <row r="276" spans="1:20" ht="20.100000000000001" customHeight="1">
      <c r="A276" s="1257" t="s">
        <v>3377</v>
      </c>
      <c r="B276" s="1258" t="s">
        <v>2733</v>
      </c>
      <c r="C276" s="1258" t="s">
        <v>2736</v>
      </c>
      <c r="D276" s="1008"/>
      <c r="E276" s="1008"/>
      <c r="F276" s="1008"/>
      <c r="G276" s="625" t="s">
        <v>33</v>
      </c>
      <c r="H276" s="56" t="s">
        <v>729</v>
      </c>
      <c r="I276" s="50" t="s">
        <v>2613</v>
      </c>
      <c r="J276" s="50"/>
      <c r="K276" s="34" t="s">
        <v>683</v>
      </c>
      <c r="L276" s="607" t="s">
        <v>653</v>
      </c>
      <c r="M276" s="159">
        <v>43080</v>
      </c>
      <c r="N276" s="159">
        <v>43086</v>
      </c>
      <c r="O276" s="61"/>
      <c r="P276" s="61"/>
      <c r="Q276" s="72" t="s">
        <v>100</v>
      </c>
      <c r="R276" s="606" t="s">
        <v>2756</v>
      </c>
      <c r="S276" s="622" t="s">
        <v>1176</v>
      </c>
      <c r="T276" s="858"/>
    </row>
    <row r="277" spans="1:20" ht="20.100000000000001" customHeight="1">
      <c r="A277" s="1257" t="s">
        <v>2973</v>
      </c>
      <c r="B277" s="1258" t="s">
        <v>2733</v>
      </c>
      <c r="C277" s="1258" t="s">
        <v>2732</v>
      </c>
      <c r="D277" s="1008">
        <f>D257+350</f>
        <v>1950</v>
      </c>
      <c r="E277" s="1008">
        <f>E257+350</f>
        <v>2075</v>
      </c>
      <c r="F277" s="1008">
        <f>F257+350</f>
        <v>2075</v>
      </c>
      <c r="G277" s="625" t="s">
        <v>33</v>
      </c>
      <c r="H277" s="56" t="s">
        <v>729</v>
      </c>
      <c r="I277" s="50" t="s">
        <v>2613</v>
      </c>
      <c r="J277" s="50"/>
      <c r="K277" s="34" t="s">
        <v>683</v>
      </c>
      <c r="L277" s="607" t="s">
        <v>653</v>
      </c>
      <c r="M277" s="159">
        <v>43080</v>
      </c>
      <c r="N277" s="159">
        <v>43086</v>
      </c>
      <c r="O277" s="61" t="s">
        <v>2735</v>
      </c>
      <c r="P277" s="61"/>
      <c r="Q277" s="72" t="s">
        <v>100</v>
      </c>
      <c r="R277" s="606" t="s">
        <v>2756</v>
      </c>
      <c r="S277" s="622" t="s">
        <v>1176</v>
      </c>
      <c r="T277" s="858"/>
    </row>
    <row r="278" spans="1:20" ht="20.100000000000001" customHeight="1">
      <c r="A278" s="1257" t="s">
        <v>2973</v>
      </c>
      <c r="B278" s="1258" t="s">
        <v>2733</v>
      </c>
      <c r="C278" s="1258" t="s">
        <v>2732</v>
      </c>
      <c r="D278" s="1019">
        <f>D260+300</f>
        <v>1900</v>
      </c>
      <c r="E278" s="1019">
        <f>E260+300</f>
        <v>2000</v>
      </c>
      <c r="F278" s="1019">
        <f>F260+300</f>
        <v>2000</v>
      </c>
      <c r="G278" s="618" t="s">
        <v>31</v>
      </c>
      <c r="H278" s="56" t="s">
        <v>725</v>
      </c>
      <c r="I278" s="132" t="s">
        <v>2613</v>
      </c>
      <c r="J278" s="37"/>
      <c r="K278" s="16">
        <v>31</v>
      </c>
      <c r="L278" s="607" t="s">
        <v>653</v>
      </c>
      <c r="M278" s="623">
        <v>43080</v>
      </c>
      <c r="N278" s="623">
        <v>43083</v>
      </c>
      <c r="O278" s="61" t="s">
        <v>2734</v>
      </c>
      <c r="P278" s="61"/>
      <c r="Q278" s="52"/>
      <c r="R278" s="606" t="s">
        <v>2586</v>
      </c>
      <c r="S278" s="622" t="s">
        <v>1176</v>
      </c>
      <c r="T278" s="858"/>
    </row>
    <row r="279" spans="1:20" ht="20.100000000000001" customHeight="1">
      <c r="A279" s="1257" t="s">
        <v>2973</v>
      </c>
      <c r="B279" s="1258" t="s">
        <v>2733</v>
      </c>
      <c r="C279" s="1258" t="s">
        <v>2732</v>
      </c>
      <c r="D279" s="1019">
        <f>D263+254+25</f>
        <v>1904</v>
      </c>
      <c r="E279" s="1019">
        <f>E263+254+50</f>
        <v>2054</v>
      </c>
      <c r="F279" s="1019">
        <f>F263+254+50</f>
        <v>2054</v>
      </c>
      <c r="G279" s="216" t="s">
        <v>5</v>
      </c>
      <c r="H279" s="168" t="s">
        <v>1233</v>
      </c>
      <c r="I279" s="50" t="s">
        <v>2613</v>
      </c>
      <c r="J279" s="50"/>
      <c r="K279" s="34" t="s">
        <v>980</v>
      </c>
      <c r="L279" s="607" t="s">
        <v>653</v>
      </c>
      <c r="M279" s="159">
        <v>43073</v>
      </c>
      <c r="N279" s="159">
        <v>43083</v>
      </c>
      <c r="O279" s="61" t="s">
        <v>1771</v>
      </c>
      <c r="P279" s="59"/>
      <c r="Q279" s="72" t="s">
        <v>3380</v>
      </c>
      <c r="R279" s="610" t="s">
        <v>2566</v>
      </c>
      <c r="S279" s="619"/>
      <c r="T279" s="858"/>
    </row>
    <row r="280" spans="1:20" ht="20.100000000000001" customHeight="1">
      <c r="A280" s="1257" t="s">
        <v>2973</v>
      </c>
      <c r="B280" s="1258" t="s">
        <v>2733</v>
      </c>
      <c r="C280" s="1258" t="s">
        <v>2732</v>
      </c>
      <c r="D280" s="1019">
        <f>D264+362+25</f>
        <v>1912</v>
      </c>
      <c r="E280" s="1019">
        <f>E264+362+50</f>
        <v>1987</v>
      </c>
      <c r="F280" s="1019">
        <f>F264+362+50</f>
        <v>1987</v>
      </c>
      <c r="G280" s="609" t="s">
        <v>1689</v>
      </c>
      <c r="H280" s="168" t="s">
        <v>1233</v>
      </c>
      <c r="I280" s="37" t="s">
        <v>2613</v>
      </c>
      <c r="J280" s="37"/>
      <c r="K280" s="16" t="s">
        <v>986</v>
      </c>
      <c r="L280" s="607" t="s">
        <v>653</v>
      </c>
      <c r="M280" s="156">
        <v>43076</v>
      </c>
      <c r="N280" s="156">
        <v>43083</v>
      </c>
      <c r="O280" s="61" t="s">
        <v>1771</v>
      </c>
      <c r="P280" s="61"/>
      <c r="Q280" s="72" t="s">
        <v>100</v>
      </c>
      <c r="R280" s="610" t="s">
        <v>2470</v>
      </c>
      <c r="S280" s="622"/>
      <c r="T280" s="858"/>
    </row>
    <row r="281" spans="1:20" ht="20.100000000000001" customHeight="1">
      <c r="A281" s="1257" t="s">
        <v>2973</v>
      </c>
      <c r="B281" s="1258" t="s">
        <v>2733</v>
      </c>
      <c r="C281" s="1258" t="s">
        <v>2732</v>
      </c>
      <c r="D281" s="1019">
        <f>D265+287</f>
        <v>2467</v>
      </c>
      <c r="E281" s="1019">
        <f>E265+287</f>
        <v>2687</v>
      </c>
      <c r="F281" s="1019">
        <f>F265+287</f>
        <v>2687</v>
      </c>
      <c r="G281" s="216" t="s">
        <v>19</v>
      </c>
      <c r="H281" s="651" t="s">
        <v>1233</v>
      </c>
      <c r="I281" s="50" t="s">
        <v>2613</v>
      </c>
      <c r="J281" s="50"/>
      <c r="K281" s="34" t="s">
        <v>683</v>
      </c>
      <c r="L281" s="607" t="s">
        <v>653</v>
      </c>
      <c r="M281" s="156">
        <v>43084</v>
      </c>
      <c r="N281" s="156">
        <v>43093</v>
      </c>
      <c r="O281" s="59" t="s">
        <v>611</v>
      </c>
      <c r="P281" s="59"/>
      <c r="Q281" s="72" t="s">
        <v>100</v>
      </c>
      <c r="R281" s="610" t="s">
        <v>2469</v>
      </c>
      <c r="S281" s="315" t="s">
        <v>3337</v>
      </c>
      <c r="T281" s="858"/>
    </row>
    <row r="282" spans="1:20" ht="20.100000000000001" customHeight="1">
      <c r="A282" s="1257" t="s">
        <v>2973</v>
      </c>
      <c r="B282" s="1258" t="s">
        <v>2716</v>
      </c>
      <c r="C282" s="1258" t="s">
        <v>2731</v>
      </c>
      <c r="D282" s="1051"/>
      <c r="E282" s="1051"/>
      <c r="F282" s="1051"/>
      <c r="G282" s="630" t="s">
        <v>33</v>
      </c>
      <c r="H282" s="56" t="s">
        <v>729</v>
      </c>
      <c r="I282" s="50" t="s">
        <v>2656</v>
      </c>
      <c r="J282" s="50"/>
      <c r="K282" s="34" t="s">
        <v>1107</v>
      </c>
      <c r="L282" s="607" t="s">
        <v>653</v>
      </c>
      <c r="M282" s="159">
        <v>43080</v>
      </c>
      <c r="N282" s="159">
        <v>43086</v>
      </c>
      <c r="O282" s="61"/>
      <c r="P282" s="61" t="s">
        <v>2725</v>
      </c>
      <c r="Q282" s="7"/>
      <c r="R282" s="606" t="s">
        <v>2756</v>
      </c>
      <c r="S282" s="622" t="s">
        <v>1176</v>
      </c>
      <c r="T282" s="859"/>
    </row>
    <row r="283" spans="1:20" ht="20.100000000000001" customHeight="1">
      <c r="A283" s="1257" t="s">
        <v>2973</v>
      </c>
      <c r="B283" s="1258" t="s">
        <v>2716</v>
      </c>
      <c r="C283" s="1258" t="s">
        <v>2731</v>
      </c>
      <c r="D283" s="1051">
        <v>3175</v>
      </c>
      <c r="E283" s="1051">
        <v>3700</v>
      </c>
      <c r="F283" s="1051">
        <v>3700</v>
      </c>
      <c r="G283" s="630" t="s">
        <v>18</v>
      </c>
      <c r="H283" s="56" t="s">
        <v>1102</v>
      </c>
      <c r="I283" s="50" t="s">
        <v>2548</v>
      </c>
      <c r="J283" s="50"/>
      <c r="K283" s="34" t="s">
        <v>980</v>
      </c>
      <c r="L283" s="607" t="s">
        <v>653</v>
      </c>
      <c r="M283" s="108">
        <v>43073</v>
      </c>
      <c r="N283" s="108">
        <v>43083</v>
      </c>
      <c r="O283" s="61"/>
      <c r="P283" s="61"/>
      <c r="Q283" s="7"/>
      <c r="R283" s="606" t="s">
        <v>2547</v>
      </c>
      <c r="S283" s="622"/>
      <c r="T283" s="859"/>
    </row>
    <row r="284" spans="1:20" ht="20.100000000000001" customHeight="1">
      <c r="A284" s="1257" t="s">
        <v>2973</v>
      </c>
      <c r="B284" s="1258" t="s">
        <v>2716</v>
      </c>
      <c r="C284" s="1258" t="s">
        <v>2731</v>
      </c>
      <c r="D284" s="1020">
        <f>(E284-200)*0.8+200</f>
        <v>3000</v>
      </c>
      <c r="E284" s="1020">
        <f>3500+200</f>
        <v>3700</v>
      </c>
      <c r="F284" s="1020">
        <f>E284+0</f>
        <v>3700</v>
      </c>
      <c r="G284" s="637" t="s">
        <v>12</v>
      </c>
      <c r="H284" s="659">
        <v>3</v>
      </c>
      <c r="I284" s="50" t="s">
        <v>2471</v>
      </c>
      <c r="J284" s="50"/>
      <c r="K284" s="34" t="s">
        <v>984</v>
      </c>
      <c r="L284" s="607" t="s">
        <v>653</v>
      </c>
      <c r="M284" s="15">
        <v>43076</v>
      </c>
      <c r="N284" s="15">
        <v>43083</v>
      </c>
      <c r="O284" s="59" t="s">
        <v>2621</v>
      </c>
      <c r="P284" s="61" t="s">
        <v>2730</v>
      </c>
      <c r="Q284" s="7"/>
      <c r="R284" s="610" t="s">
        <v>3398</v>
      </c>
      <c r="S284" s="322" t="s">
        <v>1176</v>
      </c>
      <c r="T284" s="859"/>
    </row>
    <row r="285" spans="1:20" ht="20.100000000000001" customHeight="1">
      <c r="A285" s="1257" t="s">
        <v>2973</v>
      </c>
      <c r="B285" s="1258" t="s">
        <v>2716</v>
      </c>
      <c r="C285" s="1258" t="s">
        <v>2731</v>
      </c>
      <c r="D285" s="1011">
        <v>3600</v>
      </c>
      <c r="E285" s="1011">
        <v>4350</v>
      </c>
      <c r="F285" s="1011">
        <v>4350</v>
      </c>
      <c r="G285" s="637" t="s">
        <v>51</v>
      </c>
      <c r="H285" s="56" t="s">
        <v>729</v>
      </c>
      <c r="I285" s="51" t="s">
        <v>2656</v>
      </c>
      <c r="J285" s="51"/>
      <c r="K285" s="34" t="s">
        <v>660</v>
      </c>
      <c r="L285" s="607" t="s">
        <v>653</v>
      </c>
      <c r="M285" s="611">
        <v>43086</v>
      </c>
      <c r="N285" s="611">
        <v>43100</v>
      </c>
      <c r="O285" s="61" t="s">
        <v>899</v>
      </c>
      <c r="P285" s="7" t="s">
        <v>3081</v>
      </c>
      <c r="Q285" s="52"/>
      <c r="R285" s="606" t="s">
        <v>1834</v>
      </c>
      <c r="S285" s="316" t="s">
        <v>3341</v>
      </c>
      <c r="T285" s="859"/>
    </row>
    <row r="286" spans="1:20" ht="20.100000000000001" customHeight="1">
      <c r="A286" s="1257" t="s">
        <v>2973</v>
      </c>
      <c r="B286" s="1258" t="s">
        <v>2716</v>
      </c>
      <c r="C286" s="1259" t="s">
        <v>2731</v>
      </c>
      <c r="D286" s="1010"/>
      <c r="E286" s="1010"/>
      <c r="F286" s="1010"/>
      <c r="G286" s="782" t="s">
        <v>76</v>
      </c>
      <c r="H286" s="168" t="s">
        <v>659</v>
      </c>
      <c r="I286" s="5" t="s">
        <v>2471</v>
      </c>
      <c r="J286" s="50"/>
      <c r="K286" s="24" t="s">
        <v>986</v>
      </c>
      <c r="L286" s="607" t="s">
        <v>653</v>
      </c>
      <c r="M286" s="6">
        <v>43087</v>
      </c>
      <c r="N286" s="6">
        <v>43093</v>
      </c>
      <c r="O286" s="61" t="s">
        <v>3400</v>
      </c>
      <c r="P286" s="61" t="s">
        <v>2729</v>
      </c>
      <c r="Q286" s="7"/>
      <c r="R286" s="606" t="s">
        <v>3398</v>
      </c>
      <c r="S286" s="315" t="s">
        <v>3341</v>
      </c>
      <c r="T286" s="859"/>
    </row>
    <row r="287" spans="1:20" ht="20.100000000000001" customHeight="1">
      <c r="A287" s="1257" t="s">
        <v>2973</v>
      </c>
      <c r="B287" s="1258" t="s">
        <v>2716</v>
      </c>
      <c r="C287" s="1258" t="s">
        <v>2731</v>
      </c>
      <c r="D287" s="1053">
        <v>3200</v>
      </c>
      <c r="E287" s="1053">
        <v>3750</v>
      </c>
      <c r="F287" s="1053">
        <v>3750</v>
      </c>
      <c r="G287" s="631" t="s">
        <v>31</v>
      </c>
      <c r="H287" s="56" t="s">
        <v>725</v>
      </c>
      <c r="I287" s="38" t="s">
        <v>2468</v>
      </c>
      <c r="J287" s="37"/>
      <c r="K287" s="16">
        <v>40</v>
      </c>
      <c r="L287" s="607" t="s">
        <v>653</v>
      </c>
      <c r="M287" s="623">
        <v>43073</v>
      </c>
      <c r="N287" s="623">
        <v>43083</v>
      </c>
      <c r="O287" s="61"/>
      <c r="P287" s="61" t="s">
        <v>2728</v>
      </c>
      <c r="Q287" s="52"/>
      <c r="R287" s="606" t="s">
        <v>2586</v>
      </c>
      <c r="S287" s="622" t="s">
        <v>1176</v>
      </c>
      <c r="T287" s="859"/>
    </row>
    <row r="288" spans="1:20" ht="20.100000000000001" customHeight="1">
      <c r="A288" s="1257" t="s">
        <v>2973</v>
      </c>
      <c r="B288" s="1258" t="s">
        <v>2716</v>
      </c>
      <c r="C288" s="1258" t="s">
        <v>2731</v>
      </c>
      <c r="D288" s="1018">
        <v>3480</v>
      </c>
      <c r="E288" s="1018">
        <v>3700</v>
      </c>
      <c r="F288" s="1018">
        <v>3700</v>
      </c>
      <c r="G288" s="637" t="s">
        <v>19</v>
      </c>
      <c r="H288" s="168" t="s">
        <v>1233</v>
      </c>
      <c r="I288" s="50" t="s">
        <v>2569</v>
      </c>
      <c r="J288" s="50"/>
      <c r="K288" s="34" t="s">
        <v>1264</v>
      </c>
      <c r="L288" s="607" t="s">
        <v>653</v>
      </c>
      <c r="M288" s="156">
        <v>43084</v>
      </c>
      <c r="N288" s="156">
        <v>43093</v>
      </c>
      <c r="O288" s="59" t="s">
        <v>611</v>
      </c>
      <c r="P288" s="59" t="s">
        <v>2725</v>
      </c>
      <c r="Q288" s="7"/>
      <c r="R288" s="610" t="s">
        <v>2469</v>
      </c>
      <c r="S288" s="315" t="s">
        <v>3337</v>
      </c>
      <c r="T288" s="859"/>
    </row>
    <row r="289" spans="1:20" ht="20.100000000000001" customHeight="1">
      <c r="A289" s="1257" t="s">
        <v>2973</v>
      </c>
      <c r="B289" s="1258" t="s">
        <v>2716</v>
      </c>
      <c r="C289" s="1258" t="s">
        <v>2731</v>
      </c>
      <c r="D289" s="1008">
        <v>2825</v>
      </c>
      <c r="E289" s="1008">
        <v>3250</v>
      </c>
      <c r="F289" s="1008">
        <v>3250</v>
      </c>
      <c r="G289" s="227" t="s">
        <v>1689</v>
      </c>
      <c r="H289" s="168" t="s">
        <v>1233</v>
      </c>
      <c r="I289" s="50" t="s">
        <v>3362</v>
      </c>
      <c r="J289" s="50"/>
      <c r="K289" s="34">
        <v>39</v>
      </c>
      <c r="L289" s="607" t="s">
        <v>653</v>
      </c>
      <c r="M289" s="156">
        <v>43076</v>
      </c>
      <c r="N289" s="156">
        <v>43083</v>
      </c>
      <c r="O289" s="61" t="s">
        <v>1771</v>
      </c>
      <c r="P289" s="61" t="s">
        <v>2717</v>
      </c>
      <c r="Q289" s="52"/>
      <c r="R289" s="610" t="s">
        <v>2470</v>
      </c>
      <c r="S289" s="619"/>
      <c r="T289" s="859"/>
    </row>
    <row r="290" spans="1:20" ht="20.100000000000001" customHeight="1">
      <c r="A290" s="1257" t="s">
        <v>2973</v>
      </c>
      <c r="B290" s="1258" t="s">
        <v>2716</v>
      </c>
      <c r="C290" s="1258" t="s">
        <v>2731</v>
      </c>
      <c r="D290" s="1022">
        <v>3175</v>
      </c>
      <c r="E290" s="1022">
        <v>3700</v>
      </c>
      <c r="F290" s="1022">
        <v>3700</v>
      </c>
      <c r="G290" s="637" t="s">
        <v>5</v>
      </c>
      <c r="H290" s="168" t="s">
        <v>1233</v>
      </c>
      <c r="I290" s="51" t="s">
        <v>2471</v>
      </c>
      <c r="J290" s="50"/>
      <c r="K290" s="34" t="s">
        <v>1264</v>
      </c>
      <c r="L290" s="607" t="s">
        <v>653</v>
      </c>
      <c r="M290" s="159">
        <v>43073</v>
      </c>
      <c r="N290" s="159">
        <v>43083</v>
      </c>
      <c r="O290" s="61" t="s">
        <v>1771</v>
      </c>
      <c r="P290" s="61" t="s">
        <v>2727</v>
      </c>
      <c r="Q290" s="7"/>
      <c r="R290" s="610" t="s">
        <v>2566</v>
      </c>
      <c r="S290" s="619"/>
      <c r="T290" s="859"/>
    </row>
    <row r="291" spans="1:20" ht="20.100000000000001" customHeight="1">
      <c r="A291" s="1257" t="s">
        <v>2973</v>
      </c>
      <c r="B291" s="1258" t="s">
        <v>2716</v>
      </c>
      <c r="C291" s="1258" t="s">
        <v>2726</v>
      </c>
      <c r="D291" s="1051"/>
      <c r="E291" s="1051"/>
      <c r="F291" s="1051"/>
      <c r="G291" s="630" t="s">
        <v>33</v>
      </c>
      <c r="H291" s="56" t="s">
        <v>729</v>
      </c>
      <c r="I291" s="50" t="s">
        <v>2656</v>
      </c>
      <c r="J291" s="50"/>
      <c r="K291" s="34" t="s">
        <v>775</v>
      </c>
      <c r="L291" s="607" t="s">
        <v>653</v>
      </c>
      <c r="M291" s="159">
        <v>43080</v>
      </c>
      <c r="N291" s="159">
        <v>43086</v>
      </c>
      <c r="O291" s="61"/>
      <c r="P291" s="61" t="s">
        <v>2725</v>
      </c>
      <c r="Q291" s="7"/>
      <c r="R291" s="606" t="s">
        <v>2756</v>
      </c>
      <c r="S291" s="622" t="s">
        <v>1176</v>
      </c>
      <c r="T291" s="858"/>
    </row>
    <row r="292" spans="1:20" ht="20.100000000000001" customHeight="1">
      <c r="A292" s="1257" t="s">
        <v>2973</v>
      </c>
      <c r="B292" s="1258" t="s">
        <v>2716</v>
      </c>
      <c r="C292" s="1258" t="s">
        <v>2726</v>
      </c>
      <c r="D292" s="1051">
        <v>3175</v>
      </c>
      <c r="E292" s="1051">
        <v>3700</v>
      </c>
      <c r="F292" s="1051">
        <v>3700</v>
      </c>
      <c r="G292" s="630" t="s">
        <v>18</v>
      </c>
      <c r="H292" s="56" t="s">
        <v>1102</v>
      </c>
      <c r="I292" s="50" t="s">
        <v>2548</v>
      </c>
      <c r="J292" s="50"/>
      <c r="K292" s="34" t="s">
        <v>683</v>
      </c>
      <c r="L292" s="607" t="s">
        <v>653</v>
      </c>
      <c r="M292" s="108">
        <v>43073</v>
      </c>
      <c r="N292" s="108">
        <v>43083</v>
      </c>
      <c r="O292" s="61"/>
      <c r="P292" s="61"/>
      <c r="Q292" s="7"/>
      <c r="R292" s="606" t="s">
        <v>2547</v>
      </c>
      <c r="S292" s="622"/>
      <c r="T292" s="858"/>
    </row>
    <row r="293" spans="1:20" ht="20.100000000000001" customHeight="1">
      <c r="A293" s="1257" t="s">
        <v>2973</v>
      </c>
      <c r="B293" s="1258" t="s">
        <v>2716</v>
      </c>
      <c r="C293" s="1258" t="s">
        <v>2726</v>
      </c>
      <c r="D293" s="1020">
        <f>(E293-200)*0.8+200</f>
        <v>3000</v>
      </c>
      <c r="E293" s="1020">
        <f>3500+200</f>
        <v>3700</v>
      </c>
      <c r="F293" s="1020">
        <f>E293+0</f>
        <v>3700</v>
      </c>
      <c r="G293" s="637" t="s">
        <v>12</v>
      </c>
      <c r="H293" s="659">
        <v>3</v>
      </c>
      <c r="I293" s="50" t="s">
        <v>2471</v>
      </c>
      <c r="J293" s="50"/>
      <c r="K293" s="34" t="s">
        <v>984</v>
      </c>
      <c r="L293" s="607" t="s">
        <v>653</v>
      </c>
      <c r="M293" s="15">
        <v>43076</v>
      </c>
      <c r="N293" s="15">
        <v>43083</v>
      </c>
      <c r="O293" s="59" t="s">
        <v>2621</v>
      </c>
      <c r="P293" s="61" t="s">
        <v>2730</v>
      </c>
      <c r="Q293" s="7"/>
      <c r="R293" s="610" t="s">
        <v>3398</v>
      </c>
      <c r="S293" s="322" t="s">
        <v>1176</v>
      </c>
      <c r="T293" s="858"/>
    </row>
    <row r="294" spans="1:20" ht="20.100000000000001" customHeight="1">
      <c r="A294" s="1257" t="s">
        <v>2973</v>
      </c>
      <c r="B294" s="1258" t="s">
        <v>2716</v>
      </c>
      <c r="C294" s="1258" t="s">
        <v>2726</v>
      </c>
      <c r="D294" s="1011">
        <v>3600</v>
      </c>
      <c r="E294" s="1011">
        <v>4350</v>
      </c>
      <c r="F294" s="1011">
        <v>4350</v>
      </c>
      <c r="G294" s="637" t="s">
        <v>51</v>
      </c>
      <c r="H294" s="56" t="s">
        <v>729</v>
      </c>
      <c r="I294" s="51" t="s">
        <v>2656</v>
      </c>
      <c r="J294" s="51"/>
      <c r="K294" s="34" t="s">
        <v>680</v>
      </c>
      <c r="L294" s="607" t="s">
        <v>653</v>
      </c>
      <c r="M294" s="611">
        <v>43086</v>
      </c>
      <c r="N294" s="611">
        <v>43100</v>
      </c>
      <c r="O294" s="61" t="s">
        <v>899</v>
      </c>
      <c r="P294" s="7" t="s">
        <v>3081</v>
      </c>
      <c r="Q294" s="52"/>
      <c r="R294" s="606" t="s">
        <v>1834</v>
      </c>
      <c r="S294" s="316" t="s">
        <v>3341</v>
      </c>
      <c r="T294" s="858"/>
    </row>
    <row r="295" spans="1:20" ht="20.100000000000001" customHeight="1">
      <c r="A295" s="1257" t="s">
        <v>2973</v>
      </c>
      <c r="B295" s="1258" t="s">
        <v>2716</v>
      </c>
      <c r="C295" s="1259" t="s">
        <v>2726</v>
      </c>
      <c r="D295" s="1010" t="s">
        <v>5426</v>
      </c>
      <c r="E295" s="1010" t="s">
        <v>5425</v>
      </c>
      <c r="F295" s="1010" t="s">
        <v>5425</v>
      </c>
      <c r="G295" s="782" t="s">
        <v>76</v>
      </c>
      <c r="H295" s="168" t="s">
        <v>659</v>
      </c>
      <c r="I295" s="5" t="s">
        <v>2471</v>
      </c>
      <c r="J295" s="50"/>
      <c r="K295" s="24" t="s">
        <v>986</v>
      </c>
      <c r="L295" s="607" t="s">
        <v>653</v>
      </c>
      <c r="M295" s="6">
        <v>43087</v>
      </c>
      <c r="N295" s="6">
        <v>43093</v>
      </c>
      <c r="O295" s="61" t="s">
        <v>3400</v>
      </c>
      <c r="P295" s="61" t="s">
        <v>2729</v>
      </c>
      <c r="Q295" s="7"/>
      <c r="R295" s="606" t="s">
        <v>3398</v>
      </c>
      <c r="S295" s="315" t="s">
        <v>3341</v>
      </c>
      <c r="T295" s="858"/>
    </row>
    <row r="296" spans="1:20" ht="20.100000000000001" customHeight="1">
      <c r="A296" s="1257" t="s">
        <v>2973</v>
      </c>
      <c r="B296" s="1258" t="s">
        <v>2716</v>
      </c>
      <c r="C296" s="1258" t="s">
        <v>2726</v>
      </c>
      <c r="D296" s="1053">
        <v>3200</v>
      </c>
      <c r="E296" s="1053">
        <v>3750</v>
      </c>
      <c r="F296" s="1053">
        <v>3750</v>
      </c>
      <c r="G296" s="631" t="s">
        <v>31</v>
      </c>
      <c r="H296" s="56" t="s">
        <v>725</v>
      </c>
      <c r="I296" s="38" t="s">
        <v>2468</v>
      </c>
      <c r="J296" s="37"/>
      <c r="K296" s="16">
        <v>44</v>
      </c>
      <c r="L296" s="607" t="s">
        <v>653</v>
      </c>
      <c r="M296" s="623">
        <v>43073</v>
      </c>
      <c r="N296" s="623">
        <v>43083</v>
      </c>
      <c r="O296" s="61"/>
      <c r="P296" s="61" t="s">
        <v>2728</v>
      </c>
      <c r="Q296" s="52"/>
      <c r="R296" s="606" t="s">
        <v>2586</v>
      </c>
      <c r="S296" s="622" t="s">
        <v>1176</v>
      </c>
      <c r="T296" s="858"/>
    </row>
    <row r="297" spans="1:20" ht="20.100000000000001" customHeight="1">
      <c r="A297" s="1257" t="s">
        <v>2973</v>
      </c>
      <c r="B297" s="1258" t="s">
        <v>2716</v>
      </c>
      <c r="C297" s="1258" t="s">
        <v>2726</v>
      </c>
      <c r="D297" s="1022">
        <v>3175</v>
      </c>
      <c r="E297" s="1022">
        <v>3700</v>
      </c>
      <c r="F297" s="1022">
        <v>3700</v>
      </c>
      <c r="G297" s="637" t="s">
        <v>5</v>
      </c>
      <c r="H297" s="168" t="s">
        <v>1233</v>
      </c>
      <c r="I297" s="51" t="s">
        <v>2471</v>
      </c>
      <c r="J297" s="20"/>
      <c r="K297" s="24" t="s">
        <v>662</v>
      </c>
      <c r="L297" s="607" t="s">
        <v>653</v>
      </c>
      <c r="M297" s="159">
        <v>43073</v>
      </c>
      <c r="N297" s="159">
        <v>43083</v>
      </c>
      <c r="O297" s="61" t="s">
        <v>1771</v>
      </c>
      <c r="P297" s="61" t="s">
        <v>2727</v>
      </c>
      <c r="Q297" s="7"/>
      <c r="R297" s="610" t="s">
        <v>2566</v>
      </c>
      <c r="S297" s="619"/>
      <c r="T297" s="858"/>
    </row>
    <row r="298" spans="1:20" ht="20.100000000000001" customHeight="1">
      <c r="A298" s="1257" t="s">
        <v>2973</v>
      </c>
      <c r="B298" s="1258" t="s">
        <v>2716</v>
      </c>
      <c r="C298" s="1258" t="s">
        <v>2726</v>
      </c>
      <c r="D298" s="1008">
        <v>2825</v>
      </c>
      <c r="E298" s="1008">
        <v>3250</v>
      </c>
      <c r="F298" s="1008">
        <v>3250</v>
      </c>
      <c r="G298" s="227" t="s">
        <v>1689</v>
      </c>
      <c r="H298" s="168" t="s">
        <v>1233</v>
      </c>
      <c r="I298" s="37" t="s">
        <v>2569</v>
      </c>
      <c r="J298" s="37"/>
      <c r="K298" s="5" t="s">
        <v>2396</v>
      </c>
      <c r="L298" s="607" t="s">
        <v>653</v>
      </c>
      <c r="M298" s="156">
        <v>43076</v>
      </c>
      <c r="N298" s="156">
        <v>43083</v>
      </c>
      <c r="O298" s="61" t="s">
        <v>1771</v>
      </c>
      <c r="P298" s="61" t="s">
        <v>2717</v>
      </c>
      <c r="Q298" s="52"/>
      <c r="R298" s="610" t="s">
        <v>2470</v>
      </c>
      <c r="S298" s="622"/>
      <c r="T298" s="858"/>
    </row>
    <row r="299" spans="1:20" ht="20.100000000000001" customHeight="1">
      <c r="A299" s="1257" t="s">
        <v>2973</v>
      </c>
      <c r="B299" s="1258" t="s">
        <v>2716</v>
      </c>
      <c r="C299" s="1258" t="s">
        <v>2726</v>
      </c>
      <c r="D299" s="1018">
        <v>3480</v>
      </c>
      <c r="E299" s="1018">
        <v>3700</v>
      </c>
      <c r="F299" s="1018">
        <v>3700</v>
      </c>
      <c r="G299" s="637" t="s">
        <v>19</v>
      </c>
      <c r="H299" s="168" t="s">
        <v>1233</v>
      </c>
      <c r="I299" s="50" t="s">
        <v>2569</v>
      </c>
      <c r="J299" s="50"/>
      <c r="K299" s="24" t="s">
        <v>984</v>
      </c>
      <c r="L299" s="607" t="s">
        <v>653</v>
      </c>
      <c r="M299" s="156">
        <v>43084</v>
      </c>
      <c r="N299" s="156">
        <v>43093</v>
      </c>
      <c r="O299" s="59" t="s">
        <v>611</v>
      </c>
      <c r="P299" s="59" t="s">
        <v>2725</v>
      </c>
      <c r="Q299" s="7"/>
      <c r="R299" s="610" t="s">
        <v>2469</v>
      </c>
      <c r="S299" s="315" t="s">
        <v>3337</v>
      </c>
      <c r="T299" s="858"/>
    </row>
    <row r="300" spans="1:20" ht="20.100000000000001" customHeight="1">
      <c r="A300" s="1257" t="s">
        <v>2973</v>
      </c>
      <c r="B300" s="1258" t="s">
        <v>2716</v>
      </c>
      <c r="C300" s="1258" t="s">
        <v>2724</v>
      </c>
      <c r="D300" s="1019">
        <f>D292+100</f>
        <v>3275</v>
      </c>
      <c r="E300" s="1019">
        <f>E292+100</f>
        <v>3800</v>
      </c>
      <c r="F300" s="1019">
        <f>F292+100</f>
        <v>3800</v>
      </c>
      <c r="G300" s="613" t="s">
        <v>18</v>
      </c>
      <c r="H300" s="56" t="s">
        <v>1102</v>
      </c>
      <c r="I300" s="50" t="s">
        <v>2548</v>
      </c>
      <c r="J300" s="50"/>
      <c r="K300" s="34" t="s">
        <v>1264</v>
      </c>
      <c r="L300" s="607" t="s">
        <v>653</v>
      </c>
      <c r="M300" s="108">
        <v>43075</v>
      </c>
      <c r="N300" s="108">
        <v>43083</v>
      </c>
      <c r="O300" s="61"/>
      <c r="P300" s="61"/>
      <c r="Q300" s="7"/>
      <c r="R300" s="606" t="s">
        <v>2547</v>
      </c>
      <c r="S300" s="622"/>
      <c r="T300" s="858"/>
    </row>
    <row r="301" spans="1:20" ht="20.100000000000001" customHeight="1">
      <c r="A301" s="1257" t="s">
        <v>2973</v>
      </c>
      <c r="B301" s="1258" t="s">
        <v>2716</v>
      </c>
      <c r="C301" s="1258" t="s">
        <v>2724</v>
      </c>
      <c r="D301" s="1035">
        <f>(E301-125)*0.8+125</f>
        <v>3005</v>
      </c>
      <c r="E301" s="1035">
        <f>3600+125</f>
        <v>3725</v>
      </c>
      <c r="F301" s="1035">
        <f>E301+0</f>
        <v>3725</v>
      </c>
      <c r="G301" s="637" t="s">
        <v>12</v>
      </c>
      <c r="H301" s="659">
        <v>3</v>
      </c>
      <c r="I301" s="50" t="s">
        <v>2471</v>
      </c>
      <c r="J301" s="50"/>
      <c r="K301" s="34" t="s">
        <v>722</v>
      </c>
      <c r="L301" s="607" t="s">
        <v>653</v>
      </c>
      <c r="M301" s="15">
        <v>43076</v>
      </c>
      <c r="N301" s="15">
        <v>43083</v>
      </c>
      <c r="O301" s="59" t="s">
        <v>2621</v>
      </c>
      <c r="P301" s="59" t="s">
        <v>2719</v>
      </c>
      <c r="Q301" s="7"/>
      <c r="R301" s="610" t="s">
        <v>3398</v>
      </c>
      <c r="S301" s="322" t="s">
        <v>1176</v>
      </c>
      <c r="T301" s="858"/>
    </row>
    <row r="302" spans="1:20" ht="20.100000000000001" customHeight="1">
      <c r="A302" s="1257" t="s">
        <v>2973</v>
      </c>
      <c r="B302" s="1258" t="s">
        <v>2716</v>
      </c>
      <c r="C302" s="1258" t="s">
        <v>2724</v>
      </c>
      <c r="D302" s="1019">
        <f>D290+400</f>
        <v>3575</v>
      </c>
      <c r="E302" s="1019">
        <f>E290+800</f>
        <v>4500</v>
      </c>
      <c r="F302" s="1019">
        <f>F290+800</f>
        <v>4500</v>
      </c>
      <c r="G302" s="216" t="s">
        <v>5</v>
      </c>
      <c r="H302" s="168" t="s">
        <v>1233</v>
      </c>
      <c r="I302" s="51" t="s">
        <v>2471</v>
      </c>
      <c r="J302" s="51"/>
      <c r="K302" s="24" t="s">
        <v>1264</v>
      </c>
      <c r="L302" s="607" t="s">
        <v>653</v>
      </c>
      <c r="M302" s="159">
        <v>43073</v>
      </c>
      <c r="N302" s="159">
        <v>43083</v>
      </c>
      <c r="O302" s="61" t="s">
        <v>1771</v>
      </c>
      <c r="P302" s="59"/>
      <c r="Q302" s="7"/>
      <c r="R302" s="610" t="s">
        <v>2566</v>
      </c>
      <c r="S302" s="619"/>
      <c r="T302" s="858"/>
    </row>
    <row r="303" spans="1:20" ht="20.100000000000001" customHeight="1">
      <c r="A303" s="1257" t="s">
        <v>2973</v>
      </c>
      <c r="B303" s="1258" t="s">
        <v>2716</v>
      </c>
      <c r="C303" s="1258" t="s">
        <v>2724</v>
      </c>
      <c r="D303" s="1008">
        <f>D232+1000+300+25</f>
        <v>2850</v>
      </c>
      <c r="E303" s="1008">
        <f>E232+1500+300+50</f>
        <v>3425</v>
      </c>
      <c r="F303" s="1008">
        <f>F232+1500+300+50</f>
        <v>3425</v>
      </c>
      <c r="G303" s="609" t="s">
        <v>1689</v>
      </c>
      <c r="H303" s="168" t="s">
        <v>1233</v>
      </c>
      <c r="I303" s="37" t="s">
        <v>2569</v>
      </c>
      <c r="J303" s="37"/>
      <c r="K303" s="5">
        <v>52</v>
      </c>
      <c r="L303" s="607" t="s">
        <v>653</v>
      </c>
      <c r="M303" s="156">
        <v>43076</v>
      </c>
      <c r="N303" s="156">
        <v>43083</v>
      </c>
      <c r="O303" s="61" t="s">
        <v>1771</v>
      </c>
      <c r="P303" s="61" t="s">
        <v>2717</v>
      </c>
      <c r="Q303" s="52"/>
      <c r="R303" s="610" t="s">
        <v>2470</v>
      </c>
      <c r="S303" s="622"/>
      <c r="T303" s="858"/>
    </row>
    <row r="304" spans="1:20" ht="20.100000000000001" customHeight="1">
      <c r="A304" s="1257" t="s">
        <v>2973</v>
      </c>
      <c r="B304" s="1258" t="s">
        <v>2716</v>
      </c>
      <c r="C304" s="1258" t="s">
        <v>2724</v>
      </c>
      <c r="D304" s="1019">
        <f>D233+650</f>
        <v>2830</v>
      </c>
      <c r="E304" s="1019">
        <f>E233+1200</f>
        <v>3600</v>
      </c>
      <c r="F304" s="1019">
        <f>F233+1200</f>
        <v>3600</v>
      </c>
      <c r="G304" s="216" t="s">
        <v>19</v>
      </c>
      <c r="H304" s="168" t="s">
        <v>1233</v>
      </c>
      <c r="I304" s="50" t="s">
        <v>3362</v>
      </c>
      <c r="J304" s="50"/>
      <c r="K304" s="19" t="s">
        <v>1984</v>
      </c>
      <c r="L304" s="607" t="s">
        <v>653</v>
      </c>
      <c r="M304" s="156">
        <v>43084</v>
      </c>
      <c r="N304" s="156">
        <v>43093</v>
      </c>
      <c r="O304" s="59" t="s">
        <v>611</v>
      </c>
      <c r="P304" s="59"/>
      <c r="Q304" s="7"/>
      <c r="R304" s="610" t="s">
        <v>2469</v>
      </c>
      <c r="S304" s="315" t="s">
        <v>3337</v>
      </c>
      <c r="T304" s="858"/>
    </row>
    <row r="305" spans="1:20" ht="20.100000000000001" customHeight="1">
      <c r="A305" s="1257" t="s">
        <v>2973</v>
      </c>
      <c r="B305" s="1258" t="s">
        <v>2716</v>
      </c>
      <c r="C305" s="1258" t="s">
        <v>2723</v>
      </c>
      <c r="D305" s="1035">
        <f>(E305-125)*0.8+125</f>
        <v>3565</v>
      </c>
      <c r="E305" s="1035">
        <f>4300+125</f>
        <v>4425</v>
      </c>
      <c r="F305" s="1035">
        <f>E305+0</f>
        <v>4425</v>
      </c>
      <c r="G305" s="637" t="s">
        <v>12</v>
      </c>
      <c r="H305" s="659">
        <v>3</v>
      </c>
      <c r="I305" s="50" t="s">
        <v>2471</v>
      </c>
      <c r="J305" s="37"/>
      <c r="K305" s="16" t="s">
        <v>662</v>
      </c>
      <c r="L305" s="607" t="s">
        <v>653</v>
      </c>
      <c r="M305" s="15">
        <v>43076</v>
      </c>
      <c r="N305" s="15">
        <v>43083</v>
      </c>
      <c r="O305" s="59" t="s">
        <v>2621</v>
      </c>
      <c r="P305" s="59" t="s">
        <v>2719</v>
      </c>
      <c r="Q305" s="7"/>
      <c r="R305" s="606" t="s">
        <v>3398</v>
      </c>
      <c r="S305" s="322" t="s">
        <v>1176</v>
      </c>
      <c r="T305" s="858"/>
    </row>
    <row r="306" spans="1:20" ht="20.100000000000001" customHeight="1">
      <c r="A306" s="1257" t="s">
        <v>2973</v>
      </c>
      <c r="B306" s="1258" t="s">
        <v>2716</v>
      </c>
      <c r="C306" s="1258" t="s">
        <v>2723</v>
      </c>
      <c r="D306" s="1035">
        <f>D233+500</f>
        <v>2680</v>
      </c>
      <c r="E306" s="1035">
        <f>E233+1200</f>
        <v>3600</v>
      </c>
      <c r="F306" s="1035">
        <f>F233+1200</f>
        <v>3600</v>
      </c>
      <c r="G306" s="656" t="s">
        <v>19</v>
      </c>
      <c r="H306" s="168" t="s">
        <v>1233</v>
      </c>
      <c r="I306" s="50" t="s">
        <v>3362</v>
      </c>
      <c r="J306" s="50"/>
      <c r="K306" s="19" t="s">
        <v>2395</v>
      </c>
      <c r="L306" s="607" t="s">
        <v>653</v>
      </c>
      <c r="M306" s="156">
        <v>43084</v>
      </c>
      <c r="N306" s="156">
        <v>43093</v>
      </c>
      <c r="O306" s="59" t="s">
        <v>611</v>
      </c>
      <c r="P306" s="59"/>
      <c r="Q306" s="7"/>
      <c r="R306" s="610" t="s">
        <v>2469</v>
      </c>
      <c r="S306" s="315" t="s">
        <v>3337</v>
      </c>
      <c r="T306" s="858"/>
    </row>
    <row r="307" spans="1:20" ht="20.100000000000001" customHeight="1">
      <c r="A307" s="1257" t="s">
        <v>2973</v>
      </c>
      <c r="B307" s="1258" t="s">
        <v>2716</v>
      </c>
      <c r="C307" s="1258" t="s">
        <v>2723</v>
      </c>
      <c r="D307" s="1008">
        <f>D232+1000+300+25</f>
        <v>2850</v>
      </c>
      <c r="E307" s="1008">
        <f>E232+1500+300+50</f>
        <v>3425</v>
      </c>
      <c r="F307" s="1008">
        <f>F232+1500+300+50</f>
        <v>3425</v>
      </c>
      <c r="G307" s="609" t="s">
        <v>1689</v>
      </c>
      <c r="H307" s="168" t="s">
        <v>1233</v>
      </c>
      <c r="I307" s="37" t="s">
        <v>2569</v>
      </c>
      <c r="J307" s="37"/>
      <c r="K307" s="5"/>
      <c r="L307" s="607" t="s">
        <v>653</v>
      </c>
      <c r="M307" s="156">
        <v>43076</v>
      </c>
      <c r="N307" s="156">
        <v>43083</v>
      </c>
      <c r="O307" s="61" t="s">
        <v>1771</v>
      </c>
      <c r="P307" s="61" t="s">
        <v>2717</v>
      </c>
      <c r="Q307" s="52"/>
      <c r="R307" s="610" t="s">
        <v>2470</v>
      </c>
      <c r="S307" s="622"/>
      <c r="T307" s="858"/>
    </row>
    <row r="308" spans="1:20" ht="20.100000000000001" customHeight="1">
      <c r="A308" s="1257" t="s">
        <v>2973</v>
      </c>
      <c r="B308" s="1258" t="s">
        <v>2716</v>
      </c>
      <c r="C308" s="1258" t="s">
        <v>2723</v>
      </c>
      <c r="D308" s="1019">
        <f>D290+400</f>
        <v>3575</v>
      </c>
      <c r="E308" s="1019">
        <f>E290+800</f>
        <v>4500</v>
      </c>
      <c r="F308" s="1019">
        <f>F290+800</f>
        <v>4500</v>
      </c>
      <c r="G308" s="216" t="s">
        <v>5</v>
      </c>
      <c r="H308" s="168" t="s">
        <v>1233</v>
      </c>
      <c r="I308" s="51" t="s">
        <v>2471</v>
      </c>
      <c r="J308" s="38"/>
      <c r="K308" s="24" t="s">
        <v>982</v>
      </c>
      <c r="L308" s="607" t="s">
        <v>653</v>
      </c>
      <c r="M308" s="159">
        <v>43073</v>
      </c>
      <c r="N308" s="159">
        <v>43083</v>
      </c>
      <c r="O308" s="61" t="s">
        <v>1771</v>
      </c>
      <c r="P308" s="61"/>
      <c r="Q308" s="7"/>
      <c r="R308" s="610" t="s">
        <v>2566</v>
      </c>
      <c r="S308" s="619"/>
      <c r="T308" s="858"/>
    </row>
    <row r="309" spans="1:20" ht="20.100000000000001" customHeight="1">
      <c r="A309" s="927" t="s">
        <v>2975</v>
      </c>
      <c r="B309" s="928" t="s">
        <v>2716</v>
      </c>
      <c r="C309" s="928" t="s">
        <v>2722</v>
      </c>
      <c r="D309" s="1019">
        <f>D233+850</f>
        <v>3030</v>
      </c>
      <c r="E309" s="1019">
        <f>E233+1300</f>
        <v>3700</v>
      </c>
      <c r="F309" s="1019">
        <f>F233+1300</f>
        <v>3700</v>
      </c>
      <c r="G309" s="216" t="s">
        <v>19</v>
      </c>
      <c r="H309" s="168" t="s">
        <v>1233</v>
      </c>
      <c r="I309" s="50" t="s">
        <v>3362</v>
      </c>
      <c r="J309" s="50"/>
      <c r="K309" s="19" t="s">
        <v>985</v>
      </c>
      <c r="L309" s="607" t="s">
        <v>653</v>
      </c>
      <c r="M309" s="156">
        <v>43084</v>
      </c>
      <c r="N309" s="156">
        <v>43093</v>
      </c>
      <c r="O309" s="59" t="s">
        <v>611</v>
      </c>
      <c r="P309" s="59"/>
      <c r="Q309" s="7"/>
      <c r="R309" s="610" t="s">
        <v>2469</v>
      </c>
      <c r="S309" s="315" t="s">
        <v>3337</v>
      </c>
      <c r="T309" s="858"/>
    </row>
    <row r="310" spans="1:20" ht="20.100000000000001" customHeight="1">
      <c r="A310" s="1257" t="s">
        <v>2973</v>
      </c>
      <c r="B310" s="1258" t="s">
        <v>2716</v>
      </c>
      <c r="C310" s="1258" t="s">
        <v>2721</v>
      </c>
      <c r="D310" s="1019">
        <f>D305</f>
        <v>3565</v>
      </c>
      <c r="E310" s="1019">
        <f>E305</f>
        <v>4425</v>
      </c>
      <c r="F310" s="1019">
        <f>F305</f>
        <v>4425</v>
      </c>
      <c r="G310" s="216" t="s">
        <v>12</v>
      </c>
      <c r="H310" s="659">
        <v>3</v>
      </c>
      <c r="I310" s="50" t="s">
        <v>2471</v>
      </c>
      <c r="J310" s="50"/>
      <c r="K310" s="34" t="s">
        <v>662</v>
      </c>
      <c r="L310" s="607" t="s">
        <v>653</v>
      </c>
      <c r="M310" s="15">
        <v>43076</v>
      </c>
      <c r="N310" s="15">
        <v>43083</v>
      </c>
      <c r="O310" s="59" t="s">
        <v>2621</v>
      </c>
      <c r="P310" s="59" t="s">
        <v>2719</v>
      </c>
      <c r="Q310" s="7"/>
      <c r="R310" s="610" t="s">
        <v>3398</v>
      </c>
      <c r="S310" s="322" t="s">
        <v>1176</v>
      </c>
      <c r="T310" s="858"/>
    </row>
    <row r="311" spans="1:20" ht="20.100000000000001" customHeight="1">
      <c r="A311" s="1257" t="s">
        <v>2973</v>
      </c>
      <c r="B311" s="1258" t="s">
        <v>2716</v>
      </c>
      <c r="C311" s="1258" t="s">
        <v>2721</v>
      </c>
      <c r="D311" s="1008">
        <f>D232+1000+300+25</f>
        <v>2850</v>
      </c>
      <c r="E311" s="1008">
        <f>E232+1500+300+50</f>
        <v>3425</v>
      </c>
      <c r="F311" s="1008">
        <f>F232+1500+300+50</f>
        <v>3425</v>
      </c>
      <c r="G311" s="609" t="s">
        <v>1689</v>
      </c>
      <c r="H311" s="168" t="s">
        <v>1233</v>
      </c>
      <c r="I311" s="37" t="s">
        <v>2569</v>
      </c>
      <c r="J311" s="37"/>
      <c r="K311" s="5"/>
      <c r="L311" s="607" t="s">
        <v>653</v>
      </c>
      <c r="M311" s="156">
        <v>43076</v>
      </c>
      <c r="N311" s="156">
        <v>43083</v>
      </c>
      <c r="O311" s="61" t="s">
        <v>1771</v>
      </c>
      <c r="P311" s="61" t="s">
        <v>2717</v>
      </c>
      <c r="Q311" s="52"/>
      <c r="R311" s="610" t="s">
        <v>2470</v>
      </c>
      <c r="S311" s="622"/>
      <c r="T311" s="921"/>
    </row>
    <row r="312" spans="1:20" ht="20.100000000000001" customHeight="1">
      <c r="A312" s="1257" t="s">
        <v>2973</v>
      </c>
      <c r="B312" s="1258" t="s">
        <v>2716</v>
      </c>
      <c r="C312" s="1258" t="s">
        <v>2720</v>
      </c>
      <c r="D312" s="1008">
        <f>D292+500</f>
        <v>3675</v>
      </c>
      <c r="E312" s="1008">
        <f>E292+1000</f>
        <v>4700</v>
      </c>
      <c r="F312" s="1008">
        <f>F292+1000</f>
        <v>4700</v>
      </c>
      <c r="G312" s="613" t="s">
        <v>18</v>
      </c>
      <c r="H312" s="56" t="s">
        <v>1102</v>
      </c>
      <c r="I312" s="50" t="s">
        <v>2548</v>
      </c>
      <c r="J312" s="50"/>
      <c r="K312" s="34" t="s">
        <v>982</v>
      </c>
      <c r="L312" s="607" t="s">
        <v>653</v>
      </c>
      <c r="M312" s="108">
        <v>43075</v>
      </c>
      <c r="N312" s="108">
        <v>43083</v>
      </c>
      <c r="O312" s="61"/>
      <c r="P312" s="61"/>
      <c r="Q312" s="7"/>
      <c r="R312" s="606" t="s">
        <v>2547</v>
      </c>
      <c r="S312" s="316"/>
      <c r="T312" s="858"/>
    </row>
    <row r="313" spans="1:20" ht="20.100000000000001" customHeight="1">
      <c r="A313" s="1257" t="s">
        <v>2973</v>
      </c>
      <c r="B313" s="1258" t="s">
        <v>2716</v>
      </c>
      <c r="C313" s="1258" t="s">
        <v>2720</v>
      </c>
      <c r="D313" s="1035">
        <f>D305</f>
        <v>3565</v>
      </c>
      <c r="E313" s="1035">
        <f>E305</f>
        <v>4425</v>
      </c>
      <c r="F313" s="1035">
        <f>F305</f>
        <v>4425</v>
      </c>
      <c r="G313" s="216" t="s">
        <v>12</v>
      </c>
      <c r="H313" s="659">
        <v>3</v>
      </c>
      <c r="I313" s="50" t="s">
        <v>2471</v>
      </c>
      <c r="J313" s="50"/>
      <c r="K313" s="34" t="s">
        <v>731</v>
      </c>
      <c r="L313" s="607" t="s">
        <v>653</v>
      </c>
      <c r="M313" s="15">
        <v>43076</v>
      </c>
      <c r="N313" s="15">
        <v>43083</v>
      </c>
      <c r="O313" s="59" t="s">
        <v>2621</v>
      </c>
      <c r="P313" s="59" t="s">
        <v>2719</v>
      </c>
      <c r="Q313" s="7"/>
      <c r="R313" s="610" t="s">
        <v>3398</v>
      </c>
      <c r="S313" s="322" t="s">
        <v>1176</v>
      </c>
      <c r="T313" s="858"/>
    </row>
    <row r="314" spans="1:20" ht="20.100000000000001" customHeight="1">
      <c r="A314" s="1257" t="s">
        <v>2973</v>
      </c>
      <c r="B314" s="1258" t="s">
        <v>2716</v>
      </c>
      <c r="C314" s="1258" t="s">
        <v>2720</v>
      </c>
      <c r="D314" s="1019">
        <f>D290+400</f>
        <v>3575</v>
      </c>
      <c r="E314" s="1019">
        <f>E290+800</f>
        <v>4500</v>
      </c>
      <c r="F314" s="1019">
        <f>F290+800</f>
        <v>4500</v>
      </c>
      <c r="G314" s="216" t="s">
        <v>5</v>
      </c>
      <c r="H314" s="168" t="s">
        <v>1233</v>
      </c>
      <c r="I314" s="51" t="s">
        <v>2471</v>
      </c>
      <c r="J314" s="51"/>
      <c r="K314" s="24" t="s">
        <v>985</v>
      </c>
      <c r="L314" s="607" t="s">
        <v>653</v>
      </c>
      <c r="M314" s="159">
        <v>43073</v>
      </c>
      <c r="N314" s="159">
        <v>43083</v>
      </c>
      <c r="O314" s="61" t="s">
        <v>1771</v>
      </c>
      <c r="P314" s="59"/>
      <c r="Q314" s="7"/>
      <c r="R314" s="610" t="s">
        <v>2566</v>
      </c>
      <c r="S314" s="619"/>
      <c r="T314" s="858"/>
    </row>
    <row r="315" spans="1:20" ht="20.100000000000001" customHeight="1">
      <c r="A315" s="1257" t="s">
        <v>2973</v>
      </c>
      <c r="B315" s="1258" t="s">
        <v>2716</v>
      </c>
      <c r="C315" s="1258" t="s">
        <v>2720</v>
      </c>
      <c r="D315" s="1008">
        <f>D206+1000+300+25</f>
        <v>2850</v>
      </c>
      <c r="E315" s="1008">
        <f>E206+1500+300+50</f>
        <v>3425</v>
      </c>
      <c r="F315" s="1008">
        <f>F206+1500+300+50</f>
        <v>3425</v>
      </c>
      <c r="G315" s="609" t="s">
        <v>1689</v>
      </c>
      <c r="H315" s="168" t="s">
        <v>1233</v>
      </c>
      <c r="I315" s="37" t="s">
        <v>2471</v>
      </c>
      <c r="J315" s="37"/>
      <c r="K315" s="5">
        <v>52</v>
      </c>
      <c r="L315" s="607" t="s">
        <v>653</v>
      </c>
      <c r="M315" s="156">
        <v>43076</v>
      </c>
      <c r="N315" s="156">
        <v>43083</v>
      </c>
      <c r="O315" s="61" t="s">
        <v>1771</v>
      </c>
      <c r="P315" s="61" t="s">
        <v>2717</v>
      </c>
      <c r="Q315" s="52"/>
      <c r="R315" s="610" t="s">
        <v>2470</v>
      </c>
      <c r="S315" s="622"/>
      <c r="T315" s="858"/>
    </row>
    <row r="316" spans="1:20" ht="20.100000000000001" customHeight="1">
      <c r="A316" s="1257" t="s">
        <v>2973</v>
      </c>
      <c r="B316" s="1258" t="s">
        <v>2716</v>
      </c>
      <c r="C316" s="1258" t="s">
        <v>2720</v>
      </c>
      <c r="D316" s="1008">
        <f>D233+650</f>
        <v>2830</v>
      </c>
      <c r="E316" s="1008">
        <f>E233+1400</f>
        <v>3800</v>
      </c>
      <c r="F316" s="1008">
        <f>F233+1400</f>
        <v>3800</v>
      </c>
      <c r="G316" s="614" t="s">
        <v>19</v>
      </c>
      <c r="H316" s="168" t="s">
        <v>1233</v>
      </c>
      <c r="I316" s="50" t="s">
        <v>3362</v>
      </c>
      <c r="J316" s="50"/>
      <c r="K316" s="34" t="s">
        <v>731</v>
      </c>
      <c r="L316" s="607" t="s">
        <v>653</v>
      </c>
      <c r="M316" s="156">
        <v>43084</v>
      </c>
      <c r="N316" s="156">
        <v>43093</v>
      </c>
      <c r="O316" s="59" t="s">
        <v>611</v>
      </c>
      <c r="P316" s="59"/>
      <c r="Q316" s="7"/>
      <c r="R316" s="610" t="s">
        <v>2469</v>
      </c>
      <c r="S316" s="315" t="s">
        <v>3337</v>
      </c>
      <c r="T316" s="858"/>
    </row>
    <row r="317" spans="1:20" ht="20.100000000000001" customHeight="1">
      <c r="A317" s="1257" t="s">
        <v>2973</v>
      </c>
      <c r="B317" s="1258" t="s">
        <v>2716</v>
      </c>
      <c r="C317" s="1258" t="s">
        <v>2697</v>
      </c>
      <c r="D317" s="1008">
        <f>D292+500</f>
        <v>3675</v>
      </c>
      <c r="E317" s="1008">
        <f>E292+1000</f>
        <v>4700</v>
      </c>
      <c r="F317" s="1008">
        <f>F292+1000</f>
        <v>4700</v>
      </c>
      <c r="G317" s="613" t="s">
        <v>18</v>
      </c>
      <c r="H317" s="56" t="s">
        <v>1102</v>
      </c>
      <c r="I317" s="50" t="s">
        <v>2548</v>
      </c>
      <c r="J317" s="50"/>
      <c r="K317" s="34" t="s">
        <v>1242</v>
      </c>
      <c r="L317" s="607" t="s">
        <v>653</v>
      </c>
      <c r="M317" s="108">
        <v>43075</v>
      </c>
      <c r="N317" s="108">
        <v>43083</v>
      </c>
      <c r="O317" s="61"/>
      <c r="P317" s="61"/>
      <c r="Q317" s="7"/>
      <c r="R317" s="606" t="s">
        <v>2547</v>
      </c>
      <c r="S317" s="316"/>
      <c r="T317" s="858"/>
    </row>
    <row r="318" spans="1:20" ht="20.100000000000001" customHeight="1">
      <c r="A318" s="1257" t="s">
        <v>2973</v>
      </c>
      <c r="B318" s="1258" t="s">
        <v>2716</v>
      </c>
      <c r="C318" s="1258" t="s">
        <v>2697</v>
      </c>
      <c r="D318" s="1020">
        <f>D305</f>
        <v>3565</v>
      </c>
      <c r="E318" s="1020">
        <f>E305</f>
        <v>4425</v>
      </c>
      <c r="F318" s="1020">
        <f>F305</f>
        <v>4425</v>
      </c>
      <c r="G318" s="216" t="s">
        <v>12</v>
      </c>
      <c r="H318" s="659">
        <v>3</v>
      </c>
      <c r="I318" s="50" t="s">
        <v>2471</v>
      </c>
      <c r="J318" s="50"/>
      <c r="K318" s="34" t="s">
        <v>731</v>
      </c>
      <c r="L318" s="607" t="s">
        <v>653</v>
      </c>
      <c r="M318" s="15">
        <v>43076</v>
      </c>
      <c r="N318" s="15">
        <v>43083</v>
      </c>
      <c r="O318" s="59" t="s">
        <v>2621</v>
      </c>
      <c r="P318" s="59" t="s">
        <v>2719</v>
      </c>
      <c r="Q318" s="7"/>
      <c r="R318" s="610" t="s">
        <v>3398</v>
      </c>
      <c r="S318" s="322" t="s">
        <v>1176</v>
      </c>
      <c r="T318" s="858"/>
    </row>
    <row r="319" spans="1:20" ht="20.100000000000001" customHeight="1">
      <c r="A319" s="1257" t="s">
        <v>2973</v>
      </c>
      <c r="B319" s="1258" t="s">
        <v>2716</v>
      </c>
      <c r="C319" s="1258" t="s">
        <v>2697</v>
      </c>
      <c r="D319" s="1019">
        <f>D290+400</f>
        <v>3575</v>
      </c>
      <c r="E319" s="1019">
        <f>E290+800</f>
        <v>4500</v>
      </c>
      <c r="F319" s="1019">
        <f>F290+800</f>
        <v>4500</v>
      </c>
      <c r="G319" s="216" t="s">
        <v>5</v>
      </c>
      <c r="H319" s="168" t="s">
        <v>1233</v>
      </c>
      <c r="I319" s="51" t="s">
        <v>2471</v>
      </c>
      <c r="J319" s="51"/>
      <c r="K319" s="24" t="s">
        <v>1984</v>
      </c>
      <c r="L319" s="607" t="s">
        <v>653</v>
      </c>
      <c r="M319" s="159">
        <v>43073</v>
      </c>
      <c r="N319" s="159">
        <v>43083</v>
      </c>
      <c r="O319" s="59" t="s">
        <v>1771</v>
      </c>
      <c r="P319" s="59" t="s">
        <v>2718</v>
      </c>
      <c r="Q319" s="7"/>
      <c r="R319" s="610" t="s">
        <v>2566</v>
      </c>
      <c r="S319" s="619"/>
      <c r="T319" s="858"/>
    </row>
    <row r="320" spans="1:20" ht="20.100000000000001" customHeight="1">
      <c r="A320" s="1257" t="s">
        <v>2973</v>
      </c>
      <c r="B320" s="1258" t="s">
        <v>2716</v>
      </c>
      <c r="C320" s="1258" t="s">
        <v>2697</v>
      </c>
      <c r="D320" s="1008">
        <f>D232+800+300+25</f>
        <v>2650</v>
      </c>
      <c r="E320" s="1008">
        <f>E232+1200+300+50</f>
        <v>3125</v>
      </c>
      <c r="F320" s="1008">
        <f>F232+1200+300+50</f>
        <v>3125</v>
      </c>
      <c r="G320" s="609" t="s">
        <v>1689</v>
      </c>
      <c r="H320" s="168" t="s">
        <v>1233</v>
      </c>
      <c r="I320" s="37" t="s">
        <v>2569</v>
      </c>
      <c r="J320" s="37"/>
      <c r="K320" s="5">
        <v>52</v>
      </c>
      <c r="L320" s="607" t="s">
        <v>653</v>
      </c>
      <c r="M320" s="156">
        <v>43076</v>
      </c>
      <c r="N320" s="156">
        <v>43083</v>
      </c>
      <c r="O320" s="61" t="s">
        <v>1771</v>
      </c>
      <c r="P320" s="61" t="s">
        <v>2717</v>
      </c>
      <c r="Q320" s="52"/>
      <c r="R320" s="610" t="s">
        <v>2470</v>
      </c>
      <c r="S320" s="622"/>
      <c r="T320" s="858"/>
    </row>
    <row r="321" spans="1:20" ht="20.100000000000001" customHeight="1">
      <c r="A321" s="1257" t="s">
        <v>2973</v>
      </c>
      <c r="B321" s="1258" t="s">
        <v>2716</v>
      </c>
      <c r="C321" s="1258" t="s">
        <v>2697</v>
      </c>
      <c r="D321" s="1019">
        <f>D233+650</f>
        <v>2830</v>
      </c>
      <c r="E321" s="1019">
        <f>E233+1200</f>
        <v>3600</v>
      </c>
      <c r="F321" s="1019">
        <f>F233+1200</f>
        <v>3600</v>
      </c>
      <c r="G321" s="216" t="s">
        <v>19</v>
      </c>
      <c r="H321" s="168" t="s">
        <v>1233</v>
      </c>
      <c r="I321" s="50" t="s">
        <v>3362</v>
      </c>
      <c r="J321" s="50"/>
      <c r="K321" s="34" t="s">
        <v>982</v>
      </c>
      <c r="L321" s="607" t="s">
        <v>653</v>
      </c>
      <c r="M321" s="156">
        <v>43084</v>
      </c>
      <c r="N321" s="156">
        <v>43093</v>
      </c>
      <c r="O321" s="59" t="s">
        <v>611</v>
      </c>
      <c r="P321" s="59"/>
      <c r="Q321" s="7"/>
      <c r="R321" s="610" t="s">
        <v>2469</v>
      </c>
      <c r="S321" s="315" t="s">
        <v>3337</v>
      </c>
      <c r="T321" s="858"/>
    </row>
    <row r="322" spans="1:20" ht="20.100000000000001" customHeight="1">
      <c r="A322" s="1257" t="s">
        <v>2973</v>
      </c>
      <c r="B322" s="1258" t="s">
        <v>3346</v>
      </c>
      <c r="C322" s="1258" t="s">
        <v>2696</v>
      </c>
      <c r="D322" s="1067">
        <v>2150</v>
      </c>
      <c r="E322" s="1067">
        <v>2500</v>
      </c>
      <c r="F322" s="1067">
        <v>2500</v>
      </c>
      <c r="G322" s="637" t="s">
        <v>22</v>
      </c>
      <c r="H322" s="56" t="s">
        <v>729</v>
      </c>
      <c r="I322" s="50" t="s">
        <v>3362</v>
      </c>
      <c r="J322" s="50"/>
      <c r="K322" s="34" t="s">
        <v>775</v>
      </c>
      <c r="L322" s="607" t="s">
        <v>653</v>
      </c>
      <c r="M322" s="108">
        <v>43087</v>
      </c>
      <c r="N322" s="108">
        <v>43094</v>
      </c>
      <c r="O322" s="61" t="s">
        <v>2545</v>
      </c>
      <c r="P322" s="61"/>
      <c r="Q322" s="7"/>
      <c r="R322" s="606" t="s">
        <v>1750</v>
      </c>
      <c r="S322" s="322" t="s">
        <v>1176</v>
      </c>
      <c r="T322" s="858"/>
    </row>
    <row r="323" spans="1:20" ht="20.100000000000001" customHeight="1">
      <c r="A323" s="1257" t="s">
        <v>2973</v>
      </c>
      <c r="B323" s="1258" t="s">
        <v>3346</v>
      </c>
      <c r="C323" s="1258" t="s">
        <v>2696</v>
      </c>
      <c r="D323" s="1008">
        <v>2325</v>
      </c>
      <c r="E323" s="1008">
        <v>2650</v>
      </c>
      <c r="F323" s="1008">
        <v>2650</v>
      </c>
      <c r="G323" s="633" t="s">
        <v>28</v>
      </c>
      <c r="H323" s="56" t="s">
        <v>729</v>
      </c>
      <c r="I323" s="51" t="s">
        <v>2656</v>
      </c>
      <c r="J323" s="51"/>
      <c r="K323" s="19" t="s">
        <v>728</v>
      </c>
      <c r="L323" s="607" t="s">
        <v>653</v>
      </c>
      <c r="M323" s="620">
        <v>42982</v>
      </c>
      <c r="N323" s="620">
        <v>42982</v>
      </c>
      <c r="O323" s="153" t="s">
        <v>601</v>
      </c>
      <c r="P323" s="61"/>
      <c r="Q323" s="7"/>
      <c r="R323" s="606" t="s">
        <v>1750</v>
      </c>
      <c r="S323" s="316"/>
      <c r="T323" s="858"/>
    </row>
    <row r="324" spans="1:20" ht="20.100000000000001" customHeight="1">
      <c r="A324" s="1257" t="s">
        <v>2973</v>
      </c>
      <c r="B324" s="1258" t="s">
        <v>3346</v>
      </c>
      <c r="C324" s="1258" t="s">
        <v>2696</v>
      </c>
      <c r="D324" s="1051">
        <v>1600</v>
      </c>
      <c r="E324" s="1051">
        <v>1725</v>
      </c>
      <c r="F324" s="1051">
        <v>1725</v>
      </c>
      <c r="G324" s="630" t="s">
        <v>33</v>
      </c>
      <c r="H324" s="56" t="s">
        <v>729</v>
      </c>
      <c r="I324" s="50" t="s">
        <v>2656</v>
      </c>
      <c r="J324" s="50"/>
      <c r="K324" s="19" t="s">
        <v>728</v>
      </c>
      <c r="L324" s="607" t="s">
        <v>653</v>
      </c>
      <c r="M324" s="159">
        <v>43080</v>
      </c>
      <c r="N324" s="159">
        <v>43086</v>
      </c>
      <c r="O324" s="61"/>
      <c r="P324" s="61"/>
      <c r="Q324" s="7"/>
      <c r="R324" s="606" t="s">
        <v>2756</v>
      </c>
      <c r="S324" s="622" t="s">
        <v>1176</v>
      </c>
      <c r="T324" s="858"/>
    </row>
    <row r="325" spans="1:20" ht="20.100000000000001" customHeight="1">
      <c r="A325" s="1257" t="s">
        <v>2973</v>
      </c>
      <c r="B325" s="1258" t="s">
        <v>3346</v>
      </c>
      <c r="C325" s="1258" t="s">
        <v>2696</v>
      </c>
      <c r="D325" s="1020">
        <f>E325*0.8</f>
        <v>1920</v>
      </c>
      <c r="E325" s="1020">
        <v>2400</v>
      </c>
      <c r="F325" s="1020">
        <f>E325</f>
        <v>2400</v>
      </c>
      <c r="G325" s="637" t="s">
        <v>12</v>
      </c>
      <c r="H325" s="659">
        <v>3</v>
      </c>
      <c r="I325" s="50" t="s">
        <v>2471</v>
      </c>
      <c r="J325" s="37"/>
      <c r="K325" s="16" t="s">
        <v>980</v>
      </c>
      <c r="L325" s="607" t="s">
        <v>653</v>
      </c>
      <c r="M325" s="15">
        <v>43076</v>
      </c>
      <c r="N325" s="15">
        <v>43083</v>
      </c>
      <c r="O325" s="59" t="s">
        <v>2545</v>
      </c>
      <c r="P325" s="59" t="s">
        <v>2643</v>
      </c>
      <c r="Q325" s="7"/>
      <c r="R325" s="606" t="s">
        <v>3398</v>
      </c>
      <c r="S325" s="322" t="s">
        <v>1176</v>
      </c>
      <c r="T325" s="858"/>
    </row>
    <row r="326" spans="1:20" ht="20.100000000000001" customHeight="1">
      <c r="A326" s="1257" t="s">
        <v>2973</v>
      </c>
      <c r="B326" s="1258" t="s">
        <v>3346</v>
      </c>
      <c r="C326" s="1258" t="s">
        <v>2696</v>
      </c>
      <c r="D326" s="1050">
        <v>2150</v>
      </c>
      <c r="E326" s="1050">
        <v>2450</v>
      </c>
      <c r="F326" s="1050">
        <v>2450</v>
      </c>
      <c r="G326" s="637" t="s">
        <v>51</v>
      </c>
      <c r="H326" s="56" t="s">
        <v>3379</v>
      </c>
      <c r="I326" s="51" t="s">
        <v>2695</v>
      </c>
      <c r="J326" s="51"/>
      <c r="K326" s="19" t="s">
        <v>3846</v>
      </c>
      <c r="L326" s="607" t="s">
        <v>653</v>
      </c>
      <c r="M326" s="611">
        <v>43086</v>
      </c>
      <c r="N326" s="611">
        <v>43100</v>
      </c>
      <c r="O326" s="61"/>
      <c r="P326" s="61"/>
      <c r="Q326" s="52"/>
      <c r="R326" s="606" t="s">
        <v>2787</v>
      </c>
      <c r="S326" s="316" t="s">
        <v>3341</v>
      </c>
      <c r="T326" s="858"/>
    </row>
    <row r="327" spans="1:20" ht="20.100000000000001" customHeight="1">
      <c r="A327" s="1257" t="s">
        <v>2973</v>
      </c>
      <c r="B327" s="1258" t="s">
        <v>3346</v>
      </c>
      <c r="C327" s="1258" t="s">
        <v>2696</v>
      </c>
      <c r="D327" s="1040">
        <v>1800</v>
      </c>
      <c r="E327" s="1040">
        <v>2050</v>
      </c>
      <c r="F327" s="1040">
        <v>2050</v>
      </c>
      <c r="G327" s="631" t="s">
        <v>31</v>
      </c>
      <c r="H327" s="56" t="s">
        <v>725</v>
      </c>
      <c r="I327" s="38" t="s">
        <v>2468</v>
      </c>
      <c r="J327" s="38"/>
      <c r="K327" s="5">
        <v>37</v>
      </c>
      <c r="L327" s="607" t="s">
        <v>653</v>
      </c>
      <c r="M327" s="623">
        <v>43073</v>
      </c>
      <c r="N327" s="623">
        <v>43083</v>
      </c>
      <c r="O327" s="61"/>
      <c r="P327" s="61"/>
      <c r="Q327" s="52"/>
      <c r="R327" s="606" t="s">
        <v>2586</v>
      </c>
      <c r="S327" s="622" t="s">
        <v>1176</v>
      </c>
      <c r="T327" s="858"/>
    </row>
    <row r="328" spans="1:20" ht="20.100000000000001" customHeight="1">
      <c r="A328" s="1257" t="s">
        <v>3377</v>
      </c>
      <c r="B328" s="1258" t="s">
        <v>3346</v>
      </c>
      <c r="C328" s="1258" t="s">
        <v>2696</v>
      </c>
      <c r="D328" s="1007">
        <f>D231+100</f>
        <v>1725</v>
      </c>
      <c r="E328" s="1007">
        <f>E231+200</f>
        <v>1950</v>
      </c>
      <c r="F328" s="1007">
        <f>F231+200</f>
        <v>1950</v>
      </c>
      <c r="G328" s="216" t="s">
        <v>5</v>
      </c>
      <c r="H328" s="168" t="s">
        <v>1233</v>
      </c>
      <c r="I328" s="51" t="s">
        <v>2471</v>
      </c>
      <c r="J328" s="50"/>
      <c r="K328" s="34" t="s">
        <v>986</v>
      </c>
      <c r="L328" s="607" t="s">
        <v>653</v>
      </c>
      <c r="M328" s="159">
        <v>43073</v>
      </c>
      <c r="N328" s="159">
        <v>43083</v>
      </c>
      <c r="O328" s="61" t="s">
        <v>1771</v>
      </c>
      <c r="P328" s="59"/>
      <c r="Q328" s="7"/>
      <c r="R328" s="610" t="s">
        <v>2566</v>
      </c>
      <c r="S328" s="619"/>
      <c r="T328" s="858"/>
    </row>
    <row r="329" spans="1:20" ht="20.100000000000001" customHeight="1">
      <c r="A329" s="1257" t="s">
        <v>2973</v>
      </c>
      <c r="B329" s="1258" t="s">
        <v>3346</v>
      </c>
      <c r="C329" s="1258" t="s">
        <v>2696</v>
      </c>
      <c r="D329" s="1008">
        <f>D232+50</f>
        <v>1575</v>
      </c>
      <c r="E329" s="1008">
        <f>E232+100</f>
        <v>1675</v>
      </c>
      <c r="F329" s="1008">
        <f>F232+100</f>
        <v>1675</v>
      </c>
      <c r="G329" s="609" t="s">
        <v>1689</v>
      </c>
      <c r="H329" s="168" t="s">
        <v>1233</v>
      </c>
      <c r="I329" s="37" t="s">
        <v>2569</v>
      </c>
      <c r="J329" s="37"/>
      <c r="K329" s="5">
        <v>45</v>
      </c>
      <c r="L329" s="607" t="s">
        <v>653</v>
      </c>
      <c r="M329" s="156">
        <v>43076</v>
      </c>
      <c r="N329" s="156">
        <v>43083</v>
      </c>
      <c r="O329" s="61" t="s">
        <v>1771</v>
      </c>
      <c r="P329" s="61"/>
      <c r="Q329" s="52"/>
      <c r="R329" s="610" t="s">
        <v>2470</v>
      </c>
      <c r="S329" s="622"/>
      <c r="T329" s="858"/>
    </row>
    <row r="330" spans="1:20" ht="20.100000000000001" customHeight="1">
      <c r="A330" s="1257" t="s">
        <v>2973</v>
      </c>
      <c r="B330" s="1258" t="s">
        <v>3346</v>
      </c>
      <c r="C330" s="1258" t="s">
        <v>2696</v>
      </c>
      <c r="D330" s="1018">
        <v>2180</v>
      </c>
      <c r="E330" s="1018">
        <v>2400</v>
      </c>
      <c r="F330" s="1018">
        <v>2400</v>
      </c>
      <c r="G330" s="637" t="s">
        <v>19</v>
      </c>
      <c r="H330" s="651" t="s">
        <v>1233</v>
      </c>
      <c r="I330" s="50" t="s">
        <v>2569</v>
      </c>
      <c r="J330" s="50"/>
      <c r="K330" s="34" t="s">
        <v>662</v>
      </c>
      <c r="L330" s="607" t="s">
        <v>653</v>
      </c>
      <c r="M330" s="156">
        <v>43084</v>
      </c>
      <c r="N330" s="156">
        <v>43093</v>
      </c>
      <c r="O330" s="59" t="s">
        <v>611</v>
      </c>
      <c r="P330" s="59"/>
      <c r="Q330" s="7"/>
      <c r="R330" s="610" t="s">
        <v>2469</v>
      </c>
      <c r="S330" s="315" t="s">
        <v>3337</v>
      </c>
      <c r="T330" s="858"/>
    </row>
    <row r="331" spans="1:20" ht="20.100000000000001" customHeight="1">
      <c r="A331" s="1257" t="s">
        <v>3377</v>
      </c>
      <c r="B331" s="1258" t="s">
        <v>3346</v>
      </c>
      <c r="C331" s="1258" t="s">
        <v>3350</v>
      </c>
      <c r="D331" s="1008">
        <f>D324+450</f>
        <v>2050</v>
      </c>
      <c r="E331" s="1008">
        <f>E324+450</f>
        <v>2175</v>
      </c>
      <c r="F331" s="1008">
        <f>F324+450</f>
        <v>2175</v>
      </c>
      <c r="G331" s="613" t="s">
        <v>33</v>
      </c>
      <c r="H331" s="56" t="s">
        <v>729</v>
      </c>
      <c r="I331" s="38" t="s">
        <v>2693</v>
      </c>
      <c r="J331" s="38"/>
      <c r="K331" s="16" t="s">
        <v>835</v>
      </c>
      <c r="L331" s="607" t="s">
        <v>653</v>
      </c>
      <c r="M331" s="159">
        <v>43080</v>
      </c>
      <c r="N331" s="159">
        <v>43086</v>
      </c>
      <c r="O331" s="61"/>
      <c r="P331" s="61"/>
      <c r="Q331" s="72" t="s">
        <v>100</v>
      </c>
      <c r="R331" s="606" t="s">
        <v>2756</v>
      </c>
      <c r="S331" s="622" t="s">
        <v>1176</v>
      </c>
      <c r="T331" s="858"/>
    </row>
    <row r="332" spans="1:20" ht="20.100000000000001" customHeight="1">
      <c r="A332" s="1257" t="s">
        <v>3377</v>
      </c>
      <c r="B332" s="1258" t="s">
        <v>3346</v>
      </c>
      <c r="C332" s="1258" t="s">
        <v>3350</v>
      </c>
      <c r="D332" s="1020">
        <f>E332*0.8</f>
        <v>2240</v>
      </c>
      <c r="E332" s="1020">
        <v>2800</v>
      </c>
      <c r="F332" s="1020">
        <f>E332</f>
        <v>2800</v>
      </c>
      <c r="G332" s="637" t="s">
        <v>12</v>
      </c>
      <c r="H332" s="659">
        <v>3</v>
      </c>
      <c r="I332" s="50" t="s">
        <v>2471</v>
      </c>
      <c r="J332" s="50"/>
      <c r="K332" s="34" t="s">
        <v>1242</v>
      </c>
      <c r="L332" s="607" t="s">
        <v>653</v>
      </c>
      <c r="M332" s="15">
        <v>43076</v>
      </c>
      <c r="N332" s="15">
        <v>43083</v>
      </c>
      <c r="O332" s="59" t="s">
        <v>2545</v>
      </c>
      <c r="P332" s="59" t="s">
        <v>2643</v>
      </c>
      <c r="Q332" s="7"/>
      <c r="R332" s="610" t="s">
        <v>3398</v>
      </c>
      <c r="S332" s="322" t="s">
        <v>1176</v>
      </c>
      <c r="T332" s="858"/>
    </row>
    <row r="333" spans="1:20" ht="20.100000000000001" customHeight="1">
      <c r="A333" s="1257" t="s">
        <v>3377</v>
      </c>
      <c r="B333" s="1258" t="s">
        <v>3346</v>
      </c>
      <c r="C333" s="1258" t="s">
        <v>3350</v>
      </c>
      <c r="D333" s="1008">
        <f>D326+250</f>
        <v>2400</v>
      </c>
      <c r="E333" s="1008">
        <f>E326+300</f>
        <v>2750</v>
      </c>
      <c r="F333" s="1008">
        <f>F326+300</f>
        <v>2750</v>
      </c>
      <c r="G333" s="216" t="s">
        <v>51</v>
      </c>
      <c r="H333" s="56" t="s">
        <v>3379</v>
      </c>
      <c r="I333" s="51" t="s">
        <v>2695</v>
      </c>
      <c r="J333" s="38"/>
      <c r="K333" s="19" t="s">
        <v>2694</v>
      </c>
      <c r="L333" s="607" t="s">
        <v>653</v>
      </c>
      <c r="M333" s="611">
        <v>43086</v>
      </c>
      <c r="N333" s="611">
        <v>43100</v>
      </c>
      <c r="O333" s="61"/>
      <c r="P333" s="61"/>
      <c r="Q333" s="14" t="s">
        <v>100</v>
      </c>
      <c r="R333" s="606" t="s">
        <v>2787</v>
      </c>
      <c r="S333" s="316" t="s">
        <v>3341</v>
      </c>
      <c r="T333" s="858"/>
    </row>
    <row r="334" spans="1:20" ht="20.100000000000001" customHeight="1">
      <c r="A334" s="1257" t="s">
        <v>3377</v>
      </c>
      <c r="B334" s="1258" t="s">
        <v>3346</v>
      </c>
      <c r="C334" s="1258" t="s">
        <v>3350</v>
      </c>
      <c r="D334" s="1015">
        <f>D330+407</f>
        <v>2587</v>
      </c>
      <c r="E334" s="1015">
        <f>E330+407</f>
        <v>2807</v>
      </c>
      <c r="F334" s="1015">
        <f>F330+407</f>
        <v>2807</v>
      </c>
      <c r="G334" s="216" t="s">
        <v>19</v>
      </c>
      <c r="H334" s="628" t="s">
        <v>1233</v>
      </c>
      <c r="I334" s="37" t="s">
        <v>2693</v>
      </c>
      <c r="J334" s="37"/>
      <c r="K334" s="19" t="s">
        <v>984</v>
      </c>
      <c r="L334" s="607" t="s">
        <v>653</v>
      </c>
      <c r="M334" s="156">
        <v>43084</v>
      </c>
      <c r="N334" s="156">
        <v>43093</v>
      </c>
      <c r="O334" s="59" t="s">
        <v>611</v>
      </c>
      <c r="P334" s="59"/>
      <c r="Q334" s="72" t="s">
        <v>100</v>
      </c>
      <c r="R334" s="610" t="s">
        <v>2469</v>
      </c>
      <c r="S334" s="315" t="s">
        <v>3337</v>
      </c>
      <c r="T334" s="858"/>
    </row>
    <row r="335" spans="1:20" ht="20.100000000000001" customHeight="1">
      <c r="A335" s="1257" t="s">
        <v>3377</v>
      </c>
      <c r="B335" s="1258" t="s">
        <v>3346</v>
      </c>
      <c r="C335" s="1258" t="s">
        <v>3350</v>
      </c>
      <c r="D335" s="1015">
        <f>D328+480+25</f>
        <v>2230</v>
      </c>
      <c r="E335" s="1015">
        <f>E328+480+50</f>
        <v>2480</v>
      </c>
      <c r="F335" s="1015">
        <f>F328+480+50</f>
        <v>2480</v>
      </c>
      <c r="G335" s="216" t="s">
        <v>5</v>
      </c>
      <c r="H335" s="168" t="s">
        <v>1233</v>
      </c>
      <c r="I335" s="51" t="s">
        <v>2693</v>
      </c>
      <c r="J335" s="50"/>
      <c r="K335" s="34" t="s">
        <v>722</v>
      </c>
      <c r="L335" s="607" t="s">
        <v>653</v>
      </c>
      <c r="M335" s="159">
        <v>43073</v>
      </c>
      <c r="N335" s="159">
        <v>43083</v>
      </c>
      <c r="O335" s="61" t="s">
        <v>1771</v>
      </c>
      <c r="P335" s="59"/>
      <c r="Q335" s="72" t="s">
        <v>3347</v>
      </c>
      <c r="R335" s="610" t="s">
        <v>2566</v>
      </c>
      <c r="S335" s="619"/>
      <c r="T335" s="858"/>
    </row>
    <row r="336" spans="1:20" ht="20.100000000000001" customHeight="1">
      <c r="A336" s="1257" t="s">
        <v>3377</v>
      </c>
      <c r="B336" s="1258" t="s">
        <v>3346</v>
      </c>
      <c r="C336" s="1258" t="s">
        <v>3349</v>
      </c>
      <c r="D336" s="1020">
        <f>D328+530+25</f>
        <v>2280</v>
      </c>
      <c r="E336" s="1020">
        <f>E328+530+50</f>
        <v>2530</v>
      </c>
      <c r="F336" s="1020">
        <f>F328+530+50</f>
        <v>2530</v>
      </c>
      <c r="G336" s="216" t="s">
        <v>5</v>
      </c>
      <c r="H336" s="168" t="s">
        <v>1233</v>
      </c>
      <c r="I336" s="51" t="s">
        <v>2693</v>
      </c>
      <c r="J336" s="50"/>
      <c r="K336" s="34" t="s">
        <v>722</v>
      </c>
      <c r="L336" s="607" t="s">
        <v>653</v>
      </c>
      <c r="M336" s="159">
        <v>43073</v>
      </c>
      <c r="N336" s="159">
        <v>43083</v>
      </c>
      <c r="O336" s="61" t="s">
        <v>1771</v>
      </c>
      <c r="P336" s="59"/>
      <c r="Q336" s="72" t="s">
        <v>3347</v>
      </c>
      <c r="R336" s="610" t="s">
        <v>2566</v>
      </c>
      <c r="S336" s="619"/>
      <c r="T336" s="858"/>
    </row>
    <row r="337" spans="1:20" ht="20.100000000000001" customHeight="1">
      <c r="A337" s="1257" t="s">
        <v>3377</v>
      </c>
      <c r="B337" s="1258" t="s">
        <v>3346</v>
      </c>
      <c r="C337" s="1258" t="s">
        <v>3349</v>
      </c>
      <c r="D337" s="1021">
        <f>D330+407</f>
        <v>2587</v>
      </c>
      <c r="E337" s="1021">
        <f>E330+407</f>
        <v>2807</v>
      </c>
      <c r="F337" s="1021">
        <f>F330+407</f>
        <v>2807</v>
      </c>
      <c r="G337" s="216" t="s">
        <v>19</v>
      </c>
      <c r="H337" s="628" t="s">
        <v>1233</v>
      </c>
      <c r="I337" s="37" t="s">
        <v>2693</v>
      </c>
      <c r="J337" s="37"/>
      <c r="K337" s="19" t="s">
        <v>984</v>
      </c>
      <c r="L337" s="607" t="s">
        <v>653</v>
      </c>
      <c r="M337" s="156">
        <v>43084</v>
      </c>
      <c r="N337" s="156">
        <v>43093</v>
      </c>
      <c r="O337" s="59" t="s">
        <v>611</v>
      </c>
      <c r="P337" s="59"/>
      <c r="Q337" s="72" t="s">
        <v>100</v>
      </c>
      <c r="R337" s="610" t="s">
        <v>2469</v>
      </c>
      <c r="S337" s="315" t="s">
        <v>3337</v>
      </c>
      <c r="T337" s="858"/>
    </row>
    <row r="338" spans="1:20" ht="20.100000000000001" customHeight="1">
      <c r="A338" s="1257" t="s">
        <v>3377</v>
      </c>
      <c r="B338" s="1258" t="s">
        <v>3346</v>
      </c>
      <c r="C338" s="1258" t="s">
        <v>3348</v>
      </c>
      <c r="D338" s="1021">
        <f>D328+565+25</f>
        <v>2315</v>
      </c>
      <c r="E338" s="1021">
        <f>E328+565+50</f>
        <v>2565</v>
      </c>
      <c r="F338" s="1021">
        <f>F328+565+50</f>
        <v>2565</v>
      </c>
      <c r="G338" s="216" t="s">
        <v>5</v>
      </c>
      <c r="H338" s="168" t="s">
        <v>1233</v>
      </c>
      <c r="I338" s="51" t="s">
        <v>2693</v>
      </c>
      <c r="J338" s="50"/>
      <c r="K338" s="34" t="s">
        <v>722</v>
      </c>
      <c r="L338" s="607" t="s">
        <v>653</v>
      </c>
      <c r="M338" s="159">
        <v>43073</v>
      </c>
      <c r="N338" s="159">
        <v>43083</v>
      </c>
      <c r="O338" s="61" t="s">
        <v>1771</v>
      </c>
      <c r="P338" s="59"/>
      <c r="Q338" s="72" t="s">
        <v>3347</v>
      </c>
      <c r="R338" s="610" t="s">
        <v>2566</v>
      </c>
      <c r="S338" s="619"/>
      <c r="T338" s="858"/>
    </row>
    <row r="339" spans="1:20" ht="20.100000000000001" customHeight="1">
      <c r="A339" s="1257" t="s">
        <v>3377</v>
      </c>
      <c r="B339" s="1258" t="s">
        <v>3346</v>
      </c>
      <c r="C339" s="1258" t="s">
        <v>3348</v>
      </c>
      <c r="D339" s="1008">
        <f>D330+507</f>
        <v>2687</v>
      </c>
      <c r="E339" s="1008">
        <f>E330+433</f>
        <v>2833</v>
      </c>
      <c r="F339" s="1008">
        <f>F330+433</f>
        <v>2833</v>
      </c>
      <c r="G339" s="216" t="s">
        <v>19</v>
      </c>
      <c r="H339" s="628" t="s">
        <v>1233</v>
      </c>
      <c r="I339" s="37" t="s">
        <v>2693</v>
      </c>
      <c r="J339" s="37"/>
      <c r="K339" s="19" t="s">
        <v>984</v>
      </c>
      <c r="L339" s="607" t="s">
        <v>653</v>
      </c>
      <c r="M339" s="156">
        <v>43084</v>
      </c>
      <c r="N339" s="156">
        <v>43093</v>
      </c>
      <c r="O339" s="59" t="s">
        <v>611</v>
      </c>
      <c r="P339" s="59"/>
      <c r="Q339" s="72" t="s">
        <v>100</v>
      </c>
      <c r="R339" s="610" t="s">
        <v>2469</v>
      </c>
      <c r="S339" s="315" t="s">
        <v>3337</v>
      </c>
      <c r="T339" s="858"/>
    </row>
    <row r="340" spans="1:20" ht="20.100000000000001" customHeight="1">
      <c r="A340" s="1257" t="s">
        <v>3377</v>
      </c>
      <c r="B340" s="1258" t="s">
        <v>3346</v>
      </c>
      <c r="C340" s="1258" t="s">
        <v>3345</v>
      </c>
      <c r="D340" s="1008">
        <f>D328+530+25</f>
        <v>2280</v>
      </c>
      <c r="E340" s="1008">
        <f>E328+530+50</f>
        <v>2530</v>
      </c>
      <c r="F340" s="1008">
        <f>F328+530+50</f>
        <v>2530</v>
      </c>
      <c r="G340" s="216" t="s">
        <v>5</v>
      </c>
      <c r="H340" s="168" t="s">
        <v>1233</v>
      </c>
      <c r="I340" s="51" t="s">
        <v>2693</v>
      </c>
      <c r="J340" s="50"/>
      <c r="K340" s="34" t="s">
        <v>722</v>
      </c>
      <c r="L340" s="607" t="s">
        <v>653</v>
      </c>
      <c r="M340" s="159">
        <v>43073</v>
      </c>
      <c r="N340" s="159">
        <v>43072</v>
      </c>
      <c r="O340" s="61" t="s">
        <v>1771</v>
      </c>
      <c r="P340" s="59"/>
      <c r="Q340" s="72" t="s">
        <v>3347</v>
      </c>
      <c r="R340" s="610" t="s">
        <v>2566</v>
      </c>
      <c r="S340" s="619"/>
      <c r="T340" s="858"/>
    </row>
    <row r="341" spans="1:20" ht="20.100000000000001" customHeight="1">
      <c r="A341" s="1257" t="s">
        <v>3377</v>
      </c>
      <c r="B341" s="1258" t="s">
        <v>3346</v>
      </c>
      <c r="C341" s="1258" t="s">
        <v>3345</v>
      </c>
      <c r="D341" s="1019">
        <f>D330+407</f>
        <v>2587</v>
      </c>
      <c r="E341" s="1019">
        <f>E330+407</f>
        <v>2807</v>
      </c>
      <c r="F341" s="1019">
        <f>F330+407</f>
        <v>2807</v>
      </c>
      <c r="G341" s="216" t="s">
        <v>19</v>
      </c>
      <c r="H341" s="628" t="s">
        <v>1233</v>
      </c>
      <c r="I341" s="37" t="s">
        <v>2693</v>
      </c>
      <c r="J341" s="37"/>
      <c r="K341" s="19" t="s">
        <v>984</v>
      </c>
      <c r="L341" s="607" t="s">
        <v>653</v>
      </c>
      <c r="M341" s="156">
        <v>43084</v>
      </c>
      <c r="N341" s="156">
        <v>43093</v>
      </c>
      <c r="O341" s="59" t="s">
        <v>611</v>
      </c>
      <c r="P341" s="59"/>
      <c r="Q341" s="72" t="s">
        <v>100</v>
      </c>
      <c r="R341" s="610" t="s">
        <v>2469</v>
      </c>
      <c r="S341" s="315" t="s">
        <v>3337</v>
      </c>
      <c r="T341" s="858"/>
    </row>
    <row r="342" spans="1:20" ht="20.100000000000001" customHeight="1">
      <c r="A342" s="1257" t="s">
        <v>2973</v>
      </c>
      <c r="B342" s="1258" t="s">
        <v>2690</v>
      </c>
      <c r="C342" s="1258" t="s">
        <v>2689</v>
      </c>
      <c r="D342" s="1056">
        <v>2500</v>
      </c>
      <c r="E342" s="1056">
        <v>3175</v>
      </c>
      <c r="F342" s="1056">
        <v>3175</v>
      </c>
      <c r="G342" s="630" t="s">
        <v>33</v>
      </c>
      <c r="H342" s="56" t="s">
        <v>729</v>
      </c>
      <c r="I342" s="50" t="s">
        <v>2656</v>
      </c>
      <c r="J342" s="50"/>
      <c r="K342" s="34" t="s">
        <v>829</v>
      </c>
      <c r="L342" s="607" t="s">
        <v>653</v>
      </c>
      <c r="M342" s="159">
        <v>43080</v>
      </c>
      <c r="N342" s="159">
        <v>43086</v>
      </c>
      <c r="O342" s="61"/>
      <c r="P342" s="61" t="s">
        <v>2692</v>
      </c>
      <c r="Q342" s="7"/>
      <c r="R342" s="606" t="s">
        <v>2756</v>
      </c>
      <c r="S342" s="622" t="s">
        <v>1176</v>
      </c>
      <c r="T342" s="858"/>
    </row>
    <row r="343" spans="1:20" ht="20.100000000000001" customHeight="1">
      <c r="A343" s="1257" t="s">
        <v>2973</v>
      </c>
      <c r="B343" s="1258" t="s">
        <v>2690</v>
      </c>
      <c r="C343" s="1258" t="s">
        <v>2689</v>
      </c>
      <c r="D343" s="1055">
        <v>3075</v>
      </c>
      <c r="E343" s="1055">
        <v>3550</v>
      </c>
      <c r="F343" s="1055">
        <v>3550</v>
      </c>
      <c r="G343" s="630" t="s">
        <v>18</v>
      </c>
      <c r="H343" s="56" t="s">
        <v>1102</v>
      </c>
      <c r="I343" s="50" t="s">
        <v>2548</v>
      </c>
      <c r="J343" s="50"/>
      <c r="K343" s="34" t="s">
        <v>975</v>
      </c>
      <c r="L343" s="607" t="s">
        <v>653</v>
      </c>
      <c r="M343" s="108">
        <v>43073</v>
      </c>
      <c r="N343" s="108">
        <v>43083</v>
      </c>
      <c r="O343" s="61"/>
      <c r="P343" s="61"/>
      <c r="Q343" s="7"/>
      <c r="R343" s="606" t="s">
        <v>2547</v>
      </c>
      <c r="S343" s="622"/>
      <c r="T343" s="858"/>
    </row>
    <row r="344" spans="1:20" ht="20.100000000000001" customHeight="1">
      <c r="A344" s="1257" t="s">
        <v>2973</v>
      </c>
      <c r="B344" s="1258" t="s">
        <v>2690</v>
      </c>
      <c r="C344" s="1258" t="s">
        <v>2689</v>
      </c>
      <c r="D344" s="1029">
        <f>E344*0.8</f>
        <v>2640</v>
      </c>
      <c r="E344" s="1029">
        <v>3300</v>
      </c>
      <c r="F344" s="1029">
        <f>E344</f>
        <v>3300</v>
      </c>
      <c r="G344" s="637" t="s">
        <v>12</v>
      </c>
      <c r="H344" s="56">
        <v>3</v>
      </c>
      <c r="I344" s="50" t="s">
        <v>2471</v>
      </c>
      <c r="J344" s="50"/>
      <c r="K344" s="34" t="s">
        <v>722</v>
      </c>
      <c r="L344" s="607" t="s">
        <v>653</v>
      </c>
      <c r="M344" s="15">
        <v>43076</v>
      </c>
      <c r="N344" s="15">
        <v>43083</v>
      </c>
      <c r="O344" s="59" t="s">
        <v>2621</v>
      </c>
      <c r="P344" s="61" t="s">
        <v>2691</v>
      </c>
      <c r="Q344" s="7"/>
      <c r="R344" s="610" t="s">
        <v>3398</v>
      </c>
      <c r="S344" s="322" t="s">
        <v>1176</v>
      </c>
      <c r="T344" s="858"/>
    </row>
    <row r="345" spans="1:20" ht="20.100000000000001" customHeight="1">
      <c r="A345" s="1257" t="s">
        <v>2973</v>
      </c>
      <c r="B345" s="1258" t="s">
        <v>2690</v>
      </c>
      <c r="C345" s="1259" t="s">
        <v>2689</v>
      </c>
      <c r="D345" s="1010" t="s">
        <v>5424</v>
      </c>
      <c r="E345" s="1010" t="s">
        <v>5422</v>
      </c>
      <c r="F345" s="1010" t="s">
        <v>5422</v>
      </c>
      <c r="G345" s="780" t="s">
        <v>76</v>
      </c>
      <c r="H345" s="168" t="s">
        <v>1233</v>
      </c>
      <c r="I345" s="5" t="s">
        <v>2471</v>
      </c>
      <c r="J345" s="5"/>
      <c r="K345" s="34">
        <v>45</v>
      </c>
      <c r="L345" s="607" t="s">
        <v>653</v>
      </c>
      <c r="M345" s="6">
        <v>43087</v>
      </c>
      <c r="N345" s="6">
        <v>43093</v>
      </c>
      <c r="O345" s="61" t="s">
        <v>3400</v>
      </c>
      <c r="P345" s="61"/>
      <c r="Q345" s="7"/>
      <c r="R345" s="610" t="s">
        <v>2470</v>
      </c>
      <c r="S345" s="315" t="s">
        <v>3341</v>
      </c>
      <c r="T345" s="858"/>
    </row>
    <row r="346" spans="1:20" ht="20.100000000000001" customHeight="1">
      <c r="A346" s="1257" t="s">
        <v>2973</v>
      </c>
      <c r="B346" s="1258" t="s">
        <v>2690</v>
      </c>
      <c r="C346" s="1258" t="s">
        <v>2689</v>
      </c>
      <c r="D346" s="1045">
        <v>2925</v>
      </c>
      <c r="E346" s="1045">
        <v>4150</v>
      </c>
      <c r="F346" s="1045">
        <v>4150</v>
      </c>
      <c r="G346" s="637" t="s">
        <v>5</v>
      </c>
      <c r="H346" s="168" t="s">
        <v>1233</v>
      </c>
      <c r="I346" s="51" t="s">
        <v>2471</v>
      </c>
      <c r="J346" s="50"/>
      <c r="K346" s="34" t="s">
        <v>986</v>
      </c>
      <c r="L346" s="607" t="s">
        <v>653</v>
      </c>
      <c r="M346" s="159">
        <v>43049</v>
      </c>
      <c r="N346" s="159">
        <v>43058</v>
      </c>
      <c r="O346" s="61" t="s">
        <v>1771</v>
      </c>
      <c r="P346" s="59"/>
      <c r="Q346" s="7"/>
      <c r="R346" s="610" t="s">
        <v>2566</v>
      </c>
      <c r="S346" s="619"/>
      <c r="T346" s="858"/>
    </row>
    <row r="347" spans="1:20" ht="20.100000000000001" customHeight="1">
      <c r="A347" s="1257" t="s">
        <v>2973</v>
      </c>
      <c r="B347" s="1258" t="s">
        <v>2690</v>
      </c>
      <c r="C347" s="1258" t="s">
        <v>2689</v>
      </c>
      <c r="D347" s="1008">
        <f>D232+1000+25</f>
        <v>2550</v>
      </c>
      <c r="E347" s="1008">
        <f>E232+1500+50</f>
        <v>3125</v>
      </c>
      <c r="F347" s="1008">
        <f>F232+1500+50</f>
        <v>3125</v>
      </c>
      <c r="G347" s="609" t="s">
        <v>1689</v>
      </c>
      <c r="H347" s="168" t="s">
        <v>1233</v>
      </c>
      <c r="I347" s="37" t="s">
        <v>2569</v>
      </c>
      <c r="J347" s="37"/>
      <c r="K347" s="5">
        <v>52</v>
      </c>
      <c r="L347" s="607" t="s">
        <v>653</v>
      </c>
      <c r="M347" s="156">
        <v>43076</v>
      </c>
      <c r="N347" s="156">
        <v>43083</v>
      </c>
      <c r="O347" s="61" t="s">
        <v>1771</v>
      </c>
      <c r="P347" s="61"/>
      <c r="Q347" s="52"/>
      <c r="R347" s="610" t="s">
        <v>2470</v>
      </c>
      <c r="S347" s="622"/>
      <c r="T347" s="858"/>
    </row>
    <row r="348" spans="1:20" ht="20.100000000000001" customHeight="1">
      <c r="A348" s="1257" t="s">
        <v>2973</v>
      </c>
      <c r="B348" s="1258" t="s">
        <v>2690</v>
      </c>
      <c r="C348" s="1258" t="s">
        <v>2689</v>
      </c>
      <c r="D348" s="1015">
        <f>D207+575</f>
        <v>2755</v>
      </c>
      <c r="E348" s="1015">
        <f>E207+900</f>
        <v>3300</v>
      </c>
      <c r="F348" s="1015">
        <f>F207+900</f>
        <v>3300</v>
      </c>
      <c r="G348" s="216" t="s">
        <v>19</v>
      </c>
      <c r="H348" s="168" t="s">
        <v>1233</v>
      </c>
      <c r="I348" s="50" t="s">
        <v>3362</v>
      </c>
      <c r="J348" s="50"/>
      <c r="K348" s="34" t="s">
        <v>731</v>
      </c>
      <c r="L348" s="607" t="s">
        <v>653</v>
      </c>
      <c r="M348" s="156">
        <v>43084</v>
      </c>
      <c r="N348" s="156">
        <v>43093</v>
      </c>
      <c r="O348" s="59" t="s">
        <v>611</v>
      </c>
      <c r="P348" s="59"/>
      <c r="Q348" s="7"/>
      <c r="R348" s="610" t="s">
        <v>2469</v>
      </c>
      <c r="S348" s="315" t="s">
        <v>3337</v>
      </c>
      <c r="T348" s="858"/>
    </row>
    <row r="349" spans="1:20" ht="20.100000000000001" customHeight="1">
      <c r="A349" s="927" t="s">
        <v>2975</v>
      </c>
      <c r="B349" s="928" t="s">
        <v>2688</v>
      </c>
      <c r="C349" s="928" t="s">
        <v>2687</v>
      </c>
      <c r="D349" s="1011"/>
      <c r="E349" s="1011"/>
      <c r="F349" s="1011"/>
      <c r="G349" s="629" t="s">
        <v>5</v>
      </c>
      <c r="H349" s="56" t="s">
        <v>2535</v>
      </c>
      <c r="I349" s="38" t="s">
        <v>2431</v>
      </c>
      <c r="J349" s="38"/>
      <c r="K349" s="5">
        <v>45</v>
      </c>
      <c r="L349" s="607" t="s">
        <v>653</v>
      </c>
      <c r="M349" s="607"/>
      <c r="N349" s="159">
        <v>42981</v>
      </c>
      <c r="O349" s="61" t="s">
        <v>1771</v>
      </c>
      <c r="P349" s="61"/>
      <c r="Q349" s="10" t="s">
        <v>1025</v>
      </c>
      <c r="R349" s="606" t="s">
        <v>2587</v>
      </c>
      <c r="S349" s="622"/>
      <c r="T349" s="858"/>
    </row>
    <row r="350" spans="1:20" ht="20.100000000000001" customHeight="1">
      <c r="A350" s="1257" t="s">
        <v>2973</v>
      </c>
      <c r="B350" s="1258" t="s">
        <v>2686</v>
      </c>
      <c r="C350" s="1259" t="s">
        <v>2685</v>
      </c>
      <c r="D350" s="1010" t="s">
        <v>4265</v>
      </c>
      <c r="E350" s="1010" t="s">
        <v>4264</v>
      </c>
      <c r="F350" s="1010" t="s">
        <v>4264</v>
      </c>
      <c r="G350" s="782" t="s">
        <v>76</v>
      </c>
      <c r="H350" s="168" t="s">
        <v>1233</v>
      </c>
      <c r="I350" s="5" t="s">
        <v>2613</v>
      </c>
      <c r="J350" s="5"/>
      <c r="K350" s="34">
        <v>45</v>
      </c>
      <c r="L350" s="607" t="s">
        <v>653</v>
      </c>
      <c r="M350" s="6">
        <v>43087</v>
      </c>
      <c r="N350" s="6">
        <v>43093</v>
      </c>
      <c r="O350" s="61" t="s">
        <v>3400</v>
      </c>
      <c r="P350" s="61"/>
      <c r="Q350" s="52"/>
      <c r="R350" s="610" t="s">
        <v>2470</v>
      </c>
      <c r="S350" s="315" t="s">
        <v>3341</v>
      </c>
      <c r="T350" s="858"/>
    </row>
    <row r="351" spans="1:20" ht="20.100000000000001" customHeight="1">
      <c r="A351" s="1257" t="s">
        <v>2973</v>
      </c>
      <c r="B351" s="1258" t="s">
        <v>2686</v>
      </c>
      <c r="C351" s="1258" t="s">
        <v>2685</v>
      </c>
      <c r="D351" s="1027"/>
      <c r="E351" s="1027"/>
      <c r="F351" s="1027"/>
      <c r="G351" s="637" t="s">
        <v>12</v>
      </c>
      <c r="H351" s="4">
        <v>3</v>
      </c>
      <c r="I351" s="50" t="s">
        <v>2471</v>
      </c>
      <c r="J351" s="50"/>
      <c r="K351" s="34" t="s">
        <v>835</v>
      </c>
      <c r="L351" s="607" t="s">
        <v>653</v>
      </c>
      <c r="M351" s="15">
        <v>43076</v>
      </c>
      <c r="N351" s="15">
        <v>43083</v>
      </c>
      <c r="O351" s="59" t="s">
        <v>2621</v>
      </c>
      <c r="P351" s="59"/>
      <c r="Q351" s="7"/>
      <c r="R351" s="610" t="s">
        <v>3398</v>
      </c>
      <c r="S351" s="322" t="s">
        <v>1176</v>
      </c>
      <c r="T351" s="858"/>
    </row>
    <row r="352" spans="1:20" ht="20.100000000000001" customHeight="1">
      <c r="A352" s="1257" t="s">
        <v>2973</v>
      </c>
      <c r="B352" s="1258" t="s">
        <v>2686</v>
      </c>
      <c r="C352" s="1258" t="s">
        <v>2685</v>
      </c>
      <c r="D352" s="1034">
        <v>2675</v>
      </c>
      <c r="E352" s="1034">
        <v>4250</v>
      </c>
      <c r="F352" s="1034">
        <v>4250</v>
      </c>
      <c r="G352" s="637" t="s">
        <v>5</v>
      </c>
      <c r="H352" s="168" t="s">
        <v>1233</v>
      </c>
      <c r="I352" s="51" t="s">
        <v>2471</v>
      </c>
      <c r="J352" s="51"/>
      <c r="K352" s="34" t="s">
        <v>1264</v>
      </c>
      <c r="L352" s="607" t="s">
        <v>653</v>
      </c>
      <c r="M352" s="607"/>
      <c r="N352" s="159">
        <v>42981</v>
      </c>
      <c r="O352" s="61" t="s">
        <v>1771</v>
      </c>
      <c r="P352" s="59"/>
      <c r="Q352" s="7"/>
      <c r="R352" s="610" t="s">
        <v>2566</v>
      </c>
      <c r="S352" s="619"/>
      <c r="T352" s="858"/>
    </row>
    <row r="353" spans="1:20" ht="20.100000000000001" customHeight="1">
      <c r="A353" s="1257" t="s">
        <v>2973</v>
      </c>
      <c r="B353" s="1258" t="s">
        <v>2686</v>
      </c>
      <c r="C353" s="1258" t="s">
        <v>2685</v>
      </c>
      <c r="D353" s="1019">
        <f>D265+1402</f>
        <v>3582</v>
      </c>
      <c r="E353" s="1019">
        <f>E265+2124</f>
        <v>4524</v>
      </c>
      <c r="F353" s="1019">
        <f>F265+2124</f>
        <v>4524</v>
      </c>
      <c r="G353" s="216" t="s">
        <v>19</v>
      </c>
      <c r="H353" s="168" t="s">
        <v>1233</v>
      </c>
      <c r="I353" s="50" t="s">
        <v>2613</v>
      </c>
      <c r="J353" s="50"/>
      <c r="K353" s="34" t="s">
        <v>1983</v>
      </c>
      <c r="L353" s="607" t="s">
        <v>653</v>
      </c>
      <c r="M353" s="156">
        <v>43084</v>
      </c>
      <c r="N353" s="156">
        <v>43093</v>
      </c>
      <c r="O353" s="59" t="s">
        <v>611</v>
      </c>
      <c r="P353" s="59"/>
      <c r="Q353" s="7"/>
      <c r="R353" s="610" t="s">
        <v>2469</v>
      </c>
      <c r="S353" s="315" t="s">
        <v>3337</v>
      </c>
      <c r="T353" s="858"/>
    </row>
    <row r="354" spans="1:20" ht="20.100000000000001" customHeight="1">
      <c r="A354" s="1257" t="s">
        <v>2973</v>
      </c>
      <c r="B354" s="1258" t="s">
        <v>2686</v>
      </c>
      <c r="C354" s="1258" t="s">
        <v>2685</v>
      </c>
      <c r="D354" s="1040">
        <v>3150</v>
      </c>
      <c r="E354" s="1040">
        <v>4150</v>
      </c>
      <c r="F354" s="1040">
        <v>4150</v>
      </c>
      <c r="G354" s="631" t="s">
        <v>31</v>
      </c>
      <c r="H354" s="56" t="s">
        <v>725</v>
      </c>
      <c r="I354" s="38" t="s">
        <v>2468</v>
      </c>
      <c r="J354" s="38"/>
      <c r="K354" s="16">
        <v>45</v>
      </c>
      <c r="L354" s="607" t="s">
        <v>653</v>
      </c>
      <c r="M354" s="623">
        <v>43080</v>
      </c>
      <c r="N354" s="623">
        <v>43083</v>
      </c>
      <c r="O354" s="61" t="s">
        <v>1307</v>
      </c>
      <c r="P354" s="61"/>
      <c r="Q354" s="52"/>
      <c r="R354" s="606" t="s">
        <v>2586</v>
      </c>
      <c r="S354" s="622" t="s">
        <v>1176</v>
      </c>
      <c r="T354" s="858"/>
    </row>
    <row r="355" spans="1:20" ht="20.100000000000001" customHeight="1">
      <c r="A355" s="1257" t="s">
        <v>2973</v>
      </c>
      <c r="B355" s="1258" t="s">
        <v>2684</v>
      </c>
      <c r="C355" s="1259" t="s">
        <v>2683</v>
      </c>
      <c r="D355" s="1010" t="s">
        <v>4263</v>
      </c>
      <c r="E355" s="1010" t="s">
        <v>4262</v>
      </c>
      <c r="F355" s="1010" t="s">
        <v>4262</v>
      </c>
      <c r="G355" s="780" t="s">
        <v>76</v>
      </c>
      <c r="H355" s="168" t="s">
        <v>1233</v>
      </c>
      <c r="I355" s="5" t="s">
        <v>2613</v>
      </c>
      <c r="J355" s="5"/>
      <c r="K355" s="34">
        <v>45</v>
      </c>
      <c r="L355" s="607" t="s">
        <v>653</v>
      </c>
      <c r="M355" s="6">
        <v>43087</v>
      </c>
      <c r="N355" s="6">
        <v>43093</v>
      </c>
      <c r="O355" s="61" t="s">
        <v>3400</v>
      </c>
      <c r="P355" s="61"/>
      <c r="Q355" s="52"/>
      <c r="R355" s="610" t="s">
        <v>2470</v>
      </c>
      <c r="S355" s="315" t="s">
        <v>3341</v>
      </c>
      <c r="T355" s="858"/>
    </row>
    <row r="356" spans="1:20" ht="20.100000000000001" customHeight="1">
      <c r="A356" s="1257" t="s">
        <v>2973</v>
      </c>
      <c r="B356" s="1258" t="s">
        <v>2684</v>
      </c>
      <c r="C356" s="1258" t="s">
        <v>2683</v>
      </c>
      <c r="D356" s="1030"/>
      <c r="E356" s="1030"/>
      <c r="F356" s="1030"/>
      <c r="G356" s="637" t="s">
        <v>5</v>
      </c>
      <c r="H356" s="56" t="s">
        <v>2535</v>
      </c>
      <c r="I356" s="38" t="s">
        <v>2431</v>
      </c>
      <c r="J356" s="38"/>
      <c r="K356" s="5"/>
      <c r="L356" s="607" t="s">
        <v>653</v>
      </c>
      <c r="M356" s="607"/>
      <c r="N356" s="159">
        <v>42981</v>
      </c>
      <c r="O356" s="61" t="s">
        <v>1771</v>
      </c>
      <c r="P356" s="61"/>
      <c r="Q356" s="72" t="s">
        <v>1024</v>
      </c>
      <c r="R356" s="606" t="s">
        <v>2587</v>
      </c>
      <c r="S356" s="622"/>
      <c r="T356" s="858"/>
    </row>
    <row r="357" spans="1:20" ht="20.100000000000001" customHeight="1">
      <c r="A357" s="1257" t="s">
        <v>2973</v>
      </c>
      <c r="B357" s="1258" t="s">
        <v>2684</v>
      </c>
      <c r="C357" s="1258" t="s">
        <v>2683</v>
      </c>
      <c r="D357" s="1018">
        <f>D265+1825</f>
        <v>4005</v>
      </c>
      <c r="E357" s="1018">
        <f>E265+2750</f>
        <v>5150</v>
      </c>
      <c r="F357" s="1018">
        <f>F265+2750</f>
        <v>5150</v>
      </c>
      <c r="G357" s="216" t="s">
        <v>19</v>
      </c>
      <c r="H357" s="168" t="s">
        <v>1233</v>
      </c>
      <c r="I357" s="50" t="s">
        <v>2613</v>
      </c>
      <c r="J357" s="50"/>
      <c r="K357" s="34">
        <v>47</v>
      </c>
      <c r="L357" s="607" t="s">
        <v>653</v>
      </c>
      <c r="M357" s="156">
        <v>43084</v>
      </c>
      <c r="N357" s="156">
        <v>43093</v>
      </c>
      <c r="O357" s="59" t="s">
        <v>611</v>
      </c>
      <c r="P357" s="59"/>
      <c r="Q357" s="7"/>
      <c r="R357" s="610" t="s">
        <v>2469</v>
      </c>
      <c r="S357" s="315" t="s">
        <v>3337</v>
      </c>
      <c r="T357" s="858"/>
    </row>
    <row r="358" spans="1:20" ht="20.100000000000001" customHeight="1">
      <c r="A358" s="1257" t="s">
        <v>2973</v>
      </c>
      <c r="B358" s="1258" t="s">
        <v>2681</v>
      </c>
      <c r="C358" s="1258" t="s">
        <v>2682</v>
      </c>
      <c r="D358" s="1055">
        <v>2700</v>
      </c>
      <c r="E358" s="1055">
        <v>3375</v>
      </c>
      <c r="F358" s="1055">
        <v>3375</v>
      </c>
      <c r="G358" s="658" t="s">
        <v>33</v>
      </c>
      <c r="H358" s="56" t="s">
        <v>729</v>
      </c>
      <c r="I358" s="50" t="s">
        <v>2656</v>
      </c>
      <c r="J358" s="50"/>
      <c r="K358" s="34" t="s">
        <v>687</v>
      </c>
      <c r="L358" s="607" t="s">
        <v>653</v>
      </c>
      <c r="M358" s="159">
        <v>43080</v>
      </c>
      <c r="N358" s="159">
        <v>43086</v>
      </c>
      <c r="O358" s="61"/>
      <c r="P358" s="61"/>
      <c r="Q358" s="7"/>
      <c r="R358" s="606" t="s">
        <v>2756</v>
      </c>
      <c r="S358" s="622" t="s">
        <v>1176</v>
      </c>
      <c r="T358" s="858"/>
    </row>
    <row r="359" spans="1:20" ht="20.100000000000001" customHeight="1">
      <c r="A359" s="1257" t="s">
        <v>2973</v>
      </c>
      <c r="B359" s="1258" t="s">
        <v>2681</v>
      </c>
      <c r="C359" s="1258" t="s">
        <v>2682</v>
      </c>
      <c r="D359" s="1029"/>
      <c r="E359" s="1029"/>
      <c r="F359" s="1029"/>
      <c r="G359" s="637" t="s">
        <v>12</v>
      </c>
      <c r="H359" s="56">
        <v>3</v>
      </c>
      <c r="I359" s="50" t="s">
        <v>2471</v>
      </c>
      <c r="J359" s="50"/>
      <c r="K359" s="34" t="s">
        <v>731</v>
      </c>
      <c r="L359" s="607" t="s">
        <v>653</v>
      </c>
      <c r="M359" s="15">
        <v>43076</v>
      </c>
      <c r="N359" s="15">
        <v>43083</v>
      </c>
      <c r="O359" s="59" t="s">
        <v>2621</v>
      </c>
      <c r="P359" s="59"/>
      <c r="Q359" s="7"/>
      <c r="R359" s="610" t="s">
        <v>3398</v>
      </c>
      <c r="S359" s="322" t="s">
        <v>1176</v>
      </c>
      <c r="T359" s="858"/>
    </row>
    <row r="360" spans="1:20" ht="20.100000000000001" customHeight="1">
      <c r="A360" s="1257" t="s">
        <v>2973</v>
      </c>
      <c r="B360" s="1258" t="s">
        <v>2681</v>
      </c>
      <c r="C360" s="1259" t="s">
        <v>2682</v>
      </c>
      <c r="D360" s="1052"/>
      <c r="E360" s="1052"/>
      <c r="F360" s="1052"/>
      <c r="G360" s="780" t="s">
        <v>76</v>
      </c>
      <c r="H360" s="56" t="s">
        <v>659</v>
      </c>
      <c r="I360" s="5" t="s">
        <v>2471</v>
      </c>
      <c r="J360" s="5"/>
      <c r="K360" s="34">
        <v>45</v>
      </c>
      <c r="L360" s="607" t="s">
        <v>653</v>
      </c>
      <c r="M360" s="6">
        <v>43087</v>
      </c>
      <c r="N360" s="6">
        <v>43093</v>
      </c>
      <c r="O360" s="61" t="s">
        <v>3400</v>
      </c>
      <c r="P360" s="61"/>
      <c r="Q360" s="7"/>
      <c r="R360" s="606" t="s">
        <v>3398</v>
      </c>
      <c r="S360" s="315" t="s">
        <v>3341</v>
      </c>
      <c r="T360" s="858"/>
    </row>
    <row r="361" spans="1:20" ht="20.100000000000001" customHeight="1">
      <c r="A361" s="1257" t="s">
        <v>2973</v>
      </c>
      <c r="B361" s="1258" t="s">
        <v>2681</v>
      </c>
      <c r="C361" s="1258" t="s">
        <v>2682</v>
      </c>
      <c r="D361" s="1046">
        <v>3475</v>
      </c>
      <c r="E361" s="1046">
        <v>5650</v>
      </c>
      <c r="F361" s="1046">
        <v>5650</v>
      </c>
      <c r="G361" s="637" t="s">
        <v>5</v>
      </c>
      <c r="H361" s="168" t="s">
        <v>1233</v>
      </c>
      <c r="I361" s="5" t="s">
        <v>2471</v>
      </c>
      <c r="J361" s="50"/>
      <c r="K361" s="34" t="s">
        <v>985</v>
      </c>
      <c r="L361" s="607" t="s">
        <v>653</v>
      </c>
      <c r="M361" s="607"/>
      <c r="N361" s="159">
        <v>42981</v>
      </c>
      <c r="O361" s="61" t="s">
        <v>1771</v>
      </c>
      <c r="P361" s="59"/>
      <c r="Q361" s="72" t="s">
        <v>1025</v>
      </c>
      <c r="R361" s="610" t="s">
        <v>2566</v>
      </c>
      <c r="S361" s="619"/>
      <c r="T361" s="858"/>
    </row>
    <row r="362" spans="1:20" ht="20.100000000000001" customHeight="1">
      <c r="A362" s="1257" t="s">
        <v>2973</v>
      </c>
      <c r="B362" s="1258" t="s">
        <v>2681</v>
      </c>
      <c r="C362" s="1258" t="s">
        <v>2682</v>
      </c>
      <c r="D362" s="1008">
        <f>D232+1000+25</f>
        <v>2550</v>
      </c>
      <c r="E362" s="1008">
        <f>E232+1500+50</f>
        <v>3125</v>
      </c>
      <c r="F362" s="1008">
        <f>F232+1500+50</f>
        <v>3125</v>
      </c>
      <c r="G362" s="609" t="s">
        <v>1689</v>
      </c>
      <c r="H362" s="168" t="s">
        <v>1233</v>
      </c>
      <c r="I362" s="37" t="s">
        <v>2569</v>
      </c>
      <c r="J362" s="37"/>
      <c r="K362" s="5">
        <v>52</v>
      </c>
      <c r="L362" s="607" t="s">
        <v>653</v>
      </c>
      <c r="M362" s="156">
        <v>43076</v>
      </c>
      <c r="N362" s="156">
        <v>43083</v>
      </c>
      <c r="O362" s="61" t="s">
        <v>1771</v>
      </c>
      <c r="P362" s="61"/>
      <c r="Q362" s="52"/>
      <c r="R362" s="610" t="s">
        <v>2470</v>
      </c>
      <c r="S362" s="622"/>
      <c r="T362" s="858"/>
    </row>
    <row r="363" spans="1:20" ht="20.100000000000001" customHeight="1">
      <c r="A363" s="1257" t="s">
        <v>2973</v>
      </c>
      <c r="B363" s="1258" t="s">
        <v>2681</v>
      </c>
      <c r="C363" s="1258" t="s">
        <v>2682</v>
      </c>
      <c r="D363" s="1019">
        <f>D207+575</f>
        <v>2755</v>
      </c>
      <c r="E363" s="1019">
        <f>E207+900</f>
        <v>3300</v>
      </c>
      <c r="F363" s="1019">
        <f>F207+900</f>
        <v>3300</v>
      </c>
      <c r="G363" s="216" t="s">
        <v>19</v>
      </c>
      <c r="H363" s="168" t="s">
        <v>1233</v>
      </c>
      <c r="I363" s="50" t="s">
        <v>2471</v>
      </c>
      <c r="J363" s="50"/>
      <c r="K363" s="34" t="s">
        <v>984</v>
      </c>
      <c r="L363" s="607" t="s">
        <v>653</v>
      </c>
      <c r="M363" s="156">
        <v>43084</v>
      </c>
      <c r="N363" s="156">
        <v>43093</v>
      </c>
      <c r="O363" s="59" t="s">
        <v>611</v>
      </c>
      <c r="P363" s="59"/>
      <c r="Q363" s="7"/>
      <c r="R363" s="610" t="s">
        <v>2469</v>
      </c>
      <c r="S363" s="315" t="s">
        <v>3337</v>
      </c>
      <c r="T363" s="858"/>
    </row>
    <row r="364" spans="1:20" ht="20.100000000000001" customHeight="1">
      <c r="A364" s="1257" t="s">
        <v>2973</v>
      </c>
      <c r="B364" s="1258" t="s">
        <v>2681</v>
      </c>
      <c r="C364" s="1258" t="s">
        <v>2680</v>
      </c>
      <c r="D364" s="1029">
        <f>E364*0.8</f>
        <v>2720</v>
      </c>
      <c r="E364" s="1029">
        <v>3400</v>
      </c>
      <c r="F364" s="1029">
        <f>E364</f>
        <v>3400</v>
      </c>
      <c r="G364" s="637" t="s">
        <v>12</v>
      </c>
      <c r="H364" s="4">
        <v>3</v>
      </c>
      <c r="I364" s="50" t="s">
        <v>2471</v>
      </c>
      <c r="J364" s="50"/>
      <c r="K364" s="34" t="s">
        <v>731</v>
      </c>
      <c r="L364" s="607" t="s">
        <v>653</v>
      </c>
      <c r="M364" s="15">
        <v>43076</v>
      </c>
      <c r="N364" s="15">
        <v>43083</v>
      </c>
      <c r="O364" s="59" t="s">
        <v>2621</v>
      </c>
      <c r="P364" s="59"/>
      <c r="Q364" s="7"/>
      <c r="R364" s="610" t="s">
        <v>3398</v>
      </c>
      <c r="S364" s="322" t="s">
        <v>1176</v>
      </c>
      <c r="T364" s="858"/>
    </row>
    <row r="365" spans="1:20" ht="20.100000000000001" customHeight="1">
      <c r="A365" s="1257" t="s">
        <v>2973</v>
      </c>
      <c r="B365" s="1258" t="s">
        <v>2681</v>
      </c>
      <c r="C365" s="1259" t="s">
        <v>2680</v>
      </c>
      <c r="D365" s="1052" t="s">
        <v>5423</v>
      </c>
      <c r="E365" s="1052" t="s">
        <v>5422</v>
      </c>
      <c r="F365" s="1052" t="s">
        <v>5422</v>
      </c>
      <c r="G365" s="780" t="s">
        <v>76</v>
      </c>
      <c r="H365" s="56" t="s">
        <v>659</v>
      </c>
      <c r="I365" s="5" t="s">
        <v>2471</v>
      </c>
      <c r="J365" s="5"/>
      <c r="K365" s="34">
        <v>45</v>
      </c>
      <c r="L365" s="607" t="s">
        <v>653</v>
      </c>
      <c r="M365" s="6">
        <v>43087</v>
      </c>
      <c r="N365" s="6">
        <v>43093</v>
      </c>
      <c r="O365" s="61" t="s">
        <v>3400</v>
      </c>
      <c r="P365" s="61"/>
      <c r="Q365" s="7"/>
      <c r="R365" s="606" t="s">
        <v>3398</v>
      </c>
      <c r="S365" s="315" t="s">
        <v>3341</v>
      </c>
      <c r="T365" s="858"/>
    </row>
    <row r="366" spans="1:20" ht="20.100000000000001" customHeight="1">
      <c r="A366" s="1257" t="s">
        <v>2973</v>
      </c>
      <c r="B366" s="1258" t="s">
        <v>2681</v>
      </c>
      <c r="C366" s="1258" t="s">
        <v>2680</v>
      </c>
      <c r="D366" s="1045">
        <v>3475</v>
      </c>
      <c r="E366" s="1045">
        <v>5650</v>
      </c>
      <c r="F366" s="1045">
        <v>5650</v>
      </c>
      <c r="G366" s="637" t="s">
        <v>5</v>
      </c>
      <c r="H366" s="168" t="s">
        <v>1233</v>
      </c>
      <c r="I366" s="5" t="s">
        <v>2471</v>
      </c>
      <c r="J366" s="50"/>
      <c r="K366" s="34" t="s">
        <v>985</v>
      </c>
      <c r="L366" s="607" t="s">
        <v>653</v>
      </c>
      <c r="M366" s="607"/>
      <c r="N366" s="159">
        <v>42981</v>
      </c>
      <c r="O366" s="61" t="s">
        <v>1771</v>
      </c>
      <c r="P366" s="59"/>
      <c r="Q366" s="7"/>
      <c r="R366" s="610" t="s">
        <v>2566</v>
      </c>
      <c r="S366" s="619"/>
      <c r="T366" s="858"/>
    </row>
    <row r="367" spans="1:20" ht="20.100000000000001" customHeight="1">
      <c r="A367" s="1257" t="s">
        <v>2973</v>
      </c>
      <c r="B367" s="1258" t="s">
        <v>2675</v>
      </c>
      <c r="C367" s="1258" t="s">
        <v>2674</v>
      </c>
      <c r="D367" s="1067">
        <v>2150</v>
      </c>
      <c r="E367" s="1067">
        <v>2500</v>
      </c>
      <c r="F367" s="1067">
        <v>2500</v>
      </c>
      <c r="G367" s="637" t="s">
        <v>22</v>
      </c>
      <c r="H367" s="56" t="s">
        <v>729</v>
      </c>
      <c r="I367" s="50" t="s">
        <v>3362</v>
      </c>
      <c r="J367" s="50"/>
      <c r="K367" s="34" t="s">
        <v>775</v>
      </c>
      <c r="L367" s="607" t="s">
        <v>653</v>
      </c>
      <c r="M367" s="108">
        <v>43087</v>
      </c>
      <c r="N367" s="108">
        <v>43094</v>
      </c>
      <c r="O367" s="61" t="s">
        <v>2444</v>
      </c>
      <c r="P367" s="61"/>
      <c r="Q367" s="7"/>
      <c r="R367" s="606" t="s">
        <v>1750</v>
      </c>
      <c r="S367" s="322" t="s">
        <v>1176</v>
      </c>
      <c r="T367" s="858"/>
    </row>
    <row r="368" spans="1:20" ht="20.100000000000001" customHeight="1">
      <c r="A368" s="1257" t="s">
        <v>2973</v>
      </c>
      <c r="B368" s="1258" t="s">
        <v>2675</v>
      </c>
      <c r="C368" s="1258" t="s">
        <v>2674</v>
      </c>
      <c r="D368" s="1055">
        <v>3075</v>
      </c>
      <c r="E368" s="1055">
        <v>3650</v>
      </c>
      <c r="F368" s="1055">
        <v>3650</v>
      </c>
      <c r="G368" s="630" t="s">
        <v>33</v>
      </c>
      <c r="H368" s="56" t="s">
        <v>729</v>
      </c>
      <c r="I368" s="50" t="s">
        <v>2656</v>
      </c>
      <c r="J368" s="50"/>
      <c r="K368" s="34" t="s">
        <v>775</v>
      </c>
      <c r="L368" s="607" t="s">
        <v>653</v>
      </c>
      <c r="M368" s="159">
        <v>43080</v>
      </c>
      <c r="N368" s="159">
        <v>43086</v>
      </c>
      <c r="O368" s="61" t="s">
        <v>1307</v>
      </c>
      <c r="P368" s="61"/>
      <c r="Q368" s="7"/>
      <c r="R368" s="606" t="s">
        <v>2756</v>
      </c>
      <c r="S368" s="622" t="s">
        <v>1176</v>
      </c>
      <c r="T368" s="858"/>
    </row>
    <row r="369" spans="1:20" ht="20.100000000000001" customHeight="1">
      <c r="A369" s="1257" t="s">
        <v>2973</v>
      </c>
      <c r="B369" s="1258" t="s">
        <v>2675</v>
      </c>
      <c r="C369" s="1258" t="s">
        <v>2674</v>
      </c>
      <c r="D369" s="1051"/>
      <c r="E369" s="1051"/>
      <c r="F369" s="1051"/>
      <c r="G369" s="630" t="s">
        <v>18</v>
      </c>
      <c r="H369" s="56" t="s">
        <v>1102</v>
      </c>
      <c r="I369" s="50" t="s">
        <v>2548</v>
      </c>
      <c r="J369" s="50"/>
      <c r="K369" s="34" t="s">
        <v>982</v>
      </c>
      <c r="L369" s="607" t="s">
        <v>653</v>
      </c>
      <c r="M369" s="108">
        <v>43073</v>
      </c>
      <c r="N369" s="108">
        <v>43083</v>
      </c>
      <c r="O369" s="153" t="s">
        <v>2552</v>
      </c>
      <c r="P369" s="61"/>
      <c r="Q369" s="7"/>
      <c r="R369" s="606" t="s">
        <v>2547</v>
      </c>
      <c r="S369" s="622"/>
      <c r="T369" s="858"/>
    </row>
    <row r="370" spans="1:20" ht="20.100000000000001" customHeight="1">
      <c r="A370" s="1257" t="s">
        <v>2973</v>
      </c>
      <c r="B370" s="1258" t="s">
        <v>2675</v>
      </c>
      <c r="C370" s="1258" t="s">
        <v>2674</v>
      </c>
      <c r="D370" s="1020">
        <f>E370*0.8</f>
        <v>1680</v>
      </c>
      <c r="E370" s="1020">
        <v>2100</v>
      </c>
      <c r="F370" s="1020">
        <f>E370</f>
        <v>2100</v>
      </c>
      <c r="G370" s="637" t="s">
        <v>12</v>
      </c>
      <c r="H370" s="56">
        <v>3</v>
      </c>
      <c r="I370" s="37" t="s">
        <v>2471</v>
      </c>
      <c r="J370" s="37"/>
      <c r="K370" s="16" t="s">
        <v>980</v>
      </c>
      <c r="L370" s="607" t="s">
        <v>653</v>
      </c>
      <c r="M370" s="15">
        <v>43076</v>
      </c>
      <c r="N370" s="15">
        <v>43083</v>
      </c>
      <c r="O370" s="59" t="s">
        <v>2679</v>
      </c>
      <c r="P370" s="59" t="s">
        <v>2643</v>
      </c>
      <c r="Q370" s="7"/>
      <c r="R370" s="606" t="s">
        <v>3398</v>
      </c>
      <c r="S370" s="322" t="s">
        <v>1176</v>
      </c>
      <c r="T370" s="858"/>
    </row>
    <row r="371" spans="1:20" ht="20.100000000000001" customHeight="1">
      <c r="A371" s="1257" t="s">
        <v>2973</v>
      </c>
      <c r="B371" s="1258" t="s">
        <v>2675</v>
      </c>
      <c r="C371" s="1258" t="s">
        <v>2674</v>
      </c>
      <c r="D371" s="1015">
        <v>2000</v>
      </c>
      <c r="E371" s="1015">
        <v>2300</v>
      </c>
      <c r="F371" s="1015">
        <v>2300</v>
      </c>
      <c r="G371" s="631" t="s">
        <v>31</v>
      </c>
      <c r="H371" s="56" t="s">
        <v>725</v>
      </c>
      <c r="I371" s="38" t="s">
        <v>2468</v>
      </c>
      <c r="J371" s="37"/>
      <c r="K371" s="5">
        <v>32</v>
      </c>
      <c r="L371" s="607" t="s">
        <v>653</v>
      </c>
      <c r="M371" s="623">
        <v>43080</v>
      </c>
      <c r="N371" s="623">
        <v>43083</v>
      </c>
      <c r="O371" s="61" t="s">
        <v>2678</v>
      </c>
      <c r="P371" s="61"/>
      <c r="Q371" s="52"/>
      <c r="R371" s="606" t="s">
        <v>2586</v>
      </c>
      <c r="S371" s="622" t="s">
        <v>1176</v>
      </c>
      <c r="T371" s="858"/>
    </row>
    <row r="372" spans="1:20" ht="20.100000000000001" customHeight="1">
      <c r="A372" s="1261" t="s">
        <v>2973</v>
      </c>
      <c r="B372" s="1266" t="s">
        <v>2675</v>
      </c>
      <c r="C372" s="1266" t="s">
        <v>2674</v>
      </c>
      <c r="D372" s="1008">
        <v>2200</v>
      </c>
      <c r="E372" s="1008">
        <v>2650</v>
      </c>
      <c r="F372" s="1008">
        <v>2650</v>
      </c>
      <c r="G372" s="637" t="s">
        <v>51</v>
      </c>
      <c r="H372" s="168" t="s">
        <v>1233</v>
      </c>
      <c r="I372" s="50" t="s">
        <v>2613</v>
      </c>
      <c r="J372" s="50"/>
      <c r="K372" s="34" t="s">
        <v>722</v>
      </c>
      <c r="L372" s="607" t="s">
        <v>653</v>
      </c>
      <c r="M372" s="611">
        <v>43086</v>
      </c>
      <c r="N372" s="611">
        <v>43100</v>
      </c>
      <c r="O372" s="61" t="s">
        <v>2677</v>
      </c>
      <c r="P372" s="59" t="s">
        <v>2676</v>
      </c>
      <c r="Q372" s="52"/>
      <c r="R372" s="610" t="s">
        <v>2472</v>
      </c>
      <c r="S372" s="315" t="s">
        <v>2944</v>
      </c>
      <c r="T372" s="859"/>
    </row>
    <row r="373" spans="1:20" ht="20.100000000000001" customHeight="1">
      <c r="A373" s="1257" t="s">
        <v>2973</v>
      </c>
      <c r="B373" s="1258" t="s">
        <v>2675</v>
      </c>
      <c r="C373" s="1258" t="s">
        <v>2674</v>
      </c>
      <c r="D373" s="1022">
        <v>2525</v>
      </c>
      <c r="E373" s="1022">
        <v>3000</v>
      </c>
      <c r="F373" s="1022">
        <v>3000</v>
      </c>
      <c r="G373" s="637" t="s">
        <v>5</v>
      </c>
      <c r="H373" s="168" t="s">
        <v>1233</v>
      </c>
      <c r="I373" s="51" t="s">
        <v>2471</v>
      </c>
      <c r="J373" s="51"/>
      <c r="K373" s="34">
        <v>41</v>
      </c>
      <c r="L373" s="607" t="s">
        <v>653</v>
      </c>
      <c r="M373" s="159">
        <v>43049</v>
      </c>
      <c r="N373" s="159">
        <v>43058</v>
      </c>
      <c r="O373" s="61" t="s">
        <v>2445</v>
      </c>
      <c r="P373" s="59"/>
      <c r="Q373" s="7"/>
      <c r="R373" s="610" t="s">
        <v>2566</v>
      </c>
      <c r="S373" s="619"/>
      <c r="T373" s="858"/>
    </row>
    <row r="374" spans="1:20" ht="20.100000000000001" customHeight="1">
      <c r="A374" s="1257" t="s">
        <v>2973</v>
      </c>
      <c r="B374" s="1258" t="s">
        <v>2675</v>
      </c>
      <c r="C374" s="1258" t="s">
        <v>2674</v>
      </c>
      <c r="D374" s="1020">
        <f>D232+200+25</f>
        <v>1750</v>
      </c>
      <c r="E374" s="1020">
        <f>E232+200+50</f>
        <v>1825</v>
      </c>
      <c r="F374" s="1020">
        <f>F232+200+50</f>
        <v>1825</v>
      </c>
      <c r="G374" s="609" t="s">
        <v>1689</v>
      </c>
      <c r="H374" s="168" t="s">
        <v>1233</v>
      </c>
      <c r="I374" s="37" t="s">
        <v>2569</v>
      </c>
      <c r="J374" s="37"/>
      <c r="K374" s="5" t="s">
        <v>775</v>
      </c>
      <c r="L374" s="607" t="s">
        <v>653</v>
      </c>
      <c r="M374" s="156">
        <v>43076</v>
      </c>
      <c r="N374" s="156">
        <v>43083</v>
      </c>
      <c r="O374" s="153" t="s">
        <v>2529</v>
      </c>
      <c r="P374" s="61"/>
      <c r="Q374" s="52"/>
      <c r="R374" s="610" t="s">
        <v>2470</v>
      </c>
      <c r="S374" s="622"/>
      <c r="T374" s="858"/>
    </row>
    <row r="375" spans="1:20" ht="20.100000000000001" customHeight="1">
      <c r="A375" s="1257" t="s">
        <v>2973</v>
      </c>
      <c r="B375" s="1258" t="s">
        <v>2675</v>
      </c>
      <c r="C375" s="1258" t="s">
        <v>2674</v>
      </c>
      <c r="D375" s="1018">
        <v>2180</v>
      </c>
      <c r="E375" s="1018">
        <v>2400</v>
      </c>
      <c r="F375" s="1018">
        <v>2400</v>
      </c>
      <c r="G375" s="637" t="s">
        <v>19</v>
      </c>
      <c r="H375" s="168" t="s">
        <v>1233</v>
      </c>
      <c r="I375" s="50" t="s">
        <v>2569</v>
      </c>
      <c r="J375" s="50"/>
      <c r="K375" s="34" t="s">
        <v>2396</v>
      </c>
      <c r="L375" s="607" t="s">
        <v>653</v>
      </c>
      <c r="M375" s="156">
        <v>43084</v>
      </c>
      <c r="N375" s="156">
        <v>43093</v>
      </c>
      <c r="O375" s="153" t="s">
        <v>2131</v>
      </c>
      <c r="P375" s="59"/>
      <c r="Q375" s="7"/>
      <c r="R375" s="610" t="s">
        <v>2469</v>
      </c>
      <c r="S375" s="315" t="s">
        <v>3337</v>
      </c>
      <c r="T375" s="858"/>
    </row>
    <row r="376" spans="1:20" ht="20.100000000000001" customHeight="1">
      <c r="A376" s="1258" t="s">
        <v>2973</v>
      </c>
      <c r="B376" s="1258" t="s">
        <v>2115</v>
      </c>
      <c r="C376" s="1258" t="s">
        <v>2673</v>
      </c>
      <c r="D376" s="1051">
        <v>1700</v>
      </c>
      <c r="E376" s="1051">
        <v>1825</v>
      </c>
      <c r="F376" s="1051">
        <v>1825</v>
      </c>
      <c r="G376" s="630" t="s">
        <v>33</v>
      </c>
      <c r="H376" s="56" t="s">
        <v>729</v>
      </c>
      <c r="I376" s="50" t="s">
        <v>2656</v>
      </c>
      <c r="J376" s="50"/>
      <c r="K376" s="34" t="s">
        <v>980</v>
      </c>
      <c r="L376" s="607" t="s">
        <v>653</v>
      </c>
      <c r="M376" s="159">
        <v>43080</v>
      </c>
      <c r="N376" s="159">
        <v>43086</v>
      </c>
      <c r="O376" s="61" t="s">
        <v>899</v>
      </c>
      <c r="P376" s="61"/>
      <c r="Q376" s="7"/>
      <c r="R376" s="606" t="s">
        <v>2756</v>
      </c>
      <c r="S376" s="622" t="s">
        <v>1176</v>
      </c>
      <c r="T376" s="858"/>
    </row>
    <row r="377" spans="1:20" ht="20.100000000000001" customHeight="1">
      <c r="A377" s="1258" t="s">
        <v>2973</v>
      </c>
      <c r="B377" s="1258" t="s">
        <v>2115</v>
      </c>
      <c r="C377" s="1258" t="s">
        <v>2673</v>
      </c>
      <c r="D377" s="1054"/>
      <c r="E377" s="1054"/>
      <c r="F377" s="1054"/>
      <c r="G377" s="630" t="s">
        <v>18</v>
      </c>
      <c r="H377" s="56" t="s">
        <v>1102</v>
      </c>
      <c r="I377" s="50" t="s">
        <v>2548</v>
      </c>
      <c r="J377" s="50"/>
      <c r="K377" s="34" t="s">
        <v>982</v>
      </c>
      <c r="L377" s="607" t="s">
        <v>653</v>
      </c>
      <c r="M377" s="108">
        <v>43073</v>
      </c>
      <c r="N377" s="108">
        <v>43083</v>
      </c>
      <c r="O377" s="153" t="s">
        <v>2552</v>
      </c>
      <c r="P377" s="61"/>
      <c r="Q377" s="7"/>
      <c r="R377" s="606" t="s">
        <v>2547</v>
      </c>
      <c r="S377" s="622"/>
      <c r="T377" s="858"/>
    </row>
    <row r="378" spans="1:20" ht="20.100000000000001" customHeight="1">
      <c r="A378" s="1258" t="s">
        <v>2973</v>
      </c>
      <c r="B378" s="1258" t="s">
        <v>2115</v>
      </c>
      <c r="C378" s="1259" t="s">
        <v>2673</v>
      </c>
      <c r="D378" s="1052" t="s">
        <v>4261</v>
      </c>
      <c r="E378" s="1052" t="s">
        <v>4260</v>
      </c>
      <c r="F378" s="1052" t="s">
        <v>4260</v>
      </c>
      <c r="G378" s="780" t="s">
        <v>76</v>
      </c>
      <c r="H378" s="56" t="s">
        <v>659</v>
      </c>
      <c r="I378" s="5" t="s">
        <v>2471</v>
      </c>
      <c r="J378" s="5"/>
      <c r="K378" s="34">
        <v>45</v>
      </c>
      <c r="L378" s="607" t="s">
        <v>653</v>
      </c>
      <c r="M378" s="6">
        <v>43087</v>
      </c>
      <c r="N378" s="6">
        <v>43093</v>
      </c>
      <c r="O378" s="61" t="s">
        <v>3400</v>
      </c>
      <c r="P378" s="61"/>
      <c r="Q378" s="7"/>
      <c r="R378" s="606" t="s">
        <v>3398</v>
      </c>
      <c r="S378" s="315" t="s">
        <v>3341</v>
      </c>
      <c r="T378" s="858"/>
    </row>
    <row r="379" spans="1:20" ht="20.100000000000001" customHeight="1">
      <c r="A379" s="1258" t="s">
        <v>2973</v>
      </c>
      <c r="B379" s="1258" t="s">
        <v>2115</v>
      </c>
      <c r="C379" s="1258" t="s">
        <v>2673</v>
      </c>
      <c r="D379" s="1027">
        <f>E379*0.8</f>
        <v>3280</v>
      </c>
      <c r="E379" s="1027">
        <v>4100</v>
      </c>
      <c r="F379" s="1027">
        <f>E379</f>
        <v>4100</v>
      </c>
      <c r="G379" s="637" t="s">
        <v>12</v>
      </c>
      <c r="H379" s="4">
        <v>3</v>
      </c>
      <c r="I379" s="50" t="s">
        <v>2471</v>
      </c>
      <c r="J379" s="50"/>
      <c r="K379" s="34" t="s">
        <v>980</v>
      </c>
      <c r="L379" s="607" t="s">
        <v>653</v>
      </c>
      <c r="M379" s="15">
        <v>43076</v>
      </c>
      <c r="N379" s="15">
        <v>43083</v>
      </c>
      <c r="O379" s="59" t="s">
        <v>2545</v>
      </c>
      <c r="P379" s="59" t="s">
        <v>2643</v>
      </c>
      <c r="Q379" s="7"/>
      <c r="R379" s="610" t="s">
        <v>3398</v>
      </c>
      <c r="S379" s="322" t="s">
        <v>1176</v>
      </c>
      <c r="T379" s="858"/>
    </row>
    <row r="380" spans="1:20" ht="20.100000000000001" customHeight="1">
      <c r="A380" s="1258" t="s">
        <v>2973</v>
      </c>
      <c r="B380" s="1258" t="s">
        <v>2115</v>
      </c>
      <c r="C380" s="1258" t="s">
        <v>2673</v>
      </c>
      <c r="D380" s="1018">
        <v>2180</v>
      </c>
      <c r="E380" s="1018">
        <v>2400</v>
      </c>
      <c r="F380" s="1018">
        <v>2400</v>
      </c>
      <c r="G380" s="637" t="s">
        <v>19</v>
      </c>
      <c r="H380" s="651" t="s">
        <v>1233</v>
      </c>
      <c r="I380" s="50" t="s">
        <v>2569</v>
      </c>
      <c r="J380" s="50"/>
      <c r="K380" s="19" t="s">
        <v>2395</v>
      </c>
      <c r="L380" s="607" t="s">
        <v>653</v>
      </c>
      <c r="M380" s="156">
        <v>43084</v>
      </c>
      <c r="N380" s="156">
        <v>43093</v>
      </c>
      <c r="O380" s="59" t="s">
        <v>611</v>
      </c>
      <c r="P380" s="59"/>
      <c r="Q380" s="7"/>
      <c r="R380" s="610" t="s">
        <v>2469</v>
      </c>
      <c r="S380" s="315" t="s">
        <v>3337</v>
      </c>
      <c r="T380" s="858"/>
    </row>
    <row r="381" spans="1:20" ht="20.100000000000001" customHeight="1">
      <c r="A381" s="1258" t="s">
        <v>2973</v>
      </c>
      <c r="B381" s="1258" t="s">
        <v>2115</v>
      </c>
      <c r="C381" s="1258" t="s">
        <v>2673</v>
      </c>
      <c r="D381" s="1048">
        <f>D232+100+25</f>
        <v>1650</v>
      </c>
      <c r="E381" s="1048">
        <f>E232+200+50</f>
        <v>1825</v>
      </c>
      <c r="F381" s="1048">
        <f>F232+200+50</f>
        <v>1825</v>
      </c>
      <c r="G381" s="609" t="s">
        <v>1689</v>
      </c>
      <c r="H381" s="168" t="s">
        <v>1233</v>
      </c>
      <c r="I381" s="37" t="s">
        <v>2569</v>
      </c>
      <c r="J381" s="37"/>
      <c r="K381" s="5"/>
      <c r="L381" s="607" t="s">
        <v>653</v>
      </c>
      <c r="M381" s="156">
        <v>43076</v>
      </c>
      <c r="N381" s="156">
        <v>43083</v>
      </c>
      <c r="O381" s="61" t="s">
        <v>1771</v>
      </c>
      <c r="P381" s="61"/>
      <c r="Q381" s="52"/>
      <c r="R381" s="610" t="s">
        <v>2470</v>
      </c>
      <c r="S381" s="316" t="s">
        <v>2943</v>
      </c>
      <c r="T381" s="858"/>
    </row>
    <row r="382" spans="1:20" ht="20.100000000000001" customHeight="1">
      <c r="A382" s="1258" t="s">
        <v>2973</v>
      </c>
      <c r="B382" s="1258" t="s">
        <v>2115</v>
      </c>
      <c r="C382" s="1258" t="s">
        <v>2673</v>
      </c>
      <c r="D382" s="1022">
        <v>1725</v>
      </c>
      <c r="E382" s="1022">
        <v>1950</v>
      </c>
      <c r="F382" s="1022">
        <v>1950</v>
      </c>
      <c r="G382" s="637" t="s">
        <v>5</v>
      </c>
      <c r="H382" s="168" t="s">
        <v>1233</v>
      </c>
      <c r="I382" s="51" t="s">
        <v>2471</v>
      </c>
      <c r="J382" s="50"/>
      <c r="K382" s="34" t="s">
        <v>1242</v>
      </c>
      <c r="L382" s="607" t="s">
        <v>653</v>
      </c>
      <c r="M382" s="159">
        <v>43073</v>
      </c>
      <c r="N382" s="159">
        <v>43083</v>
      </c>
      <c r="O382" s="61" t="s">
        <v>1771</v>
      </c>
      <c r="P382" s="59"/>
      <c r="Q382" s="7"/>
      <c r="R382" s="610" t="s">
        <v>2566</v>
      </c>
      <c r="S382" s="619"/>
      <c r="T382" s="858"/>
    </row>
    <row r="383" spans="1:20" ht="20.100000000000001" customHeight="1">
      <c r="A383" s="1258" t="s">
        <v>2973</v>
      </c>
      <c r="B383" s="1258" t="s">
        <v>2115</v>
      </c>
      <c r="C383" s="1258" t="s">
        <v>2673</v>
      </c>
      <c r="D383" s="1050">
        <v>2150</v>
      </c>
      <c r="E383" s="1050">
        <v>2450</v>
      </c>
      <c r="F383" s="1050">
        <v>2450</v>
      </c>
      <c r="G383" s="637" t="s">
        <v>51</v>
      </c>
      <c r="H383" s="168" t="s">
        <v>1233</v>
      </c>
      <c r="I383" s="50" t="s">
        <v>3362</v>
      </c>
      <c r="J383" s="51"/>
      <c r="K383" s="34" t="s">
        <v>829</v>
      </c>
      <c r="L383" s="607" t="s">
        <v>653</v>
      </c>
      <c r="M383" s="611">
        <v>43086</v>
      </c>
      <c r="N383" s="611">
        <v>43100</v>
      </c>
      <c r="O383" s="61"/>
      <c r="P383" s="61"/>
      <c r="Q383" s="52"/>
      <c r="R383" s="610" t="s">
        <v>2472</v>
      </c>
      <c r="S383" s="315" t="s">
        <v>3341</v>
      </c>
      <c r="T383" s="858"/>
    </row>
    <row r="384" spans="1:20" ht="20.100000000000001" customHeight="1">
      <c r="A384" s="1251" t="s">
        <v>3377</v>
      </c>
      <c r="B384" s="1251" t="s">
        <v>2115</v>
      </c>
      <c r="C384" s="1251" t="s">
        <v>2672</v>
      </c>
      <c r="D384" s="1040">
        <v>1800</v>
      </c>
      <c r="E384" s="1040">
        <v>2050</v>
      </c>
      <c r="F384" s="1040">
        <v>2050</v>
      </c>
      <c r="G384" s="631" t="s">
        <v>31</v>
      </c>
      <c r="H384" s="56" t="s">
        <v>725</v>
      </c>
      <c r="I384" s="38" t="s">
        <v>2468</v>
      </c>
      <c r="J384" s="38"/>
      <c r="K384" s="5" t="s">
        <v>683</v>
      </c>
      <c r="L384" s="607" t="s">
        <v>653</v>
      </c>
      <c r="M384" s="623">
        <v>43073</v>
      </c>
      <c r="N384" s="623">
        <v>43083</v>
      </c>
      <c r="O384" s="61"/>
      <c r="P384" s="61"/>
      <c r="Q384" s="52"/>
      <c r="R384" s="606" t="s">
        <v>2586</v>
      </c>
      <c r="S384" s="622" t="s">
        <v>1176</v>
      </c>
      <c r="T384" s="858"/>
    </row>
    <row r="385" spans="1:20" ht="20.100000000000001" customHeight="1">
      <c r="A385" s="1252" t="s">
        <v>3377</v>
      </c>
      <c r="B385" s="1252" t="s">
        <v>2115</v>
      </c>
      <c r="C385" s="1252" t="s">
        <v>2672</v>
      </c>
      <c r="D385" s="1020">
        <f>D382+450+25</f>
        <v>2200</v>
      </c>
      <c r="E385" s="1020">
        <f>E382+450+50</f>
        <v>2450</v>
      </c>
      <c r="F385" s="1020">
        <f>F382+450+50</f>
        <v>2450</v>
      </c>
      <c r="G385" s="216" t="s">
        <v>5</v>
      </c>
      <c r="H385" s="168" t="s">
        <v>1233</v>
      </c>
      <c r="I385" s="37" t="s">
        <v>2668</v>
      </c>
      <c r="J385" s="37"/>
      <c r="K385" s="19" t="s">
        <v>687</v>
      </c>
      <c r="L385" s="607" t="s">
        <v>653</v>
      </c>
      <c r="M385" s="159">
        <v>43073</v>
      </c>
      <c r="N385" s="159">
        <v>43083</v>
      </c>
      <c r="O385" s="61" t="s">
        <v>1771</v>
      </c>
      <c r="P385" s="59"/>
      <c r="Q385" s="72" t="s">
        <v>3344</v>
      </c>
      <c r="R385" s="610" t="s">
        <v>2566</v>
      </c>
      <c r="S385" s="619"/>
      <c r="T385" s="858"/>
    </row>
    <row r="386" spans="1:20" ht="20.100000000000001" customHeight="1">
      <c r="A386" s="1252" t="s">
        <v>3377</v>
      </c>
      <c r="B386" s="1252" t="s">
        <v>2115</v>
      </c>
      <c r="C386" s="1252" t="s">
        <v>2672</v>
      </c>
      <c r="D386" s="1006">
        <f>D380+333</f>
        <v>2513</v>
      </c>
      <c r="E386" s="1006">
        <f>E380+333</f>
        <v>2733</v>
      </c>
      <c r="F386" s="1006">
        <f>F380+333</f>
        <v>2733</v>
      </c>
      <c r="G386" s="216" t="s">
        <v>19</v>
      </c>
      <c r="H386" s="651" t="s">
        <v>1233</v>
      </c>
      <c r="I386" s="37" t="s">
        <v>2668</v>
      </c>
      <c r="J386" s="37"/>
      <c r="K386" s="19" t="s">
        <v>985</v>
      </c>
      <c r="L386" s="607" t="s">
        <v>653</v>
      </c>
      <c r="M386" s="156">
        <v>43084</v>
      </c>
      <c r="N386" s="156">
        <v>43093</v>
      </c>
      <c r="O386" s="59" t="s">
        <v>611</v>
      </c>
      <c r="P386" s="59"/>
      <c r="Q386" s="72" t="s">
        <v>100</v>
      </c>
      <c r="R386" s="610" t="s">
        <v>2469</v>
      </c>
      <c r="S386" s="315" t="s">
        <v>3337</v>
      </c>
      <c r="T386" s="858"/>
    </row>
    <row r="387" spans="1:20" ht="20.100000000000001" customHeight="1">
      <c r="A387" s="1253" t="s">
        <v>3377</v>
      </c>
      <c r="B387" s="1253" t="s">
        <v>2115</v>
      </c>
      <c r="C387" s="1253" t="s">
        <v>2672</v>
      </c>
      <c r="D387" s="1007">
        <f>D232+100+25</f>
        <v>1650</v>
      </c>
      <c r="E387" s="1007">
        <f>E232+200+50</f>
        <v>1825</v>
      </c>
      <c r="F387" s="1007">
        <f>F232+200+50</f>
        <v>1825</v>
      </c>
      <c r="G387" s="609" t="s">
        <v>1689</v>
      </c>
      <c r="H387" s="168" t="s">
        <v>1233</v>
      </c>
      <c r="I387" s="37" t="s">
        <v>2569</v>
      </c>
      <c r="J387" s="37"/>
      <c r="K387" s="5"/>
      <c r="L387" s="607" t="s">
        <v>653</v>
      </c>
      <c r="M387" s="156">
        <v>43076</v>
      </c>
      <c r="N387" s="156">
        <v>43083</v>
      </c>
      <c r="O387" s="61" t="s">
        <v>1771</v>
      </c>
      <c r="P387" s="61"/>
      <c r="Q387" s="52"/>
      <c r="R387" s="610" t="s">
        <v>2470</v>
      </c>
      <c r="S387" s="316" t="s">
        <v>2943</v>
      </c>
      <c r="T387" s="858"/>
    </row>
    <row r="388" spans="1:20" ht="20.100000000000001" customHeight="1">
      <c r="A388" s="1257" t="s">
        <v>3377</v>
      </c>
      <c r="B388" s="1258" t="s">
        <v>2115</v>
      </c>
      <c r="C388" s="1258" t="s">
        <v>2553</v>
      </c>
      <c r="D388" s="1007">
        <f>D382+600+25</f>
        <v>2350</v>
      </c>
      <c r="E388" s="1007">
        <f>E382+600+50</f>
        <v>2600</v>
      </c>
      <c r="F388" s="1007">
        <f>F382+600+50</f>
        <v>2600</v>
      </c>
      <c r="G388" s="216" t="s">
        <v>5</v>
      </c>
      <c r="H388" s="168" t="s">
        <v>1233</v>
      </c>
      <c r="I388" s="37" t="s">
        <v>2668</v>
      </c>
      <c r="J388" s="37"/>
      <c r="K388" s="19" t="s">
        <v>687</v>
      </c>
      <c r="L388" s="607" t="s">
        <v>653</v>
      </c>
      <c r="M388" s="159">
        <v>43073</v>
      </c>
      <c r="N388" s="159">
        <v>43083</v>
      </c>
      <c r="O388" s="61" t="s">
        <v>1771</v>
      </c>
      <c r="P388" s="59"/>
      <c r="Q388" s="72" t="s">
        <v>3344</v>
      </c>
      <c r="R388" s="610" t="s">
        <v>2566</v>
      </c>
      <c r="S388" s="619"/>
      <c r="T388" s="858"/>
    </row>
    <row r="389" spans="1:20" ht="20.100000000000001" customHeight="1">
      <c r="A389" s="1257" t="s">
        <v>3377</v>
      </c>
      <c r="B389" s="1258" t="s">
        <v>2115</v>
      </c>
      <c r="C389" s="1258" t="s">
        <v>2553</v>
      </c>
      <c r="D389" s="1015">
        <f>D380+593</f>
        <v>2773</v>
      </c>
      <c r="E389" s="1015">
        <f>E380+593</f>
        <v>2993</v>
      </c>
      <c r="F389" s="1015">
        <f>F380+593</f>
        <v>2993</v>
      </c>
      <c r="G389" s="216" t="s">
        <v>19</v>
      </c>
      <c r="H389" s="651" t="s">
        <v>1233</v>
      </c>
      <c r="I389" s="37" t="s">
        <v>2668</v>
      </c>
      <c r="J389" s="37"/>
      <c r="K389" s="19" t="s">
        <v>985</v>
      </c>
      <c r="L389" s="607" t="s">
        <v>653</v>
      </c>
      <c r="M389" s="156">
        <v>43084</v>
      </c>
      <c r="N389" s="156">
        <v>43093</v>
      </c>
      <c r="O389" s="59" t="s">
        <v>611</v>
      </c>
      <c r="P389" s="59"/>
      <c r="Q389" s="72" t="s">
        <v>100</v>
      </c>
      <c r="R389" s="610" t="s">
        <v>2469</v>
      </c>
      <c r="S389" s="315" t="s">
        <v>3337</v>
      </c>
      <c r="T389" s="858"/>
    </row>
    <row r="390" spans="1:20" ht="20.100000000000001" customHeight="1">
      <c r="A390" s="1257" t="s">
        <v>3377</v>
      </c>
      <c r="B390" s="1258" t="s">
        <v>2115</v>
      </c>
      <c r="C390" s="1258" t="s">
        <v>3351</v>
      </c>
      <c r="D390" s="1015">
        <f>D382+700+25</f>
        <v>2450</v>
      </c>
      <c r="E390" s="1015">
        <f>E382+700+50</f>
        <v>2700</v>
      </c>
      <c r="F390" s="1015">
        <f>F382+700+50</f>
        <v>2700</v>
      </c>
      <c r="G390" s="216" t="s">
        <v>5</v>
      </c>
      <c r="H390" s="168" t="s">
        <v>1233</v>
      </c>
      <c r="I390" s="37" t="s">
        <v>2668</v>
      </c>
      <c r="J390" s="37"/>
      <c r="K390" s="19" t="s">
        <v>687</v>
      </c>
      <c r="L390" s="607" t="s">
        <v>653</v>
      </c>
      <c r="M390" s="159">
        <v>43073</v>
      </c>
      <c r="N390" s="159">
        <v>43083</v>
      </c>
      <c r="O390" s="61" t="s">
        <v>1771</v>
      </c>
      <c r="P390" s="59"/>
      <c r="Q390" s="72" t="s">
        <v>3344</v>
      </c>
      <c r="R390" s="610" t="s">
        <v>2566</v>
      </c>
      <c r="S390" s="619"/>
      <c r="T390" s="858"/>
    </row>
    <row r="391" spans="1:20" ht="20.100000000000001" customHeight="1">
      <c r="A391" s="1257" t="s">
        <v>3377</v>
      </c>
      <c r="B391" s="1258" t="s">
        <v>2115</v>
      </c>
      <c r="C391" s="1258" t="s">
        <v>3351</v>
      </c>
      <c r="D391" s="1006">
        <f>D380+812</f>
        <v>2992</v>
      </c>
      <c r="E391" s="1006">
        <f>E380+582</f>
        <v>2982</v>
      </c>
      <c r="F391" s="1006">
        <f>F380+582</f>
        <v>2982</v>
      </c>
      <c r="G391" s="216" t="s">
        <v>19</v>
      </c>
      <c r="H391" s="651" t="s">
        <v>1233</v>
      </c>
      <c r="I391" s="37" t="s">
        <v>2668</v>
      </c>
      <c r="J391" s="37"/>
      <c r="K391" s="19" t="s">
        <v>985</v>
      </c>
      <c r="L391" s="607" t="s">
        <v>653</v>
      </c>
      <c r="M391" s="156">
        <v>43084</v>
      </c>
      <c r="N391" s="156">
        <v>43093</v>
      </c>
      <c r="O391" s="59" t="s">
        <v>611</v>
      </c>
      <c r="P391" s="59"/>
      <c r="Q391" s="72" t="s">
        <v>100</v>
      </c>
      <c r="R391" s="610" t="s">
        <v>2469</v>
      </c>
      <c r="S391" s="315" t="s">
        <v>3337</v>
      </c>
      <c r="T391" s="858"/>
    </row>
    <row r="392" spans="1:20" ht="20.100000000000001" customHeight="1">
      <c r="A392" s="1257" t="s">
        <v>2973</v>
      </c>
      <c r="B392" s="1258" t="s">
        <v>2601</v>
      </c>
      <c r="C392" s="1258" t="s">
        <v>2671</v>
      </c>
      <c r="D392" s="1051">
        <v>1700</v>
      </c>
      <c r="E392" s="1051">
        <v>1825</v>
      </c>
      <c r="F392" s="1051">
        <v>1825</v>
      </c>
      <c r="G392" s="630" t="s">
        <v>33</v>
      </c>
      <c r="H392" s="56" t="s">
        <v>729</v>
      </c>
      <c r="I392" s="50" t="s">
        <v>2656</v>
      </c>
      <c r="J392" s="50"/>
      <c r="K392" s="34" t="s">
        <v>829</v>
      </c>
      <c r="L392" s="607" t="s">
        <v>653</v>
      </c>
      <c r="M392" s="159">
        <v>43080</v>
      </c>
      <c r="N392" s="159">
        <v>43086</v>
      </c>
      <c r="O392" s="61"/>
      <c r="P392" s="61"/>
      <c r="Q392" s="7"/>
      <c r="R392" s="606" t="s">
        <v>2756</v>
      </c>
      <c r="S392" s="622" t="s">
        <v>1176</v>
      </c>
      <c r="T392" s="858"/>
    </row>
    <row r="393" spans="1:20" ht="20.100000000000001" customHeight="1">
      <c r="A393" s="1257" t="s">
        <v>2973</v>
      </c>
      <c r="B393" s="1258" t="s">
        <v>2601</v>
      </c>
      <c r="C393" s="1258" t="s">
        <v>2671</v>
      </c>
      <c r="D393" s="1051">
        <v>1600</v>
      </c>
      <c r="E393" s="1051">
        <v>1800</v>
      </c>
      <c r="F393" s="1051">
        <v>1800</v>
      </c>
      <c r="G393" s="630" t="s">
        <v>18</v>
      </c>
      <c r="H393" s="56" t="s">
        <v>1102</v>
      </c>
      <c r="I393" s="50" t="s">
        <v>2548</v>
      </c>
      <c r="J393" s="50"/>
      <c r="K393" s="34" t="s">
        <v>731</v>
      </c>
      <c r="L393" s="607" t="s">
        <v>653</v>
      </c>
      <c r="M393" s="108">
        <v>43078</v>
      </c>
      <c r="N393" s="108">
        <v>43083</v>
      </c>
      <c r="O393" s="61"/>
      <c r="P393" s="61"/>
      <c r="Q393" s="7"/>
      <c r="R393" s="606" t="s">
        <v>2547</v>
      </c>
      <c r="S393" s="622"/>
      <c r="T393" s="858"/>
    </row>
    <row r="394" spans="1:20" ht="20.100000000000001" customHeight="1">
      <c r="A394" s="1257" t="s">
        <v>2973</v>
      </c>
      <c r="B394" s="1258" t="s">
        <v>2601</v>
      </c>
      <c r="C394" s="1258" t="s">
        <v>2671</v>
      </c>
      <c r="D394" s="1029">
        <f>E394*0.8</f>
        <v>2640</v>
      </c>
      <c r="E394" s="1029">
        <v>3300</v>
      </c>
      <c r="F394" s="1029">
        <f>E394</f>
        <v>3300</v>
      </c>
      <c r="G394" s="637" t="s">
        <v>12</v>
      </c>
      <c r="H394" s="4">
        <v>3</v>
      </c>
      <c r="I394" s="50" t="s">
        <v>2471</v>
      </c>
      <c r="J394" s="50"/>
      <c r="K394" s="34" t="s">
        <v>980</v>
      </c>
      <c r="L394" s="607" t="s">
        <v>653</v>
      </c>
      <c r="M394" s="15">
        <v>43076</v>
      </c>
      <c r="N394" s="15">
        <v>43083</v>
      </c>
      <c r="O394" s="59" t="s">
        <v>2545</v>
      </c>
      <c r="P394" s="59" t="s">
        <v>2643</v>
      </c>
      <c r="Q394" s="7"/>
      <c r="R394" s="610" t="s">
        <v>3398</v>
      </c>
      <c r="S394" s="322" t="s">
        <v>1176</v>
      </c>
      <c r="T394" s="858"/>
    </row>
    <row r="395" spans="1:20" ht="20.100000000000001" customHeight="1">
      <c r="A395" s="1257" t="s">
        <v>2973</v>
      </c>
      <c r="B395" s="1258" t="s">
        <v>2601</v>
      </c>
      <c r="C395" s="1259" t="s">
        <v>2671</v>
      </c>
      <c r="D395" s="1010"/>
      <c r="E395" s="1010"/>
      <c r="F395" s="1010"/>
      <c r="G395" s="780" t="s">
        <v>76</v>
      </c>
      <c r="H395" s="56" t="s">
        <v>659</v>
      </c>
      <c r="I395" s="5" t="s">
        <v>2471</v>
      </c>
      <c r="J395" s="5"/>
      <c r="K395" s="34">
        <v>45</v>
      </c>
      <c r="L395" s="607" t="s">
        <v>653</v>
      </c>
      <c r="M395" s="6">
        <v>43087</v>
      </c>
      <c r="N395" s="6">
        <v>43093</v>
      </c>
      <c r="O395" s="61" t="s">
        <v>3400</v>
      </c>
      <c r="P395" s="61"/>
      <c r="Q395" s="7"/>
      <c r="R395" s="606" t="s">
        <v>3398</v>
      </c>
      <c r="S395" s="315" t="s">
        <v>3341</v>
      </c>
      <c r="T395" s="858"/>
    </row>
    <row r="396" spans="1:20" ht="20.100000000000001" customHeight="1">
      <c r="A396" s="1257" t="s">
        <v>2973</v>
      </c>
      <c r="B396" s="1258" t="s">
        <v>2601</v>
      </c>
      <c r="C396" s="1258" t="s">
        <v>2671</v>
      </c>
      <c r="D396" s="1040">
        <v>1800</v>
      </c>
      <c r="E396" s="1040">
        <v>2050</v>
      </c>
      <c r="F396" s="1040">
        <v>2050</v>
      </c>
      <c r="G396" s="631" t="s">
        <v>31</v>
      </c>
      <c r="H396" s="56" t="s">
        <v>725</v>
      </c>
      <c r="I396" s="38" t="s">
        <v>2468</v>
      </c>
      <c r="J396" s="38"/>
      <c r="K396" s="5">
        <v>43</v>
      </c>
      <c r="L396" s="607" t="s">
        <v>653</v>
      </c>
      <c r="M396" s="623">
        <v>43073</v>
      </c>
      <c r="N396" s="623">
        <v>43083</v>
      </c>
      <c r="O396" s="61"/>
      <c r="P396" s="61"/>
      <c r="Q396" s="52"/>
      <c r="R396" s="606" t="s">
        <v>2586</v>
      </c>
      <c r="S396" s="622" t="s">
        <v>1176</v>
      </c>
      <c r="T396" s="858"/>
    </row>
    <row r="397" spans="1:20" ht="20.100000000000001" customHeight="1">
      <c r="A397" s="1257" t="s">
        <v>2973</v>
      </c>
      <c r="B397" s="1258" t="s">
        <v>2601</v>
      </c>
      <c r="C397" s="1258" t="s">
        <v>2671</v>
      </c>
      <c r="D397" s="1022">
        <v>1725</v>
      </c>
      <c r="E397" s="1022">
        <v>1950</v>
      </c>
      <c r="F397" s="1022">
        <v>1950</v>
      </c>
      <c r="G397" s="637" t="s">
        <v>5</v>
      </c>
      <c r="H397" s="168" t="s">
        <v>1233</v>
      </c>
      <c r="I397" s="51" t="s">
        <v>2471</v>
      </c>
      <c r="J397" s="50"/>
      <c r="K397" s="19" t="s">
        <v>984</v>
      </c>
      <c r="L397" s="607" t="s">
        <v>653</v>
      </c>
      <c r="M397" s="159">
        <v>43073</v>
      </c>
      <c r="N397" s="159">
        <v>43083</v>
      </c>
      <c r="O397" s="61" t="s">
        <v>1771</v>
      </c>
      <c r="P397" s="59"/>
      <c r="Q397" s="7"/>
      <c r="R397" s="610" t="s">
        <v>2566</v>
      </c>
      <c r="S397" s="619"/>
      <c r="T397" s="858"/>
    </row>
    <row r="398" spans="1:20" ht="20.100000000000001" customHeight="1">
      <c r="A398" s="1257" t="s">
        <v>2973</v>
      </c>
      <c r="B398" s="1258" t="s">
        <v>2601</v>
      </c>
      <c r="C398" s="1258" t="s">
        <v>2671</v>
      </c>
      <c r="D398" s="1050">
        <v>2150</v>
      </c>
      <c r="E398" s="1050">
        <v>2450</v>
      </c>
      <c r="F398" s="1050">
        <v>2450</v>
      </c>
      <c r="G398" s="637" t="s">
        <v>51</v>
      </c>
      <c r="H398" s="168" t="s">
        <v>1233</v>
      </c>
      <c r="I398" s="50" t="s">
        <v>3362</v>
      </c>
      <c r="J398" s="51"/>
      <c r="K398" s="34" t="s">
        <v>829</v>
      </c>
      <c r="L398" s="607" t="s">
        <v>653</v>
      </c>
      <c r="M398" s="611">
        <v>43086</v>
      </c>
      <c r="N398" s="611">
        <v>43100</v>
      </c>
      <c r="O398" s="61"/>
      <c r="P398" s="61"/>
      <c r="Q398" s="52"/>
      <c r="R398" s="610" t="s">
        <v>2472</v>
      </c>
      <c r="S398" s="315" t="s">
        <v>3341</v>
      </c>
      <c r="T398" s="858"/>
    </row>
    <row r="399" spans="1:20" ht="20.100000000000001" customHeight="1">
      <c r="A399" s="1257" t="s">
        <v>2973</v>
      </c>
      <c r="B399" s="1258" t="s">
        <v>2601</v>
      </c>
      <c r="C399" s="1258" t="s">
        <v>2671</v>
      </c>
      <c r="D399" s="1008">
        <f>D232+100+25</f>
        <v>1650</v>
      </c>
      <c r="E399" s="1008">
        <f>E232+200+50</f>
        <v>1825</v>
      </c>
      <c r="F399" s="1008">
        <f>F232+200+50</f>
        <v>1825</v>
      </c>
      <c r="G399" s="609" t="s">
        <v>1689</v>
      </c>
      <c r="H399" s="168" t="s">
        <v>1233</v>
      </c>
      <c r="I399" s="37" t="s">
        <v>2569</v>
      </c>
      <c r="J399" s="37"/>
      <c r="K399" s="5">
        <v>45</v>
      </c>
      <c r="L399" s="607" t="s">
        <v>653</v>
      </c>
      <c r="M399" s="156">
        <v>43076</v>
      </c>
      <c r="N399" s="156">
        <v>43083</v>
      </c>
      <c r="O399" s="61" t="s">
        <v>1771</v>
      </c>
      <c r="P399" s="61"/>
      <c r="Q399" s="52"/>
      <c r="R399" s="610" t="s">
        <v>2470</v>
      </c>
      <c r="S399" s="622"/>
      <c r="T399" s="858"/>
    </row>
    <row r="400" spans="1:20" ht="20.100000000000001" customHeight="1">
      <c r="A400" s="1257" t="s">
        <v>2973</v>
      </c>
      <c r="B400" s="1258" t="s">
        <v>2601</v>
      </c>
      <c r="C400" s="1258" t="s">
        <v>2671</v>
      </c>
      <c r="D400" s="1018">
        <v>2180</v>
      </c>
      <c r="E400" s="1018">
        <v>2400</v>
      </c>
      <c r="F400" s="1018">
        <v>2400</v>
      </c>
      <c r="G400" s="637" t="s">
        <v>19</v>
      </c>
      <c r="H400" s="651" t="s">
        <v>1233</v>
      </c>
      <c r="I400" s="50" t="s">
        <v>2569</v>
      </c>
      <c r="J400" s="50"/>
      <c r="K400" s="19" t="s">
        <v>1264</v>
      </c>
      <c r="L400" s="607" t="s">
        <v>653</v>
      </c>
      <c r="M400" s="156">
        <v>43084</v>
      </c>
      <c r="N400" s="156">
        <v>43093</v>
      </c>
      <c r="O400" s="59" t="s">
        <v>611</v>
      </c>
      <c r="P400" s="59"/>
      <c r="Q400" s="7"/>
      <c r="R400" s="610" t="s">
        <v>2469</v>
      </c>
      <c r="S400" s="315" t="s">
        <v>3337</v>
      </c>
      <c r="T400" s="858"/>
    </row>
    <row r="401" spans="1:20" ht="20.100000000000001" customHeight="1">
      <c r="A401" s="1258" t="s">
        <v>2973</v>
      </c>
      <c r="B401" s="1258" t="s">
        <v>2601</v>
      </c>
      <c r="C401" s="1258" t="s">
        <v>2603</v>
      </c>
      <c r="D401" s="1021"/>
      <c r="E401" s="1021"/>
      <c r="F401" s="1021"/>
      <c r="G401" s="613" t="s">
        <v>33</v>
      </c>
      <c r="H401" s="56" t="s">
        <v>729</v>
      </c>
      <c r="I401" s="50" t="s">
        <v>2669</v>
      </c>
      <c r="J401" s="50"/>
      <c r="K401" s="34" t="s">
        <v>687</v>
      </c>
      <c r="L401" s="607" t="s">
        <v>653</v>
      </c>
      <c r="M401" s="159">
        <v>43080</v>
      </c>
      <c r="N401" s="159">
        <v>43086</v>
      </c>
      <c r="O401" s="61"/>
      <c r="P401" s="61"/>
      <c r="Q401" s="72" t="s">
        <v>100</v>
      </c>
      <c r="R401" s="606" t="s">
        <v>2756</v>
      </c>
      <c r="S401" s="622" t="s">
        <v>1176</v>
      </c>
      <c r="T401" s="858"/>
    </row>
    <row r="402" spans="1:20" ht="20.100000000000001" customHeight="1">
      <c r="A402" s="1258" t="s">
        <v>2973</v>
      </c>
      <c r="B402" s="1258" t="s">
        <v>2601</v>
      </c>
      <c r="C402" s="1258" t="s">
        <v>2603</v>
      </c>
      <c r="D402" s="1020">
        <f>E402*0.8</f>
        <v>3200</v>
      </c>
      <c r="E402" s="1020">
        <v>4000</v>
      </c>
      <c r="F402" s="1020">
        <f>E402</f>
        <v>4000</v>
      </c>
      <c r="G402" s="637" t="s">
        <v>12</v>
      </c>
      <c r="H402" s="56">
        <v>3</v>
      </c>
      <c r="I402" s="51" t="s">
        <v>2669</v>
      </c>
      <c r="J402" s="51"/>
      <c r="K402" s="19" t="s">
        <v>1242</v>
      </c>
      <c r="L402" s="607" t="s">
        <v>653</v>
      </c>
      <c r="M402" s="15">
        <v>43076</v>
      </c>
      <c r="N402" s="15">
        <v>43083</v>
      </c>
      <c r="O402" s="59" t="s">
        <v>2545</v>
      </c>
      <c r="P402" s="59" t="s">
        <v>2643</v>
      </c>
      <c r="Q402" s="7"/>
      <c r="R402" s="610" t="s">
        <v>3398</v>
      </c>
      <c r="S402" s="322" t="s">
        <v>1176</v>
      </c>
      <c r="T402" s="858"/>
    </row>
    <row r="403" spans="1:20" ht="20.100000000000001" customHeight="1">
      <c r="A403" s="1258" t="s">
        <v>2973</v>
      </c>
      <c r="B403" s="1258" t="s">
        <v>2601</v>
      </c>
      <c r="C403" s="1258" t="s">
        <v>2603</v>
      </c>
      <c r="D403" s="1019">
        <f>D396+310</f>
        <v>2110</v>
      </c>
      <c r="E403" s="1019">
        <f>E396+310</f>
        <v>2360</v>
      </c>
      <c r="F403" s="1019">
        <f>F396+310</f>
        <v>2360</v>
      </c>
      <c r="G403" s="618" t="s">
        <v>31</v>
      </c>
      <c r="H403" s="56" t="s">
        <v>725</v>
      </c>
      <c r="I403" s="38" t="s">
        <v>2669</v>
      </c>
      <c r="J403" s="38"/>
      <c r="K403" s="5">
        <v>45</v>
      </c>
      <c r="L403" s="607" t="s">
        <v>653</v>
      </c>
      <c r="M403" s="623">
        <v>43073</v>
      </c>
      <c r="N403" s="623">
        <v>43083</v>
      </c>
      <c r="O403" s="61"/>
      <c r="P403" s="61"/>
      <c r="Q403" s="52"/>
      <c r="R403" s="606" t="s">
        <v>2586</v>
      </c>
      <c r="S403" s="622" t="s">
        <v>1176</v>
      </c>
      <c r="T403" s="858"/>
    </row>
    <row r="404" spans="1:20" ht="20.100000000000001" customHeight="1">
      <c r="A404" s="1259" t="s">
        <v>2973</v>
      </c>
      <c r="B404" s="1259" t="s">
        <v>2601</v>
      </c>
      <c r="C404" s="1259" t="s">
        <v>2603</v>
      </c>
      <c r="D404" s="1019">
        <f>D400+227</f>
        <v>2407</v>
      </c>
      <c r="E404" s="1019">
        <f>E400+227</f>
        <v>2627</v>
      </c>
      <c r="F404" s="1019">
        <f>F400+227</f>
        <v>2627</v>
      </c>
      <c r="G404" s="216" t="s">
        <v>19</v>
      </c>
      <c r="H404" s="651" t="s">
        <v>1233</v>
      </c>
      <c r="I404" s="38" t="s">
        <v>2669</v>
      </c>
      <c r="J404" s="38"/>
      <c r="K404" s="19" t="s">
        <v>2396</v>
      </c>
      <c r="L404" s="607" t="s">
        <v>653</v>
      </c>
      <c r="M404" s="156">
        <v>43084</v>
      </c>
      <c r="N404" s="156">
        <v>43093</v>
      </c>
      <c r="O404" s="59" t="s">
        <v>611</v>
      </c>
      <c r="P404" s="59"/>
      <c r="Q404" s="72" t="s">
        <v>100</v>
      </c>
      <c r="R404" s="610" t="s">
        <v>2469</v>
      </c>
      <c r="S404" s="315" t="s">
        <v>3337</v>
      </c>
      <c r="T404" s="858"/>
    </row>
    <row r="405" spans="1:20" ht="20.100000000000001" customHeight="1">
      <c r="A405" s="1258" t="s">
        <v>2973</v>
      </c>
      <c r="B405" s="1258" t="s">
        <v>2601</v>
      </c>
      <c r="C405" s="1258" t="s">
        <v>2603</v>
      </c>
      <c r="D405" s="1019">
        <f>D397+418+25</f>
        <v>2168</v>
      </c>
      <c r="E405" s="1019">
        <f>E397+418+50</f>
        <v>2418</v>
      </c>
      <c r="F405" s="1019">
        <f>F397+418+50</f>
        <v>2418</v>
      </c>
      <c r="G405" s="216" t="s">
        <v>5</v>
      </c>
      <c r="H405" s="168" t="s">
        <v>1233</v>
      </c>
      <c r="I405" s="51" t="s">
        <v>2669</v>
      </c>
      <c r="J405" s="51"/>
      <c r="K405" s="19" t="s">
        <v>975</v>
      </c>
      <c r="L405" s="607" t="s">
        <v>653</v>
      </c>
      <c r="M405" s="159">
        <v>43073</v>
      </c>
      <c r="N405" s="159">
        <v>43083</v>
      </c>
      <c r="O405" s="61" t="s">
        <v>1771</v>
      </c>
      <c r="P405" s="59"/>
      <c r="Q405" s="72" t="s">
        <v>3342</v>
      </c>
      <c r="R405" s="610" t="s">
        <v>2566</v>
      </c>
      <c r="S405" s="619"/>
      <c r="T405" s="858"/>
    </row>
    <row r="406" spans="1:20" ht="20.100000000000001" customHeight="1">
      <c r="A406" s="1258" t="s">
        <v>2973</v>
      </c>
      <c r="B406" s="1258" t="s">
        <v>2601</v>
      </c>
      <c r="C406" s="1258" t="s">
        <v>2603</v>
      </c>
      <c r="D406" s="1019">
        <f>D398+350</f>
        <v>2500</v>
      </c>
      <c r="E406" s="1019">
        <f>E398+350</f>
        <v>2800</v>
      </c>
      <c r="F406" s="1019">
        <f>F398+350</f>
        <v>2800</v>
      </c>
      <c r="G406" s="216" t="s">
        <v>51</v>
      </c>
      <c r="H406" s="168" t="s">
        <v>1233</v>
      </c>
      <c r="I406" s="51" t="s">
        <v>2669</v>
      </c>
      <c r="J406" s="51"/>
      <c r="K406" s="19"/>
      <c r="L406" s="607" t="s">
        <v>653</v>
      </c>
      <c r="M406" s="611">
        <v>43086</v>
      </c>
      <c r="N406" s="611">
        <v>43100</v>
      </c>
      <c r="O406" s="61"/>
      <c r="P406" s="59"/>
      <c r="Q406" s="72"/>
      <c r="R406" s="610"/>
      <c r="S406" s="619"/>
      <c r="T406" s="858"/>
    </row>
    <row r="407" spans="1:20" ht="20.100000000000001" customHeight="1">
      <c r="A407" s="1257" t="s">
        <v>2973</v>
      </c>
      <c r="B407" s="1258" t="s">
        <v>2601</v>
      </c>
      <c r="C407" s="1258" t="s">
        <v>2602</v>
      </c>
      <c r="D407" s="1020">
        <f>D397+418+25</f>
        <v>2168</v>
      </c>
      <c r="E407" s="1020">
        <f>E397+418+50</f>
        <v>2418</v>
      </c>
      <c r="F407" s="1020">
        <f>F397+418+50</f>
        <v>2418</v>
      </c>
      <c r="G407" s="216" t="s">
        <v>5</v>
      </c>
      <c r="H407" s="168" t="s">
        <v>1233</v>
      </c>
      <c r="I407" s="51" t="s">
        <v>2669</v>
      </c>
      <c r="J407" s="51"/>
      <c r="K407" s="19" t="s">
        <v>975</v>
      </c>
      <c r="L407" s="607" t="s">
        <v>653</v>
      </c>
      <c r="M407" s="159">
        <v>43073</v>
      </c>
      <c r="N407" s="159">
        <v>43083</v>
      </c>
      <c r="O407" s="61" t="s">
        <v>1771</v>
      </c>
      <c r="P407" s="59"/>
      <c r="Q407" s="72" t="s">
        <v>3342</v>
      </c>
      <c r="R407" s="610" t="s">
        <v>2566</v>
      </c>
      <c r="S407" s="619"/>
      <c r="T407" s="858"/>
    </row>
    <row r="408" spans="1:20" ht="20.100000000000001" customHeight="1">
      <c r="A408" s="1257" t="s">
        <v>2973</v>
      </c>
      <c r="B408" s="1258" t="s">
        <v>2601</v>
      </c>
      <c r="C408" s="1258" t="s">
        <v>2602</v>
      </c>
      <c r="D408" s="1020">
        <f>D400+180</f>
        <v>2360</v>
      </c>
      <c r="E408" s="1020">
        <f>E400+180</f>
        <v>2580</v>
      </c>
      <c r="F408" s="1020">
        <f>F400+180</f>
        <v>2580</v>
      </c>
      <c r="G408" s="216" t="s">
        <v>19</v>
      </c>
      <c r="H408" s="651" t="s">
        <v>1233</v>
      </c>
      <c r="I408" s="38" t="s">
        <v>2669</v>
      </c>
      <c r="J408" s="38"/>
      <c r="K408" s="19" t="s">
        <v>2396</v>
      </c>
      <c r="L408" s="607" t="s">
        <v>653</v>
      </c>
      <c r="M408" s="156">
        <v>43084</v>
      </c>
      <c r="N408" s="156">
        <v>43093</v>
      </c>
      <c r="O408" s="59" t="s">
        <v>611</v>
      </c>
      <c r="P408" s="59"/>
      <c r="Q408" s="72" t="s">
        <v>100</v>
      </c>
      <c r="R408" s="610" t="s">
        <v>2469</v>
      </c>
      <c r="S408" s="315" t="s">
        <v>3337</v>
      </c>
      <c r="T408" s="858"/>
    </row>
    <row r="409" spans="1:20" ht="20.100000000000001" customHeight="1">
      <c r="A409" s="1257" t="s">
        <v>2973</v>
      </c>
      <c r="B409" s="1258" t="s">
        <v>2601</v>
      </c>
      <c r="C409" s="1258" t="s">
        <v>2602</v>
      </c>
      <c r="D409" s="1043">
        <f>D399+300+25</f>
        <v>1975</v>
      </c>
      <c r="E409" s="1043">
        <f>E399+300+50</f>
        <v>2175</v>
      </c>
      <c r="F409" s="1043">
        <f>F399+300+50</f>
        <v>2175</v>
      </c>
      <c r="G409" s="609" t="s">
        <v>1689</v>
      </c>
      <c r="H409" s="168" t="s">
        <v>1233</v>
      </c>
      <c r="I409" s="38" t="s">
        <v>2669</v>
      </c>
      <c r="J409" s="38"/>
      <c r="K409" s="5">
        <v>44</v>
      </c>
      <c r="L409" s="607" t="s">
        <v>653</v>
      </c>
      <c r="M409" s="156">
        <v>43076</v>
      </c>
      <c r="N409" s="156">
        <v>43083</v>
      </c>
      <c r="O409" s="61" t="s">
        <v>1771</v>
      </c>
      <c r="P409" s="61"/>
      <c r="Q409" s="72" t="s">
        <v>100</v>
      </c>
      <c r="R409" s="610" t="s">
        <v>2470</v>
      </c>
      <c r="S409" s="622"/>
      <c r="T409" s="858"/>
    </row>
    <row r="410" spans="1:20" ht="20.100000000000001" customHeight="1">
      <c r="A410" s="1257" t="s">
        <v>2973</v>
      </c>
      <c r="B410" s="1258" t="s">
        <v>2601</v>
      </c>
      <c r="C410" s="1259" t="s">
        <v>2670</v>
      </c>
      <c r="D410" s="1010" t="s">
        <v>4232</v>
      </c>
      <c r="E410" s="1010" t="s">
        <v>4259</v>
      </c>
      <c r="F410" s="1010" t="s">
        <v>4259</v>
      </c>
      <c r="G410" s="780" t="s">
        <v>76</v>
      </c>
      <c r="H410" s="168" t="s">
        <v>659</v>
      </c>
      <c r="I410" s="5" t="s">
        <v>2543</v>
      </c>
      <c r="J410" s="5"/>
      <c r="K410" s="34">
        <v>45</v>
      </c>
      <c r="L410" s="607" t="s">
        <v>653</v>
      </c>
      <c r="M410" s="6">
        <v>43087</v>
      </c>
      <c r="N410" s="6">
        <v>43093</v>
      </c>
      <c r="O410" s="61" t="s">
        <v>3401</v>
      </c>
      <c r="P410" s="61"/>
      <c r="Q410" s="61"/>
      <c r="R410" s="606"/>
      <c r="S410" s="315" t="s">
        <v>3341</v>
      </c>
      <c r="T410" s="858"/>
    </row>
    <row r="411" spans="1:20" ht="20.100000000000001" customHeight="1">
      <c r="A411" s="1257" t="s">
        <v>2973</v>
      </c>
      <c r="B411" s="1258" t="s">
        <v>2601</v>
      </c>
      <c r="C411" s="1258" t="s">
        <v>2670</v>
      </c>
      <c r="D411" s="1053">
        <v>5800</v>
      </c>
      <c r="E411" s="1053">
        <v>8200</v>
      </c>
      <c r="F411" s="1053">
        <v>8300</v>
      </c>
      <c r="G411" s="631" t="s">
        <v>31</v>
      </c>
      <c r="H411" s="56" t="s">
        <v>725</v>
      </c>
      <c r="I411" s="38" t="s">
        <v>3378</v>
      </c>
      <c r="J411" s="38"/>
      <c r="K411" s="5">
        <v>53</v>
      </c>
      <c r="L411" s="607" t="s">
        <v>653</v>
      </c>
      <c r="M411" s="623">
        <v>43040</v>
      </c>
      <c r="N411" s="623">
        <v>43083</v>
      </c>
      <c r="O411" s="61" t="s">
        <v>1307</v>
      </c>
      <c r="P411" s="61"/>
      <c r="Q411" s="52"/>
      <c r="R411" s="606" t="s">
        <v>2586</v>
      </c>
      <c r="S411" s="622" t="s">
        <v>1176</v>
      </c>
      <c r="T411" s="858"/>
    </row>
    <row r="412" spans="1:20" ht="20.100000000000001" customHeight="1">
      <c r="A412" s="1258" t="s">
        <v>2973</v>
      </c>
      <c r="B412" s="1258" t="s">
        <v>2601</v>
      </c>
      <c r="C412" s="1258" t="s">
        <v>2600</v>
      </c>
      <c r="D412" s="1020">
        <f>E412*0.8</f>
        <v>3920</v>
      </c>
      <c r="E412" s="1020">
        <v>4900</v>
      </c>
      <c r="F412" s="1020">
        <f>E412</f>
        <v>4900</v>
      </c>
      <c r="G412" s="637" t="s">
        <v>12</v>
      </c>
      <c r="H412" s="4">
        <v>3</v>
      </c>
      <c r="I412" s="38" t="s">
        <v>2669</v>
      </c>
      <c r="J412" s="38"/>
      <c r="K412" s="5" t="s">
        <v>1242</v>
      </c>
      <c r="L412" s="607" t="s">
        <v>653</v>
      </c>
      <c r="M412" s="15">
        <v>43076</v>
      </c>
      <c r="N412" s="15">
        <v>43083</v>
      </c>
      <c r="O412" s="59" t="s">
        <v>2545</v>
      </c>
      <c r="P412" s="59" t="s">
        <v>2643</v>
      </c>
      <c r="Q412" s="7"/>
      <c r="R412" s="606" t="s">
        <v>3398</v>
      </c>
      <c r="S412" s="322" t="s">
        <v>1176</v>
      </c>
      <c r="T412" s="858"/>
    </row>
    <row r="413" spans="1:20" ht="20.100000000000001" customHeight="1">
      <c r="A413" s="1258" t="s">
        <v>2973</v>
      </c>
      <c r="B413" s="1258" t="s">
        <v>2601</v>
      </c>
      <c r="C413" s="1258" t="s">
        <v>2600</v>
      </c>
      <c r="D413" s="1019">
        <f>D396+950</f>
        <v>2750</v>
      </c>
      <c r="E413" s="1019">
        <f>E396+950</f>
        <v>3000</v>
      </c>
      <c r="F413" s="1019">
        <f>F396+950</f>
        <v>3000</v>
      </c>
      <c r="G413" s="618" t="s">
        <v>31</v>
      </c>
      <c r="H413" s="56" t="s">
        <v>725</v>
      </c>
      <c r="I413" s="38" t="s">
        <v>2669</v>
      </c>
      <c r="J413" s="38"/>
      <c r="K413" s="5">
        <v>46</v>
      </c>
      <c r="L413" s="607" t="s">
        <v>653</v>
      </c>
      <c r="M413" s="623">
        <v>43073</v>
      </c>
      <c r="N413" s="623">
        <v>43083</v>
      </c>
      <c r="O413" s="61"/>
      <c r="P413" s="61"/>
      <c r="Q413" s="52"/>
      <c r="R413" s="606" t="s">
        <v>2586</v>
      </c>
      <c r="S413" s="622" t="s">
        <v>1176</v>
      </c>
      <c r="T413" s="858"/>
    </row>
    <row r="414" spans="1:20" ht="20.100000000000001" customHeight="1">
      <c r="A414" s="1258" t="s">
        <v>2973</v>
      </c>
      <c r="B414" s="1258" t="s">
        <v>2601</v>
      </c>
      <c r="C414" s="1258" t="s">
        <v>2600</v>
      </c>
      <c r="D414" s="1015">
        <f>D400+889</f>
        <v>3069</v>
      </c>
      <c r="E414" s="1015">
        <f>E400+889</f>
        <v>3289</v>
      </c>
      <c r="F414" s="1015">
        <f>F400+889</f>
        <v>3289</v>
      </c>
      <c r="G414" s="216" t="s">
        <v>19</v>
      </c>
      <c r="H414" s="651" t="s">
        <v>1233</v>
      </c>
      <c r="I414" s="38" t="s">
        <v>2669</v>
      </c>
      <c r="J414" s="38"/>
      <c r="K414" s="19" t="s">
        <v>2396</v>
      </c>
      <c r="L414" s="607" t="s">
        <v>653</v>
      </c>
      <c r="M414" s="156">
        <v>43084</v>
      </c>
      <c r="N414" s="156">
        <v>43093</v>
      </c>
      <c r="O414" s="59" t="s">
        <v>611</v>
      </c>
      <c r="P414" s="59"/>
      <c r="Q414" s="72" t="s">
        <v>100</v>
      </c>
      <c r="R414" s="610" t="s">
        <v>2469</v>
      </c>
      <c r="S414" s="315" t="s">
        <v>3337</v>
      </c>
      <c r="T414" s="858"/>
    </row>
    <row r="415" spans="1:20" ht="20.100000000000001" customHeight="1">
      <c r="A415" s="1259" t="s">
        <v>2973</v>
      </c>
      <c r="B415" s="1259" t="s">
        <v>2601</v>
      </c>
      <c r="C415" s="1259" t="s">
        <v>2600</v>
      </c>
      <c r="D415" s="1015">
        <f>D397+1320+25</f>
        <v>3070</v>
      </c>
      <c r="E415" s="1015">
        <f>E397+1320+50</f>
        <v>3320</v>
      </c>
      <c r="F415" s="1015">
        <f>F397+1320+50</f>
        <v>3320</v>
      </c>
      <c r="G415" s="216" t="s">
        <v>5</v>
      </c>
      <c r="H415" s="168" t="s">
        <v>1233</v>
      </c>
      <c r="I415" s="51" t="s">
        <v>2669</v>
      </c>
      <c r="J415" s="51"/>
      <c r="K415" s="19" t="s">
        <v>975</v>
      </c>
      <c r="L415" s="607" t="s">
        <v>653</v>
      </c>
      <c r="M415" s="159">
        <v>43073</v>
      </c>
      <c r="N415" s="159">
        <v>43083</v>
      </c>
      <c r="O415" s="61" t="s">
        <v>1771</v>
      </c>
      <c r="P415" s="59"/>
      <c r="Q415" s="72" t="s">
        <v>3342</v>
      </c>
      <c r="R415" s="610" t="s">
        <v>2566</v>
      </c>
      <c r="S415" s="619"/>
      <c r="T415" s="858"/>
    </row>
    <row r="416" spans="1:20" ht="20.100000000000001" customHeight="1">
      <c r="A416" s="1258" t="s">
        <v>2973</v>
      </c>
      <c r="B416" s="1258" t="s">
        <v>2601</v>
      </c>
      <c r="C416" s="1258" t="s">
        <v>2600</v>
      </c>
      <c r="D416" s="1015">
        <f>D398+1050</f>
        <v>3200</v>
      </c>
      <c r="E416" s="1015">
        <f>E398+1050</f>
        <v>3500</v>
      </c>
      <c r="F416" s="1015">
        <f>E398+1050</f>
        <v>3500</v>
      </c>
      <c r="G416" s="216" t="s">
        <v>51</v>
      </c>
      <c r="H416" s="168" t="s">
        <v>1233</v>
      </c>
      <c r="I416" s="51" t="s">
        <v>2669</v>
      </c>
      <c r="J416" s="51"/>
      <c r="K416" s="19"/>
      <c r="L416" s="607" t="s">
        <v>653</v>
      </c>
      <c r="M416" s="611">
        <v>43086</v>
      </c>
      <c r="N416" s="611">
        <v>43100</v>
      </c>
      <c r="O416" s="61"/>
      <c r="P416" s="59"/>
      <c r="Q416" s="72"/>
      <c r="R416" s="610"/>
      <c r="S416" s="619"/>
      <c r="T416" s="858"/>
    </row>
    <row r="417" spans="1:20" ht="20.100000000000001" customHeight="1">
      <c r="A417" s="1257" t="s">
        <v>2976</v>
      </c>
      <c r="B417" s="1258" t="s">
        <v>2605</v>
      </c>
      <c r="C417" s="1258" t="s">
        <v>2608</v>
      </c>
      <c r="D417" s="1020">
        <f>D382+1038+25</f>
        <v>2788</v>
      </c>
      <c r="E417" s="1020">
        <f>E382+1038+50</f>
        <v>3038</v>
      </c>
      <c r="F417" s="1020">
        <f>F382+1038+50</f>
        <v>3038</v>
      </c>
      <c r="G417" s="216" t="s">
        <v>5</v>
      </c>
      <c r="H417" s="168" t="s">
        <v>1233</v>
      </c>
      <c r="I417" s="37" t="s">
        <v>2668</v>
      </c>
      <c r="J417" s="37"/>
      <c r="K417" s="19" t="s">
        <v>687</v>
      </c>
      <c r="L417" s="607" t="s">
        <v>653</v>
      </c>
      <c r="M417" s="159">
        <v>43073</v>
      </c>
      <c r="N417" s="159">
        <v>43083</v>
      </c>
      <c r="O417" s="61" t="s">
        <v>1771</v>
      </c>
      <c r="P417" s="59"/>
      <c r="Q417" s="72" t="s">
        <v>3344</v>
      </c>
      <c r="R417" s="610" t="s">
        <v>2566</v>
      </c>
      <c r="S417" s="619"/>
      <c r="T417" s="858"/>
    </row>
    <row r="418" spans="1:20" ht="20.100000000000001" customHeight="1">
      <c r="A418" s="1257" t="s">
        <v>2976</v>
      </c>
      <c r="B418" s="1258" t="s">
        <v>2605</v>
      </c>
      <c r="C418" s="1258" t="s">
        <v>2608</v>
      </c>
      <c r="D418" s="1015"/>
      <c r="E418" s="1015"/>
      <c r="F418" s="1015"/>
      <c r="G418" s="216" t="s">
        <v>19</v>
      </c>
      <c r="H418" s="168" t="s">
        <v>1233</v>
      </c>
      <c r="I418" s="37" t="s">
        <v>2668</v>
      </c>
      <c r="J418" s="37"/>
      <c r="K418" s="19" t="s">
        <v>985</v>
      </c>
      <c r="L418" s="607" t="s">
        <v>653</v>
      </c>
      <c r="M418" s="156">
        <v>43084</v>
      </c>
      <c r="N418" s="156">
        <v>43093</v>
      </c>
      <c r="O418" s="59" t="s">
        <v>611</v>
      </c>
      <c r="P418" s="59"/>
      <c r="Q418" s="72" t="s">
        <v>100</v>
      </c>
      <c r="R418" s="610" t="s">
        <v>2469</v>
      </c>
      <c r="S418" s="315" t="s">
        <v>3337</v>
      </c>
      <c r="T418" s="858"/>
    </row>
    <row r="419" spans="1:20" ht="20.100000000000001" customHeight="1">
      <c r="A419" s="927" t="s">
        <v>2976</v>
      </c>
      <c r="B419" s="928" t="s">
        <v>2605</v>
      </c>
      <c r="C419" s="928" t="s">
        <v>2607</v>
      </c>
      <c r="D419" s="1015"/>
      <c r="E419" s="1015"/>
      <c r="F419" s="1015"/>
      <c r="G419" s="216" t="s">
        <v>19</v>
      </c>
      <c r="H419" s="168" t="s">
        <v>1233</v>
      </c>
      <c r="I419" s="37" t="s">
        <v>2668</v>
      </c>
      <c r="J419" s="37"/>
      <c r="K419" s="19" t="s">
        <v>985</v>
      </c>
      <c r="L419" s="607" t="s">
        <v>653</v>
      </c>
      <c r="M419" s="156">
        <v>43084</v>
      </c>
      <c r="N419" s="156">
        <v>43093</v>
      </c>
      <c r="O419" s="59" t="s">
        <v>611</v>
      </c>
      <c r="P419" s="59"/>
      <c r="Q419" s="72" t="s">
        <v>100</v>
      </c>
      <c r="R419" s="610" t="s">
        <v>2469</v>
      </c>
      <c r="S419" s="315" t="s">
        <v>3337</v>
      </c>
      <c r="T419" s="858"/>
    </row>
    <row r="420" spans="1:20" ht="20.100000000000001" customHeight="1">
      <c r="A420" s="1257" t="s">
        <v>2976</v>
      </c>
      <c r="B420" s="1258" t="s">
        <v>2605</v>
      </c>
      <c r="C420" s="1258" t="s">
        <v>2606</v>
      </c>
      <c r="D420" s="1015">
        <f>D382+1113+25</f>
        <v>2863</v>
      </c>
      <c r="E420" s="1015">
        <f>E382+1113+50</f>
        <v>3113</v>
      </c>
      <c r="F420" s="1015">
        <f>F382+1113+50</f>
        <v>3113</v>
      </c>
      <c r="G420" s="216" t="s">
        <v>5</v>
      </c>
      <c r="H420" s="168" t="s">
        <v>1233</v>
      </c>
      <c r="I420" s="37" t="s">
        <v>2668</v>
      </c>
      <c r="J420" s="37"/>
      <c r="K420" s="19" t="s">
        <v>687</v>
      </c>
      <c r="L420" s="607" t="s">
        <v>653</v>
      </c>
      <c r="M420" s="159">
        <v>43073</v>
      </c>
      <c r="N420" s="159">
        <v>43083</v>
      </c>
      <c r="O420" s="61" t="s">
        <v>1771</v>
      </c>
      <c r="P420" s="59"/>
      <c r="Q420" s="72" t="s">
        <v>3344</v>
      </c>
      <c r="R420" s="610" t="s">
        <v>2566</v>
      </c>
      <c r="S420" s="619"/>
      <c r="T420" s="858"/>
    </row>
    <row r="421" spans="1:20" ht="20.100000000000001" customHeight="1">
      <c r="A421" s="1257" t="s">
        <v>2976</v>
      </c>
      <c r="B421" s="1258" t="s">
        <v>2605</v>
      </c>
      <c r="C421" s="1258" t="s">
        <v>2606</v>
      </c>
      <c r="D421" s="1006"/>
      <c r="E421" s="1006"/>
      <c r="F421" s="1006"/>
      <c r="G421" s="216" t="s">
        <v>19</v>
      </c>
      <c r="H421" s="168" t="s">
        <v>1233</v>
      </c>
      <c r="I421" s="37" t="s">
        <v>2668</v>
      </c>
      <c r="J421" s="37"/>
      <c r="K421" s="19" t="s">
        <v>985</v>
      </c>
      <c r="L421" s="607" t="s">
        <v>653</v>
      </c>
      <c r="M421" s="156">
        <v>43084</v>
      </c>
      <c r="N421" s="156">
        <v>43093</v>
      </c>
      <c r="O421" s="59" t="s">
        <v>611</v>
      </c>
      <c r="P421" s="59"/>
      <c r="Q421" s="72" t="s">
        <v>100</v>
      </c>
      <c r="R421" s="610" t="s">
        <v>2469</v>
      </c>
      <c r="S421" s="315" t="s">
        <v>3337</v>
      </c>
      <c r="T421" s="858"/>
    </row>
    <row r="422" spans="1:20" ht="20.100000000000001" customHeight="1">
      <c r="A422" s="1257" t="s">
        <v>2976</v>
      </c>
      <c r="B422" s="1258" t="s">
        <v>2605</v>
      </c>
      <c r="C422" s="1258" t="s">
        <v>2604</v>
      </c>
      <c r="D422" s="1006">
        <f>D382+1073+25</f>
        <v>2823</v>
      </c>
      <c r="E422" s="1006">
        <f>E382+1073+50</f>
        <v>3073</v>
      </c>
      <c r="F422" s="1006">
        <f>F382+1073+50</f>
        <v>3073</v>
      </c>
      <c r="G422" s="216" t="s">
        <v>5</v>
      </c>
      <c r="H422" s="168" t="s">
        <v>1233</v>
      </c>
      <c r="I422" s="37" t="s">
        <v>2668</v>
      </c>
      <c r="J422" s="37"/>
      <c r="K422" s="19" t="s">
        <v>687</v>
      </c>
      <c r="L422" s="607" t="s">
        <v>653</v>
      </c>
      <c r="M422" s="159">
        <v>43073</v>
      </c>
      <c r="N422" s="159">
        <v>43083</v>
      </c>
      <c r="O422" s="61" t="s">
        <v>1771</v>
      </c>
      <c r="P422" s="59"/>
      <c r="Q422" s="72" t="s">
        <v>3344</v>
      </c>
      <c r="R422" s="610" t="s">
        <v>2566</v>
      </c>
      <c r="S422" s="619"/>
      <c r="T422" s="858"/>
    </row>
    <row r="423" spans="1:20" ht="20.100000000000001" customHeight="1">
      <c r="A423" s="1257" t="s">
        <v>2976</v>
      </c>
      <c r="B423" s="1258" t="s">
        <v>2605</v>
      </c>
      <c r="C423" s="1258" t="s">
        <v>2604</v>
      </c>
      <c r="D423" s="1006"/>
      <c r="E423" s="1006"/>
      <c r="F423" s="1006"/>
      <c r="G423" s="216" t="s">
        <v>19</v>
      </c>
      <c r="H423" s="168" t="s">
        <v>1233</v>
      </c>
      <c r="I423" s="37" t="s">
        <v>2668</v>
      </c>
      <c r="J423" s="37"/>
      <c r="K423" s="19" t="s">
        <v>985</v>
      </c>
      <c r="L423" s="607" t="s">
        <v>653</v>
      </c>
      <c r="M423" s="156">
        <v>43084</v>
      </c>
      <c r="N423" s="156">
        <v>43093</v>
      </c>
      <c r="O423" s="59" t="s">
        <v>611</v>
      </c>
      <c r="P423" s="59"/>
      <c r="Q423" s="72" t="s">
        <v>100</v>
      </c>
      <c r="R423" s="610" t="s">
        <v>2469</v>
      </c>
      <c r="S423" s="315" t="s">
        <v>3337</v>
      </c>
      <c r="T423" s="858"/>
    </row>
    <row r="424" spans="1:20" ht="20.100000000000001" customHeight="1">
      <c r="A424" s="1258" t="s">
        <v>2973</v>
      </c>
      <c r="B424" s="1258" t="s">
        <v>2667</v>
      </c>
      <c r="C424" s="1258" t="s">
        <v>2666</v>
      </c>
      <c r="D424" s="1009">
        <v>2500</v>
      </c>
      <c r="E424" s="1009">
        <v>3175</v>
      </c>
      <c r="F424" s="1009">
        <v>3175</v>
      </c>
      <c r="G424" s="630" t="s">
        <v>33</v>
      </c>
      <c r="H424" s="56" t="s">
        <v>729</v>
      </c>
      <c r="I424" s="50" t="s">
        <v>2471</v>
      </c>
      <c r="J424" s="50"/>
      <c r="K424" s="19" t="s">
        <v>970</v>
      </c>
      <c r="L424" s="607" t="s">
        <v>653</v>
      </c>
      <c r="M424" s="159">
        <v>43080</v>
      </c>
      <c r="N424" s="159">
        <v>43086</v>
      </c>
      <c r="O424" s="61"/>
      <c r="P424" s="61"/>
      <c r="Q424" s="7"/>
      <c r="R424" s="606" t="s">
        <v>2756</v>
      </c>
      <c r="S424" s="622" t="s">
        <v>1176</v>
      </c>
      <c r="T424" s="858"/>
    </row>
    <row r="425" spans="1:20" ht="20.100000000000001" customHeight="1">
      <c r="A425" s="1258" t="s">
        <v>2973</v>
      </c>
      <c r="B425" s="1258" t="s">
        <v>2667</v>
      </c>
      <c r="C425" s="1258" t="s">
        <v>2666</v>
      </c>
      <c r="D425" s="1051">
        <v>2725</v>
      </c>
      <c r="E425" s="1051">
        <v>3350</v>
      </c>
      <c r="F425" s="1051">
        <v>3350</v>
      </c>
      <c r="G425" s="630" t="s">
        <v>18</v>
      </c>
      <c r="H425" s="56" t="s">
        <v>1102</v>
      </c>
      <c r="I425" s="50" t="s">
        <v>2548</v>
      </c>
      <c r="J425" s="50"/>
      <c r="K425" s="34" t="s">
        <v>986</v>
      </c>
      <c r="L425" s="607" t="s">
        <v>653</v>
      </c>
      <c r="M425" s="108">
        <v>43073</v>
      </c>
      <c r="N425" s="108">
        <v>43083</v>
      </c>
      <c r="O425" s="61"/>
      <c r="P425" s="61"/>
      <c r="Q425" s="7"/>
      <c r="R425" s="606" t="s">
        <v>2547</v>
      </c>
      <c r="S425" s="622"/>
      <c r="T425" s="858"/>
    </row>
    <row r="426" spans="1:20" ht="20.100000000000001" customHeight="1">
      <c r="A426" s="1258" t="s">
        <v>2973</v>
      </c>
      <c r="B426" s="1258" t="s">
        <v>2667</v>
      </c>
      <c r="C426" s="1258" t="s">
        <v>2666</v>
      </c>
      <c r="D426" s="1035">
        <f>E426*0.8</f>
        <v>2560</v>
      </c>
      <c r="E426" s="1035">
        <v>3200</v>
      </c>
      <c r="F426" s="1035">
        <f>E426</f>
        <v>3200</v>
      </c>
      <c r="G426" s="637" t="s">
        <v>12</v>
      </c>
      <c r="H426" s="56">
        <v>3</v>
      </c>
      <c r="I426" s="50" t="s">
        <v>2471</v>
      </c>
      <c r="J426" s="50"/>
      <c r="K426" s="34" t="s">
        <v>662</v>
      </c>
      <c r="L426" s="607" t="s">
        <v>653</v>
      </c>
      <c r="M426" s="15">
        <v>43076</v>
      </c>
      <c r="N426" s="15">
        <v>43083</v>
      </c>
      <c r="O426" s="59" t="s">
        <v>2545</v>
      </c>
      <c r="P426" s="59" t="s">
        <v>2643</v>
      </c>
      <c r="Q426" s="7"/>
      <c r="R426" s="610" t="s">
        <v>3398</v>
      </c>
      <c r="S426" s="322" t="s">
        <v>1176</v>
      </c>
      <c r="T426" s="858"/>
    </row>
    <row r="427" spans="1:20" ht="20.100000000000001" customHeight="1">
      <c r="A427" s="1258" t="s">
        <v>2973</v>
      </c>
      <c r="B427" s="1258" t="s">
        <v>2667</v>
      </c>
      <c r="C427" s="1258" t="s">
        <v>2666</v>
      </c>
      <c r="D427" s="1040">
        <f>D436</f>
        <v>2700</v>
      </c>
      <c r="E427" s="1040">
        <f>E436</f>
        <v>3350</v>
      </c>
      <c r="F427" s="1040">
        <f>F436</f>
        <v>3350</v>
      </c>
      <c r="G427" s="618" t="s">
        <v>31</v>
      </c>
      <c r="H427" s="56" t="s">
        <v>725</v>
      </c>
      <c r="I427" s="38" t="s">
        <v>2468</v>
      </c>
      <c r="J427" s="37"/>
      <c r="K427" s="16">
        <v>48</v>
      </c>
      <c r="L427" s="607" t="s">
        <v>653</v>
      </c>
      <c r="M427" s="623">
        <v>43080</v>
      </c>
      <c r="N427" s="623">
        <v>43083</v>
      </c>
      <c r="O427" s="61"/>
      <c r="P427" s="61" t="s">
        <v>4150</v>
      </c>
      <c r="Q427" s="52"/>
      <c r="R427" s="606" t="s">
        <v>2586</v>
      </c>
      <c r="S427" s="622" t="s">
        <v>1176</v>
      </c>
      <c r="T427" s="858"/>
    </row>
    <row r="428" spans="1:20" ht="20.100000000000001" customHeight="1">
      <c r="A428" s="1258" t="s">
        <v>2973</v>
      </c>
      <c r="B428" s="1258" t="s">
        <v>2667</v>
      </c>
      <c r="C428" s="1258" t="s">
        <v>2666</v>
      </c>
      <c r="D428" s="1010">
        <v>2205</v>
      </c>
      <c r="E428" s="1010" t="s">
        <v>5418</v>
      </c>
      <c r="F428" s="1010" t="s">
        <v>5418</v>
      </c>
      <c r="G428" s="780" t="s">
        <v>76</v>
      </c>
      <c r="H428" s="168" t="s">
        <v>1233</v>
      </c>
      <c r="I428" s="5" t="s">
        <v>2471</v>
      </c>
      <c r="J428" s="5"/>
      <c r="K428" s="34">
        <v>45</v>
      </c>
      <c r="L428" s="607" t="s">
        <v>653</v>
      </c>
      <c r="M428" s="6">
        <v>43087</v>
      </c>
      <c r="N428" s="6">
        <v>43093</v>
      </c>
      <c r="O428" s="61" t="s">
        <v>3400</v>
      </c>
      <c r="P428" s="61"/>
      <c r="Q428" s="7"/>
      <c r="R428" s="610" t="s">
        <v>2470</v>
      </c>
      <c r="S428" s="315" t="s">
        <v>3341</v>
      </c>
      <c r="T428" s="858"/>
    </row>
    <row r="429" spans="1:20" ht="20.100000000000001" customHeight="1">
      <c r="A429" s="1258" t="s">
        <v>2973</v>
      </c>
      <c r="B429" s="1258" t="s">
        <v>2667</v>
      </c>
      <c r="C429" s="1258" t="s">
        <v>2666</v>
      </c>
      <c r="D429" s="1046">
        <v>2825</v>
      </c>
      <c r="E429" s="1046">
        <v>3850</v>
      </c>
      <c r="F429" s="1046">
        <v>3850</v>
      </c>
      <c r="G429" s="637" t="s">
        <v>5</v>
      </c>
      <c r="H429" s="168" t="s">
        <v>1233</v>
      </c>
      <c r="I429" s="51" t="s">
        <v>2471</v>
      </c>
      <c r="J429" s="50"/>
      <c r="K429" s="34" t="s">
        <v>2396</v>
      </c>
      <c r="L429" s="607" t="s">
        <v>653</v>
      </c>
      <c r="M429" s="159">
        <v>43049</v>
      </c>
      <c r="N429" s="159">
        <v>43058</v>
      </c>
      <c r="O429" s="61" t="s">
        <v>1771</v>
      </c>
      <c r="P429" s="59"/>
      <c r="Q429" s="7"/>
      <c r="R429" s="610" t="s">
        <v>2566</v>
      </c>
      <c r="S429" s="619"/>
      <c r="T429" s="858"/>
    </row>
    <row r="430" spans="1:20" ht="20.100000000000001" customHeight="1">
      <c r="A430" s="1258" t="s">
        <v>2973</v>
      </c>
      <c r="B430" s="1258" t="s">
        <v>2667</v>
      </c>
      <c r="C430" s="1258" t="s">
        <v>2666</v>
      </c>
      <c r="D430" s="1046"/>
      <c r="E430" s="1046"/>
      <c r="F430" s="1046"/>
      <c r="G430" s="637" t="s">
        <v>51</v>
      </c>
      <c r="H430" s="168" t="s">
        <v>1233</v>
      </c>
      <c r="I430" s="50" t="s">
        <v>2613</v>
      </c>
      <c r="J430" s="50"/>
      <c r="K430" s="34" t="s">
        <v>1265</v>
      </c>
      <c r="L430" s="607" t="s">
        <v>653</v>
      </c>
      <c r="M430" s="611">
        <v>43079</v>
      </c>
      <c r="N430" s="611">
        <v>43100</v>
      </c>
      <c r="O430" s="61"/>
      <c r="P430" s="59"/>
      <c r="Q430" s="52"/>
      <c r="R430" s="610" t="s">
        <v>2472</v>
      </c>
      <c r="S430" s="316" t="s">
        <v>3341</v>
      </c>
      <c r="T430" s="858"/>
    </row>
    <row r="431" spans="1:20" ht="20.100000000000001" customHeight="1">
      <c r="A431" s="1258" t="s">
        <v>2973</v>
      </c>
      <c r="B431" s="1258" t="s">
        <v>2667</v>
      </c>
      <c r="C431" s="1258" t="s">
        <v>2666</v>
      </c>
      <c r="D431" s="1018">
        <f>D232+1400+25</f>
        <v>2950</v>
      </c>
      <c r="E431" s="1018">
        <f>E232+1800+50</f>
        <v>3425</v>
      </c>
      <c r="F431" s="1018">
        <f>F232+1800+50</f>
        <v>3425</v>
      </c>
      <c r="G431" s="609" t="s">
        <v>1689</v>
      </c>
      <c r="H431" s="168" t="s">
        <v>1233</v>
      </c>
      <c r="I431" s="37" t="s">
        <v>2569</v>
      </c>
      <c r="J431" s="37"/>
      <c r="K431" s="5" t="s">
        <v>835</v>
      </c>
      <c r="L431" s="607" t="s">
        <v>653</v>
      </c>
      <c r="M431" s="156">
        <v>43076</v>
      </c>
      <c r="N431" s="156">
        <v>43083</v>
      </c>
      <c r="O431" s="61" t="s">
        <v>1771</v>
      </c>
      <c r="P431" s="61"/>
      <c r="Q431" s="52"/>
      <c r="R431" s="610" t="s">
        <v>2470</v>
      </c>
      <c r="S431" s="622"/>
      <c r="T431" s="858"/>
    </row>
    <row r="432" spans="1:20" ht="20.100000000000001" customHeight="1">
      <c r="A432" s="1258" t="s">
        <v>2973</v>
      </c>
      <c r="B432" s="1258" t="s">
        <v>2667</v>
      </c>
      <c r="C432" s="1258" t="s">
        <v>2666</v>
      </c>
      <c r="D432" s="1019">
        <f>D233+410</f>
        <v>2590</v>
      </c>
      <c r="E432" s="1019">
        <f>E233+640</f>
        <v>3040</v>
      </c>
      <c r="F432" s="1019">
        <f>F233+640</f>
        <v>3040</v>
      </c>
      <c r="G432" s="216" t="s">
        <v>19</v>
      </c>
      <c r="H432" s="168" t="s">
        <v>1233</v>
      </c>
      <c r="I432" s="50" t="s">
        <v>2569</v>
      </c>
      <c r="J432" s="50"/>
      <c r="K432" s="19" t="s">
        <v>2396</v>
      </c>
      <c r="L432" s="607" t="s">
        <v>653</v>
      </c>
      <c r="M432" s="156">
        <v>43084</v>
      </c>
      <c r="N432" s="156">
        <v>43093</v>
      </c>
      <c r="O432" s="59" t="s">
        <v>611</v>
      </c>
      <c r="P432" s="59"/>
      <c r="Q432" s="7"/>
      <c r="R432" s="610" t="s">
        <v>2469</v>
      </c>
      <c r="S432" s="315" t="s">
        <v>3337</v>
      </c>
      <c r="T432" s="858"/>
    </row>
    <row r="433" spans="1:20" ht="20.100000000000001" customHeight="1">
      <c r="A433" s="1257" t="s">
        <v>2973</v>
      </c>
      <c r="B433" s="1258" t="s">
        <v>2665</v>
      </c>
      <c r="C433" s="1258" t="s">
        <v>2664</v>
      </c>
      <c r="D433" s="1009">
        <v>2500</v>
      </c>
      <c r="E433" s="1009">
        <v>3175</v>
      </c>
      <c r="F433" s="1009">
        <v>3175</v>
      </c>
      <c r="G433" s="630" t="s">
        <v>33</v>
      </c>
      <c r="H433" s="56" t="s">
        <v>729</v>
      </c>
      <c r="I433" s="50" t="s">
        <v>2471</v>
      </c>
      <c r="J433" s="50"/>
      <c r="K433" s="34" t="s">
        <v>975</v>
      </c>
      <c r="L433" s="607" t="s">
        <v>653</v>
      </c>
      <c r="M433" s="159">
        <v>43080</v>
      </c>
      <c r="N433" s="159">
        <v>43086</v>
      </c>
      <c r="O433" s="61"/>
      <c r="P433" s="61"/>
      <c r="Q433" s="7"/>
      <c r="R433" s="606" t="s">
        <v>2756</v>
      </c>
      <c r="S433" s="622" t="s">
        <v>1176</v>
      </c>
      <c r="T433" s="858"/>
    </row>
    <row r="434" spans="1:20" ht="20.100000000000001" customHeight="1">
      <c r="A434" s="1257" t="s">
        <v>2973</v>
      </c>
      <c r="B434" s="1258" t="s">
        <v>2665</v>
      </c>
      <c r="C434" s="1259" t="s">
        <v>2664</v>
      </c>
      <c r="D434" s="1010" t="s">
        <v>1634</v>
      </c>
      <c r="E434" s="1010" t="s">
        <v>3968</v>
      </c>
      <c r="F434" s="1010" t="s">
        <v>3968</v>
      </c>
      <c r="G434" s="782" t="s">
        <v>76</v>
      </c>
      <c r="H434" s="168" t="s">
        <v>1233</v>
      </c>
      <c r="I434" s="5" t="s">
        <v>2613</v>
      </c>
      <c r="J434" s="5"/>
      <c r="K434" s="34">
        <v>45</v>
      </c>
      <c r="L434" s="607" t="s">
        <v>653</v>
      </c>
      <c r="M434" s="6">
        <v>43087</v>
      </c>
      <c r="N434" s="6">
        <v>43093</v>
      </c>
      <c r="O434" s="61" t="s">
        <v>3400</v>
      </c>
      <c r="P434" s="61"/>
      <c r="Q434" s="52"/>
      <c r="R434" s="610" t="s">
        <v>2470</v>
      </c>
      <c r="S434" s="315" t="s">
        <v>3341</v>
      </c>
      <c r="T434" s="858"/>
    </row>
    <row r="435" spans="1:20" ht="20.100000000000001" customHeight="1">
      <c r="A435" s="1257" t="s">
        <v>2973</v>
      </c>
      <c r="B435" s="1258" t="s">
        <v>2665</v>
      </c>
      <c r="C435" s="1258" t="s">
        <v>2664</v>
      </c>
      <c r="D435" s="1027">
        <f>E435*0.8</f>
        <v>2640</v>
      </c>
      <c r="E435" s="1027">
        <v>3300</v>
      </c>
      <c r="F435" s="1027">
        <f>E435</f>
        <v>3300</v>
      </c>
      <c r="G435" s="637" t="s">
        <v>12</v>
      </c>
      <c r="H435" s="56">
        <v>3</v>
      </c>
      <c r="I435" s="50" t="s">
        <v>2471</v>
      </c>
      <c r="J435" s="50"/>
      <c r="K435" s="34" t="s">
        <v>982</v>
      </c>
      <c r="L435" s="607" t="s">
        <v>653</v>
      </c>
      <c r="M435" s="15">
        <v>43076</v>
      </c>
      <c r="N435" s="15">
        <v>43083</v>
      </c>
      <c r="O435" s="59" t="s">
        <v>2545</v>
      </c>
      <c r="P435" s="59" t="s">
        <v>2643</v>
      </c>
      <c r="Q435" s="7"/>
      <c r="R435" s="610" t="s">
        <v>3398</v>
      </c>
      <c r="S435" s="322" t="s">
        <v>1176</v>
      </c>
      <c r="T435" s="858"/>
    </row>
    <row r="436" spans="1:20" ht="20.100000000000001" customHeight="1">
      <c r="A436" s="1257" t="s">
        <v>2973</v>
      </c>
      <c r="B436" s="1258" t="s">
        <v>2665</v>
      </c>
      <c r="C436" s="1258" t="s">
        <v>2664</v>
      </c>
      <c r="D436" s="1015">
        <v>2700</v>
      </c>
      <c r="E436" s="1015">
        <v>3350</v>
      </c>
      <c r="F436" s="1015">
        <v>3350</v>
      </c>
      <c r="G436" s="631" t="s">
        <v>31</v>
      </c>
      <c r="H436" s="56" t="s">
        <v>725</v>
      </c>
      <c r="I436" s="38" t="s">
        <v>2468</v>
      </c>
      <c r="J436" s="38"/>
      <c r="K436" s="5">
        <v>44</v>
      </c>
      <c r="L436" s="607" t="s">
        <v>653</v>
      </c>
      <c r="M436" s="623">
        <v>43080</v>
      </c>
      <c r="N436" s="623">
        <v>43083</v>
      </c>
      <c r="O436" s="61"/>
      <c r="P436" s="61"/>
      <c r="Q436" s="52"/>
      <c r="R436" s="606" t="s">
        <v>2586</v>
      </c>
      <c r="S436" s="622" t="s">
        <v>1176</v>
      </c>
      <c r="T436" s="858"/>
    </row>
    <row r="437" spans="1:20" ht="20.100000000000001" customHeight="1">
      <c r="A437" s="1257" t="s">
        <v>2973</v>
      </c>
      <c r="B437" s="1258" t="s">
        <v>2665</v>
      </c>
      <c r="C437" s="1258" t="s">
        <v>2664</v>
      </c>
      <c r="D437" s="1034">
        <v>2675</v>
      </c>
      <c r="E437" s="1034">
        <v>4250</v>
      </c>
      <c r="F437" s="1034">
        <v>4250</v>
      </c>
      <c r="G437" s="637" t="s">
        <v>5</v>
      </c>
      <c r="H437" s="168" t="s">
        <v>1233</v>
      </c>
      <c r="I437" s="51" t="s">
        <v>2471</v>
      </c>
      <c r="J437" s="51"/>
      <c r="K437" s="34" t="s">
        <v>986</v>
      </c>
      <c r="L437" s="607" t="s">
        <v>653</v>
      </c>
      <c r="M437" s="607"/>
      <c r="N437" s="159">
        <v>42981</v>
      </c>
      <c r="O437" s="61" t="s">
        <v>1771</v>
      </c>
      <c r="P437" s="59"/>
      <c r="Q437" s="7"/>
      <c r="R437" s="610" t="s">
        <v>2566</v>
      </c>
      <c r="S437" s="619"/>
      <c r="T437" s="858"/>
    </row>
    <row r="438" spans="1:20" ht="20.100000000000001" customHeight="1">
      <c r="A438" s="1257" t="s">
        <v>2973</v>
      </c>
      <c r="B438" s="1258" t="s">
        <v>2665</v>
      </c>
      <c r="C438" s="1258" t="s">
        <v>2664</v>
      </c>
      <c r="D438" s="1018">
        <f>D206+1000+25</f>
        <v>2550</v>
      </c>
      <c r="E438" s="1018">
        <f>E206+1500+50</f>
        <v>3125</v>
      </c>
      <c r="F438" s="1018">
        <f>F206+1500+50</f>
        <v>3125</v>
      </c>
      <c r="G438" s="609" t="s">
        <v>1689</v>
      </c>
      <c r="H438" s="168" t="s">
        <v>1233</v>
      </c>
      <c r="I438" s="37" t="s">
        <v>2471</v>
      </c>
      <c r="J438" s="37"/>
      <c r="K438" s="5" t="s">
        <v>722</v>
      </c>
      <c r="L438" s="607" t="s">
        <v>653</v>
      </c>
      <c r="M438" s="156">
        <v>43076</v>
      </c>
      <c r="N438" s="156">
        <v>43083</v>
      </c>
      <c r="O438" s="61" t="s">
        <v>1771</v>
      </c>
      <c r="P438" s="61"/>
      <c r="Q438" s="52"/>
      <c r="R438" s="610" t="s">
        <v>2470</v>
      </c>
      <c r="S438" s="622"/>
      <c r="T438" s="858"/>
    </row>
    <row r="439" spans="1:20" ht="20.100000000000001" customHeight="1">
      <c r="A439" s="1257" t="s">
        <v>2973</v>
      </c>
      <c r="B439" s="1258" t="s">
        <v>2665</v>
      </c>
      <c r="C439" s="1258" t="s">
        <v>2664</v>
      </c>
      <c r="D439" s="1015">
        <f>D207+600+0</f>
        <v>2780</v>
      </c>
      <c r="E439" s="1015">
        <f>E207+1000+0</f>
        <v>3400</v>
      </c>
      <c r="F439" s="1015">
        <f>F207+1000+0</f>
        <v>3400</v>
      </c>
      <c r="G439" s="216" t="s">
        <v>19</v>
      </c>
      <c r="H439" s="168" t="s">
        <v>1233</v>
      </c>
      <c r="I439" s="50" t="s">
        <v>2471</v>
      </c>
      <c r="J439" s="50"/>
      <c r="K439" s="34" t="s">
        <v>986</v>
      </c>
      <c r="L439" s="607" t="s">
        <v>653</v>
      </c>
      <c r="M439" s="156">
        <v>43084</v>
      </c>
      <c r="N439" s="156">
        <v>43093</v>
      </c>
      <c r="O439" s="59" t="s">
        <v>611</v>
      </c>
      <c r="P439" s="59"/>
      <c r="Q439" s="7"/>
      <c r="R439" s="610" t="s">
        <v>2469</v>
      </c>
      <c r="S439" s="315" t="s">
        <v>3337</v>
      </c>
      <c r="T439" s="858"/>
    </row>
    <row r="440" spans="1:20" ht="20.100000000000001" customHeight="1">
      <c r="A440" s="1258" t="s">
        <v>2975</v>
      </c>
      <c r="B440" s="1258" t="s">
        <v>2663</v>
      </c>
      <c r="C440" s="1258" t="s">
        <v>2662</v>
      </c>
      <c r="D440" s="1051">
        <f>D433+500</f>
        <v>3000</v>
      </c>
      <c r="E440" s="1051">
        <f>E433+300</f>
        <v>3475</v>
      </c>
      <c r="F440" s="1051">
        <f>F433+300</f>
        <v>3475</v>
      </c>
      <c r="G440" s="613" t="s">
        <v>33</v>
      </c>
      <c r="H440" s="56" t="s">
        <v>729</v>
      </c>
      <c r="I440" s="50" t="s">
        <v>2471</v>
      </c>
      <c r="J440" s="50"/>
      <c r="K440" s="19" t="s">
        <v>970</v>
      </c>
      <c r="L440" s="607" t="s">
        <v>653</v>
      </c>
      <c r="M440" s="159">
        <v>43080</v>
      </c>
      <c r="N440" s="159">
        <v>43086</v>
      </c>
      <c r="O440" s="61"/>
      <c r="P440" s="61"/>
      <c r="Q440" s="7"/>
      <c r="R440" s="606" t="s">
        <v>2756</v>
      </c>
      <c r="S440" s="622" t="s">
        <v>1176</v>
      </c>
      <c r="T440" s="858"/>
    </row>
    <row r="441" spans="1:20" ht="20.100000000000001" customHeight="1">
      <c r="A441" s="1258" t="s">
        <v>2975</v>
      </c>
      <c r="B441" s="1258" t="s">
        <v>2663</v>
      </c>
      <c r="C441" s="1258" t="s">
        <v>2662</v>
      </c>
      <c r="D441" s="1051"/>
      <c r="E441" s="1051"/>
      <c r="F441" s="1051"/>
      <c r="G441" s="630" t="s">
        <v>18</v>
      </c>
      <c r="H441" s="56" t="s">
        <v>1102</v>
      </c>
      <c r="I441" s="50" t="s">
        <v>2548</v>
      </c>
      <c r="J441" s="50"/>
      <c r="K441" s="34" t="s">
        <v>1264</v>
      </c>
      <c r="L441" s="607" t="s">
        <v>653</v>
      </c>
      <c r="M441" s="108">
        <v>43073</v>
      </c>
      <c r="N441" s="108">
        <v>43083</v>
      </c>
      <c r="O441" s="61"/>
      <c r="P441" s="61"/>
      <c r="Q441" s="7"/>
      <c r="R441" s="606" t="s">
        <v>2547</v>
      </c>
      <c r="S441" s="622"/>
      <c r="T441" s="858"/>
    </row>
    <row r="442" spans="1:20" ht="20.100000000000001" customHeight="1">
      <c r="A442" s="1258" t="s">
        <v>2973</v>
      </c>
      <c r="B442" s="1258" t="s">
        <v>2663</v>
      </c>
      <c r="C442" s="1258" t="s">
        <v>2662</v>
      </c>
      <c r="D442" s="1020">
        <f>E442*0.8</f>
        <v>2560</v>
      </c>
      <c r="E442" s="1020">
        <v>3200</v>
      </c>
      <c r="F442" s="1020">
        <f>E442</f>
        <v>3200</v>
      </c>
      <c r="G442" s="637" t="s">
        <v>12</v>
      </c>
      <c r="H442" s="56">
        <v>3</v>
      </c>
      <c r="I442" s="50" t="s">
        <v>2471</v>
      </c>
      <c r="J442" s="50"/>
      <c r="K442" s="34" t="s">
        <v>722</v>
      </c>
      <c r="L442" s="607" t="s">
        <v>653</v>
      </c>
      <c r="M442" s="15">
        <v>43076</v>
      </c>
      <c r="N442" s="15">
        <v>43083</v>
      </c>
      <c r="O442" s="59" t="s">
        <v>2545</v>
      </c>
      <c r="P442" s="59" t="s">
        <v>2643</v>
      </c>
      <c r="Q442" s="7"/>
      <c r="R442" s="610" t="s">
        <v>3398</v>
      </c>
      <c r="S442" s="322" t="s">
        <v>1176</v>
      </c>
      <c r="T442" s="858"/>
    </row>
    <row r="443" spans="1:20" ht="20.100000000000001" customHeight="1">
      <c r="A443" s="1258" t="s">
        <v>2973</v>
      </c>
      <c r="B443" s="1258" t="s">
        <v>2663</v>
      </c>
      <c r="C443" s="1258" t="s">
        <v>2662</v>
      </c>
      <c r="D443" s="1015">
        <v>2700</v>
      </c>
      <c r="E443" s="1015">
        <v>3350</v>
      </c>
      <c r="F443" s="1015">
        <v>3350</v>
      </c>
      <c r="G443" s="631" t="s">
        <v>31</v>
      </c>
      <c r="H443" s="56" t="s">
        <v>725</v>
      </c>
      <c r="I443" s="38" t="s">
        <v>2468</v>
      </c>
      <c r="J443" s="37"/>
      <c r="K443" s="5">
        <v>51</v>
      </c>
      <c r="L443" s="607" t="s">
        <v>653</v>
      </c>
      <c r="M443" s="623">
        <v>43080</v>
      </c>
      <c r="N443" s="623">
        <v>43083</v>
      </c>
      <c r="O443" s="61"/>
      <c r="P443" s="61"/>
      <c r="Q443" s="52"/>
      <c r="R443" s="606" t="s">
        <v>2586</v>
      </c>
      <c r="S443" s="622" t="s">
        <v>1176</v>
      </c>
      <c r="T443" s="858"/>
    </row>
    <row r="444" spans="1:20" ht="20.100000000000001" customHeight="1">
      <c r="A444" s="1258" t="s">
        <v>2973</v>
      </c>
      <c r="B444" s="1258" t="s">
        <v>2663</v>
      </c>
      <c r="C444" s="1258" t="s">
        <v>2662</v>
      </c>
      <c r="D444" s="1052">
        <v>2205</v>
      </c>
      <c r="E444" s="1052" t="s">
        <v>5418</v>
      </c>
      <c r="F444" s="1052" t="s">
        <v>5418</v>
      </c>
      <c r="G444" s="782" t="s">
        <v>76</v>
      </c>
      <c r="H444" s="168" t="s">
        <v>1233</v>
      </c>
      <c r="I444" s="5" t="s">
        <v>2471</v>
      </c>
      <c r="J444" s="5"/>
      <c r="K444" s="34">
        <v>45</v>
      </c>
      <c r="L444" s="607" t="s">
        <v>653</v>
      </c>
      <c r="M444" s="6">
        <v>43087</v>
      </c>
      <c r="N444" s="6">
        <v>43093</v>
      </c>
      <c r="O444" s="61" t="s">
        <v>3400</v>
      </c>
      <c r="P444" s="61"/>
      <c r="Q444" s="7"/>
      <c r="R444" s="610" t="s">
        <v>2470</v>
      </c>
      <c r="S444" s="315" t="s">
        <v>3341</v>
      </c>
      <c r="T444" s="858"/>
    </row>
    <row r="445" spans="1:20" ht="20.100000000000001" customHeight="1">
      <c r="A445" s="1258" t="s">
        <v>2973</v>
      </c>
      <c r="B445" s="1258" t="s">
        <v>2663</v>
      </c>
      <c r="C445" s="1258" t="s">
        <v>2662</v>
      </c>
      <c r="D445" s="1030">
        <f>D232+1000+25</f>
        <v>2550</v>
      </c>
      <c r="E445" s="1030">
        <f>E232+1500+50</f>
        <v>3125</v>
      </c>
      <c r="F445" s="1030">
        <f>F232+1500+50</f>
        <v>3125</v>
      </c>
      <c r="G445" s="609" t="s">
        <v>1689</v>
      </c>
      <c r="H445" s="168" t="s">
        <v>1233</v>
      </c>
      <c r="I445" s="37" t="s">
        <v>2569</v>
      </c>
      <c r="J445" s="37"/>
      <c r="K445" s="5"/>
      <c r="L445" s="607" t="s">
        <v>653</v>
      </c>
      <c r="M445" s="156">
        <v>43076</v>
      </c>
      <c r="N445" s="156">
        <v>43083</v>
      </c>
      <c r="O445" s="61" t="s">
        <v>1771</v>
      </c>
      <c r="P445" s="61"/>
      <c r="Q445" s="52"/>
      <c r="R445" s="610" t="s">
        <v>2470</v>
      </c>
      <c r="S445" s="622"/>
      <c r="T445" s="858"/>
    </row>
    <row r="446" spans="1:20" ht="20.100000000000001" customHeight="1">
      <c r="A446" s="1258" t="s">
        <v>2973</v>
      </c>
      <c r="B446" s="1258" t="s">
        <v>2663</v>
      </c>
      <c r="C446" s="1258" t="s">
        <v>2662</v>
      </c>
      <c r="D446" s="1046">
        <v>2650</v>
      </c>
      <c r="E446" s="1046">
        <v>3200</v>
      </c>
      <c r="F446" s="1046">
        <v>3200</v>
      </c>
      <c r="G446" s="637" t="s">
        <v>51</v>
      </c>
      <c r="H446" s="168" t="s">
        <v>1233</v>
      </c>
      <c r="I446" s="50" t="s">
        <v>2613</v>
      </c>
      <c r="J446" s="50"/>
      <c r="K446" s="34" t="s">
        <v>986</v>
      </c>
      <c r="L446" s="607" t="s">
        <v>653</v>
      </c>
      <c r="M446" s="611">
        <v>43079</v>
      </c>
      <c r="N446" s="611">
        <v>43100</v>
      </c>
      <c r="O446" s="61"/>
      <c r="P446" s="59"/>
      <c r="Q446" s="52"/>
      <c r="R446" s="610" t="s">
        <v>2472</v>
      </c>
      <c r="S446" s="316" t="s">
        <v>3341</v>
      </c>
      <c r="T446" s="858"/>
    </row>
    <row r="447" spans="1:20" ht="20.100000000000001" customHeight="1">
      <c r="A447" s="1258" t="s">
        <v>2973</v>
      </c>
      <c r="B447" s="1258" t="s">
        <v>2663</v>
      </c>
      <c r="C447" s="1258" t="s">
        <v>2662</v>
      </c>
      <c r="D447" s="1019">
        <f>D429</f>
        <v>2825</v>
      </c>
      <c r="E447" s="1019">
        <f>E429</f>
        <v>3850</v>
      </c>
      <c r="F447" s="1019">
        <f>F429</f>
        <v>3850</v>
      </c>
      <c r="G447" s="216" t="s">
        <v>5</v>
      </c>
      <c r="H447" s="168" t="s">
        <v>1233</v>
      </c>
      <c r="I447" s="51" t="s">
        <v>2471</v>
      </c>
      <c r="J447" s="50"/>
      <c r="K447" s="19" t="s">
        <v>2395</v>
      </c>
      <c r="L447" s="607" t="s">
        <v>653</v>
      </c>
      <c r="M447" s="159">
        <v>43049</v>
      </c>
      <c r="N447" s="159">
        <v>43058</v>
      </c>
      <c r="O447" s="61" t="s">
        <v>1771</v>
      </c>
      <c r="P447" s="59"/>
      <c r="Q447" s="7"/>
      <c r="R447" s="610" t="s">
        <v>2566</v>
      </c>
      <c r="S447" s="619"/>
      <c r="T447" s="858"/>
    </row>
    <row r="448" spans="1:20" ht="20.100000000000001" customHeight="1">
      <c r="A448" s="1258" t="s">
        <v>2973</v>
      </c>
      <c r="B448" s="1258" t="s">
        <v>2663</v>
      </c>
      <c r="C448" s="1258" t="s">
        <v>2662</v>
      </c>
      <c r="D448" s="1015">
        <f>D233+605</f>
        <v>2785</v>
      </c>
      <c r="E448" s="1015">
        <f>E233+855</f>
        <v>3255</v>
      </c>
      <c r="F448" s="1015">
        <f>F233+855</f>
        <v>3255</v>
      </c>
      <c r="G448" s="216" t="s">
        <v>19</v>
      </c>
      <c r="H448" s="168" t="s">
        <v>1233</v>
      </c>
      <c r="I448" s="50" t="s">
        <v>2569</v>
      </c>
      <c r="J448" s="50"/>
      <c r="K448" s="19" t="s">
        <v>986</v>
      </c>
      <c r="L448" s="607" t="s">
        <v>653</v>
      </c>
      <c r="M448" s="156">
        <v>43084</v>
      </c>
      <c r="N448" s="156">
        <v>43093</v>
      </c>
      <c r="O448" s="59" t="s">
        <v>611</v>
      </c>
      <c r="P448" s="59"/>
      <c r="Q448" s="7"/>
      <c r="R448" s="610" t="s">
        <v>2469</v>
      </c>
      <c r="S448" s="315" t="s">
        <v>3337</v>
      </c>
      <c r="T448" s="858"/>
    </row>
    <row r="449" spans="1:20" ht="20.100000000000001" customHeight="1">
      <c r="A449" s="927" t="s">
        <v>2975</v>
      </c>
      <c r="B449" s="928" t="s">
        <v>2661</v>
      </c>
      <c r="C449" s="928" t="s">
        <v>2660</v>
      </c>
      <c r="D449" s="1018"/>
      <c r="E449" s="1018"/>
      <c r="F449" s="1018"/>
      <c r="G449" s="637" t="s">
        <v>5</v>
      </c>
      <c r="H449" s="56" t="s">
        <v>2535</v>
      </c>
      <c r="I449" s="38" t="s">
        <v>2431</v>
      </c>
      <c r="J449" s="38"/>
      <c r="K449" s="5" t="s">
        <v>3325</v>
      </c>
      <c r="L449" s="607" t="s">
        <v>653</v>
      </c>
      <c r="M449" s="607"/>
      <c r="N449" s="159">
        <v>42981</v>
      </c>
      <c r="O449" s="61" t="s">
        <v>1771</v>
      </c>
      <c r="P449" s="61"/>
      <c r="Q449" s="72" t="s">
        <v>1024</v>
      </c>
      <c r="R449" s="606" t="s">
        <v>2587</v>
      </c>
      <c r="S449" s="622"/>
      <c r="T449" s="858"/>
    </row>
    <row r="450" spans="1:20" ht="20.100000000000001" customHeight="1">
      <c r="A450" s="1257" t="s">
        <v>3377</v>
      </c>
      <c r="B450" s="1258" t="s">
        <v>2657</v>
      </c>
      <c r="C450" s="1258" t="s">
        <v>2659</v>
      </c>
      <c r="D450" s="1029">
        <f>E450*0.8</f>
        <v>2640</v>
      </c>
      <c r="E450" s="1029">
        <v>3300</v>
      </c>
      <c r="F450" s="1029">
        <f>E450</f>
        <v>3300</v>
      </c>
      <c r="G450" s="637" t="s">
        <v>12</v>
      </c>
      <c r="H450" s="56">
        <v>3</v>
      </c>
      <c r="I450" s="50" t="s">
        <v>2471</v>
      </c>
      <c r="J450" s="50"/>
      <c r="K450" s="34" t="s">
        <v>980</v>
      </c>
      <c r="L450" s="607" t="s">
        <v>653</v>
      </c>
      <c r="M450" s="15">
        <v>43076</v>
      </c>
      <c r="N450" s="15">
        <v>43083</v>
      </c>
      <c r="O450" s="59" t="s">
        <v>2545</v>
      </c>
      <c r="P450" s="59" t="s">
        <v>2643</v>
      </c>
      <c r="Q450" s="7"/>
      <c r="R450" s="610" t="s">
        <v>3398</v>
      </c>
      <c r="S450" s="322" t="s">
        <v>1176</v>
      </c>
      <c r="T450" s="858"/>
    </row>
    <row r="451" spans="1:20" ht="20.100000000000001" customHeight="1">
      <c r="A451" s="1257" t="s">
        <v>2973</v>
      </c>
      <c r="B451" s="1258" t="s">
        <v>2657</v>
      </c>
      <c r="C451" s="1259" t="s">
        <v>2659</v>
      </c>
      <c r="D451" s="1010" t="s">
        <v>4258</v>
      </c>
      <c r="E451" s="1010" t="s">
        <v>4257</v>
      </c>
      <c r="F451" s="1010" t="s">
        <v>4257</v>
      </c>
      <c r="G451" s="780" t="s">
        <v>76</v>
      </c>
      <c r="H451" s="168" t="s">
        <v>659</v>
      </c>
      <c r="I451" s="5" t="s">
        <v>2543</v>
      </c>
      <c r="J451" s="5"/>
      <c r="K451" s="34">
        <v>45</v>
      </c>
      <c r="L451" s="607" t="s">
        <v>653</v>
      </c>
      <c r="M451" s="6">
        <v>43087</v>
      </c>
      <c r="N451" s="6">
        <v>43093</v>
      </c>
      <c r="O451" s="61" t="s">
        <v>3401</v>
      </c>
      <c r="P451" s="61"/>
      <c r="Q451" s="61"/>
      <c r="R451" s="606"/>
      <c r="S451" s="315" t="s">
        <v>3341</v>
      </c>
      <c r="T451" s="858"/>
    </row>
    <row r="452" spans="1:20" ht="20.100000000000001" customHeight="1">
      <c r="A452" s="1257" t="s">
        <v>2973</v>
      </c>
      <c r="B452" s="1258" t="s">
        <v>2657</v>
      </c>
      <c r="C452" s="1258" t="s">
        <v>2659</v>
      </c>
      <c r="D452" s="1032">
        <f>D265+2023</f>
        <v>4203</v>
      </c>
      <c r="E452" s="1032">
        <f>E265+2846</f>
        <v>5246</v>
      </c>
      <c r="F452" s="1032">
        <f>F265+2846</f>
        <v>5246</v>
      </c>
      <c r="G452" s="216" t="s">
        <v>19</v>
      </c>
      <c r="H452" s="168" t="s">
        <v>1233</v>
      </c>
      <c r="I452" s="50" t="s">
        <v>2613</v>
      </c>
      <c r="J452" s="50"/>
      <c r="K452" s="34">
        <v>47</v>
      </c>
      <c r="L452" s="607" t="s">
        <v>653</v>
      </c>
      <c r="M452" s="156">
        <v>43084</v>
      </c>
      <c r="N452" s="156">
        <v>43093</v>
      </c>
      <c r="O452" s="59" t="s">
        <v>611</v>
      </c>
      <c r="P452" s="59"/>
      <c r="Q452" s="7"/>
      <c r="R452" s="610" t="s">
        <v>2469</v>
      </c>
      <c r="S452" s="315" t="s">
        <v>3337</v>
      </c>
      <c r="T452" s="858"/>
    </row>
    <row r="453" spans="1:20" ht="20.100000000000001" customHeight="1">
      <c r="A453" s="1257" t="s">
        <v>2973</v>
      </c>
      <c r="B453" s="1258" t="s">
        <v>2657</v>
      </c>
      <c r="C453" s="1258" t="s">
        <v>2659</v>
      </c>
      <c r="D453" s="1015">
        <f>D206+1500+25</f>
        <v>3050</v>
      </c>
      <c r="E453" s="1015">
        <f>E206+2000+50</f>
        <v>3625</v>
      </c>
      <c r="F453" s="1015">
        <f>F206+2000+50</f>
        <v>3625</v>
      </c>
      <c r="G453" s="609" t="s">
        <v>1689</v>
      </c>
      <c r="H453" s="168" t="s">
        <v>1233</v>
      </c>
      <c r="I453" s="37" t="s">
        <v>2471</v>
      </c>
      <c r="J453" s="37"/>
      <c r="K453" s="5"/>
      <c r="L453" s="607" t="s">
        <v>653</v>
      </c>
      <c r="M453" s="156">
        <v>43076</v>
      </c>
      <c r="N453" s="156">
        <v>43083</v>
      </c>
      <c r="O453" s="61" t="s">
        <v>1771</v>
      </c>
      <c r="P453" s="61"/>
      <c r="Q453" s="52"/>
      <c r="R453" s="610" t="s">
        <v>2470</v>
      </c>
      <c r="S453" s="622"/>
      <c r="T453" s="858"/>
    </row>
    <row r="454" spans="1:20" ht="20.100000000000001" customHeight="1">
      <c r="A454" s="1257" t="s">
        <v>2973</v>
      </c>
      <c r="B454" s="1258" t="s">
        <v>2657</v>
      </c>
      <c r="C454" s="1258" t="s">
        <v>2659</v>
      </c>
      <c r="D454" s="1040">
        <v>5800</v>
      </c>
      <c r="E454" s="1040">
        <v>8200</v>
      </c>
      <c r="F454" s="1040">
        <v>8300</v>
      </c>
      <c r="G454" s="631" t="s">
        <v>31</v>
      </c>
      <c r="H454" s="56" t="s">
        <v>725</v>
      </c>
      <c r="I454" s="38" t="s">
        <v>3378</v>
      </c>
      <c r="J454" s="38"/>
      <c r="K454" s="5">
        <v>57</v>
      </c>
      <c r="L454" s="607" t="s">
        <v>653</v>
      </c>
      <c r="M454" s="623">
        <v>43040</v>
      </c>
      <c r="N454" s="623">
        <v>43083</v>
      </c>
      <c r="O454" s="61" t="s">
        <v>1307</v>
      </c>
      <c r="P454" s="61"/>
      <c r="Q454" s="52"/>
      <c r="R454" s="606" t="s">
        <v>2586</v>
      </c>
      <c r="S454" s="622" t="s">
        <v>1176</v>
      </c>
      <c r="T454" s="858"/>
    </row>
    <row r="455" spans="1:20" ht="20.100000000000001" customHeight="1">
      <c r="A455" s="927" t="s">
        <v>2974</v>
      </c>
      <c r="B455" s="928" t="s">
        <v>2657</v>
      </c>
      <c r="C455" s="929" t="s">
        <v>2658</v>
      </c>
      <c r="D455" s="1010" t="s">
        <v>4256</v>
      </c>
      <c r="E455" s="1010" t="s">
        <v>4255</v>
      </c>
      <c r="F455" s="1010" t="s">
        <v>4255</v>
      </c>
      <c r="G455" s="780" t="s">
        <v>76</v>
      </c>
      <c r="H455" s="56" t="s">
        <v>659</v>
      </c>
      <c r="I455" s="5" t="s">
        <v>2543</v>
      </c>
      <c r="J455" s="5"/>
      <c r="K455" s="34">
        <v>45</v>
      </c>
      <c r="L455" s="607" t="s">
        <v>653</v>
      </c>
      <c r="M455" s="6">
        <v>43087</v>
      </c>
      <c r="N455" s="6">
        <v>43093</v>
      </c>
      <c r="O455" s="61" t="s">
        <v>3401</v>
      </c>
      <c r="P455" s="61"/>
      <c r="Q455" s="61"/>
      <c r="R455" s="606"/>
      <c r="S455" s="315" t="s">
        <v>3341</v>
      </c>
      <c r="T455" s="858"/>
    </row>
    <row r="456" spans="1:20" ht="20.100000000000001" customHeight="1">
      <c r="A456" s="927" t="s">
        <v>2974</v>
      </c>
      <c r="B456" s="928" t="s">
        <v>2657</v>
      </c>
      <c r="C456" s="929" t="s">
        <v>4254</v>
      </c>
      <c r="D456" s="1010" t="s">
        <v>4222</v>
      </c>
      <c r="E456" s="1010" t="s">
        <v>4253</v>
      </c>
      <c r="F456" s="1010" t="s">
        <v>4253</v>
      </c>
      <c r="G456" s="780" t="s">
        <v>76</v>
      </c>
      <c r="H456" s="56" t="s">
        <v>659</v>
      </c>
      <c r="I456" s="5" t="s">
        <v>2543</v>
      </c>
      <c r="J456" s="5"/>
      <c r="K456" s="34">
        <v>45</v>
      </c>
      <c r="L456" s="607" t="s">
        <v>653</v>
      </c>
      <c r="M456" s="6">
        <v>43087</v>
      </c>
      <c r="N456" s="6">
        <v>43093</v>
      </c>
      <c r="O456" s="61" t="s">
        <v>3401</v>
      </c>
      <c r="P456" s="61"/>
      <c r="Q456" s="61"/>
      <c r="R456" s="606"/>
      <c r="S456" s="315" t="s">
        <v>3341</v>
      </c>
      <c r="T456" s="858"/>
    </row>
    <row r="457" spans="1:20" ht="20.100000000000001" customHeight="1">
      <c r="A457" s="1257" t="s">
        <v>2973</v>
      </c>
      <c r="B457" s="1258" t="s">
        <v>2651</v>
      </c>
      <c r="C457" s="1258" t="s">
        <v>2652</v>
      </c>
      <c r="D457" s="1051">
        <v>1600</v>
      </c>
      <c r="E457" s="1051">
        <v>1725</v>
      </c>
      <c r="F457" s="1051">
        <v>1725</v>
      </c>
      <c r="G457" s="631" t="s">
        <v>33</v>
      </c>
      <c r="H457" s="56" t="s">
        <v>729</v>
      </c>
      <c r="I457" s="50" t="s">
        <v>2656</v>
      </c>
      <c r="J457" s="50"/>
      <c r="K457" s="19" t="s">
        <v>775</v>
      </c>
      <c r="L457" s="607" t="s">
        <v>653</v>
      </c>
      <c r="M457" s="159">
        <v>43080</v>
      </c>
      <c r="N457" s="159">
        <v>43086</v>
      </c>
      <c r="O457" s="61"/>
      <c r="P457" s="61"/>
      <c r="Q457" s="7"/>
      <c r="R457" s="606" t="s">
        <v>2756</v>
      </c>
      <c r="S457" s="622" t="s">
        <v>1176</v>
      </c>
      <c r="T457" s="858"/>
    </row>
    <row r="458" spans="1:20" ht="20.100000000000001" customHeight="1">
      <c r="A458" s="1257" t="s">
        <v>2973</v>
      </c>
      <c r="B458" s="1258" t="s">
        <v>2651</v>
      </c>
      <c r="C458" s="1258" t="s">
        <v>2652</v>
      </c>
      <c r="D458" s="1051">
        <v>1875</v>
      </c>
      <c r="E458" s="1051">
        <v>2150</v>
      </c>
      <c r="F458" s="1051">
        <v>2150</v>
      </c>
      <c r="G458" s="630" t="s">
        <v>18</v>
      </c>
      <c r="H458" s="56" t="s">
        <v>1102</v>
      </c>
      <c r="I458" s="50" t="s">
        <v>2548</v>
      </c>
      <c r="J458" s="50"/>
      <c r="K458" s="34" t="s">
        <v>980</v>
      </c>
      <c r="L458" s="607" t="s">
        <v>653</v>
      </c>
      <c r="M458" s="108">
        <v>43075</v>
      </c>
      <c r="N458" s="108">
        <v>43083</v>
      </c>
      <c r="O458" s="61"/>
      <c r="P458" s="61"/>
      <c r="Q458" s="7"/>
      <c r="R458" s="606" t="s">
        <v>2547</v>
      </c>
      <c r="S458" s="316"/>
      <c r="T458" s="858"/>
    </row>
    <row r="459" spans="1:20" ht="20.100000000000001" customHeight="1">
      <c r="A459" s="1257" t="s">
        <v>2973</v>
      </c>
      <c r="B459" s="1258" t="s">
        <v>2651</v>
      </c>
      <c r="C459" s="1258" t="s">
        <v>2652</v>
      </c>
      <c r="D459" s="1035">
        <f>E459*0.9</f>
        <v>1890</v>
      </c>
      <c r="E459" s="1035">
        <v>2100</v>
      </c>
      <c r="F459" s="1035">
        <f>E459</f>
        <v>2100</v>
      </c>
      <c r="G459" s="637" t="s">
        <v>12</v>
      </c>
      <c r="H459" s="56">
        <v>3</v>
      </c>
      <c r="I459" s="50" t="s">
        <v>2471</v>
      </c>
      <c r="J459" s="50"/>
      <c r="K459" s="34" t="s">
        <v>980</v>
      </c>
      <c r="L459" s="607" t="s">
        <v>653</v>
      </c>
      <c r="M459" s="15">
        <v>43076</v>
      </c>
      <c r="N459" s="15">
        <v>43083</v>
      </c>
      <c r="O459" s="59" t="s">
        <v>2545</v>
      </c>
      <c r="P459" s="59" t="s">
        <v>2643</v>
      </c>
      <c r="Q459" s="7"/>
      <c r="R459" s="610" t="s">
        <v>3398</v>
      </c>
      <c r="S459" s="322" t="s">
        <v>1176</v>
      </c>
      <c r="T459" s="858"/>
    </row>
    <row r="460" spans="1:20" ht="20.100000000000001" customHeight="1">
      <c r="A460" s="1257" t="s">
        <v>2973</v>
      </c>
      <c r="B460" s="1258" t="s">
        <v>2651</v>
      </c>
      <c r="C460" s="1258" t="s">
        <v>2652</v>
      </c>
      <c r="D460" s="1015">
        <v>1700</v>
      </c>
      <c r="E460" s="1015">
        <v>1800</v>
      </c>
      <c r="F460" s="1015">
        <v>1800</v>
      </c>
      <c r="G460" s="631" t="s">
        <v>31</v>
      </c>
      <c r="H460" s="56" t="s">
        <v>725</v>
      </c>
      <c r="I460" s="38" t="s">
        <v>3378</v>
      </c>
      <c r="J460" s="38"/>
      <c r="K460" s="16">
        <v>50</v>
      </c>
      <c r="L460" s="607" t="s">
        <v>653</v>
      </c>
      <c r="M460" s="623">
        <v>43080</v>
      </c>
      <c r="N460" s="623">
        <v>43083</v>
      </c>
      <c r="O460" s="61" t="s">
        <v>1307</v>
      </c>
      <c r="P460" s="61"/>
      <c r="Q460" s="52"/>
      <c r="R460" s="606" t="s">
        <v>2586</v>
      </c>
      <c r="S460" s="622" t="s">
        <v>1176</v>
      </c>
      <c r="T460" s="858"/>
    </row>
    <row r="461" spans="1:20" ht="20.100000000000001" customHeight="1">
      <c r="A461" s="1257" t="s">
        <v>2973</v>
      </c>
      <c r="B461" s="1258" t="s">
        <v>2651</v>
      </c>
      <c r="C461" s="1259" t="s">
        <v>2652</v>
      </c>
      <c r="D461" s="1010" t="s">
        <v>5421</v>
      </c>
      <c r="E461" s="1010" t="s">
        <v>5420</v>
      </c>
      <c r="F461" s="1010" t="s">
        <v>5420</v>
      </c>
      <c r="G461" s="780" t="s">
        <v>76</v>
      </c>
      <c r="H461" s="56" t="s">
        <v>659</v>
      </c>
      <c r="I461" s="5" t="s">
        <v>2471</v>
      </c>
      <c r="J461" s="5"/>
      <c r="K461" s="34">
        <v>45</v>
      </c>
      <c r="L461" s="607" t="s">
        <v>653</v>
      </c>
      <c r="M461" s="6">
        <v>43087</v>
      </c>
      <c r="N461" s="6">
        <v>43093</v>
      </c>
      <c r="O461" s="61" t="s">
        <v>3400</v>
      </c>
      <c r="P461" s="61"/>
      <c r="Q461" s="7"/>
      <c r="R461" s="606" t="s">
        <v>3398</v>
      </c>
      <c r="S461" s="315" t="s">
        <v>3341</v>
      </c>
      <c r="T461" s="858"/>
    </row>
    <row r="462" spans="1:20" ht="20.100000000000001" customHeight="1">
      <c r="A462" s="1257" t="s">
        <v>2973</v>
      </c>
      <c r="B462" s="1258" t="s">
        <v>2651</v>
      </c>
      <c r="C462" s="1258" t="s">
        <v>2652</v>
      </c>
      <c r="D462" s="1044">
        <v>2375</v>
      </c>
      <c r="E462" s="1044">
        <v>2650</v>
      </c>
      <c r="F462" s="1044">
        <v>2650</v>
      </c>
      <c r="G462" s="637" t="s">
        <v>5</v>
      </c>
      <c r="H462" s="168" t="s">
        <v>1233</v>
      </c>
      <c r="I462" s="51" t="s">
        <v>2471</v>
      </c>
      <c r="J462" s="51"/>
      <c r="K462" s="34" t="s">
        <v>1242</v>
      </c>
      <c r="L462" s="607" t="s">
        <v>653</v>
      </c>
      <c r="M462" s="159">
        <v>43073</v>
      </c>
      <c r="N462" s="159">
        <v>43083</v>
      </c>
      <c r="O462" s="61" t="s">
        <v>1771</v>
      </c>
      <c r="P462" s="59"/>
      <c r="Q462" s="7"/>
      <c r="R462" s="610" t="s">
        <v>2566</v>
      </c>
      <c r="S462" s="619"/>
      <c r="T462" s="858"/>
    </row>
    <row r="463" spans="1:20" ht="20.100000000000001" customHeight="1">
      <c r="A463" s="1257" t="s">
        <v>2973</v>
      </c>
      <c r="B463" s="1258" t="s">
        <v>2651</v>
      </c>
      <c r="C463" s="1258" t="s">
        <v>2652</v>
      </c>
      <c r="D463" s="1050">
        <v>2150</v>
      </c>
      <c r="E463" s="1050">
        <v>2450</v>
      </c>
      <c r="F463" s="1050">
        <v>2450</v>
      </c>
      <c r="G463" s="637" t="s">
        <v>51</v>
      </c>
      <c r="H463" s="56" t="s">
        <v>3379</v>
      </c>
      <c r="I463" s="51" t="s">
        <v>2655</v>
      </c>
      <c r="J463" s="51"/>
      <c r="K463" s="34" t="s">
        <v>2654</v>
      </c>
      <c r="L463" s="607" t="s">
        <v>653</v>
      </c>
      <c r="M463" s="611">
        <v>43086</v>
      </c>
      <c r="N463" s="611">
        <v>43100</v>
      </c>
      <c r="O463" s="61"/>
      <c r="P463" s="59"/>
      <c r="Q463" s="7"/>
      <c r="R463" s="606" t="s">
        <v>2787</v>
      </c>
      <c r="S463" s="316" t="s">
        <v>3341</v>
      </c>
      <c r="T463" s="858"/>
    </row>
    <row r="464" spans="1:20" ht="20.100000000000001" customHeight="1">
      <c r="A464" s="1257" t="s">
        <v>2973</v>
      </c>
      <c r="B464" s="1258" t="s">
        <v>2651</v>
      </c>
      <c r="C464" s="1258" t="s">
        <v>2652</v>
      </c>
      <c r="D464" s="1018">
        <f>D206+1000+25</f>
        <v>2550</v>
      </c>
      <c r="E464" s="1018">
        <f>E206+1500+50</f>
        <v>3125</v>
      </c>
      <c r="F464" s="1018">
        <f>F206+1500+50</f>
        <v>3125</v>
      </c>
      <c r="G464" s="609" t="s">
        <v>1689</v>
      </c>
      <c r="H464" s="168" t="s">
        <v>1233</v>
      </c>
      <c r="I464" s="37" t="s">
        <v>2471</v>
      </c>
      <c r="J464" s="37"/>
      <c r="K464" s="5" t="s">
        <v>687</v>
      </c>
      <c r="L464" s="607" t="s">
        <v>653</v>
      </c>
      <c r="M464" s="156">
        <v>43076</v>
      </c>
      <c r="N464" s="156">
        <v>43083</v>
      </c>
      <c r="O464" s="61" t="s">
        <v>1771</v>
      </c>
      <c r="P464" s="61" t="s">
        <v>2653</v>
      </c>
      <c r="Q464" s="52"/>
      <c r="R464" s="610" t="s">
        <v>2470</v>
      </c>
      <c r="S464" s="622"/>
      <c r="T464" s="858"/>
    </row>
    <row r="465" spans="1:20" ht="20.100000000000001" customHeight="1">
      <c r="A465" s="1257" t="s">
        <v>2973</v>
      </c>
      <c r="B465" s="1258" t="s">
        <v>2651</v>
      </c>
      <c r="C465" s="1258" t="s">
        <v>2652</v>
      </c>
      <c r="D465" s="1015">
        <f>D207+250</f>
        <v>2430</v>
      </c>
      <c r="E465" s="1015">
        <f>E207+450</f>
        <v>2850</v>
      </c>
      <c r="F465" s="1015">
        <f>F207+450</f>
        <v>2850</v>
      </c>
      <c r="G465" s="216" t="s">
        <v>19</v>
      </c>
      <c r="H465" s="168" t="s">
        <v>1233</v>
      </c>
      <c r="I465" s="50" t="s">
        <v>2471</v>
      </c>
      <c r="J465" s="50"/>
      <c r="K465" s="34" t="s">
        <v>1242</v>
      </c>
      <c r="L465" s="607" t="s">
        <v>653</v>
      </c>
      <c r="M465" s="156">
        <v>43084</v>
      </c>
      <c r="N465" s="156">
        <v>43093</v>
      </c>
      <c r="O465" s="59" t="s">
        <v>611</v>
      </c>
      <c r="P465" s="59"/>
      <c r="Q465" s="7"/>
      <c r="R465" s="610" t="s">
        <v>2469</v>
      </c>
      <c r="S465" s="315" t="s">
        <v>3337</v>
      </c>
      <c r="T465" s="858"/>
    </row>
    <row r="466" spans="1:20" ht="20.100000000000001" customHeight="1">
      <c r="A466" s="927" t="s">
        <v>2975</v>
      </c>
      <c r="B466" s="928" t="s">
        <v>2651</v>
      </c>
      <c r="C466" s="928" t="s">
        <v>4194</v>
      </c>
      <c r="D466" s="1048">
        <v>3200</v>
      </c>
      <c r="E466" s="1048">
        <v>4300</v>
      </c>
      <c r="F466" s="1048">
        <v>4300</v>
      </c>
      <c r="G466" s="637" t="s">
        <v>5</v>
      </c>
      <c r="H466" s="168" t="s">
        <v>1233</v>
      </c>
      <c r="I466" s="51" t="s">
        <v>2471</v>
      </c>
      <c r="J466" s="51"/>
      <c r="K466" s="34" t="s">
        <v>2395</v>
      </c>
      <c r="L466" s="607" t="s">
        <v>653</v>
      </c>
      <c r="M466" s="607"/>
      <c r="N466" s="159">
        <v>42825</v>
      </c>
      <c r="O466" s="61" t="s">
        <v>1771</v>
      </c>
      <c r="P466" s="59"/>
      <c r="Q466" s="7"/>
      <c r="R466" s="610" t="s">
        <v>2566</v>
      </c>
      <c r="S466" s="622"/>
      <c r="T466" s="858"/>
    </row>
    <row r="467" spans="1:20" ht="20.100000000000001" customHeight="1">
      <c r="A467" s="1257" t="s">
        <v>2973</v>
      </c>
      <c r="B467" s="1258" t="s">
        <v>2648</v>
      </c>
      <c r="C467" s="1258" t="s">
        <v>2650</v>
      </c>
      <c r="D467" s="1033">
        <f>E467*0.8</f>
        <v>5760</v>
      </c>
      <c r="E467" s="1033">
        <v>7200</v>
      </c>
      <c r="F467" s="1033">
        <f>E467</f>
        <v>7200</v>
      </c>
      <c r="G467" s="637" t="s">
        <v>12</v>
      </c>
      <c r="H467" s="4">
        <v>3</v>
      </c>
      <c r="I467" s="50" t="s">
        <v>2471</v>
      </c>
      <c r="J467" s="50"/>
      <c r="K467" s="34" t="s">
        <v>731</v>
      </c>
      <c r="L467" s="607" t="s">
        <v>653</v>
      </c>
      <c r="M467" s="15">
        <v>43076</v>
      </c>
      <c r="N467" s="15">
        <v>43083</v>
      </c>
      <c r="O467" s="59" t="s">
        <v>2545</v>
      </c>
      <c r="P467" s="59" t="s">
        <v>2643</v>
      </c>
      <c r="Q467" s="7"/>
      <c r="R467" s="610" t="s">
        <v>3398</v>
      </c>
      <c r="S467" s="322" t="s">
        <v>1176</v>
      </c>
      <c r="T467" s="858"/>
    </row>
    <row r="468" spans="1:20" ht="20.100000000000001" customHeight="1">
      <c r="A468" s="1257" t="s">
        <v>2973</v>
      </c>
      <c r="B468" s="1258" t="s">
        <v>2648</v>
      </c>
      <c r="C468" s="1259" t="s">
        <v>2650</v>
      </c>
      <c r="D468" s="1010" t="s">
        <v>4252</v>
      </c>
      <c r="E468" s="1010" t="s">
        <v>4251</v>
      </c>
      <c r="F468" s="1010" t="s">
        <v>4251</v>
      </c>
      <c r="G468" s="780" t="s">
        <v>76</v>
      </c>
      <c r="H468" s="56" t="s">
        <v>659</v>
      </c>
      <c r="I468" s="5" t="s">
        <v>2543</v>
      </c>
      <c r="J468" s="5"/>
      <c r="K468" s="34">
        <v>45</v>
      </c>
      <c r="L468" s="607" t="s">
        <v>653</v>
      </c>
      <c r="M468" s="6">
        <v>43087</v>
      </c>
      <c r="N468" s="6">
        <v>43093</v>
      </c>
      <c r="O468" s="61" t="s">
        <v>3401</v>
      </c>
      <c r="P468" s="61"/>
      <c r="Q468" s="61"/>
      <c r="R468" s="606"/>
      <c r="S468" s="315" t="s">
        <v>3341</v>
      </c>
      <c r="T468" s="858"/>
    </row>
    <row r="469" spans="1:20" ht="20.100000000000001" customHeight="1">
      <c r="A469" s="1257" t="s">
        <v>2973</v>
      </c>
      <c r="B469" s="1258" t="s">
        <v>2648</v>
      </c>
      <c r="C469" s="1258" t="s">
        <v>2650</v>
      </c>
      <c r="D469" s="1032">
        <f>D265+1825</f>
        <v>4005</v>
      </c>
      <c r="E469" s="1032">
        <f>E265+2804</f>
        <v>5204</v>
      </c>
      <c r="F469" s="1032">
        <f>F265+2804</f>
        <v>5204</v>
      </c>
      <c r="G469" s="216" t="s">
        <v>19</v>
      </c>
      <c r="H469" s="168" t="s">
        <v>1233</v>
      </c>
      <c r="I469" s="50" t="s">
        <v>2613</v>
      </c>
      <c r="J469" s="50"/>
      <c r="K469" s="19" t="s">
        <v>3325</v>
      </c>
      <c r="L469" s="607" t="s">
        <v>653</v>
      </c>
      <c r="M469" s="156">
        <v>43084</v>
      </c>
      <c r="N469" s="156">
        <v>43093</v>
      </c>
      <c r="O469" s="59" t="s">
        <v>611</v>
      </c>
      <c r="P469" s="59"/>
      <c r="Q469" s="7"/>
      <c r="R469" s="610" t="s">
        <v>2469</v>
      </c>
      <c r="S469" s="315" t="s">
        <v>3337</v>
      </c>
      <c r="T469" s="858"/>
    </row>
    <row r="470" spans="1:20" ht="20.100000000000001" customHeight="1">
      <c r="A470" s="1257" t="s">
        <v>2973</v>
      </c>
      <c r="B470" s="1258" t="s">
        <v>2648</v>
      </c>
      <c r="C470" s="1258" t="s">
        <v>2650</v>
      </c>
      <c r="D470" s="1047">
        <v>4900</v>
      </c>
      <c r="E470" s="1047">
        <v>7100</v>
      </c>
      <c r="F470" s="1047">
        <v>7100</v>
      </c>
      <c r="G470" s="631" t="s">
        <v>31</v>
      </c>
      <c r="H470" s="56" t="s">
        <v>725</v>
      </c>
      <c r="I470" s="37" t="s">
        <v>17</v>
      </c>
      <c r="J470" s="37"/>
      <c r="K470" s="5" t="s">
        <v>1242</v>
      </c>
      <c r="L470" s="607" t="s">
        <v>653</v>
      </c>
      <c r="M470" s="623">
        <v>43040</v>
      </c>
      <c r="N470" s="623">
        <v>43083</v>
      </c>
      <c r="O470" s="61" t="s">
        <v>1307</v>
      </c>
      <c r="P470" s="61" t="s">
        <v>939</v>
      </c>
      <c r="Q470" s="52"/>
      <c r="R470" s="606" t="s">
        <v>2586</v>
      </c>
      <c r="S470" s="622" t="s">
        <v>1176</v>
      </c>
      <c r="T470" s="858"/>
    </row>
    <row r="471" spans="1:20" ht="20.100000000000001" customHeight="1">
      <c r="A471" s="927" t="s">
        <v>2973</v>
      </c>
      <c r="B471" s="928" t="s">
        <v>2648</v>
      </c>
      <c r="C471" s="929" t="s">
        <v>2649</v>
      </c>
      <c r="D471" s="1010" t="s">
        <v>4250</v>
      </c>
      <c r="E471" s="1010" t="s">
        <v>4249</v>
      </c>
      <c r="F471" s="1010" t="s">
        <v>4249</v>
      </c>
      <c r="G471" s="780" t="s">
        <v>76</v>
      </c>
      <c r="H471" s="56" t="s">
        <v>659</v>
      </c>
      <c r="I471" s="5" t="s">
        <v>2543</v>
      </c>
      <c r="J471" s="5"/>
      <c r="K471" s="34">
        <v>45</v>
      </c>
      <c r="L471" s="607" t="s">
        <v>653</v>
      </c>
      <c r="M471" s="6">
        <v>43087</v>
      </c>
      <c r="N471" s="6">
        <v>43093</v>
      </c>
      <c r="O471" s="61" t="s">
        <v>3401</v>
      </c>
      <c r="P471" s="61"/>
      <c r="Q471" s="61"/>
      <c r="R471" s="606"/>
      <c r="S471" s="315" t="s">
        <v>3341</v>
      </c>
      <c r="T471" s="858"/>
    </row>
    <row r="472" spans="1:20" ht="20.100000000000001" customHeight="1">
      <c r="A472" s="1257" t="s">
        <v>2973</v>
      </c>
      <c r="B472" s="1258" t="s">
        <v>2648</v>
      </c>
      <c r="C472" s="1258" t="s">
        <v>2647</v>
      </c>
      <c r="D472" s="1039">
        <f>E472*0.8</f>
        <v>5920</v>
      </c>
      <c r="E472" s="1039">
        <v>7400</v>
      </c>
      <c r="F472" s="1039">
        <f>E472</f>
        <v>7400</v>
      </c>
      <c r="G472" s="637" t="s">
        <v>12</v>
      </c>
      <c r="H472" s="56">
        <v>3</v>
      </c>
      <c r="I472" s="50" t="s">
        <v>2471</v>
      </c>
      <c r="J472" s="50"/>
      <c r="K472" s="34" t="s">
        <v>731</v>
      </c>
      <c r="L472" s="607" t="s">
        <v>653</v>
      </c>
      <c r="M472" s="15">
        <v>43076</v>
      </c>
      <c r="N472" s="15">
        <v>43083</v>
      </c>
      <c r="O472" s="59" t="s">
        <v>2545</v>
      </c>
      <c r="P472" s="59" t="s">
        <v>2643</v>
      </c>
      <c r="Q472" s="7"/>
      <c r="R472" s="610" t="s">
        <v>3398</v>
      </c>
      <c r="S472" s="322" t="s">
        <v>1176</v>
      </c>
      <c r="T472" s="858"/>
    </row>
    <row r="473" spans="1:20" ht="20.100000000000001" customHeight="1">
      <c r="A473" s="1257" t="s">
        <v>2973</v>
      </c>
      <c r="B473" s="1258" t="s">
        <v>2648</v>
      </c>
      <c r="C473" s="1259" t="s">
        <v>2647</v>
      </c>
      <c r="D473" s="1028" t="s">
        <v>4248</v>
      </c>
      <c r="E473" s="1028" t="s">
        <v>4247</v>
      </c>
      <c r="F473" s="1028" t="s">
        <v>4247</v>
      </c>
      <c r="G473" s="780" t="s">
        <v>76</v>
      </c>
      <c r="H473" s="56" t="s">
        <v>659</v>
      </c>
      <c r="I473" s="5" t="s">
        <v>2543</v>
      </c>
      <c r="J473" s="5"/>
      <c r="K473" s="34">
        <v>45</v>
      </c>
      <c r="L473" s="607" t="s">
        <v>653</v>
      </c>
      <c r="M473" s="6">
        <v>43087</v>
      </c>
      <c r="N473" s="6">
        <v>43093</v>
      </c>
      <c r="O473" s="61" t="s">
        <v>3401</v>
      </c>
      <c r="P473" s="61"/>
      <c r="Q473" s="61"/>
      <c r="R473" s="606"/>
      <c r="S473" s="315" t="s">
        <v>3341</v>
      </c>
      <c r="T473" s="858"/>
    </row>
    <row r="474" spans="1:20" ht="20.100000000000001" customHeight="1">
      <c r="A474" s="1257" t="s">
        <v>2973</v>
      </c>
      <c r="B474" s="1258" t="s">
        <v>2648</v>
      </c>
      <c r="C474" s="1258" t="s">
        <v>2647</v>
      </c>
      <c r="D474" s="1049">
        <v>4900</v>
      </c>
      <c r="E474" s="1049">
        <v>7100</v>
      </c>
      <c r="F474" s="1049">
        <v>7100</v>
      </c>
      <c r="G474" s="631" t="s">
        <v>31</v>
      </c>
      <c r="H474" s="56" t="s">
        <v>725</v>
      </c>
      <c r="I474" s="657" t="s">
        <v>3378</v>
      </c>
      <c r="J474" s="38"/>
      <c r="K474" s="5">
        <v>46</v>
      </c>
      <c r="L474" s="607" t="s">
        <v>653</v>
      </c>
      <c r="M474" s="623">
        <v>43040</v>
      </c>
      <c r="N474" s="623">
        <v>43083</v>
      </c>
      <c r="O474" s="61" t="s">
        <v>1307</v>
      </c>
      <c r="P474" s="61" t="s">
        <v>939</v>
      </c>
      <c r="Q474" s="52"/>
      <c r="R474" s="606" t="s">
        <v>2586</v>
      </c>
      <c r="S474" s="622" t="s">
        <v>1176</v>
      </c>
      <c r="T474" s="858"/>
    </row>
    <row r="475" spans="1:20" ht="20.100000000000001" customHeight="1">
      <c r="A475" s="1257" t="s">
        <v>2973</v>
      </c>
      <c r="B475" s="1258" t="s">
        <v>2648</v>
      </c>
      <c r="C475" s="1258" t="s">
        <v>2647</v>
      </c>
      <c r="D475" s="1035">
        <f>D265+1725</f>
        <v>3905</v>
      </c>
      <c r="E475" s="1035">
        <f>E265+2654</f>
        <v>5054</v>
      </c>
      <c r="F475" s="1035">
        <f>F265+2654</f>
        <v>5054</v>
      </c>
      <c r="G475" s="216" t="s">
        <v>19</v>
      </c>
      <c r="H475" s="168" t="s">
        <v>1233</v>
      </c>
      <c r="I475" s="50" t="s">
        <v>2613</v>
      </c>
      <c r="J475" s="50"/>
      <c r="K475" s="19" t="s">
        <v>3325</v>
      </c>
      <c r="L475" s="607" t="s">
        <v>653</v>
      </c>
      <c r="M475" s="156">
        <v>43084</v>
      </c>
      <c r="N475" s="156">
        <v>43093</v>
      </c>
      <c r="O475" s="59" t="s">
        <v>611</v>
      </c>
      <c r="P475" s="59"/>
      <c r="Q475" s="7"/>
      <c r="R475" s="610" t="s">
        <v>2469</v>
      </c>
      <c r="S475" s="315" t="s">
        <v>3337</v>
      </c>
      <c r="T475" s="858"/>
    </row>
    <row r="476" spans="1:20" ht="20.100000000000001" customHeight="1">
      <c r="A476" s="1257" t="s">
        <v>2973</v>
      </c>
      <c r="B476" s="1258" t="s">
        <v>2648</v>
      </c>
      <c r="C476" s="1258" t="s">
        <v>2647</v>
      </c>
      <c r="D476" s="1040">
        <f>D264+2300+25</f>
        <v>3850</v>
      </c>
      <c r="E476" s="1040">
        <f>E264+4000+50</f>
        <v>5625</v>
      </c>
      <c r="F476" s="1040">
        <f>F264+4000+50</f>
        <v>5625</v>
      </c>
      <c r="G476" s="609" t="s">
        <v>1689</v>
      </c>
      <c r="H476" s="168" t="s">
        <v>1233</v>
      </c>
      <c r="I476" s="37" t="s">
        <v>2613</v>
      </c>
      <c r="J476" s="37"/>
      <c r="K476" s="5"/>
      <c r="L476" s="607" t="s">
        <v>653</v>
      </c>
      <c r="M476" s="156">
        <v>43076</v>
      </c>
      <c r="N476" s="156">
        <v>43083</v>
      </c>
      <c r="O476" s="61" t="s">
        <v>1771</v>
      </c>
      <c r="P476" s="61"/>
      <c r="Q476" s="52"/>
      <c r="R476" s="610" t="s">
        <v>2470</v>
      </c>
      <c r="S476" s="622"/>
      <c r="T476" s="858"/>
    </row>
    <row r="477" spans="1:20" ht="20.100000000000001" customHeight="1">
      <c r="A477" s="1257" t="s">
        <v>2973</v>
      </c>
      <c r="B477" s="1258" t="s">
        <v>2646</v>
      </c>
      <c r="C477" s="1259" t="s">
        <v>2645</v>
      </c>
      <c r="D477" s="1028" t="s">
        <v>4246</v>
      </c>
      <c r="E477" s="1028" t="s">
        <v>4245</v>
      </c>
      <c r="F477" s="1028" t="s">
        <v>4245</v>
      </c>
      <c r="G477" s="780" t="s">
        <v>76</v>
      </c>
      <c r="H477" s="168" t="s">
        <v>1233</v>
      </c>
      <c r="I477" s="5" t="s">
        <v>2640</v>
      </c>
      <c r="J477" s="5"/>
      <c r="K477" s="34">
        <v>45</v>
      </c>
      <c r="L477" s="607" t="s">
        <v>653</v>
      </c>
      <c r="M477" s="6">
        <v>43087</v>
      </c>
      <c r="N477" s="6">
        <v>43093</v>
      </c>
      <c r="O477" s="61" t="s">
        <v>3400</v>
      </c>
      <c r="P477" s="61"/>
      <c r="Q477" s="52"/>
      <c r="R477" s="610" t="s">
        <v>2470</v>
      </c>
      <c r="S477" s="315" t="s">
        <v>3341</v>
      </c>
      <c r="T477" s="858"/>
    </row>
    <row r="478" spans="1:20" ht="20.100000000000001" customHeight="1">
      <c r="A478" s="1257" t="s">
        <v>2973</v>
      </c>
      <c r="B478" s="1258" t="s">
        <v>2646</v>
      </c>
      <c r="C478" s="1258" t="s">
        <v>2645</v>
      </c>
      <c r="D478" s="1027">
        <f>E478*0.8</f>
        <v>4960</v>
      </c>
      <c r="E478" s="1027">
        <v>6200</v>
      </c>
      <c r="F478" s="1027">
        <f>E478</f>
        <v>6200</v>
      </c>
      <c r="G478" s="637" t="s">
        <v>12</v>
      </c>
      <c r="H478" s="4">
        <v>3</v>
      </c>
      <c r="I478" s="50" t="s">
        <v>2471</v>
      </c>
      <c r="J478" s="50"/>
      <c r="K478" s="34" t="s">
        <v>982</v>
      </c>
      <c r="L478" s="607" t="s">
        <v>653</v>
      </c>
      <c r="M478" s="15">
        <v>43076</v>
      </c>
      <c r="N478" s="15">
        <v>43083</v>
      </c>
      <c r="O478" s="59" t="s">
        <v>2621</v>
      </c>
      <c r="P478" s="59"/>
      <c r="Q478" s="7"/>
      <c r="R478" s="610" t="s">
        <v>3398</v>
      </c>
      <c r="S478" s="322" t="s">
        <v>1176</v>
      </c>
      <c r="T478" s="858"/>
    </row>
    <row r="479" spans="1:20" ht="20.100000000000001" customHeight="1">
      <c r="A479" s="1257" t="s">
        <v>2973</v>
      </c>
      <c r="B479" s="1258" t="s">
        <v>2646</v>
      </c>
      <c r="C479" s="1258" t="s">
        <v>2645</v>
      </c>
      <c r="D479" s="1035">
        <f>D265+1425</f>
        <v>3605</v>
      </c>
      <c r="E479" s="1035">
        <f>E265+2475</f>
        <v>4875</v>
      </c>
      <c r="F479" s="1035">
        <f>F265+2475</f>
        <v>4875</v>
      </c>
      <c r="G479" s="216" t="s">
        <v>19</v>
      </c>
      <c r="H479" s="168" t="s">
        <v>1233</v>
      </c>
      <c r="I479" s="50" t="s">
        <v>2613</v>
      </c>
      <c r="J479" s="50"/>
      <c r="K479" s="19" t="s">
        <v>2565</v>
      </c>
      <c r="L479" s="607" t="s">
        <v>653</v>
      </c>
      <c r="M479" s="156">
        <v>43084</v>
      </c>
      <c r="N479" s="156">
        <v>43093</v>
      </c>
      <c r="O479" s="59" t="s">
        <v>611</v>
      </c>
      <c r="P479" s="59"/>
      <c r="Q479" s="7"/>
      <c r="R479" s="610" t="s">
        <v>2469</v>
      </c>
      <c r="S479" s="315" t="s">
        <v>3337</v>
      </c>
      <c r="T479" s="858"/>
    </row>
    <row r="480" spans="1:20" ht="20.100000000000001" customHeight="1">
      <c r="A480" s="1257" t="s">
        <v>2973</v>
      </c>
      <c r="B480" s="1258" t="s">
        <v>2646</v>
      </c>
      <c r="C480" s="1258" t="s">
        <v>2645</v>
      </c>
      <c r="D480" s="1048">
        <v>3000</v>
      </c>
      <c r="E480" s="1048">
        <v>4500</v>
      </c>
      <c r="F480" s="1048">
        <v>4500</v>
      </c>
      <c r="G480" s="637" t="s">
        <v>5</v>
      </c>
      <c r="H480" s="168" t="s">
        <v>1233</v>
      </c>
      <c r="I480" s="51" t="s">
        <v>2471</v>
      </c>
      <c r="J480" s="51"/>
      <c r="K480" s="34" t="s">
        <v>987</v>
      </c>
      <c r="L480" s="607" t="s">
        <v>653</v>
      </c>
      <c r="M480" s="607"/>
      <c r="N480" s="159">
        <v>42825</v>
      </c>
      <c r="O480" s="61" t="s">
        <v>1771</v>
      </c>
      <c r="P480" s="59"/>
      <c r="Q480" s="7"/>
      <c r="R480" s="610" t="s">
        <v>2566</v>
      </c>
      <c r="S480" s="316"/>
      <c r="T480" s="858"/>
    </row>
    <row r="481" spans="1:20" ht="20.100000000000001" customHeight="1">
      <c r="A481" s="1257" t="s">
        <v>2973</v>
      </c>
      <c r="B481" s="1258" t="s">
        <v>2646</v>
      </c>
      <c r="C481" s="1258" t="s">
        <v>2645</v>
      </c>
      <c r="D481" s="1042">
        <v>3200</v>
      </c>
      <c r="E481" s="1042">
        <v>4350</v>
      </c>
      <c r="F481" s="1042">
        <v>4350</v>
      </c>
      <c r="G481" s="631" t="s">
        <v>31</v>
      </c>
      <c r="H481" s="56" t="s">
        <v>725</v>
      </c>
      <c r="I481" s="38" t="s">
        <v>2468</v>
      </c>
      <c r="J481" s="37"/>
      <c r="K481" s="16">
        <v>42</v>
      </c>
      <c r="L481" s="607" t="s">
        <v>653</v>
      </c>
      <c r="M481" s="623">
        <v>43080</v>
      </c>
      <c r="N481" s="623">
        <v>43083</v>
      </c>
      <c r="O481" s="61" t="s">
        <v>1307</v>
      </c>
      <c r="P481" s="61"/>
      <c r="Q481" s="52"/>
      <c r="R481" s="606" t="s">
        <v>2586</v>
      </c>
      <c r="S481" s="622" t="s">
        <v>1176</v>
      </c>
      <c r="T481" s="858"/>
    </row>
    <row r="482" spans="1:20" ht="20.100000000000001" customHeight="1">
      <c r="A482" s="1251" t="s">
        <v>2973</v>
      </c>
      <c r="B482" s="1251" t="s">
        <v>4241</v>
      </c>
      <c r="C482" s="1251" t="s">
        <v>4242</v>
      </c>
      <c r="D482" s="1047">
        <v>4200</v>
      </c>
      <c r="E482" s="1047">
        <v>5550</v>
      </c>
      <c r="F482" s="1047">
        <v>5550</v>
      </c>
      <c r="G482" s="631" t="s">
        <v>31</v>
      </c>
      <c r="H482" s="56" t="s">
        <v>725</v>
      </c>
      <c r="I482" s="38" t="s">
        <v>3378</v>
      </c>
      <c r="J482" s="38"/>
      <c r="K482" s="5" t="s">
        <v>1983</v>
      </c>
      <c r="L482" s="607" t="s">
        <v>653</v>
      </c>
      <c r="M482" s="623">
        <v>43040</v>
      </c>
      <c r="N482" s="623">
        <v>43083</v>
      </c>
      <c r="O482" s="61" t="s">
        <v>1307</v>
      </c>
      <c r="P482" s="61"/>
      <c r="Q482" s="52"/>
      <c r="R482" s="606" t="s">
        <v>2586</v>
      </c>
      <c r="S482" s="622" t="s">
        <v>1176</v>
      </c>
      <c r="T482" s="858"/>
    </row>
    <row r="483" spans="1:20" ht="20.100000000000001" customHeight="1">
      <c r="A483" s="1252" t="s">
        <v>2973</v>
      </c>
      <c r="B483" s="1252" t="s">
        <v>4241</v>
      </c>
      <c r="C483" s="1275" t="s">
        <v>4242</v>
      </c>
      <c r="D483" s="1028" t="s">
        <v>4244</v>
      </c>
      <c r="E483" s="1028" t="s">
        <v>4243</v>
      </c>
      <c r="F483" s="1028" t="s">
        <v>4243</v>
      </c>
      <c r="G483" s="780" t="s">
        <v>76</v>
      </c>
      <c r="H483" s="168" t="s">
        <v>1233</v>
      </c>
      <c r="I483" s="5" t="s">
        <v>2640</v>
      </c>
      <c r="J483" s="5"/>
      <c r="K483" s="34">
        <v>45</v>
      </c>
      <c r="L483" s="607" t="s">
        <v>653</v>
      </c>
      <c r="M483" s="6">
        <v>43087</v>
      </c>
      <c r="N483" s="6">
        <v>43093</v>
      </c>
      <c r="O483" s="61" t="s">
        <v>3400</v>
      </c>
      <c r="P483" s="61"/>
      <c r="Q483" s="52"/>
      <c r="R483" s="610" t="s">
        <v>2470</v>
      </c>
      <c r="S483" s="315" t="s">
        <v>3341</v>
      </c>
      <c r="T483" s="858"/>
    </row>
    <row r="484" spans="1:20" ht="20.100000000000001" customHeight="1">
      <c r="A484" s="1252" t="s">
        <v>2973</v>
      </c>
      <c r="B484" s="1252" t="s">
        <v>4241</v>
      </c>
      <c r="C484" s="1252" t="s">
        <v>4242</v>
      </c>
      <c r="D484" s="1046">
        <f>D265+1455</f>
        <v>3635</v>
      </c>
      <c r="E484" s="1046">
        <f>E265+2505</f>
        <v>4905</v>
      </c>
      <c r="F484" s="1046">
        <f>F265+2505</f>
        <v>4905</v>
      </c>
      <c r="G484" s="216" t="s">
        <v>19</v>
      </c>
      <c r="H484" s="168" t="s">
        <v>1233</v>
      </c>
      <c r="I484" s="50" t="s">
        <v>2613</v>
      </c>
      <c r="J484" s="50"/>
      <c r="K484" s="19" t="s">
        <v>2565</v>
      </c>
      <c r="L484" s="607" t="s">
        <v>653</v>
      </c>
      <c r="M484" s="156">
        <v>43084</v>
      </c>
      <c r="N484" s="156">
        <v>43093</v>
      </c>
      <c r="O484" s="59" t="s">
        <v>611</v>
      </c>
      <c r="P484" s="59"/>
      <c r="Q484" s="7"/>
      <c r="R484" s="610" t="s">
        <v>2469</v>
      </c>
      <c r="S484" s="315" t="s">
        <v>3337</v>
      </c>
      <c r="T484" s="858"/>
    </row>
    <row r="485" spans="1:20" ht="20.100000000000001" customHeight="1">
      <c r="A485" s="1253" t="s">
        <v>2973</v>
      </c>
      <c r="B485" s="1253" t="s">
        <v>4241</v>
      </c>
      <c r="C485" s="1253" t="s">
        <v>4242</v>
      </c>
      <c r="D485" s="1034">
        <v>3000</v>
      </c>
      <c r="E485" s="1034">
        <v>4900</v>
      </c>
      <c r="F485" s="1034">
        <v>4900</v>
      </c>
      <c r="G485" s="637" t="s">
        <v>5</v>
      </c>
      <c r="H485" s="168" t="s">
        <v>1233</v>
      </c>
      <c r="I485" s="51" t="s">
        <v>2471</v>
      </c>
      <c r="J485" s="51"/>
      <c r="K485" s="34" t="s">
        <v>2396</v>
      </c>
      <c r="L485" s="607" t="s">
        <v>653</v>
      </c>
      <c r="M485" s="607"/>
      <c r="N485" s="159">
        <v>42825</v>
      </c>
      <c r="O485" s="61" t="s">
        <v>1771</v>
      </c>
      <c r="P485" s="59"/>
      <c r="Q485" s="7"/>
      <c r="R485" s="610" t="s">
        <v>2566</v>
      </c>
      <c r="S485" s="316"/>
      <c r="T485" s="858"/>
    </row>
    <row r="486" spans="1:20" ht="20.100000000000001" customHeight="1">
      <c r="A486" s="1257" t="s">
        <v>2973</v>
      </c>
      <c r="B486" s="1258" t="s">
        <v>4241</v>
      </c>
      <c r="C486" s="1258" t="s">
        <v>2644</v>
      </c>
      <c r="D486" s="1020">
        <f>E486*0.8</f>
        <v>4560</v>
      </c>
      <c r="E486" s="1020">
        <v>5700</v>
      </c>
      <c r="F486" s="1020">
        <f>E486</f>
        <v>5700</v>
      </c>
      <c r="G486" s="637" t="s">
        <v>12</v>
      </c>
      <c r="H486" s="4">
        <v>3</v>
      </c>
      <c r="I486" s="50" t="s">
        <v>2471</v>
      </c>
      <c r="J486" s="50"/>
      <c r="K486" s="34" t="s">
        <v>975</v>
      </c>
      <c r="L486" s="607" t="s">
        <v>653</v>
      </c>
      <c r="M486" s="15">
        <v>43076</v>
      </c>
      <c r="N486" s="15">
        <v>43083</v>
      </c>
      <c r="O486" s="59" t="s">
        <v>2545</v>
      </c>
      <c r="P486" s="59" t="s">
        <v>2643</v>
      </c>
      <c r="Q486" s="7"/>
      <c r="R486" s="610" t="s">
        <v>3398</v>
      </c>
      <c r="S486" s="322" t="s">
        <v>1176</v>
      </c>
      <c r="T486" s="858"/>
    </row>
    <row r="487" spans="1:20" ht="20.100000000000001" customHeight="1">
      <c r="A487" s="1257" t="s">
        <v>2973</v>
      </c>
      <c r="B487" s="1258" t="s">
        <v>4241</v>
      </c>
      <c r="C487" s="1258" t="s">
        <v>2644</v>
      </c>
      <c r="D487" s="1019"/>
      <c r="E487" s="1019"/>
      <c r="F487" s="1019"/>
      <c r="G487" s="637" t="s">
        <v>5</v>
      </c>
      <c r="H487" s="56" t="s">
        <v>2535</v>
      </c>
      <c r="I487" s="38" t="s">
        <v>2431</v>
      </c>
      <c r="J487" s="38"/>
      <c r="K487" s="5">
        <v>40</v>
      </c>
      <c r="L487" s="607" t="s">
        <v>653</v>
      </c>
      <c r="M487" s="607"/>
      <c r="N487" s="159">
        <v>42974</v>
      </c>
      <c r="O487" s="61" t="s">
        <v>1771</v>
      </c>
      <c r="P487" s="61"/>
      <c r="Q487" s="72" t="s">
        <v>1024</v>
      </c>
      <c r="R487" s="606" t="s">
        <v>2587</v>
      </c>
      <c r="S487" s="316" t="s">
        <v>2894</v>
      </c>
      <c r="T487" s="858"/>
    </row>
    <row r="488" spans="1:20" ht="20.100000000000001" customHeight="1">
      <c r="A488" s="927" t="s">
        <v>2975</v>
      </c>
      <c r="B488" s="928" t="s">
        <v>2755</v>
      </c>
      <c r="C488" s="928" t="s">
        <v>2754</v>
      </c>
      <c r="D488" s="1019"/>
      <c r="E488" s="1019"/>
      <c r="F488" s="1019"/>
      <c r="G488" s="637" t="s">
        <v>5</v>
      </c>
      <c r="H488" s="4" t="s">
        <v>729</v>
      </c>
      <c r="I488" s="37" t="s">
        <v>3304</v>
      </c>
      <c r="J488" s="37"/>
      <c r="K488" s="16" t="s">
        <v>986</v>
      </c>
      <c r="L488" s="607" t="s">
        <v>653</v>
      </c>
      <c r="M488" s="607"/>
      <c r="N488" s="159">
        <v>42974</v>
      </c>
      <c r="O488" s="61" t="s">
        <v>1771</v>
      </c>
      <c r="P488" s="61"/>
      <c r="Q488" s="72" t="s">
        <v>1024</v>
      </c>
      <c r="R488" s="606" t="s">
        <v>2568</v>
      </c>
      <c r="S488" s="622"/>
      <c r="T488" s="858"/>
    </row>
    <row r="489" spans="1:20" ht="20.100000000000001" customHeight="1">
      <c r="A489" s="927" t="s">
        <v>2975</v>
      </c>
      <c r="B489" s="928" t="s">
        <v>2753</v>
      </c>
      <c r="C489" s="928" t="s">
        <v>2752</v>
      </c>
      <c r="D489" s="1034">
        <v>2500</v>
      </c>
      <c r="E489" s="1034">
        <v>3500</v>
      </c>
      <c r="F489" s="1034">
        <v>3500</v>
      </c>
      <c r="G489" s="637" t="s">
        <v>5</v>
      </c>
      <c r="H489" s="168" t="s">
        <v>1233</v>
      </c>
      <c r="I489" s="51" t="s">
        <v>2471</v>
      </c>
      <c r="J489" s="51"/>
      <c r="K489" s="34" t="s">
        <v>722</v>
      </c>
      <c r="L489" s="607" t="s">
        <v>653</v>
      </c>
      <c r="M489" s="607"/>
      <c r="N489" s="159">
        <v>42825</v>
      </c>
      <c r="O489" s="61" t="s">
        <v>1771</v>
      </c>
      <c r="P489" s="59"/>
      <c r="Q489" s="7"/>
      <c r="R489" s="610" t="s">
        <v>2566</v>
      </c>
      <c r="S489" s="622"/>
      <c r="T489" s="858"/>
    </row>
    <row r="490" spans="1:20" ht="20.100000000000001" customHeight="1">
      <c r="A490" s="1257" t="s">
        <v>2973</v>
      </c>
      <c r="B490" s="1258" t="s">
        <v>2751</v>
      </c>
      <c r="C490" s="1258" t="s">
        <v>2750</v>
      </c>
      <c r="D490" s="1020">
        <f>E490*0.8</f>
        <v>4960</v>
      </c>
      <c r="E490" s="1020">
        <v>6200</v>
      </c>
      <c r="F490" s="1020">
        <f>E490</f>
        <v>6200</v>
      </c>
      <c r="G490" s="637" t="s">
        <v>12</v>
      </c>
      <c r="H490" s="56">
        <v>3</v>
      </c>
      <c r="I490" s="50" t="s">
        <v>2471</v>
      </c>
      <c r="J490" s="50"/>
      <c r="K490" s="34" t="s">
        <v>683</v>
      </c>
      <c r="L490" s="607" t="s">
        <v>653</v>
      </c>
      <c r="M490" s="15">
        <v>43076</v>
      </c>
      <c r="N490" s="15">
        <v>43083</v>
      </c>
      <c r="O490" s="59" t="s">
        <v>2621</v>
      </c>
      <c r="P490" s="59"/>
      <c r="Q490" s="7"/>
      <c r="R490" s="610" t="s">
        <v>3398</v>
      </c>
      <c r="S490" s="322" t="s">
        <v>1176</v>
      </c>
      <c r="T490" s="858"/>
    </row>
    <row r="491" spans="1:20" ht="20.100000000000001" customHeight="1">
      <c r="A491" s="1257" t="s">
        <v>2973</v>
      </c>
      <c r="B491" s="1258" t="s">
        <v>2751</v>
      </c>
      <c r="C491" s="1258" t="s">
        <v>2750</v>
      </c>
      <c r="D491" s="1035">
        <f>D265+1625</f>
        <v>3805</v>
      </c>
      <c r="E491" s="1035">
        <f>E265+2504</f>
        <v>4904</v>
      </c>
      <c r="F491" s="1035">
        <f>F265+2504</f>
        <v>4904</v>
      </c>
      <c r="G491" s="216" t="s">
        <v>19</v>
      </c>
      <c r="H491" s="168" t="s">
        <v>1233</v>
      </c>
      <c r="I491" s="50" t="s">
        <v>2613</v>
      </c>
      <c r="J491" s="50"/>
      <c r="K491" s="19" t="s">
        <v>2151</v>
      </c>
      <c r="L491" s="607" t="s">
        <v>653</v>
      </c>
      <c r="M491" s="156">
        <v>43084</v>
      </c>
      <c r="N491" s="156">
        <v>43093</v>
      </c>
      <c r="O491" s="59" t="s">
        <v>611</v>
      </c>
      <c r="P491" s="59"/>
      <c r="Q491" s="7"/>
      <c r="R491" s="610" t="s">
        <v>2469</v>
      </c>
      <c r="S491" s="315" t="s">
        <v>3337</v>
      </c>
      <c r="T491" s="858"/>
    </row>
    <row r="492" spans="1:20" ht="20.100000000000001" customHeight="1">
      <c r="A492" s="1257" t="s">
        <v>2973</v>
      </c>
      <c r="B492" s="1258" t="s">
        <v>2751</v>
      </c>
      <c r="C492" s="1258" t="s">
        <v>2750</v>
      </c>
      <c r="D492" s="1043">
        <f>D264+2000+25</f>
        <v>3550</v>
      </c>
      <c r="E492" s="1043">
        <f>E264+3000+50</f>
        <v>4625</v>
      </c>
      <c r="F492" s="1043">
        <f>F264+3000+50</f>
        <v>4625</v>
      </c>
      <c r="G492" s="609" t="s">
        <v>1689</v>
      </c>
      <c r="H492" s="168" t="s">
        <v>1233</v>
      </c>
      <c r="I492" s="37" t="s">
        <v>2613</v>
      </c>
      <c r="J492" s="37"/>
      <c r="K492" s="5"/>
      <c r="L492" s="607" t="s">
        <v>653</v>
      </c>
      <c r="M492" s="156">
        <v>43076</v>
      </c>
      <c r="N492" s="156">
        <v>43083</v>
      </c>
      <c r="O492" s="61" t="s">
        <v>1771</v>
      </c>
      <c r="P492" s="61"/>
      <c r="Q492" s="52"/>
      <c r="R492" s="610" t="s">
        <v>2470</v>
      </c>
      <c r="S492" s="622"/>
      <c r="T492" s="858"/>
    </row>
    <row r="493" spans="1:20" ht="20.100000000000001" customHeight="1">
      <c r="A493" s="1257" t="s">
        <v>2973</v>
      </c>
      <c r="B493" s="1258" t="s">
        <v>2751</v>
      </c>
      <c r="C493" s="1259" t="s">
        <v>2750</v>
      </c>
      <c r="D493" s="1028" t="s">
        <v>4240</v>
      </c>
      <c r="E493" s="1028" t="s">
        <v>4239</v>
      </c>
      <c r="F493" s="1028" t="s">
        <v>4239</v>
      </c>
      <c r="G493" s="780" t="s">
        <v>76</v>
      </c>
      <c r="H493" s="56" t="s">
        <v>1233</v>
      </c>
      <c r="I493" s="5" t="s">
        <v>2613</v>
      </c>
      <c r="J493" s="5"/>
      <c r="K493" s="34">
        <v>45</v>
      </c>
      <c r="L493" s="607" t="s">
        <v>653</v>
      </c>
      <c r="M493" s="6">
        <v>43087</v>
      </c>
      <c r="N493" s="6">
        <v>43093</v>
      </c>
      <c r="O493" s="61" t="s">
        <v>3400</v>
      </c>
      <c r="P493" s="61"/>
      <c r="Q493" s="52"/>
      <c r="R493" s="610" t="s">
        <v>2470</v>
      </c>
      <c r="S493" s="315" t="s">
        <v>3341</v>
      </c>
      <c r="T493" s="858"/>
    </row>
    <row r="494" spans="1:20" ht="20.100000000000001" customHeight="1">
      <c r="A494" s="1257" t="s">
        <v>2973</v>
      </c>
      <c r="B494" s="1258" t="s">
        <v>2751</v>
      </c>
      <c r="C494" s="1258" t="s">
        <v>2750</v>
      </c>
      <c r="D494" s="1045">
        <v>3500</v>
      </c>
      <c r="E494" s="1045">
        <v>5400</v>
      </c>
      <c r="F494" s="1045">
        <v>5400</v>
      </c>
      <c r="G494" s="629" t="s">
        <v>5</v>
      </c>
      <c r="H494" s="168" t="s">
        <v>1233</v>
      </c>
      <c r="I494" s="51" t="s">
        <v>2471</v>
      </c>
      <c r="J494" s="38"/>
      <c r="K494" s="5" t="s">
        <v>2396</v>
      </c>
      <c r="L494" s="607" t="s">
        <v>653</v>
      </c>
      <c r="M494" s="607"/>
      <c r="N494" s="159">
        <v>42825</v>
      </c>
      <c r="O494" s="61" t="s">
        <v>1771</v>
      </c>
      <c r="P494" s="61"/>
      <c r="Q494" s="7"/>
      <c r="R494" s="610" t="s">
        <v>2566</v>
      </c>
      <c r="S494" s="622"/>
      <c r="T494" s="858"/>
    </row>
    <row r="495" spans="1:20" ht="20.100000000000001" customHeight="1">
      <c r="A495" s="1257" t="s">
        <v>2973</v>
      </c>
      <c r="B495" s="1258" t="s">
        <v>2642</v>
      </c>
      <c r="C495" s="1258" t="s">
        <v>2641</v>
      </c>
      <c r="D495" s="1006">
        <v>3100</v>
      </c>
      <c r="E495" s="1006">
        <v>3525</v>
      </c>
      <c r="F495" s="1006">
        <v>3525</v>
      </c>
      <c r="G495" s="630" t="s">
        <v>33</v>
      </c>
      <c r="H495" s="56" t="s">
        <v>729</v>
      </c>
      <c r="I495" s="50" t="s">
        <v>2471</v>
      </c>
      <c r="J495" s="50"/>
      <c r="K495" s="34" t="s">
        <v>975</v>
      </c>
      <c r="L495" s="607" t="s">
        <v>653</v>
      </c>
      <c r="M495" s="159">
        <v>43080</v>
      </c>
      <c r="N495" s="159">
        <v>43086</v>
      </c>
      <c r="O495" s="61" t="s">
        <v>899</v>
      </c>
      <c r="P495" s="61"/>
      <c r="Q495" s="7"/>
      <c r="R495" s="606" t="s">
        <v>2756</v>
      </c>
      <c r="S495" s="622" t="s">
        <v>1176</v>
      </c>
      <c r="T495" s="858"/>
    </row>
    <row r="496" spans="1:20" ht="20.100000000000001" customHeight="1">
      <c r="A496" s="1257" t="s">
        <v>2973</v>
      </c>
      <c r="B496" s="1258" t="s">
        <v>2642</v>
      </c>
      <c r="C496" s="1258" t="s">
        <v>2641</v>
      </c>
      <c r="D496" s="1020">
        <f>E496*0.8</f>
        <v>2640</v>
      </c>
      <c r="E496" s="1020">
        <v>3300</v>
      </c>
      <c r="F496" s="1020">
        <f>E496</f>
        <v>3300</v>
      </c>
      <c r="G496" s="637" t="s">
        <v>12</v>
      </c>
      <c r="H496" s="56">
        <v>3</v>
      </c>
      <c r="I496" s="50" t="s">
        <v>2471</v>
      </c>
      <c r="J496" s="50"/>
      <c r="K496" s="34" t="s">
        <v>683</v>
      </c>
      <c r="L496" s="607" t="s">
        <v>653</v>
      </c>
      <c r="M496" s="15">
        <v>43070</v>
      </c>
      <c r="N496" s="15">
        <v>43083</v>
      </c>
      <c r="O496" s="59" t="s">
        <v>2545</v>
      </c>
      <c r="P496" s="59" t="s">
        <v>2643</v>
      </c>
      <c r="Q496" s="7"/>
      <c r="R496" s="610" t="s">
        <v>3398</v>
      </c>
      <c r="S496" s="322" t="s">
        <v>1176</v>
      </c>
      <c r="T496" s="858"/>
    </row>
    <row r="497" spans="1:20" ht="20.100000000000001" customHeight="1">
      <c r="A497" s="1257" t="s">
        <v>2973</v>
      </c>
      <c r="B497" s="1258" t="s">
        <v>2642</v>
      </c>
      <c r="C497" s="1258" t="s">
        <v>2641</v>
      </c>
      <c r="D497" s="1040">
        <v>5800</v>
      </c>
      <c r="E497" s="1040">
        <v>8200</v>
      </c>
      <c r="F497" s="1040">
        <v>8300</v>
      </c>
      <c r="G497" s="631" t="s">
        <v>31</v>
      </c>
      <c r="H497" s="56" t="s">
        <v>725</v>
      </c>
      <c r="I497" s="38" t="s">
        <v>3378</v>
      </c>
      <c r="J497" s="38"/>
      <c r="K497" s="5">
        <v>53</v>
      </c>
      <c r="L497" s="607" t="s">
        <v>653</v>
      </c>
      <c r="M497" s="623">
        <v>43040</v>
      </c>
      <c r="N497" s="623">
        <v>43083</v>
      </c>
      <c r="O497" s="61" t="s">
        <v>1307</v>
      </c>
      <c r="P497" s="61"/>
      <c r="Q497" s="52"/>
      <c r="R497" s="606" t="s">
        <v>2586</v>
      </c>
      <c r="S497" s="622" t="s">
        <v>1176</v>
      </c>
      <c r="T497" s="858"/>
    </row>
    <row r="498" spans="1:20" ht="20.100000000000001" customHeight="1">
      <c r="A498" s="1257" t="s">
        <v>2973</v>
      </c>
      <c r="B498" s="1258" t="s">
        <v>2642</v>
      </c>
      <c r="C498" s="1259" t="s">
        <v>2641</v>
      </c>
      <c r="D498" s="1010" t="s">
        <v>5419</v>
      </c>
      <c r="E498" s="1010" t="s">
        <v>5418</v>
      </c>
      <c r="F498" s="1010" t="s">
        <v>5418</v>
      </c>
      <c r="G498" s="780" t="s">
        <v>76</v>
      </c>
      <c r="H498" s="168" t="s">
        <v>1233</v>
      </c>
      <c r="I498" s="5" t="s">
        <v>2471</v>
      </c>
      <c r="J498" s="5"/>
      <c r="K498" s="34">
        <v>31</v>
      </c>
      <c r="L498" s="607" t="s">
        <v>653</v>
      </c>
      <c r="M498" s="6">
        <v>43087</v>
      </c>
      <c r="N498" s="6">
        <v>43093</v>
      </c>
      <c r="O498" s="61" t="s">
        <v>3400</v>
      </c>
      <c r="P498" s="61"/>
      <c r="Q498" s="7"/>
      <c r="R498" s="610" t="s">
        <v>2470</v>
      </c>
      <c r="S498" s="315" t="s">
        <v>3341</v>
      </c>
      <c r="T498" s="858"/>
    </row>
    <row r="499" spans="1:20" ht="20.100000000000001" customHeight="1">
      <c r="A499" s="1257" t="s">
        <v>2973</v>
      </c>
      <c r="B499" s="1258" t="s">
        <v>2642</v>
      </c>
      <c r="C499" s="1258" t="s">
        <v>2641</v>
      </c>
      <c r="D499" s="1044">
        <v>2825</v>
      </c>
      <c r="E499" s="1044">
        <v>3650</v>
      </c>
      <c r="F499" s="1044">
        <v>3650</v>
      </c>
      <c r="G499" s="629" t="s">
        <v>5</v>
      </c>
      <c r="H499" s="168" t="s">
        <v>1233</v>
      </c>
      <c r="I499" s="51" t="s">
        <v>2471</v>
      </c>
      <c r="J499" s="51"/>
      <c r="K499" s="34" t="s">
        <v>985</v>
      </c>
      <c r="L499" s="607" t="s">
        <v>653</v>
      </c>
      <c r="M499" s="159">
        <v>43049</v>
      </c>
      <c r="N499" s="159">
        <v>43058</v>
      </c>
      <c r="O499" s="61" t="s">
        <v>1771</v>
      </c>
      <c r="P499" s="59"/>
      <c r="Q499" s="7"/>
      <c r="R499" s="610" t="s">
        <v>2566</v>
      </c>
      <c r="S499" s="619"/>
      <c r="T499" s="858"/>
    </row>
    <row r="500" spans="1:20" ht="20.100000000000001" customHeight="1">
      <c r="A500" s="1257" t="s">
        <v>2973</v>
      </c>
      <c r="B500" s="1258" t="s">
        <v>2642</v>
      </c>
      <c r="C500" s="1258" t="s">
        <v>2641</v>
      </c>
      <c r="D500" s="1018">
        <f>D206+1200+25</f>
        <v>2750</v>
      </c>
      <c r="E500" s="1018">
        <f>E206+2200+50</f>
        <v>3825</v>
      </c>
      <c r="F500" s="1018">
        <f>F206+2200+50</f>
        <v>3825</v>
      </c>
      <c r="G500" s="609" t="s">
        <v>1689</v>
      </c>
      <c r="H500" s="168" t="s">
        <v>1233</v>
      </c>
      <c r="I500" s="37" t="s">
        <v>2471</v>
      </c>
      <c r="J500" s="37"/>
      <c r="K500" s="5"/>
      <c r="L500" s="607" t="s">
        <v>653</v>
      </c>
      <c r="M500" s="156">
        <v>43076</v>
      </c>
      <c r="N500" s="156">
        <v>43083</v>
      </c>
      <c r="O500" s="61" t="s">
        <v>1771</v>
      </c>
      <c r="P500" s="61"/>
      <c r="Q500" s="52"/>
      <c r="R500" s="610" t="s">
        <v>2470</v>
      </c>
      <c r="S500" s="622"/>
      <c r="T500" s="858"/>
    </row>
    <row r="501" spans="1:20" ht="20.100000000000001" customHeight="1">
      <c r="A501" s="1257" t="s">
        <v>2973</v>
      </c>
      <c r="B501" s="1258" t="s">
        <v>2642</v>
      </c>
      <c r="C501" s="1258" t="s">
        <v>2641</v>
      </c>
      <c r="D501" s="1043">
        <f>D207+600</f>
        <v>2780</v>
      </c>
      <c r="E501" s="1043">
        <f>E207+1000</f>
        <v>3400</v>
      </c>
      <c r="F501" s="1043">
        <f>F207+1000</f>
        <v>3400</v>
      </c>
      <c r="G501" s="216" t="s">
        <v>19</v>
      </c>
      <c r="H501" s="168" t="s">
        <v>1233</v>
      </c>
      <c r="I501" s="50" t="s">
        <v>2471</v>
      </c>
      <c r="J501" s="50"/>
      <c r="K501" s="34" t="s">
        <v>2395</v>
      </c>
      <c r="L501" s="607" t="s">
        <v>653</v>
      </c>
      <c r="M501" s="156">
        <v>43084</v>
      </c>
      <c r="N501" s="156">
        <v>43093</v>
      </c>
      <c r="O501" s="59" t="s">
        <v>611</v>
      </c>
      <c r="P501" s="59"/>
      <c r="Q501" s="7"/>
      <c r="R501" s="610" t="s">
        <v>2469</v>
      </c>
      <c r="S501" s="315" t="s">
        <v>3337</v>
      </c>
      <c r="T501" s="858"/>
    </row>
    <row r="502" spans="1:20" ht="20.100000000000001" customHeight="1">
      <c r="A502" s="1257" t="s">
        <v>2973</v>
      </c>
      <c r="B502" s="1258" t="s">
        <v>2638</v>
      </c>
      <c r="C502" s="1259" t="s">
        <v>2639</v>
      </c>
      <c r="D502" s="1010" t="s">
        <v>4233</v>
      </c>
      <c r="E502" s="1010" t="s">
        <v>4238</v>
      </c>
      <c r="F502" s="1010" t="s">
        <v>4238</v>
      </c>
      <c r="G502" s="780" t="s">
        <v>76</v>
      </c>
      <c r="H502" s="168" t="s">
        <v>1233</v>
      </c>
      <c r="I502" s="5" t="s">
        <v>2640</v>
      </c>
      <c r="J502" s="5"/>
      <c r="K502" s="34">
        <v>45</v>
      </c>
      <c r="L502" s="607" t="s">
        <v>653</v>
      </c>
      <c r="M502" s="6">
        <v>43087</v>
      </c>
      <c r="N502" s="6">
        <v>43093</v>
      </c>
      <c r="O502" s="61" t="s">
        <v>3400</v>
      </c>
      <c r="P502" s="61"/>
      <c r="Q502" s="52"/>
      <c r="R502" s="610" t="s">
        <v>2470</v>
      </c>
      <c r="S502" s="315" t="s">
        <v>3341</v>
      </c>
      <c r="T502" s="858"/>
    </row>
    <row r="503" spans="1:20" ht="20.100000000000001" customHeight="1">
      <c r="A503" s="1257" t="s">
        <v>2973</v>
      </c>
      <c r="B503" s="1258" t="s">
        <v>2638</v>
      </c>
      <c r="C503" s="1258" t="s">
        <v>2639</v>
      </c>
      <c r="D503" s="1027">
        <f>E503*0.8</f>
        <v>3920</v>
      </c>
      <c r="E503" s="1027">
        <v>4900</v>
      </c>
      <c r="F503" s="1027">
        <f>E503</f>
        <v>4900</v>
      </c>
      <c r="G503" s="637" t="s">
        <v>12</v>
      </c>
      <c r="H503" s="4">
        <v>3</v>
      </c>
      <c r="I503" s="50" t="s">
        <v>2471</v>
      </c>
      <c r="J503" s="50"/>
      <c r="K503" s="34" t="s">
        <v>683</v>
      </c>
      <c r="L503" s="607" t="s">
        <v>653</v>
      </c>
      <c r="M503" s="15">
        <v>43076</v>
      </c>
      <c r="N503" s="15">
        <v>43083</v>
      </c>
      <c r="O503" s="59" t="s">
        <v>2621</v>
      </c>
      <c r="P503" s="59"/>
      <c r="Q503" s="7"/>
      <c r="R503" s="610" t="s">
        <v>3398</v>
      </c>
      <c r="S503" s="322" t="s">
        <v>1176</v>
      </c>
      <c r="T503" s="858"/>
    </row>
    <row r="504" spans="1:20" ht="20.100000000000001" customHeight="1">
      <c r="A504" s="1257" t="s">
        <v>2973</v>
      </c>
      <c r="B504" s="1258" t="s">
        <v>2638</v>
      </c>
      <c r="C504" s="1258" t="s">
        <v>2639</v>
      </c>
      <c r="D504" s="1035">
        <f>D265+1455</f>
        <v>3635</v>
      </c>
      <c r="E504" s="1035">
        <f>E265+2235</f>
        <v>4635</v>
      </c>
      <c r="F504" s="1035">
        <f>F265+2235</f>
        <v>4635</v>
      </c>
      <c r="G504" s="216" t="s">
        <v>19</v>
      </c>
      <c r="H504" s="168" t="s">
        <v>1233</v>
      </c>
      <c r="I504" s="50" t="s">
        <v>2613</v>
      </c>
      <c r="J504" s="50"/>
      <c r="K504" s="19" t="s">
        <v>2565</v>
      </c>
      <c r="L504" s="607" t="s">
        <v>653</v>
      </c>
      <c r="M504" s="156">
        <v>43084</v>
      </c>
      <c r="N504" s="156">
        <v>43093</v>
      </c>
      <c r="O504" s="59" t="s">
        <v>611</v>
      </c>
      <c r="P504" s="59"/>
      <c r="Q504" s="7"/>
      <c r="R504" s="610" t="s">
        <v>2469</v>
      </c>
      <c r="S504" s="315" t="s">
        <v>3337</v>
      </c>
      <c r="T504" s="858"/>
    </row>
    <row r="505" spans="1:20" ht="20.100000000000001" customHeight="1">
      <c r="A505" s="1257" t="s">
        <v>2973</v>
      </c>
      <c r="B505" s="1258" t="s">
        <v>2638</v>
      </c>
      <c r="C505" s="1258" t="s">
        <v>2639</v>
      </c>
      <c r="D505" s="1034">
        <v>3800</v>
      </c>
      <c r="E505" s="1034">
        <v>4400</v>
      </c>
      <c r="F505" s="1034">
        <v>4400</v>
      </c>
      <c r="G505" s="629" t="s">
        <v>5</v>
      </c>
      <c r="H505" s="168" t="s">
        <v>1233</v>
      </c>
      <c r="I505" s="51" t="s">
        <v>2471</v>
      </c>
      <c r="J505" s="51"/>
      <c r="K505" s="34" t="s">
        <v>2396</v>
      </c>
      <c r="L505" s="607" t="s">
        <v>653</v>
      </c>
      <c r="M505" s="607"/>
      <c r="N505" s="159">
        <v>42900</v>
      </c>
      <c r="O505" s="61" t="s">
        <v>1771</v>
      </c>
      <c r="P505" s="59"/>
      <c r="Q505" s="7"/>
      <c r="R505" s="610" t="s">
        <v>2566</v>
      </c>
      <c r="S505" s="316"/>
      <c r="T505" s="858"/>
    </row>
    <row r="506" spans="1:20" ht="20.100000000000001" customHeight="1">
      <c r="A506" s="1257" t="s">
        <v>2973</v>
      </c>
      <c r="B506" s="1258" t="s">
        <v>2638</v>
      </c>
      <c r="C506" s="1258" t="s">
        <v>2639</v>
      </c>
      <c r="D506" s="1042">
        <v>2950</v>
      </c>
      <c r="E506" s="1042">
        <v>4050</v>
      </c>
      <c r="F506" s="1042">
        <v>4050</v>
      </c>
      <c r="G506" s="631" t="s">
        <v>31</v>
      </c>
      <c r="H506" s="56" t="s">
        <v>725</v>
      </c>
      <c r="I506" s="38" t="s">
        <v>2468</v>
      </c>
      <c r="J506" s="38"/>
      <c r="K506" s="16">
        <v>45</v>
      </c>
      <c r="L506" s="607" t="s">
        <v>653</v>
      </c>
      <c r="M506" s="623">
        <v>43080</v>
      </c>
      <c r="N506" s="623">
        <v>43083</v>
      </c>
      <c r="O506" s="61" t="s">
        <v>1307</v>
      </c>
      <c r="P506" s="61"/>
      <c r="Q506" s="52"/>
      <c r="R506" s="606" t="s">
        <v>2586</v>
      </c>
      <c r="S506" s="622" t="s">
        <v>1176</v>
      </c>
      <c r="T506" s="858"/>
    </row>
    <row r="507" spans="1:20" ht="20.100000000000001" customHeight="1">
      <c r="A507" s="1257" t="s">
        <v>2973</v>
      </c>
      <c r="B507" s="1258" t="s">
        <v>2638</v>
      </c>
      <c r="C507" s="1258" t="s">
        <v>2637</v>
      </c>
      <c r="D507" s="1019">
        <f>D265+1455</f>
        <v>3635</v>
      </c>
      <c r="E507" s="1019">
        <f>E265+2235</f>
        <v>4635</v>
      </c>
      <c r="F507" s="1019">
        <f>F265+2235</f>
        <v>4635</v>
      </c>
      <c r="G507" s="216" t="s">
        <v>19</v>
      </c>
      <c r="H507" s="168" t="s">
        <v>1233</v>
      </c>
      <c r="I507" s="50" t="s">
        <v>2613</v>
      </c>
      <c r="J507" s="50"/>
      <c r="K507" s="19" t="s">
        <v>1265</v>
      </c>
      <c r="L507" s="607" t="s">
        <v>653</v>
      </c>
      <c r="M507" s="156">
        <v>43084</v>
      </c>
      <c r="N507" s="156">
        <v>43093</v>
      </c>
      <c r="O507" s="59" t="s">
        <v>611</v>
      </c>
      <c r="P507" s="59"/>
      <c r="Q507" s="7"/>
      <c r="R507" s="610" t="s">
        <v>2469</v>
      </c>
      <c r="S507" s="315" t="s">
        <v>3337</v>
      </c>
      <c r="T507" s="858"/>
    </row>
    <row r="508" spans="1:20" ht="20.100000000000001" customHeight="1">
      <c r="A508" s="1257" t="s">
        <v>2973</v>
      </c>
      <c r="B508" s="1258" t="s">
        <v>2638</v>
      </c>
      <c r="C508" s="1258" t="s">
        <v>2637</v>
      </c>
      <c r="D508" s="1015">
        <v>5100</v>
      </c>
      <c r="E508" s="1015">
        <v>7200</v>
      </c>
      <c r="F508" s="1015">
        <v>7300</v>
      </c>
      <c r="G508" s="630" t="s">
        <v>31</v>
      </c>
      <c r="H508" s="56" t="s">
        <v>725</v>
      </c>
      <c r="I508" s="38" t="s">
        <v>3378</v>
      </c>
      <c r="J508" s="38"/>
      <c r="K508" s="16">
        <v>45</v>
      </c>
      <c r="L508" s="607" t="s">
        <v>653</v>
      </c>
      <c r="M508" s="623">
        <v>43040</v>
      </c>
      <c r="N508" s="623">
        <v>43083</v>
      </c>
      <c r="O508" s="61" t="s">
        <v>1307</v>
      </c>
      <c r="P508" s="61"/>
      <c r="Q508" s="52"/>
      <c r="R508" s="606" t="s">
        <v>2586</v>
      </c>
      <c r="S508" s="622" t="s">
        <v>1176</v>
      </c>
      <c r="T508" s="858"/>
    </row>
    <row r="509" spans="1:20" ht="20.100000000000001" customHeight="1">
      <c r="A509" s="1257" t="s">
        <v>2973</v>
      </c>
      <c r="B509" s="1258" t="s">
        <v>2638</v>
      </c>
      <c r="C509" s="1258" t="s">
        <v>2637</v>
      </c>
      <c r="D509" s="1019"/>
      <c r="E509" s="1019"/>
      <c r="F509" s="1019"/>
      <c r="G509" s="637" t="s">
        <v>5</v>
      </c>
      <c r="H509" s="56" t="s">
        <v>2535</v>
      </c>
      <c r="I509" s="38" t="s">
        <v>2431</v>
      </c>
      <c r="J509" s="38"/>
      <c r="K509" s="5">
        <v>45</v>
      </c>
      <c r="L509" s="607" t="s">
        <v>653</v>
      </c>
      <c r="M509" s="607"/>
      <c r="N509" s="159">
        <v>42981</v>
      </c>
      <c r="O509" s="61" t="s">
        <v>1771</v>
      </c>
      <c r="P509" s="61"/>
      <c r="Q509" s="72" t="s">
        <v>1024</v>
      </c>
      <c r="R509" s="606" t="s">
        <v>2587</v>
      </c>
      <c r="S509" s="316" t="s">
        <v>2894</v>
      </c>
      <c r="T509" s="858"/>
    </row>
    <row r="510" spans="1:20" ht="20.100000000000001" customHeight="1">
      <c r="A510" s="927" t="s">
        <v>2973</v>
      </c>
      <c r="B510" s="928" t="s">
        <v>2634</v>
      </c>
      <c r="C510" s="928" t="s">
        <v>2636</v>
      </c>
      <c r="D510" s="1019">
        <f>D265+1425</f>
        <v>3605</v>
      </c>
      <c r="E510" s="1019">
        <f>E265+2275</f>
        <v>4675</v>
      </c>
      <c r="F510" s="1019">
        <f>F265+2275</f>
        <v>4675</v>
      </c>
      <c r="G510" s="216" t="s">
        <v>19</v>
      </c>
      <c r="H510" s="168" t="s">
        <v>1233</v>
      </c>
      <c r="I510" s="50" t="s">
        <v>2613</v>
      </c>
      <c r="J510" s="50"/>
      <c r="K510" s="19" t="s">
        <v>2565</v>
      </c>
      <c r="L510" s="607" t="s">
        <v>653</v>
      </c>
      <c r="M510" s="156">
        <v>43084</v>
      </c>
      <c r="N510" s="156">
        <v>43093</v>
      </c>
      <c r="O510" s="59" t="s">
        <v>611</v>
      </c>
      <c r="P510" s="59"/>
      <c r="Q510" s="7"/>
      <c r="R510" s="610" t="s">
        <v>2469</v>
      </c>
      <c r="S510" s="315" t="s">
        <v>3337</v>
      </c>
      <c r="T510" s="858"/>
    </row>
    <row r="511" spans="1:20" ht="20.100000000000001" customHeight="1">
      <c r="A511" s="927" t="s">
        <v>2973</v>
      </c>
      <c r="B511" s="928" t="s">
        <v>2634</v>
      </c>
      <c r="C511" s="928" t="s">
        <v>2635</v>
      </c>
      <c r="D511" s="1041"/>
      <c r="E511" s="1041"/>
      <c r="F511" s="1041"/>
      <c r="G511" s="22"/>
      <c r="H511" s="56"/>
      <c r="I511" s="19"/>
      <c r="J511" s="19"/>
      <c r="K511" s="34"/>
      <c r="L511" s="607"/>
      <c r="M511" s="607"/>
      <c r="N511" s="15"/>
      <c r="O511" s="59"/>
      <c r="P511" s="59"/>
      <c r="Q511" s="59"/>
      <c r="R511" s="610"/>
      <c r="S511" s="322"/>
      <c r="T511" s="749"/>
    </row>
    <row r="512" spans="1:20" ht="20.100000000000001" customHeight="1">
      <c r="A512" s="1257" t="s">
        <v>2973</v>
      </c>
      <c r="B512" s="1258" t="s">
        <v>2634</v>
      </c>
      <c r="C512" s="1259" t="s">
        <v>2633</v>
      </c>
      <c r="D512" s="1010" t="s">
        <v>4237</v>
      </c>
      <c r="E512" s="1010" t="s">
        <v>4235</v>
      </c>
      <c r="F512" s="1010" t="s">
        <v>4235</v>
      </c>
      <c r="G512" s="780" t="s">
        <v>76</v>
      </c>
      <c r="H512" s="56" t="s">
        <v>1233</v>
      </c>
      <c r="I512" s="5" t="s">
        <v>2613</v>
      </c>
      <c r="J512" s="5"/>
      <c r="K512" s="34">
        <v>45</v>
      </c>
      <c r="L512" s="607" t="s">
        <v>653</v>
      </c>
      <c r="M512" s="6">
        <v>43087</v>
      </c>
      <c r="N512" s="6">
        <v>43093</v>
      </c>
      <c r="O512" s="61" t="s">
        <v>3400</v>
      </c>
      <c r="P512" s="61"/>
      <c r="Q512" s="52"/>
      <c r="R512" s="610" t="s">
        <v>2470</v>
      </c>
      <c r="S512" s="315" t="s">
        <v>3341</v>
      </c>
      <c r="T512" s="858"/>
    </row>
    <row r="513" spans="1:20" ht="20.100000000000001" customHeight="1">
      <c r="A513" s="1257" t="s">
        <v>2973</v>
      </c>
      <c r="B513" s="1258" t="s">
        <v>2634</v>
      </c>
      <c r="C513" s="1258" t="s">
        <v>2633</v>
      </c>
      <c r="D513" s="1027"/>
      <c r="E513" s="1027"/>
      <c r="F513" s="1027"/>
      <c r="G513" s="629" t="s">
        <v>5</v>
      </c>
      <c r="H513" s="56" t="s">
        <v>2535</v>
      </c>
      <c r="I513" s="38" t="s">
        <v>2431</v>
      </c>
      <c r="J513" s="38"/>
      <c r="K513" s="5"/>
      <c r="L513" s="607" t="s">
        <v>653</v>
      </c>
      <c r="M513" s="607"/>
      <c r="N513" s="159">
        <v>42981</v>
      </c>
      <c r="O513" s="61" t="s">
        <v>1771</v>
      </c>
      <c r="P513" s="61"/>
      <c r="Q513" s="72" t="s">
        <v>1024</v>
      </c>
      <c r="R513" s="606" t="s">
        <v>2587</v>
      </c>
      <c r="S513" s="622"/>
      <c r="T513" s="858"/>
    </row>
    <row r="514" spans="1:20" ht="20.100000000000001" customHeight="1">
      <c r="A514" s="1257" t="s">
        <v>2973</v>
      </c>
      <c r="B514" s="1258" t="s">
        <v>2634</v>
      </c>
      <c r="C514" s="1258" t="s">
        <v>2633</v>
      </c>
      <c r="D514" s="1040"/>
      <c r="E514" s="1040"/>
      <c r="F514" s="1040"/>
      <c r="G514" s="631" t="s">
        <v>31</v>
      </c>
      <c r="H514" s="56" t="s">
        <v>725</v>
      </c>
      <c r="I514" s="38" t="s">
        <v>2468</v>
      </c>
      <c r="J514" s="38"/>
      <c r="K514" s="16">
        <v>45</v>
      </c>
      <c r="L514" s="607" t="s">
        <v>653</v>
      </c>
      <c r="M514" s="623">
        <v>43040</v>
      </c>
      <c r="N514" s="623">
        <v>43083</v>
      </c>
      <c r="O514" s="61" t="s">
        <v>1307</v>
      </c>
      <c r="P514" s="61"/>
      <c r="Q514" s="52"/>
      <c r="R514" s="606" t="s">
        <v>2586</v>
      </c>
      <c r="S514" s="622" t="s">
        <v>1176</v>
      </c>
      <c r="T514" s="858"/>
    </row>
    <row r="515" spans="1:20" ht="20.100000000000001" customHeight="1">
      <c r="A515" s="1257" t="s">
        <v>2973</v>
      </c>
      <c r="B515" s="1258" t="s">
        <v>2630</v>
      </c>
      <c r="C515" s="1259" t="s">
        <v>2632</v>
      </c>
      <c r="D515" s="1010" t="s">
        <v>4236</v>
      </c>
      <c r="E515" s="1010" t="s">
        <v>4235</v>
      </c>
      <c r="F515" s="1010" t="s">
        <v>4234</v>
      </c>
      <c r="G515" s="780" t="s">
        <v>76</v>
      </c>
      <c r="H515" s="56" t="s">
        <v>1233</v>
      </c>
      <c r="I515" s="5" t="s">
        <v>2613</v>
      </c>
      <c r="J515" s="5"/>
      <c r="K515" s="34">
        <v>45</v>
      </c>
      <c r="L515" s="607" t="s">
        <v>653</v>
      </c>
      <c r="M515" s="6">
        <v>43087</v>
      </c>
      <c r="N515" s="6">
        <v>43093</v>
      </c>
      <c r="O515" s="61" t="s">
        <v>3400</v>
      </c>
      <c r="P515" s="61"/>
      <c r="Q515" s="52"/>
      <c r="R515" s="610" t="s">
        <v>2470</v>
      </c>
      <c r="S515" s="315" t="s">
        <v>3341</v>
      </c>
      <c r="T515" s="858"/>
    </row>
    <row r="516" spans="1:20" ht="20.100000000000001" customHeight="1">
      <c r="A516" s="1257" t="s">
        <v>2973</v>
      </c>
      <c r="B516" s="1258" t="s">
        <v>2630</v>
      </c>
      <c r="C516" s="1258" t="s">
        <v>2632</v>
      </c>
      <c r="D516" s="1027">
        <f>E516*0.8</f>
        <v>5920</v>
      </c>
      <c r="E516" s="1027">
        <v>7400</v>
      </c>
      <c r="F516" s="1027">
        <f>E516</f>
        <v>7400</v>
      </c>
      <c r="G516" s="637" t="s">
        <v>12</v>
      </c>
      <c r="H516" s="4">
        <v>3</v>
      </c>
      <c r="I516" s="51" t="s">
        <v>2613</v>
      </c>
      <c r="J516" s="51"/>
      <c r="K516" s="19" t="s">
        <v>662</v>
      </c>
      <c r="L516" s="607" t="s">
        <v>653</v>
      </c>
      <c r="M516" s="15">
        <v>43076</v>
      </c>
      <c r="N516" s="15">
        <v>43083</v>
      </c>
      <c r="O516" s="59" t="s">
        <v>2621</v>
      </c>
      <c r="P516" s="59"/>
      <c r="Q516" s="7"/>
      <c r="R516" s="610" t="s">
        <v>3398</v>
      </c>
      <c r="S516" s="322" t="s">
        <v>1176</v>
      </c>
      <c r="T516" s="858"/>
    </row>
    <row r="517" spans="1:20" ht="20.100000000000001" customHeight="1">
      <c r="A517" s="1257" t="s">
        <v>2973</v>
      </c>
      <c r="B517" s="1258" t="s">
        <v>2630</v>
      </c>
      <c r="C517" s="1258" t="s">
        <v>2632</v>
      </c>
      <c r="D517" s="1035">
        <f>D265+1625</f>
        <v>3805</v>
      </c>
      <c r="E517" s="1035">
        <f>E265+2575</f>
        <v>4975</v>
      </c>
      <c r="F517" s="1035">
        <f>F265+2575</f>
        <v>4975</v>
      </c>
      <c r="G517" s="216" t="s">
        <v>19</v>
      </c>
      <c r="H517" s="168" t="s">
        <v>1233</v>
      </c>
      <c r="I517" s="50" t="s">
        <v>2613</v>
      </c>
      <c r="J517" s="50"/>
      <c r="K517" s="19" t="s">
        <v>2396</v>
      </c>
      <c r="L517" s="607" t="s">
        <v>653</v>
      </c>
      <c r="M517" s="156">
        <v>43084</v>
      </c>
      <c r="N517" s="156">
        <v>43093</v>
      </c>
      <c r="O517" s="59" t="s">
        <v>611</v>
      </c>
      <c r="P517" s="59"/>
      <c r="Q517" s="7"/>
      <c r="R517" s="610" t="s">
        <v>2469</v>
      </c>
      <c r="S517" s="315" t="s">
        <v>3337</v>
      </c>
      <c r="T517" s="858"/>
    </row>
    <row r="518" spans="1:20" ht="20.100000000000001" customHeight="1">
      <c r="A518" s="1257" t="s">
        <v>2973</v>
      </c>
      <c r="B518" s="1258" t="s">
        <v>2630</v>
      </c>
      <c r="C518" s="1258" t="s">
        <v>2632</v>
      </c>
      <c r="D518" s="1015">
        <f>D264+2000+25</f>
        <v>3550</v>
      </c>
      <c r="E518" s="1015">
        <f>E264+3000+50</f>
        <v>4625</v>
      </c>
      <c r="F518" s="1015">
        <f>F264+3000+50</f>
        <v>4625</v>
      </c>
      <c r="G518" s="609" t="s">
        <v>1689</v>
      </c>
      <c r="H518" s="168" t="s">
        <v>1233</v>
      </c>
      <c r="I518" s="37" t="s">
        <v>2613</v>
      </c>
      <c r="J518" s="37"/>
      <c r="K518" s="5"/>
      <c r="L518" s="607" t="s">
        <v>653</v>
      </c>
      <c r="M518" s="156">
        <v>43076</v>
      </c>
      <c r="N518" s="156">
        <v>43083</v>
      </c>
      <c r="O518" s="61" t="s">
        <v>1771</v>
      </c>
      <c r="P518" s="61"/>
      <c r="Q518" s="52"/>
      <c r="R518" s="610" t="s">
        <v>2470</v>
      </c>
      <c r="S518" s="622"/>
      <c r="T518" s="858"/>
    </row>
    <row r="519" spans="1:20" ht="20.100000000000001" customHeight="1">
      <c r="A519" s="1257" t="s">
        <v>2973</v>
      </c>
      <c r="B519" s="1258" t="s">
        <v>2630</v>
      </c>
      <c r="C519" s="1258" t="s">
        <v>2632</v>
      </c>
      <c r="D519" s="1015"/>
      <c r="E519" s="1015"/>
      <c r="F519" s="1015"/>
      <c r="G519" s="631" t="s">
        <v>31</v>
      </c>
      <c r="H519" s="56" t="s">
        <v>725</v>
      </c>
      <c r="I519" s="38" t="s">
        <v>2468</v>
      </c>
      <c r="J519" s="38"/>
      <c r="K519" s="16">
        <v>45</v>
      </c>
      <c r="L519" s="607" t="s">
        <v>653</v>
      </c>
      <c r="M519" s="623">
        <v>43040</v>
      </c>
      <c r="N519" s="623">
        <v>43083</v>
      </c>
      <c r="O519" s="61" t="s">
        <v>1307</v>
      </c>
      <c r="P519" s="61"/>
      <c r="Q519" s="52"/>
      <c r="R519" s="606" t="s">
        <v>2586</v>
      </c>
      <c r="S519" s="622" t="s">
        <v>1176</v>
      </c>
      <c r="T519" s="858"/>
    </row>
    <row r="520" spans="1:20" ht="20.100000000000001" customHeight="1">
      <c r="A520" s="1257" t="s">
        <v>2973</v>
      </c>
      <c r="B520" s="1258" t="s">
        <v>2630</v>
      </c>
      <c r="C520" s="1258" t="s">
        <v>2631</v>
      </c>
      <c r="D520" s="1040">
        <f>D265+1625</f>
        <v>3805</v>
      </c>
      <c r="E520" s="1040">
        <f>E265+2585</f>
        <v>4985</v>
      </c>
      <c r="F520" s="1040">
        <f>F265+2585</f>
        <v>4985</v>
      </c>
      <c r="G520" s="216" t="s">
        <v>19</v>
      </c>
      <c r="H520" s="168" t="s">
        <v>1233</v>
      </c>
      <c r="I520" s="50" t="s">
        <v>2613</v>
      </c>
      <c r="J520" s="50"/>
      <c r="K520" s="19" t="s">
        <v>2565</v>
      </c>
      <c r="L520" s="607" t="s">
        <v>653</v>
      </c>
      <c r="M520" s="156">
        <v>43084</v>
      </c>
      <c r="N520" s="156">
        <v>43093</v>
      </c>
      <c r="O520" s="59" t="s">
        <v>611</v>
      </c>
      <c r="P520" s="59"/>
      <c r="Q520" s="7"/>
      <c r="R520" s="610" t="s">
        <v>2469</v>
      </c>
      <c r="S520" s="315" t="s">
        <v>3337</v>
      </c>
      <c r="T520" s="858"/>
    </row>
    <row r="521" spans="1:20" ht="20.100000000000001" customHeight="1">
      <c r="A521" s="1257" t="s">
        <v>2973</v>
      </c>
      <c r="B521" s="1258" t="s">
        <v>2630</v>
      </c>
      <c r="C521" s="1259" t="s">
        <v>2631</v>
      </c>
      <c r="D521" s="1010" t="s">
        <v>4233</v>
      </c>
      <c r="E521" s="1010" t="s">
        <v>4232</v>
      </c>
      <c r="F521" s="1010" t="s">
        <v>4232</v>
      </c>
      <c r="G521" s="780" t="s">
        <v>76</v>
      </c>
      <c r="H521" s="168" t="s">
        <v>1233</v>
      </c>
      <c r="I521" s="5" t="s">
        <v>2613</v>
      </c>
      <c r="J521" s="5"/>
      <c r="K521" s="34">
        <v>45</v>
      </c>
      <c r="L521" s="607" t="s">
        <v>653</v>
      </c>
      <c r="M521" s="6">
        <v>43087</v>
      </c>
      <c r="N521" s="6">
        <v>43093</v>
      </c>
      <c r="O521" s="61" t="s">
        <v>3400</v>
      </c>
      <c r="P521" s="61"/>
      <c r="Q521" s="52"/>
      <c r="R521" s="610" t="s">
        <v>2470</v>
      </c>
      <c r="S521" s="315" t="s">
        <v>3341</v>
      </c>
      <c r="T521" s="858"/>
    </row>
    <row r="522" spans="1:20" ht="20.100000000000001" customHeight="1">
      <c r="A522" s="1257" t="s">
        <v>2973</v>
      </c>
      <c r="B522" s="1258" t="s">
        <v>2630</v>
      </c>
      <c r="C522" s="1258" t="s">
        <v>2629</v>
      </c>
      <c r="D522" s="1039"/>
      <c r="E522" s="1039"/>
      <c r="F522" s="1039"/>
      <c r="G522" s="629" t="s">
        <v>5</v>
      </c>
      <c r="H522" s="56" t="s">
        <v>2535</v>
      </c>
      <c r="I522" s="38" t="s">
        <v>2431</v>
      </c>
      <c r="J522" s="38"/>
      <c r="K522" s="5"/>
      <c r="L522" s="607" t="s">
        <v>653</v>
      </c>
      <c r="M522" s="607"/>
      <c r="N522" s="159">
        <v>42981</v>
      </c>
      <c r="O522" s="61" t="s">
        <v>1771</v>
      </c>
      <c r="P522" s="61"/>
      <c r="Q522" s="72" t="s">
        <v>1024</v>
      </c>
      <c r="R522" s="606" t="s">
        <v>2587</v>
      </c>
      <c r="S522" s="622"/>
      <c r="T522" s="858"/>
    </row>
    <row r="523" spans="1:20" ht="20.100000000000001" customHeight="1">
      <c r="A523" s="1257" t="s">
        <v>2973</v>
      </c>
      <c r="B523" s="1258" t="s">
        <v>2630</v>
      </c>
      <c r="C523" s="1259" t="s">
        <v>2629</v>
      </c>
      <c r="D523" s="1010" t="s">
        <v>4233</v>
      </c>
      <c r="E523" s="1010" t="s">
        <v>4232</v>
      </c>
      <c r="F523" s="1010" t="s">
        <v>4232</v>
      </c>
      <c r="G523" s="780" t="s">
        <v>76</v>
      </c>
      <c r="H523" s="168" t="s">
        <v>1233</v>
      </c>
      <c r="I523" s="5" t="s">
        <v>2613</v>
      </c>
      <c r="J523" s="5"/>
      <c r="K523" s="34">
        <v>45</v>
      </c>
      <c r="L523" s="607" t="s">
        <v>653</v>
      </c>
      <c r="M523" s="6">
        <v>43087</v>
      </c>
      <c r="N523" s="6">
        <v>43093</v>
      </c>
      <c r="O523" s="61" t="s">
        <v>3400</v>
      </c>
      <c r="P523" s="61"/>
      <c r="Q523" s="52"/>
      <c r="R523" s="610" t="s">
        <v>2470</v>
      </c>
      <c r="S523" s="315" t="s">
        <v>3341</v>
      </c>
      <c r="T523" s="858"/>
    </row>
    <row r="524" spans="1:20" ht="20.100000000000001" customHeight="1">
      <c r="A524" s="1257" t="s">
        <v>2973</v>
      </c>
      <c r="B524" s="1258" t="s">
        <v>2630</v>
      </c>
      <c r="C524" s="1258" t="s">
        <v>2629</v>
      </c>
      <c r="D524" s="1038">
        <v>5200</v>
      </c>
      <c r="E524" s="1038">
        <v>6950</v>
      </c>
      <c r="F524" s="1038">
        <v>6950</v>
      </c>
      <c r="G524" s="631" t="s">
        <v>31</v>
      </c>
      <c r="H524" s="56" t="s">
        <v>725</v>
      </c>
      <c r="I524" s="38" t="s">
        <v>3378</v>
      </c>
      <c r="J524" s="38"/>
      <c r="K524" s="5">
        <v>55</v>
      </c>
      <c r="L524" s="607" t="s">
        <v>653</v>
      </c>
      <c r="M524" s="623">
        <v>43040</v>
      </c>
      <c r="N524" s="623">
        <v>43083</v>
      </c>
      <c r="O524" s="61" t="s">
        <v>1307</v>
      </c>
      <c r="P524" s="61"/>
      <c r="Q524" s="52"/>
      <c r="R524" s="606" t="s">
        <v>2586</v>
      </c>
      <c r="S524" s="622" t="s">
        <v>1176</v>
      </c>
      <c r="T524" s="858"/>
    </row>
    <row r="525" spans="1:20" ht="20.100000000000001" customHeight="1">
      <c r="A525" s="927" t="s">
        <v>2973</v>
      </c>
      <c r="B525" s="928" t="s">
        <v>2625</v>
      </c>
      <c r="C525" s="929" t="s">
        <v>2628</v>
      </c>
      <c r="D525" s="1010" t="s">
        <v>4231</v>
      </c>
      <c r="E525" s="1010" t="s">
        <v>4230</v>
      </c>
      <c r="F525" s="1010" t="s">
        <v>4230</v>
      </c>
      <c r="G525" s="780" t="s">
        <v>76</v>
      </c>
      <c r="H525" s="168" t="s">
        <v>646</v>
      </c>
      <c r="I525" s="5" t="s">
        <v>2543</v>
      </c>
      <c r="J525" s="5"/>
      <c r="K525" s="34">
        <v>45</v>
      </c>
      <c r="L525" s="607" t="s">
        <v>653</v>
      </c>
      <c r="M525" s="6">
        <v>43087</v>
      </c>
      <c r="N525" s="6">
        <v>43093</v>
      </c>
      <c r="O525" s="61" t="s">
        <v>3401</v>
      </c>
      <c r="P525" s="61"/>
      <c r="Q525" s="61"/>
      <c r="R525" s="606"/>
      <c r="S525" s="315" t="s">
        <v>3341</v>
      </c>
      <c r="T525" s="858"/>
    </row>
    <row r="526" spans="1:20" ht="20.100000000000001" customHeight="1">
      <c r="A526" s="927" t="s">
        <v>2973</v>
      </c>
      <c r="B526" s="928" t="s">
        <v>2625</v>
      </c>
      <c r="C526" s="928" t="s">
        <v>2627</v>
      </c>
      <c r="D526" s="1037"/>
      <c r="E526" s="1037"/>
      <c r="F526" s="1037"/>
      <c r="G526" s="22"/>
      <c r="H526" s="56"/>
      <c r="I526" s="19"/>
      <c r="J526" s="19"/>
      <c r="K526" s="34"/>
      <c r="L526" s="607"/>
      <c r="M526" s="607"/>
      <c r="N526" s="15"/>
      <c r="O526" s="59"/>
      <c r="P526" s="59"/>
      <c r="Q526" s="59"/>
      <c r="R526" s="610"/>
      <c r="S526" s="322"/>
      <c r="T526" s="749"/>
    </row>
    <row r="527" spans="1:20" ht="20.100000000000001" customHeight="1">
      <c r="A527" s="1257" t="s">
        <v>2973</v>
      </c>
      <c r="B527" s="1258" t="s">
        <v>2625</v>
      </c>
      <c r="C527" s="1258" t="s">
        <v>2626</v>
      </c>
      <c r="D527" s="1031">
        <f>D265+1902</f>
        <v>4082</v>
      </c>
      <c r="E527" s="1031">
        <f>E265+2904</f>
        <v>5304</v>
      </c>
      <c r="F527" s="1031">
        <f>F265+2904</f>
        <v>5304</v>
      </c>
      <c r="G527" s="656" t="s">
        <v>19</v>
      </c>
      <c r="H527" s="168" t="s">
        <v>1233</v>
      </c>
      <c r="I527" s="50" t="s">
        <v>2613</v>
      </c>
      <c r="J527" s="50"/>
      <c r="K527" s="19" t="s">
        <v>2396</v>
      </c>
      <c r="L527" s="607" t="s">
        <v>653</v>
      </c>
      <c r="M527" s="156">
        <v>43084</v>
      </c>
      <c r="N527" s="156">
        <v>43093</v>
      </c>
      <c r="O527" s="59" t="s">
        <v>611</v>
      </c>
      <c r="P527" s="59"/>
      <c r="Q527" s="7"/>
      <c r="R527" s="610" t="s">
        <v>2469</v>
      </c>
      <c r="S527" s="315" t="s">
        <v>3337</v>
      </c>
      <c r="T527" s="858"/>
    </row>
    <row r="528" spans="1:20" ht="20.100000000000001" customHeight="1">
      <c r="A528" s="1257" t="s">
        <v>2973</v>
      </c>
      <c r="B528" s="1258" t="s">
        <v>2625</v>
      </c>
      <c r="C528" s="1259" t="s">
        <v>2626</v>
      </c>
      <c r="D528" s="1010" t="s">
        <v>4229</v>
      </c>
      <c r="E528" s="1010" t="s">
        <v>4228</v>
      </c>
      <c r="F528" s="1010" t="s">
        <v>4228</v>
      </c>
      <c r="G528" s="780" t="s">
        <v>76</v>
      </c>
      <c r="H528" s="56" t="s">
        <v>659</v>
      </c>
      <c r="I528" s="5" t="s">
        <v>2543</v>
      </c>
      <c r="J528" s="5"/>
      <c r="K528" s="34">
        <v>45</v>
      </c>
      <c r="L528" s="607" t="s">
        <v>653</v>
      </c>
      <c r="M528" s="6">
        <v>43087</v>
      </c>
      <c r="N528" s="6">
        <v>43093</v>
      </c>
      <c r="O528" s="61" t="s">
        <v>3401</v>
      </c>
      <c r="P528" s="61"/>
      <c r="Q528" s="61"/>
      <c r="R528" s="606"/>
      <c r="S528" s="315" t="s">
        <v>3341</v>
      </c>
      <c r="T528" s="858"/>
    </row>
    <row r="529" spans="1:20" ht="20.100000000000001" customHeight="1">
      <c r="A529" s="1257" t="s">
        <v>2973</v>
      </c>
      <c r="B529" s="1258" t="s">
        <v>2625</v>
      </c>
      <c r="C529" s="1258" t="s">
        <v>2624</v>
      </c>
      <c r="D529" s="1036">
        <f>D265+1902</f>
        <v>4082</v>
      </c>
      <c r="E529" s="1036">
        <f>E265+2904</f>
        <v>5304</v>
      </c>
      <c r="F529" s="1036">
        <f>F265+2904</f>
        <v>5304</v>
      </c>
      <c r="G529" s="656" t="s">
        <v>19</v>
      </c>
      <c r="H529" s="168" t="s">
        <v>1233</v>
      </c>
      <c r="I529" s="50" t="s">
        <v>2613</v>
      </c>
      <c r="J529" s="50"/>
      <c r="K529" s="19" t="s">
        <v>2396</v>
      </c>
      <c r="L529" s="607" t="s">
        <v>653</v>
      </c>
      <c r="M529" s="156">
        <v>43084</v>
      </c>
      <c r="N529" s="156">
        <v>43093</v>
      </c>
      <c r="O529" s="59" t="s">
        <v>611</v>
      </c>
      <c r="P529" s="59"/>
      <c r="Q529" s="7"/>
      <c r="R529" s="610" t="s">
        <v>2469</v>
      </c>
      <c r="S529" s="315" t="s">
        <v>3337</v>
      </c>
      <c r="T529" s="858"/>
    </row>
    <row r="530" spans="1:20" ht="20.100000000000001" customHeight="1">
      <c r="A530" s="1257" t="s">
        <v>2973</v>
      </c>
      <c r="B530" s="1258" t="s">
        <v>2625</v>
      </c>
      <c r="C530" s="1259" t="s">
        <v>2624</v>
      </c>
      <c r="D530" s="1010" t="s">
        <v>4227</v>
      </c>
      <c r="E530" s="1010" t="s">
        <v>4226</v>
      </c>
      <c r="F530" s="1010" t="s">
        <v>4226</v>
      </c>
      <c r="G530" s="780" t="s">
        <v>76</v>
      </c>
      <c r="H530" s="56" t="s">
        <v>659</v>
      </c>
      <c r="I530" s="5" t="s">
        <v>2543</v>
      </c>
      <c r="J530" s="5"/>
      <c r="K530" s="34">
        <v>45</v>
      </c>
      <c r="L530" s="607" t="s">
        <v>653</v>
      </c>
      <c r="M530" s="6">
        <v>43087</v>
      </c>
      <c r="N530" s="6">
        <v>43093</v>
      </c>
      <c r="O530" s="61" t="s">
        <v>3401</v>
      </c>
      <c r="P530" s="61"/>
      <c r="Q530" s="61"/>
      <c r="R530" s="606"/>
      <c r="S530" s="315" t="s">
        <v>3341</v>
      </c>
      <c r="T530" s="858"/>
    </row>
    <row r="531" spans="1:20" ht="20.100000000000001" customHeight="1">
      <c r="A531" s="1257" t="s">
        <v>2973</v>
      </c>
      <c r="B531" s="1258" t="s">
        <v>2623</v>
      </c>
      <c r="C531" s="1259" t="s">
        <v>2622</v>
      </c>
      <c r="D531" s="1028" t="s">
        <v>4225</v>
      </c>
      <c r="E531" s="1028" t="s">
        <v>4224</v>
      </c>
      <c r="F531" s="1028" t="s">
        <v>4224</v>
      </c>
      <c r="G531" s="780" t="s">
        <v>76</v>
      </c>
      <c r="H531" s="56" t="s">
        <v>1233</v>
      </c>
      <c r="I531" s="50" t="s">
        <v>2613</v>
      </c>
      <c r="J531" s="5"/>
      <c r="K531" s="34">
        <v>45</v>
      </c>
      <c r="L531" s="607" t="s">
        <v>653</v>
      </c>
      <c r="M531" s="6">
        <v>43087</v>
      </c>
      <c r="N531" s="6">
        <v>43093</v>
      </c>
      <c r="O531" s="61" t="s">
        <v>3400</v>
      </c>
      <c r="P531" s="61"/>
      <c r="Q531" s="52"/>
      <c r="R531" s="610" t="s">
        <v>2470</v>
      </c>
      <c r="S531" s="315" t="s">
        <v>3341</v>
      </c>
      <c r="T531" s="858"/>
    </row>
    <row r="532" spans="1:20" ht="20.100000000000001" customHeight="1">
      <c r="A532" s="1257" t="s">
        <v>2973</v>
      </c>
      <c r="B532" s="1258" t="s">
        <v>2623</v>
      </c>
      <c r="C532" s="1258" t="s">
        <v>2622</v>
      </c>
      <c r="D532" s="1027">
        <f>E532*0.8</f>
        <v>5200</v>
      </c>
      <c r="E532" s="1027">
        <v>6500</v>
      </c>
      <c r="F532" s="1027">
        <f>E532</f>
        <v>6500</v>
      </c>
      <c r="G532" s="637" t="s">
        <v>12</v>
      </c>
      <c r="H532" s="4">
        <v>3</v>
      </c>
      <c r="I532" s="50" t="s">
        <v>2471</v>
      </c>
      <c r="J532" s="50"/>
      <c r="K532" s="19" t="s">
        <v>662</v>
      </c>
      <c r="L532" s="607" t="s">
        <v>653</v>
      </c>
      <c r="M532" s="15">
        <v>43076</v>
      </c>
      <c r="N532" s="15">
        <v>43083</v>
      </c>
      <c r="O532" s="59" t="s">
        <v>2621</v>
      </c>
      <c r="P532" s="59"/>
      <c r="Q532" s="7"/>
      <c r="R532" s="610" t="s">
        <v>3398</v>
      </c>
      <c r="S532" s="322" t="s">
        <v>1176</v>
      </c>
      <c r="T532" s="858"/>
    </row>
    <row r="533" spans="1:20" ht="20.100000000000001" customHeight="1">
      <c r="A533" s="1257" t="s">
        <v>2973</v>
      </c>
      <c r="B533" s="1258" t="s">
        <v>2623</v>
      </c>
      <c r="C533" s="1258" t="s">
        <v>2622</v>
      </c>
      <c r="D533" s="1035">
        <f>D265+1125</f>
        <v>3305</v>
      </c>
      <c r="E533" s="1035">
        <f>E265+1654</f>
        <v>4054</v>
      </c>
      <c r="F533" s="1035">
        <f>F265+1654</f>
        <v>4054</v>
      </c>
      <c r="G533" s="216" t="s">
        <v>19</v>
      </c>
      <c r="H533" s="168" t="s">
        <v>1233</v>
      </c>
      <c r="I533" s="50" t="s">
        <v>2613</v>
      </c>
      <c r="J533" s="50"/>
      <c r="K533" s="19" t="s">
        <v>3325</v>
      </c>
      <c r="L533" s="607" t="s">
        <v>653</v>
      </c>
      <c r="M533" s="156">
        <v>43084</v>
      </c>
      <c r="N533" s="156">
        <v>43093</v>
      </c>
      <c r="O533" s="59" t="s">
        <v>611</v>
      </c>
      <c r="P533" s="59"/>
      <c r="Q533" s="7"/>
      <c r="R533" s="610" t="s">
        <v>2469</v>
      </c>
      <c r="S533" s="315" t="s">
        <v>3337</v>
      </c>
      <c r="T533" s="858"/>
    </row>
    <row r="534" spans="1:20" ht="20.100000000000001" customHeight="1">
      <c r="A534" s="1257" t="s">
        <v>2973</v>
      </c>
      <c r="B534" s="1258" t="s">
        <v>2623</v>
      </c>
      <c r="C534" s="1258" t="s">
        <v>2622</v>
      </c>
      <c r="D534" s="1019">
        <f>D264+1500+25</f>
        <v>3050</v>
      </c>
      <c r="E534" s="1019">
        <f>E264+2500+50</f>
        <v>4125</v>
      </c>
      <c r="F534" s="1019">
        <f>F264+2500+50</f>
        <v>4125</v>
      </c>
      <c r="G534" s="609" t="s">
        <v>1689</v>
      </c>
      <c r="H534" s="168" t="s">
        <v>1233</v>
      </c>
      <c r="I534" s="37" t="s">
        <v>2613</v>
      </c>
      <c r="J534" s="37"/>
      <c r="K534" s="5"/>
      <c r="L534" s="607" t="s">
        <v>653</v>
      </c>
      <c r="M534" s="156">
        <v>43076</v>
      </c>
      <c r="N534" s="156">
        <v>43083</v>
      </c>
      <c r="O534" s="61" t="s">
        <v>1771</v>
      </c>
      <c r="P534" s="61"/>
      <c r="Q534" s="52"/>
      <c r="R534" s="610" t="s">
        <v>2470</v>
      </c>
      <c r="S534" s="622"/>
      <c r="T534" s="858"/>
    </row>
    <row r="535" spans="1:20" ht="20.100000000000001" customHeight="1">
      <c r="A535" s="1257" t="s">
        <v>2973</v>
      </c>
      <c r="B535" s="1258" t="s">
        <v>2623</v>
      </c>
      <c r="C535" s="1258" t="s">
        <v>2622</v>
      </c>
      <c r="D535" s="1034">
        <v>2675</v>
      </c>
      <c r="E535" s="1034">
        <v>4250</v>
      </c>
      <c r="F535" s="1034">
        <v>4250</v>
      </c>
      <c r="G535" s="629" t="s">
        <v>5</v>
      </c>
      <c r="H535" s="168" t="s">
        <v>1233</v>
      </c>
      <c r="I535" s="51" t="s">
        <v>2471</v>
      </c>
      <c r="J535" s="51"/>
      <c r="K535" s="34" t="s">
        <v>987</v>
      </c>
      <c r="L535" s="607" t="s">
        <v>653</v>
      </c>
      <c r="M535" s="607"/>
      <c r="N535" s="159">
        <v>42981</v>
      </c>
      <c r="O535" s="61" t="s">
        <v>1771</v>
      </c>
      <c r="P535" s="59"/>
      <c r="Q535" s="7"/>
      <c r="R535" s="610" t="s">
        <v>2566</v>
      </c>
      <c r="S535" s="316"/>
      <c r="T535" s="858"/>
    </row>
    <row r="536" spans="1:20" ht="20.100000000000001" customHeight="1">
      <c r="A536" s="1257" t="s">
        <v>2973</v>
      </c>
      <c r="B536" s="1258" t="s">
        <v>2623</v>
      </c>
      <c r="C536" s="1258" t="s">
        <v>2622</v>
      </c>
      <c r="D536" s="1015">
        <v>2400</v>
      </c>
      <c r="E536" s="1015">
        <v>3100</v>
      </c>
      <c r="F536" s="1015">
        <v>3100</v>
      </c>
      <c r="G536" s="631" t="s">
        <v>31</v>
      </c>
      <c r="H536" s="56" t="s">
        <v>725</v>
      </c>
      <c r="I536" s="38" t="s">
        <v>2468</v>
      </c>
      <c r="J536" s="38"/>
      <c r="K536" s="5">
        <v>45</v>
      </c>
      <c r="L536" s="607" t="s">
        <v>653</v>
      </c>
      <c r="M536" s="623">
        <v>43080</v>
      </c>
      <c r="N536" s="623">
        <v>43083</v>
      </c>
      <c r="O536" s="61" t="s">
        <v>1307</v>
      </c>
      <c r="P536" s="61"/>
      <c r="Q536" s="52"/>
      <c r="R536" s="606" t="s">
        <v>2586</v>
      </c>
      <c r="S536" s="622" t="s">
        <v>1176</v>
      </c>
      <c r="T536" s="858"/>
    </row>
    <row r="537" spans="1:20" ht="20.100000000000001" customHeight="1">
      <c r="A537" s="1257" t="s">
        <v>2973</v>
      </c>
      <c r="B537" s="1258" t="s">
        <v>2616</v>
      </c>
      <c r="C537" s="1258" t="s">
        <v>2620</v>
      </c>
      <c r="D537" s="1029">
        <f>E537*0.8</f>
        <v>5440</v>
      </c>
      <c r="E537" s="1029">
        <v>6800</v>
      </c>
      <c r="F537" s="1029">
        <f>E537</f>
        <v>6800</v>
      </c>
      <c r="G537" s="637" t="s">
        <v>12</v>
      </c>
      <c r="H537" s="56">
        <v>3</v>
      </c>
      <c r="I537" s="50" t="s">
        <v>2471</v>
      </c>
      <c r="J537" s="50"/>
      <c r="K537" s="34" t="s">
        <v>984</v>
      </c>
      <c r="L537" s="607" t="s">
        <v>653</v>
      </c>
      <c r="M537" s="15">
        <v>43076</v>
      </c>
      <c r="N537" s="15">
        <v>43083</v>
      </c>
      <c r="O537" s="59" t="s">
        <v>2621</v>
      </c>
      <c r="P537" s="59"/>
      <c r="Q537" s="7"/>
      <c r="R537" s="610" t="s">
        <v>3398</v>
      </c>
      <c r="S537" s="322" t="s">
        <v>1176</v>
      </c>
      <c r="T537" s="858"/>
    </row>
    <row r="538" spans="1:20" ht="20.100000000000001" customHeight="1">
      <c r="A538" s="1257" t="s">
        <v>2973</v>
      </c>
      <c r="B538" s="1258" t="s">
        <v>2616</v>
      </c>
      <c r="C538" s="1259" t="s">
        <v>2620</v>
      </c>
      <c r="D538" s="1028"/>
      <c r="E538" s="1028"/>
      <c r="F538" s="1028"/>
      <c r="G538" s="780" t="s">
        <v>76</v>
      </c>
      <c r="H538" s="56" t="s">
        <v>1233</v>
      </c>
      <c r="I538" s="50" t="s">
        <v>2613</v>
      </c>
      <c r="J538" s="50"/>
      <c r="K538" s="34" t="s">
        <v>986</v>
      </c>
      <c r="L538" s="607" t="s">
        <v>653</v>
      </c>
      <c r="M538" s="6">
        <v>43087</v>
      </c>
      <c r="N538" s="6">
        <v>43093</v>
      </c>
      <c r="O538" s="61" t="s">
        <v>3400</v>
      </c>
      <c r="P538" s="59"/>
      <c r="Q538" s="52"/>
      <c r="R538" s="610" t="s">
        <v>2470</v>
      </c>
      <c r="S538" s="315" t="s">
        <v>3341</v>
      </c>
      <c r="T538" s="858"/>
    </row>
    <row r="539" spans="1:20" ht="20.100000000000001" customHeight="1">
      <c r="A539" s="1257" t="s">
        <v>2973</v>
      </c>
      <c r="B539" s="1258" t="s">
        <v>2616</v>
      </c>
      <c r="C539" s="1258" t="s">
        <v>2620</v>
      </c>
      <c r="D539" s="1027">
        <f>D264+1500+25</f>
        <v>3050</v>
      </c>
      <c r="E539" s="1027">
        <f>E264+2500+50</f>
        <v>4125</v>
      </c>
      <c r="F539" s="1027">
        <f>F264+2500+50</f>
        <v>4125</v>
      </c>
      <c r="G539" s="609" t="s">
        <v>1689</v>
      </c>
      <c r="H539" s="168" t="s">
        <v>1233</v>
      </c>
      <c r="I539" s="37" t="s">
        <v>2613</v>
      </c>
      <c r="J539" s="37"/>
      <c r="K539" s="5"/>
      <c r="L539" s="607" t="s">
        <v>653</v>
      </c>
      <c r="M539" s="156">
        <v>43076</v>
      </c>
      <c r="N539" s="156">
        <v>43083</v>
      </c>
      <c r="O539" s="61" t="s">
        <v>1771</v>
      </c>
      <c r="P539" s="61"/>
      <c r="Q539" s="52"/>
      <c r="R539" s="610" t="s">
        <v>2470</v>
      </c>
      <c r="S539" s="622"/>
      <c r="T539" s="858"/>
    </row>
    <row r="540" spans="1:20" ht="20.100000000000001" customHeight="1">
      <c r="A540" s="927" t="s">
        <v>2973</v>
      </c>
      <c r="B540" s="928" t="s">
        <v>2616</v>
      </c>
      <c r="C540" s="928" t="s">
        <v>2619</v>
      </c>
      <c r="D540" s="1033">
        <f>D265+1700</f>
        <v>3880</v>
      </c>
      <c r="E540" s="1033">
        <f>E265+2200</f>
        <v>4600</v>
      </c>
      <c r="F540" s="1033">
        <f>F265+2200</f>
        <v>4600</v>
      </c>
      <c r="G540" s="216" t="s">
        <v>19</v>
      </c>
      <c r="H540" s="168" t="s">
        <v>1233</v>
      </c>
      <c r="I540" s="50" t="s">
        <v>2613</v>
      </c>
      <c r="J540" s="50"/>
      <c r="K540" s="19" t="s">
        <v>2396</v>
      </c>
      <c r="L540" s="607" t="s">
        <v>653</v>
      </c>
      <c r="M540" s="156">
        <v>43084</v>
      </c>
      <c r="N540" s="156">
        <v>43093</v>
      </c>
      <c r="O540" s="59" t="s">
        <v>611</v>
      </c>
      <c r="P540" s="59"/>
      <c r="Q540" s="7"/>
      <c r="R540" s="610" t="s">
        <v>2469</v>
      </c>
      <c r="S540" s="315" t="s">
        <v>3337</v>
      </c>
      <c r="T540" s="858"/>
    </row>
    <row r="541" spans="1:20" ht="20.100000000000001" customHeight="1">
      <c r="A541" s="1257" t="s">
        <v>2973</v>
      </c>
      <c r="B541" s="1258" t="s">
        <v>2616</v>
      </c>
      <c r="C541" s="1259" t="s">
        <v>2618</v>
      </c>
      <c r="D541" s="1028" t="s">
        <v>4223</v>
      </c>
      <c r="E541" s="1028" t="s">
        <v>4222</v>
      </c>
      <c r="F541" s="1028" t="s">
        <v>4222</v>
      </c>
      <c r="G541" s="780" t="s">
        <v>76</v>
      </c>
      <c r="H541" s="56" t="s">
        <v>1233</v>
      </c>
      <c r="I541" s="50" t="s">
        <v>2613</v>
      </c>
      <c r="J541" s="50"/>
      <c r="K541" s="34" t="s">
        <v>986</v>
      </c>
      <c r="L541" s="607" t="s">
        <v>653</v>
      </c>
      <c r="M541" s="6">
        <v>43087</v>
      </c>
      <c r="N541" s="6">
        <v>43093</v>
      </c>
      <c r="O541" s="61" t="s">
        <v>3400</v>
      </c>
      <c r="P541" s="59"/>
      <c r="Q541" s="52"/>
      <c r="R541" s="610" t="s">
        <v>2470</v>
      </c>
      <c r="S541" s="315" t="s">
        <v>3341</v>
      </c>
      <c r="T541" s="858"/>
    </row>
    <row r="542" spans="1:20" ht="20.100000000000001" customHeight="1">
      <c r="A542" s="1257" t="s">
        <v>2973</v>
      </c>
      <c r="B542" s="1258" t="s">
        <v>2616</v>
      </c>
      <c r="C542" s="1258" t="s">
        <v>2618</v>
      </c>
      <c r="D542" s="1032">
        <f>D265+1395</f>
        <v>3575</v>
      </c>
      <c r="E542" s="1032">
        <f>E265+2250</f>
        <v>4650</v>
      </c>
      <c r="F542" s="1032">
        <f>F265+2250</f>
        <v>4650</v>
      </c>
      <c r="G542" s="216" t="s">
        <v>19</v>
      </c>
      <c r="H542" s="168" t="s">
        <v>1233</v>
      </c>
      <c r="I542" s="50" t="s">
        <v>2613</v>
      </c>
      <c r="J542" s="50"/>
      <c r="K542" s="19" t="s">
        <v>2396</v>
      </c>
      <c r="L542" s="607" t="s">
        <v>653</v>
      </c>
      <c r="M542" s="156">
        <v>43084</v>
      </c>
      <c r="N542" s="156">
        <v>43093</v>
      </c>
      <c r="O542" s="59" t="s">
        <v>611</v>
      </c>
      <c r="P542" s="59"/>
      <c r="Q542" s="7"/>
      <c r="R542" s="610" t="s">
        <v>2469</v>
      </c>
      <c r="S542" s="315" t="s">
        <v>3337</v>
      </c>
      <c r="T542" s="858"/>
    </row>
    <row r="543" spans="1:20" ht="20.100000000000001" customHeight="1">
      <c r="A543" s="1257" t="s">
        <v>2973</v>
      </c>
      <c r="B543" s="1258" t="s">
        <v>2616</v>
      </c>
      <c r="C543" s="1258" t="s">
        <v>2618</v>
      </c>
      <c r="D543" s="1029"/>
      <c r="E543" s="1029"/>
      <c r="F543" s="1029"/>
      <c r="G543" s="629" t="s">
        <v>5</v>
      </c>
      <c r="H543" s="56" t="s">
        <v>2535</v>
      </c>
      <c r="I543" s="38" t="s">
        <v>2431</v>
      </c>
      <c r="J543" s="38"/>
      <c r="K543" s="5"/>
      <c r="L543" s="607" t="s">
        <v>653</v>
      </c>
      <c r="M543" s="607"/>
      <c r="N543" s="159">
        <v>42981</v>
      </c>
      <c r="O543" s="61" t="s">
        <v>1771</v>
      </c>
      <c r="P543" s="61"/>
      <c r="Q543" s="72" t="s">
        <v>1024</v>
      </c>
      <c r="R543" s="606" t="s">
        <v>2587</v>
      </c>
      <c r="S543" s="622"/>
      <c r="T543" s="858"/>
    </row>
    <row r="544" spans="1:20" ht="20.100000000000001" customHeight="1">
      <c r="A544" s="1257" t="s">
        <v>2973</v>
      </c>
      <c r="B544" s="1258" t="s">
        <v>2616</v>
      </c>
      <c r="C544" s="1259" t="s">
        <v>2617</v>
      </c>
      <c r="D544" s="1028" t="s">
        <v>4221</v>
      </c>
      <c r="E544" s="1028" t="s">
        <v>4220</v>
      </c>
      <c r="F544" s="1028" t="s">
        <v>4220</v>
      </c>
      <c r="G544" s="780" t="s">
        <v>76</v>
      </c>
      <c r="H544" s="56" t="s">
        <v>1233</v>
      </c>
      <c r="I544" s="50" t="s">
        <v>2613</v>
      </c>
      <c r="J544" s="5"/>
      <c r="K544" s="34">
        <v>45</v>
      </c>
      <c r="L544" s="607" t="s">
        <v>653</v>
      </c>
      <c r="M544" s="6">
        <v>43087</v>
      </c>
      <c r="N544" s="6">
        <v>43093</v>
      </c>
      <c r="O544" s="61" t="s">
        <v>3400</v>
      </c>
      <c r="P544" s="61"/>
      <c r="Q544" s="52"/>
      <c r="R544" s="610" t="s">
        <v>2470</v>
      </c>
      <c r="S544" s="315" t="s">
        <v>3341</v>
      </c>
      <c r="T544" s="858"/>
    </row>
    <row r="545" spans="1:20" ht="20.100000000000001" customHeight="1">
      <c r="A545" s="1257" t="s">
        <v>2973</v>
      </c>
      <c r="B545" s="1258" t="s">
        <v>2616</v>
      </c>
      <c r="C545" s="1258" t="s">
        <v>2617</v>
      </c>
      <c r="D545" s="1030">
        <f>D265+1395</f>
        <v>3575</v>
      </c>
      <c r="E545" s="1030">
        <f>E265+2250</f>
        <v>4650</v>
      </c>
      <c r="F545" s="1030">
        <f>F265+2250</f>
        <v>4650</v>
      </c>
      <c r="G545" s="216" t="s">
        <v>19</v>
      </c>
      <c r="H545" s="168" t="s">
        <v>1233</v>
      </c>
      <c r="I545" s="50" t="s">
        <v>2613</v>
      </c>
      <c r="J545" s="50"/>
      <c r="K545" s="19" t="s">
        <v>985</v>
      </c>
      <c r="L545" s="607" t="s">
        <v>653</v>
      </c>
      <c r="M545" s="156">
        <v>43084</v>
      </c>
      <c r="N545" s="156">
        <v>43093</v>
      </c>
      <c r="O545" s="59" t="s">
        <v>611</v>
      </c>
      <c r="P545" s="59"/>
      <c r="Q545" s="7"/>
      <c r="R545" s="610" t="s">
        <v>2469</v>
      </c>
      <c r="S545" s="315" t="s">
        <v>3337</v>
      </c>
      <c r="T545" s="858"/>
    </row>
    <row r="546" spans="1:20" ht="20.100000000000001" customHeight="1">
      <c r="A546" s="1257" t="s">
        <v>2973</v>
      </c>
      <c r="B546" s="1258" t="s">
        <v>2616</v>
      </c>
      <c r="C546" s="1258" t="s">
        <v>2617</v>
      </c>
      <c r="D546" s="1020"/>
      <c r="E546" s="1020"/>
      <c r="F546" s="1020"/>
      <c r="G546" s="629" t="s">
        <v>5</v>
      </c>
      <c r="H546" s="56" t="s">
        <v>2535</v>
      </c>
      <c r="I546" s="38" t="s">
        <v>2431</v>
      </c>
      <c r="J546" s="38"/>
      <c r="K546" s="5"/>
      <c r="L546" s="607" t="s">
        <v>653</v>
      </c>
      <c r="M546" s="607"/>
      <c r="N546" s="159">
        <v>42981</v>
      </c>
      <c r="O546" s="61" t="s">
        <v>1771</v>
      </c>
      <c r="P546" s="61"/>
      <c r="Q546" s="72" t="s">
        <v>1024</v>
      </c>
      <c r="R546" s="606" t="s">
        <v>2587</v>
      </c>
      <c r="S546" s="622"/>
      <c r="T546" s="858"/>
    </row>
    <row r="547" spans="1:20" ht="20.100000000000001" customHeight="1">
      <c r="A547" s="927" t="s">
        <v>2973</v>
      </c>
      <c r="B547" s="928" t="s">
        <v>2616</v>
      </c>
      <c r="C547" s="928" t="s">
        <v>2615</v>
      </c>
      <c r="D547" s="1028"/>
      <c r="E547" s="1028"/>
      <c r="F547" s="1028"/>
      <c r="G547" s="35"/>
      <c r="H547" s="56"/>
      <c r="I547" s="50"/>
      <c r="J547" s="5"/>
      <c r="K547" s="34"/>
      <c r="L547" s="607"/>
      <c r="M547" s="607"/>
      <c r="N547" s="6"/>
      <c r="O547" s="61"/>
      <c r="P547" s="61"/>
      <c r="Q547" s="61"/>
      <c r="R547" s="610"/>
      <c r="S547" s="322"/>
      <c r="T547" s="858"/>
    </row>
    <row r="548" spans="1:20" ht="20.100000000000001" customHeight="1">
      <c r="A548" s="927" t="s">
        <v>2973</v>
      </c>
      <c r="B548" s="928" t="s">
        <v>2612</v>
      </c>
      <c r="C548" s="928" t="s">
        <v>2614</v>
      </c>
      <c r="D548" s="1031">
        <f>D265+2002</f>
        <v>4182</v>
      </c>
      <c r="E548" s="1031">
        <f>E265+3050</f>
        <v>5450</v>
      </c>
      <c r="F548" s="1031">
        <f>F265+3050</f>
        <v>5450</v>
      </c>
      <c r="G548" s="656" t="s">
        <v>19</v>
      </c>
      <c r="H548" s="168" t="s">
        <v>1233</v>
      </c>
      <c r="I548" s="50" t="s">
        <v>2613</v>
      </c>
      <c r="J548" s="50"/>
      <c r="K548" s="19" t="s">
        <v>1983</v>
      </c>
      <c r="L548" s="607" t="s">
        <v>653</v>
      </c>
      <c r="M548" s="156">
        <v>43084</v>
      </c>
      <c r="N548" s="156">
        <v>43093</v>
      </c>
      <c r="O548" s="59" t="s">
        <v>611</v>
      </c>
      <c r="P548" s="59"/>
      <c r="Q548" s="7"/>
      <c r="R548" s="610" t="s">
        <v>2469</v>
      </c>
      <c r="S548" s="315" t="s">
        <v>3337</v>
      </c>
      <c r="T548" s="858"/>
    </row>
    <row r="549" spans="1:20" ht="20.100000000000001" customHeight="1">
      <c r="A549" s="1257" t="s">
        <v>2973</v>
      </c>
      <c r="B549" s="1258" t="s">
        <v>2612</v>
      </c>
      <c r="C549" s="1259" t="s">
        <v>2611</v>
      </c>
      <c r="D549" s="1028" t="s">
        <v>4219</v>
      </c>
      <c r="E549" s="1028" t="s">
        <v>4218</v>
      </c>
      <c r="F549" s="1028" t="s">
        <v>4218</v>
      </c>
      <c r="G549" s="780" t="s">
        <v>76</v>
      </c>
      <c r="H549" s="56" t="s">
        <v>1233</v>
      </c>
      <c r="I549" s="50" t="s">
        <v>2613</v>
      </c>
      <c r="J549" s="5"/>
      <c r="K549" s="34">
        <v>45</v>
      </c>
      <c r="L549" s="607" t="s">
        <v>653</v>
      </c>
      <c r="M549" s="6">
        <v>43087</v>
      </c>
      <c r="N549" s="6">
        <v>43093</v>
      </c>
      <c r="O549" s="61" t="s">
        <v>3400</v>
      </c>
      <c r="P549" s="61"/>
      <c r="Q549" s="52"/>
      <c r="R549" s="610" t="s">
        <v>2470</v>
      </c>
      <c r="S549" s="315" t="s">
        <v>3341</v>
      </c>
      <c r="T549" s="858"/>
    </row>
    <row r="550" spans="1:20" ht="20.100000000000001" customHeight="1">
      <c r="A550" s="1257" t="s">
        <v>2973</v>
      </c>
      <c r="B550" s="1258" t="s">
        <v>2612</v>
      </c>
      <c r="C550" s="1258" t="s">
        <v>2611</v>
      </c>
      <c r="D550" s="1030">
        <f>D265+1625</f>
        <v>3805</v>
      </c>
      <c r="E550" s="1030">
        <f>E265+2450</f>
        <v>4850</v>
      </c>
      <c r="F550" s="1030">
        <f>F265+2450</f>
        <v>4850</v>
      </c>
      <c r="G550" s="656" t="s">
        <v>19</v>
      </c>
      <c r="H550" s="168" t="s">
        <v>1233</v>
      </c>
      <c r="I550" s="50" t="s">
        <v>2613</v>
      </c>
      <c r="J550" s="50"/>
      <c r="K550" s="19" t="s">
        <v>1983</v>
      </c>
      <c r="L550" s="607" t="s">
        <v>653</v>
      </c>
      <c r="M550" s="156">
        <v>43084</v>
      </c>
      <c r="N550" s="156">
        <v>43093</v>
      </c>
      <c r="O550" s="59" t="s">
        <v>611</v>
      </c>
      <c r="P550" s="59"/>
      <c r="Q550" s="7"/>
      <c r="R550" s="610" t="s">
        <v>2469</v>
      </c>
      <c r="S550" s="315" t="s">
        <v>3337</v>
      </c>
      <c r="T550" s="858"/>
    </row>
    <row r="551" spans="1:20" ht="20.100000000000001" customHeight="1">
      <c r="A551" s="1257" t="s">
        <v>2973</v>
      </c>
      <c r="B551" s="1258" t="s">
        <v>2612</v>
      </c>
      <c r="C551" s="1258" t="s">
        <v>2611</v>
      </c>
      <c r="D551" s="1020"/>
      <c r="E551" s="1020"/>
      <c r="F551" s="1020"/>
      <c r="G551" s="629" t="s">
        <v>5</v>
      </c>
      <c r="H551" s="56" t="s">
        <v>2535</v>
      </c>
      <c r="I551" s="38" t="s">
        <v>2431</v>
      </c>
      <c r="J551" s="38"/>
      <c r="K551" s="5"/>
      <c r="L551" s="607" t="s">
        <v>653</v>
      </c>
      <c r="M551" s="607"/>
      <c r="N551" s="159">
        <v>42981</v>
      </c>
      <c r="O551" s="61" t="s">
        <v>1771</v>
      </c>
      <c r="P551" s="61"/>
      <c r="Q551" s="72" t="s">
        <v>1024</v>
      </c>
      <c r="R551" s="606" t="s">
        <v>2587</v>
      </c>
      <c r="S551" s="622"/>
      <c r="T551" s="858"/>
    </row>
    <row r="552" spans="1:20" ht="20.100000000000001" customHeight="1">
      <c r="A552" s="1260" t="s">
        <v>3377</v>
      </c>
      <c r="B552" s="1258" t="s">
        <v>3844</v>
      </c>
      <c r="C552" s="1258" t="s">
        <v>3845</v>
      </c>
      <c r="D552" s="1020"/>
      <c r="E552" s="1020"/>
      <c r="F552" s="1020"/>
      <c r="G552" s="629" t="s">
        <v>5</v>
      </c>
      <c r="H552" s="56" t="s">
        <v>2535</v>
      </c>
      <c r="I552" s="38" t="s">
        <v>2431</v>
      </c>
      <c r="J552" s="38"/>
      <c r="K552" s="5"/>
      <c r="L552" s="607" t="s">
        <v>653</v>
      </c>
      <c r="M552" s="607"/>
      <c r="N552" s="159">
        <v>42981</v>
      </c>
      <c r="O552" s="61" t="s">
        <v>1771</v>
      </c>
      <c r="P552" s="61"/>
      <c r="Q552" s="72" t="s">
        <v>1024</v>
      </c>
      <c r="R552" s="606" t="s">
        <v>2587</v>
      </c>
      <c r="S552" s="622"/>
      <c r="T552" s="858"/>
    </row>
    <row r="553" spans="1:20" ht="20.100000000000001" customHeight="1">
      <c r="A553" s="1257" t="s">
        <v>2973</v>
      </c>
      <c r="B553" s="1258" t="s">
        <v>3844</v>
      </c>
      <c r="C553" s="1258" t="s">
        <v>3845</v>
      </c>
      <c r="D553" s="1020">
        <v>4850</v>
      </c>
      <c r="E553" s="1020">
        <v>7350</v>
      </c>
      <c r="F553" s="1020">
        <v>7350</v>
      </c>
      <c r="G553" s="631" t="s">
        <v>31</v>
      </c>
      <c r="H553" s="56" t="s">
        <v>725</v>
      </c>
      <c r="I553" s="38" t="s">
        <v>3378</v>
      </c>
      <c r="J553" s="38"/>
      <c r="K553" s="5">
        <v>45</v>
      </c>
      <c r="L553" s="607" t="s">
        <v>653</v>
      </c>
      <c r="M553" s="623">
        <v>43040</v>
      </c>
      <c r="N553" s="623">
        <v>43083</v>
      </c>
      <c r="O553" s="61" t="s">
        <v>1307</v>
      </c>
      <c r="P553" s="61"/>
      <c r="Q553" s="52"/>
      <c r="R553" s="606" t="s">
        <v>2586</v>
      </c>
      <c r="S553" s="622" t="s">
        <v>1176</v>
      </c>
      <c r="T553" s="858"/>
    </row>
    <row r="554" spans="1:20" ht="20.100000000000001" customHeight="1">
      <c r="A554" s="932" t="s">
        <v>3377</v>
      </c>
      <c r="B554" s="928" t="s">
        <v>3844</v>
      </c>
      <c r="C554" s="928" t="s">
        <v>3843</v>
      </c>
      <c r="D554" s="1029"/>
      <c r="E554" s="1029"/>
      <c r="F554" s="1029"/>
      <c r="G554" s="631" t="s">
        <v>31</v>
      </c>
      <c r="H554" s="56" t="s">
        <v>725</v>
      </c>
      <c r="I554" s="38" t="s">
        <v>2468</v>
      </c>
      <c r="J554" s="38"/>
      <c r="K554" s="5" t="s">
        <v>1265</v>
      </c>
      <c r="L554" s="607" t="s">
        <v>653</v>
      </c>
      <c r="M554" s="623">
        <v>43040</v>
      </c>
      <c r="N554" s="623">
        <v>43083</v>
      </c>
      <c r="O554" s="61"/>
      <c r="P554" s="61"/>
      <c r="Q554" s="52"/>
      <c r="R554" s="606" t="s">
        <v>2586</v>
      </c>
      <c r="S554" s="622" t="s">
        <v>1176</v>
      </c>
      <c r="T554" s="858"/>
    </row>
    <row r="555" spans="1:20" ht="20.100000000000001" customHeight="1">
      <c r="A555" s="1257" t="s">
        <v>3377</v>
      </c>
      <c r="B555" s="1258" t="s">
        <v>3376</v>
      </c>
      <c r="C555" s="1259" t="s">
        <v>612</v>
      </c>
      <c r="D555" s="1028" t="s">
        <v>4217</v>
      </c>
      <c r="E555" s="1028" t="s">
        <v>4216</v>
      </c>
      <c r="F555" s="1028" t="s">
        <v>4216</v>
      </c>
      <c r="G555" s="780" t="s">
        <v>76</v>
      </c>
      <c r="H555" s="56" t="s">
        <v>659</v>
      </c>
      <c r="I555" s="5" t="s">
        <v>2543</v>
      </c>
      <c r="J555" s="5"/>
      <c r="K555" s="34">
        <v>45</v>
      </c>
      <c r="L555" s="607" t="s">
        <v>653</v>
      </c>
      <c r="M555" s="6">
        <v>43087</v>
      </c>
      <c r="N555" s="6">
        <v>43093</v>
      </c>
      <c r="O555" s="61" t="s">
        <v>3401</v>
      </c>
      <c r="P555" s="61"/>
      <c r="Q555" s="52"/>
      <c r="R555" s="606"/>
      <c r="S555" s="315" t="s">
        <v>3341</v>
      </c>
      <c r="T555" s="858"/>
    </row>
    <row r="556" spans="1:20" ht="20.100000000000001" customHeight="1">
      <c r="A556" s="1257" t="s">
        <v>3377</v>
      </c>
      <c r="B556" s="1258" t="s">
        <v>3376</v>
      </c>
      <c r="C556" s="1258" t="s">
        <v>612</v>
      </c>
      <c r="D556" s="1027">
        <v>5200</v>
      </c>
      <c r="E556" s="1027"/>
      <c r="F556" s="1027"/>
      <c r="G556" s="637" t="s">
        <v>12</v>
      </c>
      <c r="H556" s="56">
        <v>3</v>
      </c>
      <c r="I556" s="50" t="s">
        <v>705</v>
      </c>
      <c r="J556" s="50"/>
      <c r="K556" s="34" t="s">
        <v>986</v>
      </c>
      <c r="L556" s="607" t="s">
        <v>653</v>
      </c>
      <c r="M556" s="15">
        <v>43070</v>
      </c>
      <c r="N556" s="15">
        <v>43083</v>
      </c>
      <c r="O556" s="59" t="s">
        <v>3375</v>
      </c>
      <c r="P556" s="59"/>
      <c r="Q556" s="7"/>
      <c r="R556" s="610" t="s">
        <v>3398</v>
      </c>
      <c r="S556" s="322" t="s">
        <v>1176</v>
      </c>
      <c r="T556" s="858"/>
    </row>
    <row r="557" spans="1:20" ht="20.100000000000001" customHeight="1">
      <c r="A557" s="1162" t="s">
        <v>2977</v>
      </c>
      <c r="B557" s="1162" t="s">
        <v>2544</v>
      </c>
      <c r="C557" s="1162" t="s">
        <v>2610</v>
      </c>
      <c r="D557" s="1022">
        <v>2775</v>
      </c>
      <c r="E557" s="1022">
        <v>2850</v>
      </c>
      <c r="F557" s="1022">
        <v>2850</v>
      </c>
      <c r="G557" s="629" t="s">
        <v>5</v>
      </c>
      <c r="H557" s="56" t="s">
        <v>729</v>
      </c>
      <c r="I557" s="50" t="s">
        <v>3304</v>
      </c>
      <c r="J557" s="50"/>
      <c r="K557" s="34" t="s">
        <v>1983</v>
      </c>
      <c r="L557" s="607" t="s">
        <v>653</v>
      </c>
      <c r="M557" s="159">
        <v>43075</v>
      </c>
      <c r="N557" s="159">
        <v>43083</v>
      </c>
      <c r="O557" s="61" t="s">
        <v>1771</v>
      </c>
      <c r="P557" s="59"/>
      <c r="Q557" s="7"/>
      <c r="R557" s="610" t="s">
        <v>2568</v>
      </c>
      <c r="S557" s="322"/>
      <c r="T557" s="858"/>
    </row>
    <row r="558" spans="1:20" ht="20.100000000000001" customHeight="1">
      <c r="A558" s="1166" t="s">
        <v>2977</v>
      </c>
      <c r="B558" s="1166" t="s">
        <v>2544</v>
      </c>
      <c r="C558" s="1166" t="s">
        <v>2610</v>
      </c>
      <c r="D558" s="1015">
        <v>3300</v>
      </c>
      <c r="E558" s="1015">
        <v>3300</v>
      </c>
      <c r="F558" s="1015">
        <v>3300</v>
      </c>
      <c r="G558" s="636" t="s">
        <v>31</v>
      </c>
      <c r="H558" s="56" t="s">
        <v>729</v>
      </c>
      <c r="I558" s="50" t="s">
        <v>3321</v>
      </c>
      <c r="J558" s="50"/>
      <c r="K558" s="34"/>
      <c r="L558" s="607" t="s">
        <v>653</v>
      </c>
      <c r="M558" s="623">
        <v>43084</v>
      </c>
      <c r="N558" s="623">
        <v>43100</v>
      </c>
      <c r="O558" s="59"/>
      <c r="P558" s="59"/>
      <c r="Q558" s="7"/>
      <c r="R558" s="610" t="s">
        <v>3309</v>
      </c>
      <c r="S558" s="622" t="s">
        <v>1176</v>
      </c>
      <c r="T558" s="858"/>
    </row>
    <row r="559" spans="1:20" ht="20.100000000000001" customHeight="1">
      <c r="A559" s="1166" t="s">
        <v>2977</v>
      </c>
      <c r="B559" s="1166" t="s">
        <v>2544</v>
      </c>
      <c r="C559" s="1166" t="s">
        <v>2610</v>
      </c>
      <c r="D559" s="956">
        <v>3100</v>
      </c>
      <c r="E559" s="956">
        <v>3200</v>
      </c>
      <c r="F559" s="956">
        <v>3200</v>
      </c>
      <c r="G559" s="637" t="s">
        <v>22</v>
      </c>
      <c r="H559" s="22" t="s">
        <v>1102</v>
      </c>
      <c r="I559" s="51" t="s">
        <v>17</v>
      </c>
      <c r="J559" s="51"/>
      <c r="K559" s="24" t="s">
        <v>982</v>
      </c>
      <c r="L559" s="607" t="s">
        <v>653</v>
      </c>
      <c r="M559" s="108">
        <v>43088</v>
      </c>
      <c r="N559" s="108">
        <v>43100</v>
      </c>
      <c r="O559" s="61" t="s">
        <v>2545</v>
      </c>
      <c r="P559" s="14"/>
      <c r="Q559" s="7"/>
      <c r="R559" s="648" t="s">
        <v>2560</v>
      </c>
      <c r="S559" s="316" t="s">
        <v>3356</v>
      </c>
      <c r="T559" s="904"/>
    </row>
    <row r="560" spans="1:20" ht="20.100000000000001" customHeight="1">
      <c r="A560" s="1166" t="s">
        <v>2977</v>
      </c>
      <c r="B560" s="1166" t="s">
        <v>2544</v>
      </c>
      <c r="C560" s="1166" t="s">
        <v>2610</v>
      </c>
      <c r="D560" s="1015">
        <v>2675</v>
      </c>
      <c r="E560" s="1015">
        <v>2750</v>
      </c>
      <c r="F560" s="1015">
        <v>2750</v>
      </c>
      <c r="G560" s="636" t="s">
        <v>2559</v>
      </c>
      <c r="H560" s="22" t="s">
        <v>1102</v>
      </c>
      <c r="I560" s="20" t="s">
        <v>17</v>
      </c>
      <c r="J560" s="20"/>
      <c r="K560" s="24" t="s">
        <v>982</v>
      </c>
      <c r="L560" s="607" t="s">
        <v>653</v>
      </c>
      <c r="M560" s="649">
        <v>43080</v>
      </c>
      <c r="N560" s="649">
        <v>43083</v>
      </c>
      <c r="O560" s="59"/>
      <c r="P560" s="59"/>
      <c r="Q560" s="7"/>
      <c r="R560" s="610" t="s">
        <v>3355</v>
      </c>
      <c r="S560" s="619" t="s">
        <v>1176</v>
      </c>
      <c r="T560" s="904"/>
    </row>
    <row r="561" spans="1:20" ht="20.100000000000001" customHeight="1">
      <c r="A561" s="1166" t="s">
        <v>2977</v>
      </c>
      <c r="B561" s="1166" t="s">
        <v>2544</v>
      </c>
      <c r="C561" s="1166" t="s">
        <v>2610</v>
      </c>
      <c r="D561" s="1015">
        <v>2675</v>
      </c>
      <c r="E561" s="1015">
        <v>2750</v>
      </c>
      <c r="F561" s="1015">
        <v>2750</v>
      </c>
      <c r="G561" s="642" t="s">
        <v>18</v>
      </c>
      <c r="H561" s="22" t="s">
        <v>1102</v>
      </c>
      <c r="I561" s="20" t="s">
        <v>17</v>
      </c>
      <c r="J561" s="20"/>
      <c r="K561" s="24" t="s">
        <v>982</v>
      </c>
      <c r="L561" s="607" t="s">
        <v>653</v>
      </c>
      <c r="M561" s="108">
        <v>43080</v>
      </c>
      <c r="N561" s="108">
        <v>43083</v>
      </c>
      <c r="O561" s="59"/>
      <c r="P561" s="59"/>
      <c r="Q561" s="7"/>
      <c r="R561" s="610" t="s">
        <v>2592</v>
      </c>
      <c r="S561" s="619"/>
      <c r="T561" s="904"/>
    </row>
    <row r="562" spans="1:20" ht="20.100000000000001" customHeight="1">
      <c r="A562" s="1166" t="s">
        <v>2977</v>
      </c>
      <c r="B562" s="1166" t="s">
        <v>2544</v>
      </c>
      <c r="C562" s="1166" t="s">
        <v>2610</v>
      </c>
      <c r="D562" s="1015">
        <v>3300</v>
      </c>
      <c r="E562" s="1015">
        <v>3300</v>
      </c>
      <c r="F562" s="1015">
        <v>3300</v>
      </c>
      <c r="G562" s="636" t="s">
        <v>31</v>
      </c>
      <c r="H562" s="22" t="s">
        <v>1102</v>
      </c>
      <c r="I562" s="20" t="s">
        <v>17</v>
      </c>
      <c r="J562" s="20"/>
      <c r="K562" s="24" t="s">
        <v>982</v>
      </c>
      <c r="L562" s="607" t="s">
        <v>653</v>
      </c>
      <c r="M562" s="623">
        <v>43084</v>
      </c>
      <c r="N562" s="623">
        <v>43100</v>
      </c>
      <c r="O562" s="61"/>
      <c r="P562" s="61"/>
      <c r="Q562" s="7"/>
      <c r="R562" s="606" t="s">
        <v>2138</v>
      </c>
      <c r="S562" s="622" t="s">
        <v>1176</v>
      </c>
      <c r="T562" s="904"/>
    </row>
    <row r="563" spans="1:20" ht="20.100000000000001" customHeight="1">
      <c r="A563" s="1166" t="s">
        <v>2977</v>
      </c>
      <c r="B563" s="1166" t="s">
        <v>2544</v>
      </c>
      <c r="C563" s="1166" t="s">
        <v>2610</v>
      </c>
      <c r="D563" s="956">
        <v>2300</v>
      </c>
      <c r="E563" s="1015"/>
      <c r="F563" s="1015"/>
      <c r="G563" s="629" t="s">
        <v>1446</v>
      </c>
      <c r="H563" s="22" t="s">
        <v>1102</v>
      </c>
      <c r="I563" s="20" t="s">
        <v>3324</v>
      </c>
      <c r="J563" s="20"/>
      <c r="K563" s="24" t="s">
        <v>2237</v>
      </c>
      <c r="L563" s="607" t="s">
        <v>653</v>
      </c>
      <c r="M563" s="623">
        <v>43084</v>
      </c>
      <c r="N563" s="623">
        <v>43100</v>
      </c>
      <c r="O563" s="61" t="s">
        <v>601</v>
      </c>
      <c r="P563" s="61"/>
      <c r="Q563" s="7"/>
      <c r="R563" s="606" t="s">
        <v>3323</v>
      </c>
      <c r="S563" s="622"/>
      <c r="T563" s="904"/>
    </row>
    <row r="564" spans="1:20" ht="20.100000000000001" customHeight="1">
      <c r="A564" s="1166" t="s">
        <v>2977</v>
      </c>
      <c r="B564" s="1166" t="s">
        <v>2544</v>
      </c>
      <c r="C564" s="1166" t="s">
        <v>2610</v>
      </c>
      <c r="D564" s="1022">
        <v>2925</v>
      </c>
      <c r="E564" s="1022">
        <v>2950</v>
      </c>
      <c r="F564" s="1022">
        <v>2950</v>
      </c>
      <c r="G564" s="629" t="s">
        <v>5</v>
      </c>
      <c r="H564" s="210">
        <v>3</v>
      </c>
      <c r="I564" s="50" t="s">
        <v>17</v>
      </c>
      <c r="J564" s="50"/>
      <c r="K564" s="19" t="s">
        <v>731</v>
      </c>
      <c r="L564" s="607" t="s">
        <v>653</v>
      </c>
      <c r="M564" s="159">
        <v>43070</v>
      </c>
      <c r="N564" s="159">
        <v>43083</v>
      </c>
      <c r="O564" s="61" t="s">
        <v>1771</v>
      </c>
      <c r="P564" s="61"/>
      <c r="Q564" s="7"/>
      <c r="R564" s="610" t="s">
        <v>2558</v>
      </c>
      <c r="S564" s="619"/>
      <c r="T564" s="904"/>
    </row>
    <row r="565" spans="1:20" ht="20.100000000000001" customHeight="1">
      <c r="A565" s="1166" t="s">
        <v>2977</v>
      </c>
      <c r="B565" s="1166" t="s">
        <v>2544</v>
      </c>
      <c r="C565" s="1166" t="s">
        <v>2610</v>
      </c>
      <c r="D565" s="1008">
        <v>3175</v>
      </c>
      <c r="E565" s="1008">
        <v>3250</v>
      </c>
      <c r="F565" s="1008">
        <v>3250</v>
      </c>
      <c r="G565" s="629" t="s">
        <v>51</v>
      </c>
      <c r="H565" s="56">
        <v>3</v>
      </c>
      <c r="I565" s="50" t="s">
        <v>17</v>
      </c>
      <c r="J565" s="50"/>
      <c r="K565" s="19" t="s">
        <v>731</v>
      </c>
      <c r="L565" s="607" t="s">
        <v>653</v>
      </c>
      <c r="M565" s="611">
        <v>43084</v>
      </c>
      <c r="N565" s="611">
        <v>43100</v>
      </c>
      <c r="O565" s="61"/>
      <c r="P565" s="61"/>
      <c r="Q565" s="52"/>
      <c r="R565" s="610" t="s">
        <v>2557</v>
      </c>
      <c r="S565" s="315" t="s">
        <v>3290</v>
      </c>
      <c r="T565" s="904"/>
    </row>
    <row r="566" spans="1:20" ht="20.100000000000001" customHeight="1">
      <c r="A566" s="1166" t="s">
        <v>2977</v>
      </c>
      <c r="B566" s="1166" t="s">
        <v>2544</v>
      </c>
      <c r="C566" s="1166" t="s">
        <v>2610</v>
      </c>
      <c r="D566" s="1068">
        <v>3050</v>
      </c>
      <c r="E566" s="1068">
        <v>3100</v>
      </c>
      <c r="F566" s="1068">
        <v>3100</v>
      </c>
      <c r="G566" s="633" t="s">
        <v>33</v>
      </c>
      <c r="H566" s="56">
        <v>3</v>
      </c>
      <c r="I566" s="50" t="s">
        <v>17</v>
      </c>
      <c r="J566" s="50"/>
      <c r="K566" s="19" t="s">
        <v>731</v>
      </c>
      <c r="L566" s="607" t="s">
        <v>653</v>
      </c>
      <c r="M566" s="159">
        <v>43084</v>
      </c>
      <c r="N566" s="159">
        <v>43100</v>
      </c>
      <c r="O566" s="61"/>
      <c r="P566" s="61"/>
      <c r="Q566" s="52"/>
      <c r="R566" s="610" t="s">
        <v>2557</v>
      </c>
      <c r="S566" s="316" t="s">
        <v>3353</v>
      </c>
      <c r="T566" s="904"/>
    </row>
    <row r="567" spans="1:20" ht="20.100000000000001" customHeight="1">
      <c r="A567" s="1166" t="s">
        <v>2977</v>
      </c>
      <c r="B567" s="1166" t="s">
        <v>2544</v>
      </c>
      <c r="C567" s="1166" t="s">
        <v>2610</v>
      </c>
      <c r="D567" s="894">
        <v>3325</v>
      </c>
      <c r="E567" s="894">
        <v>3300</v>
      </c>
      <c r="F567" s="894">
        <v>3300</v>
      </c>
      <c r="G567" s="227" t="s">
        <v>1689</v>
      </c>
      <c r="H567" s="56">
        <v>3</v>
      </c>
      <c r="I567" s="50" t="s">
        <v>17</v>
      </c>
      <c r="J567" s="50"/>
      <c r="K567" s="19" t="s">
        <v>731</v>
      </c>
      <c r="L567" s="607" t="s">
        <v>653</v>
      </c>
      <c r="M567" s="156">
        <v>43084</v>
      </c>
      <c r="N567" s="156">
        <v>43100</v>
      </c>
      <c r="O567" s="61" t="s">
        <v>1771</v>
      </c>
      <c r="P567" s="61"/>
      <c r="Q567" s="52"/>
      <c r="R567" s="648" t="s">
        <v>2116</v>
      </c>
      <c r="S567" s="333" t="s">
        <v>1176</v>
      </c>
      <c r="T567" s="904"/>
    </row>
    <row r="568" spans="1:20" ht="20.100000000000001" customHeight="1">
      <c r="A568" s="1166" t="s">
        <v>2977</v>
      </c>
      <c r="B568" s="1166" t="s">
        <v>2544</v>
      </c>
      <c r="C568" s="1166" t="s">
        <v>2610</v>
      </c>
      <c r="D568" s="1006">
        <v>2675</v>
      </c>
      <c r="E568" s="1006">
        <v>2750</v>
      </c>
      <c r="F568" s="1006">
        <v>2750</v>
      </c>
      <c r="G568" s="640" t="s">
        <v>233</v>
      </c>
      <c r="H568" s="56">
        <v>3</v>
      </c>
      <c r="I568" s="50" t="s">
        <v>17</v>
      </c>
      <c r="J568" s="50"/>
      <c r="K568" s="19" t="s">
        <v>731</v>
      </c>
      <c r="L568" s="607" t="s">
        <v>653</v>
      </c>
      <c r="M568" s="620">
        <v>43080</v>
      </c>
      <c r="N568" s="620">
        <v>43083</v>
      </c>
      <c r="O568" s="59" t="s">
        <v>601</v>
      </c>
      <c r="P568" s="61"/>
      <c r="Q568" s="52"/>
      <c r="R568" s="648" t="s">
        <v>2137</v>
      </c>
      <c r="S568" s="316" t="s">
        <v>3352</v>
      </c>
      <c r="T568" s="904"/>
    </row>
    <row r="569" spans="1:20" ht="20.100000000000001" customHeight="1">
      <c r="A569" s="1166" t="s">
        <v>2977</v>
      </c>
      <c r="B569" s="1166" t="s">
        <v>2544</v>
      </c>
      <c r="C569" s="1166" t="s">
        <v>2610</v>
      </c>
      <c r="D569" s="1023">
        <v>2650</v>
      </c>
      <c r="E569" s="1023">
        <v>2800</v>
      </c>
      <c r="F569" s="1023">
        <v>2800</v>
      </c>
      <c r="G569" s="629" t="s">
        <v>19</v>
      </c>
      <c r="H569" s="56">
        <v>3</v>
      </c>
      <c r="I569" s="50" t="s">
        <v>17</v>
      </c>
      <c r="J569" s="50"/>
      <c r="K569" s="19" t="s">
        <v>731</v>
      </c>
      <c r="L569" s="607" t="s">
        <v>653</v>
      </c>
      <c r="M569" s="156">
        <v>43084</v>
      </c>
      <c r="N569" s="156">
        <v>43092</v>
      </c>
      <c r="O569" s="59" t="s">
        <v>611</v>
      </c>
      <c r="P569" s="59"/>
      <c r="Q569" s="52"/>
      <c r="R569" s="610" t="s">
        <v>2556</v>
      </c>
      <c r="S569" s="316" t="s">
        <v>1176</v>
      </c>
      <c r="T569" s="317">
        <v>20</v>
      </c>
    </row>
    <row r="570" spans="1:20" ht="20.100000000000001" customHeight="1">
      <c r="A570" s="1166" t="s">
        <v>2977</v>
      </c>
      <c r="B570" s="1166" t="s">
        <v>2544</v>
      </c>
      <c r="C570" s="1166" t="s">
        <v>2610</v>
      </c>
      <c r="D570" s="1021">
        <v>3100</v>
      </c>
      <c r="E570" s="1021">
        <v>3100</v>
      </c>
      <c r="F570" s="1021">
        <v>3100</v>
      </c>
      <c r="G570" s="637" t="s">
        <v>12</v>
      </c>
      <c r="H570" s="56" t="s">
        <v>659</v>
      </c>
      <c r="I570" s="50" t="s">
        <v>17</v>
      </c>
      <c r="J570" s="50"/>
      <c r="K570" s="19" t="s">
        <v>731</v>
      </c>
      <c r="L570" s="607" t="s">
        <v>653</v>
      </c>
      <c r="M570" s="15">
        <v>43084</v>
      </c>
      <c r="N570" s="15">
        <v>43100</v>
      </c>
      <c r="O570" s="61" t="s">
        <v>2545</v>
      </c>
      <c r="P570" s="59"/>
      <c r="Q570" s="52"/>
      <c r="R570" s="610" t="s">
        <v>2135</v>
      </c>
      <c r="S570" s="315" t="s">
        <v>3294</v>
      </c>
      <c r="T570" s="904"/>
    </row>
    <row r="571" spans="1:20" ht="20.100000000000001" customHeight="1">
      <c r="A571" s="1166" t="s">
        <v>2977</v>
      </c>
      <c r="B571" s="1166" t="s">
        <v>2544</v>
      </c>
      <c r="C571" s="1166" t="s">
        <v>2610</v>
      </c>
      <c r="D571" s="1008">
        <v>2450</v>
      </c>
      <c r="E571" s="1008">
        <v>2500</v>
      </c>
      <c r="F571" s="1008">
        <v>2500</v>
      </c>
      <c r="G571" s="629" t="s">
        <v>51</v>
      </c>
      <c r="H571" s="56" t="s">
        <v>721</v>
      </c>
      <c r="I571" s="50" t="s">
        <v>3293</v>
      </c>
      <c r="J571" s="50"/>
      <c r="K571" s="19"/>
      <c r="L571" s="607" t="s">
        <v>653</v>
      </c>
      <c r="M571" s="611">
        <v>43080</v>
      </c>
      <c r="N571" s="611">
        <v>43083</v>
      </c>
      <c r="O571" s="61" t="s">
        <v>3292</v>
      </c>
      <c r="P571" s="59"/>
      <c r="Q571" s="52"/>
      <c r="R571" s="239" t="s">
        <v>2573</v>
      </c>
      <c r="S571" s="315" t="s">
        <v>3290</v>
      </c>
      <c r="T571" s="904"/>
    </row>
    <row r="572" spans="1:20" ht="20.100000000000001" customHeight="1">
      <c r="A572" s="1166" t="s">
        <v>2977</v>
      </c>
      <c r="B572" s="1166" t="s">
        <v>2544</v>
      </c>
      <c r="C572" s="1166" t="s">
        <v>2610</v>
      </c>
      <c r="D572" s="1022">
        <v>2775</v>
      </c>
      <c r="E572" s="1022">
        <v>2850</v>
      </c>
      <c r="F572" s="1022">
        <v>2850</v>
      </c>
      <c r="G572" s="629" t="s">
        <v>5</v>
      </c>
      <c r="H572" s="56" t="s">
        <v>721</v>
      </c>
      <c r="I572" s="50" t="s">
        <v>3293</v>
      </c>
      <c r="J572" s="50"/>
      <c r="K572" s="19" t="s">
        <v>986</v>
      </c>
      <c r="L572" s="607" t="s">
        <v>653</v>
      </c>
      <c r="M572" s="159">
        <v>43075</v>
      </c>
      <c r="N572" s="159">
        <v>43083</v>
      </c>
      <c r="O572" s="61" t="s">
        <v>1771</v>
      </c>
      <c r="P572" s="59"/>
      <c r="Q572" s="7"/>
      <c r="R572" s="610" t="s">
        <v>3305</v>
      </c>
      <c r="S572" s="619"/>
      <c r="T572" s="904"/>
    </row>
    <row r="573" spans="1:20" ht="20.100000000000001" customHeight="1">
      <c r="A573" s="1166" t="s">
        <v>2977</v>
      </c>
      <c r="B573" s="1166" t="s">
        <v>2544</v>
      </c>
      <c r="C573" s="1166" t="s">
        <v>2610</v>
      </c>
      <c r="D573" s="1006">
        <v>2550</v>
      </c>
      <c r="E573" s="1006">
        <v>2600</v>
      </c>
      <c r="F573" s="1006">
        <v>2600</v>
      </c>
      <c r="G573" s="629" t="s">
        <v>19</v>
      </c>
      <c r="H573" s="56" t="s">
        <v>1233</v>
      </c>
      <c r="I573" s="50" t="s">
        <v>2443</v>
      </c>
      <c r="J573" s="50"/>
      <c r="K573" s="19" t="s">
        <v>2467</v>
      </c>
      <c r="L573" s="607" t="s">
        <v>653</v>
      </c>
      <c r="M573" s="156">
        <v>43084</v>
      </c>
      <c r="N573" s="156">
        <v>43092</v>
      </c>
      <c r="O573" s="59" t="s">
        <v>2440</v>
      </c>
      <c r="P573" s="59"/>
      <c r="Q573" s="167"/>
      <c r="R573" s="21" t="s">
        <v>1692</v>
      </c>
      <c r="S573" s="316" t="s">
        <v>1176</v>
      </c>
      <c r="T573" s="317">
        <v>20</v>
      </c>
    </row>
    <row r="574" spans="1:20" ht="20.100000000000001" customHeight="1">
      <c r="A574" s="1166" t="s">
        <v>2977</v>
      </c>
      <c r="B574" s="1166" t="s">
        <v>2544</v>
      </c>
      <c r="C574" s="1166" t="s">
        <v>2610</v>
      </c>
      <c r="D574" s="1022">
        <v>2925</v>
      </c>
      <c r="E574" s="1022">
        <v>2950</v>
      </c>
      <c r="F574" s="1022">
        <v>2950</v>
      </c>
      <c r="G574" s="629" t="s">
        <v>5</v>
      </c>
      <c r="H574" s="160">
        <v>7</v>
      </c>
      <c r="I574" s="20" t="s">
        <v>17</v>
      </c>
      <c r="J574" s="20"/>
      <c r="K574" s="24" t="s">
        <v>1242</v>
      </c>
      <c r="L574" s="607" t="s">
        <v>653</v>
      </c>
      <c r="M574" s="159">
        <v>43070</v>
      </c>
      <c r="N574" s="159">
        <v>43083</v>
      </c>
      <c r="O574" s="61" t="s">
        <v>1771</v>
      </c>
      <c r="P574" s="72"/>
      <c r="Q574" s="7"/>
      <c r="R574" s="647" t="s">
        <v>2136</v>
      </c>
      <c r="S574" s="646"/>
      <c r="T574" s="904"/>
    </row>
    <row r="575" spans="1:20" ht="20.100000000000001" customHeight="1">
      <c r="A575" s="1166" t="s">
        <v>2977</v>
      </c>
      <c r="B575" s="1166" t="s">
        <v>2544</v>
      </c>
      <c r="C575" s="1166" t="s">
        <v>2610</v>
      </c>
      <c r="D575" s="1023"/>
      <c r="E575" s="1023"/>
      <c r="F575" s="1023"/>
      <c r="G575" s="629" t="s">
        <v>19</v>
      </c>
      <c r="H575" s="645">
        <v>7</v>
      </c>
      <c r="I575" s="20" t="s">
        <v>17</v>
      </c>
      <c r="J575" s="20"/>
      <c r="K575" s="24" t="s">
        <v>1242</v>
      </c>
      <c r="L575" s="607" t="s">
        <v>653</v>
      </c>
      <c r="M575" s="156">
        <v>43084</v>
      </c>
      <c r="N575" s="156">
        <v>43092</v>
      </c>
      <c r="O575" s="59" t="s">
        <v>611</v>
      </c>
      <c r="P575" s="72"/>
      <c r="Q575" s="52"/>
      <c r="R575" s="610" t="s">
        <v>2135</v>
      </c>
      <c r="S575" s="316" t="s">
        <v>1176</v>
      </c>
      <c r="T575" s="317">
        <v>20</v>
      </c>
    </row>
    <row r="576" spans="1:20" ht="20.100000000000001" customHeight="1">
      <c r="A576" s="1166" t="s">
        <v>2977</v>
      </c>
      <c r="B576" s="1166" t="s">
        <v>2544</v>
      </c>
      <c r="C576" s="1166" t="s">
        <v>2610</v>
      </c>
      <c r="D576" s="1019">
        <v>2650</v>
      </c>
      <c r="E576" s="1019">
        <v>2700</v>
      </c>
      <c r="F576" s="1019">
        <v>2700</v>
      </c>
      <c r="G576" s="633" t="s">
        <v>13</v>
      </c>
      <c r="H576" s="160">
        <v>7</v>
      </c>
      <c r="I576" s="20" t="s">
        <v>17</v>
      </c>
      <c r="J576" s="20"/>
      <c r="K576" s="24" t="s">
        <v>1242</v>
      </c>
      <c r="L576" s="607" t="s">
        <v>653</v>
      </c>
      <c r="M576" s="156">
        <v>43077</v>
      </c>
      <c r="N576" s="156">
        <v>43083</v>
      </c>
      <c r="O576" s="59" t="s">
        <v>601</v>
      </c>
      <c r="P576" s="61"/>
      <c r="Q576" s="52"/>
      <c r="R576" s="606" t="s">
        <v>2287</v>
      </c>
      <c r="S576" s="316" t="s">
        <v>3354</v>
      </c>
      <c r="T576" s="904"/>
    </row>
    <row r="577" spans="1:20" ht="20.100000000000001" customHeight="1">
      <c r="A577" s="1166" t="s">
        <v>2977</v>
      </c>
      <c r="B577" s="1166" t="s">
        <v>2544</v>
      </c>
      <c r="C577" s="1166" t="s">
        <v>2610</v>
      </c>
      <c r="D577" s="1008">
        <v>3175</v>
      </c>
      <c r="E577" s="1008">
        <v>3250</v>
      </c>
      <c r="F577" s="1008">
        <v>3250</v>
      </c>
      <c r="G577" s="629" t="s">
        <v>51</v>
      </c>
      <c r="H577" s="4">
        <v>7</v>
      </c>
      <c r="I577" s="37" t="s">
        <v>17</v>
      </c>
      <c r="J577" s="37"/>
      <c r="K577" s="24" t="s">
        <v>1242</v>
      </c>
      <c r="L577" s="607" t="s">
        <v>653</v>
      </c>
      <c r="M577" s="611">
        <v>43084</v>
      </c>
      <c r="N577" s="611">
        <v>43100</v>
      </c>
      <c r="O577" s="61"/>
      <c r="P577" s="61"/>
      <c r="Q577" s="52"/>
      <c r="R577" s="606" t="s">
        <v>347</v>
      </c>
      <c r="S577" s="315" t="s">
        <v>3290</v>
      </c>
      <c r="T577" s="904"/>
    </row>
    <row r="578" spans="1:20" ht="20.100000000000001" customHeight="1">
      <c r="A578" s="1166" t="s">
        <v>2977</v>
      </c>
      <c r="B578" s="1166" t="s">
        <v>2544</v>
      </c>
      <c r="C578" s="1166" t="s">
        <v>2610</v>
      </c>
      <c r="D578" s="1068">
        <v>3050</v>
      </c>
      <c r="E578" s="1068">
        <v>3100</v>
      </c>
      <c r="F578" s="1068">
        <v>3100</v>
      </c>
      <c r="G578" s="633" t="s">
        <v>33</v>
      </c>
      <c r="H578" s="4">
        <v>7</v>
      </c>
      <c r="I578" s="37" t="s">
        <v>17</v>
      </c>
      <c r="J578" s="37"/>
      <c r="K578" s="24" t="s">
        <v>1242</v>
      </c>
      <c r="L578" s="607" t="s">
        <v>653</v>
      </c>
      <c r="M578" s="159">
        <v>43084</v>
      </c>
      <c r="N578" s="159">
        <v>43100</v>
      </c>
      <c r="O578" s="61"/>
      <c r="P578" s="61"/>
      <c r="Q578" s="52"/>
      <c r="R578" s="606" t="s">
        <v>347</v>
      </c>
      <c r="S578" s="316" t="s">
        <v>3353</v>
      </c>
      <c r="T578" s="904"/>
    </row>
    <row r="579" spans="1:20" ht="20.100000000000001" customHeight="1">
      <c r="A579" s="1166" t="s">
        <v>2977</v>
      </c>
      <c r="B579" s="1166" t="s">
        <v>2544</v>
      </c>
      <c r="C579" s="1166" t="s">
        <v>2610</v>
      </c>
      <c r="D579" s="894">
        <v>3325</v>
      </c>
      <c r="E579" s="894">
        <v>3300</v>
      </c>
      <c r="F579" s="894">
        <v>3300</v>
      </c>
      <c r="G579" s="227" t="s">
        <v>1689</v>
      </c>
      <c r="H579" s="4">
        <v>7</v>
      </c>
      <c r="I579" s="37" t="s">
        <v>17</v>
      </c>
      <c r="J579" s="37"/>
      <c r="K579" s="24" t="s">
        <v>1242</v>
      </c>
      <c r="L579" s="607" t="s">
        <v>653</v>
      </c>
      <c r="M579" s="156">
        <v>43084</v>
      </c>
      <c r="N579" s="156">
        <v>43100</v>
      </c>
      <c r="O579" s="61" t="s">
        <v>1771</v>
      </c>
      <c r="P579" s="61"/>
      <c r="Q579" s="52"/>
      <c r="R579" s="648" t="s">
        <v>347</v>
      </c>
      <c r="S579" s="333" t="s">
        <v>1176</v>
      </c>
      <c r="T579" s="904"/>
    </row>
    <row r="580" spans="1:20" ht="20.100000000000001" customHeight="1">
      <c r="A580" s="1166" t="s">
        <v>2977</v>
      </c>
      <c r="B580" s="1166" t="s">
        <v>2544</v>
      </c>
      <c r="C580" s="1166" t="s">
        <v>2610</v>
      </c>
      <c r="D580" s="1006">
        <v>2675</v>
      </c>
      <c r="E580" s="1006">
        <v>2750</v>
      </c>
      <c r="F580" s="1006">
        <v>2750</v>
      </c>
      <c r="G580" s="633" t="s">
        <v>233</v>
      </c>
      <c r="H580" s="4">
        <v>7</v>
      </c>
      <c r="I580" s="37" t="s">
        <v>17</v>
      </c>
      <c r="J580" s="37"/>
      <c r="K580" s="24" t="s">
        <v>1242</v>
      </c>
      <c r="L580" s="607" t="s">
        <v>653</v>
      </c>
      <c r="M580" s="620">
        <v>43080</v>
      </c>
      <c r="N580" s="620">
        <v>43083</v>
      </c>
      <c r="O580" s="59" t="s">
        <v>601</v>
      </c>
      <c r="P580" s="61"/>
      <c r="Q580" s="52"/>
      <c r="R580" s="606" t="s">
        <v>347</v>
      </c>
      <c r="S580" s="316" t="s">
        <v>3352</v>
      </c>
      <c r="T580" s="904"/>
    </row>
    <row r="581" spans="1:20" ht="20.100000000000001" customHeight="1">
      <c r="A581" s="1167" t="s">
        <v>2977</v>
      </c>
      <c r="B581" s="1167" t="s">
        <v>2544</v>
      </c>
      <c r="C581" s="1167" t="s">
        <v>2610</v>
      </c>
      <c r="D581" s="1021">
        <v>3250</v>
      </c>
      <c r="E581" s="1021">
        <v>3300</v>
      </c>
      <c r="F581" s="1021">
        <v>3300</v>
      </c>
      <c r="G581" s="633" t="s">
        <v>28</v>
      </c>
      <c r="H581" s="4">
        <v>7</v>
      </c>
      <c r="I581" s="37" t="s">
        <v>17</v>
      </c>
      <c r="J581" s="37"/>
      <c r="K581" s="24" t="s">
        <v>1242</v>
      </c>
      <c r="L581" s="607" t="s">
        <v>653</v>
      </c>
      <c r="M581" s="620">
        <v>43084</v>
      </c>
      <c r="N581" s="620">
        <v>43100</v>
      </c>
      <c r="O581" s="153" t="s">
        <v>1980</v>
      </c>
      <c r="P581" s="61"/>
      <c r="Q581" s="7"/>
      <c r="R581" s="606" t="s">
        <v>2134</v>
      </c>
      <c r="S581" s="622"/>
      <c r="T581" s="904"/>
    </row>
    <row r="582" spans="1:20" ht="20.100000000000001" customHeight="1">
      <c r="A582" s="926" t="s">
        <v>2978</v>
      </c>
      <c r="B582" s="895" t="s">
        <v>2544</v>
      </c>
      <c r="C582" s="895" t="s">
        <v>3374</v>
      </c>
      <c r="D582" s="1025">
        <f>D813+350</f>
        <v>3650</v>
      </c>
      <c r="E582" s="1025">
        <f>E813+500</f>
        <v>3800</v>
      </c>
      <c r="F582" s="1025">
        <f>F813+500</f>
        <v>3800</v>
      </c>
      <c r="G582" s="618" t="s">
        <v>31</v>
      </c>
      <c r="H582" s="4" t="s">
        <v>1102</v>
      </c>
      <c r="I582" s="5" t="s">
        <v>2139</v>
      </c>
      <c r="J582" s="5"/>
      <c r="K582" s="5" t="s">
        <v>1983</v>
      </c>
      <c r="L582" s="607" t="s">
        <v>653</v>
      </c>
      <c r="M582" s="623">
        <v>43084</v>
      </c>
      <c r="N582" s="623">
        <v>43100</v>
      </c>
      <c r="O582" s="61"/>
      <c r="P582" s="61"/>
      <c r="Q582" s="7"/>
      <c r="R582" s="606" t="s">
        <v>2138</v>
      </c>
      <c r="S582" s="622" t="s">
        <v>1176</v>
      </c>
      <c r="T582" s="904"/>
    </row>
    <row r="583" spans="1:20" ht="20.100000000000001" customHeight="1">
      <c r="A583" s="1254" t="s">
        <v>3359</v>
      </c>
      <c r="B583" s="1127" t="s">
        <v>2544</v>
      </c>
      <c r="C583" s="1127" t="s">
        <v>3373</v>
      </c>
      <c r="D583" s="1025">
        <f>D813+600</f>
        <v>3900</v>
      </c>
      <c r="E583" s="1025">
        <f>E813+1250</f>
        <v>4550</v>
      </c>
      <c r="F583" s="1025">
        <f>F813+1250</f>
        <v>4550</v>
      </c>
      <c r="G583" s="618" t="s">
        <v>31</v>
      </c>
      <c r="H583" s="4" t="s">
        <v>1102</v>
      </c>
      <c r="I583" s="5" t="s">
        <v>2139</v>
      </c>
      <c r="J583" s="5"/>
      <c r="K583" s="5" t="s">
        <v>1983</v>
      </c>
      <c r="L583" s="607" t="s">
        <v>653</v>
      </c>
      <c r="M583" s="623">
        <v>43084</v>
      </c>
      <c r="N583" s="623">
        <v>43100</v>
      </c>
      <c r="O583" s="61"/>
      <c r="P583" s="61"/>
      <c r="Q583" s="7"/>
      <c r="R583" s="606" t="s">
        <v>2138</v>
      </c>
      <c r="S583" s="622" t="s">
        <v>1176</v>
      </c>
      <c r="T583" s="904"/>
    </row>
    <row r="584" spans="1:20" ht="20.100000000000001" customHeight="1">
      <c r="A584" s="1254" t="s">
        <v>3359</v>
      </c>
      <c r="B584" s="1127" t="s">
        <v>2544</v>
      </c>
      <c r="C584" s="1127" t="s">
        <v>3373</v>
      </c>
      <c r="D584" s="889">
        <f>D643+800+25</f>
        <v>4150</v>
      </c>
      <c r="E584" s="889">
        <f>E643+1300+50</f>
        <v>4650</v>
      </c>
      <c r="F584" s="889">
        <f>F643+1300+50</f>
        <v>4650</v>
      </c>
      <c r="G584" s="609" t="s">
        <v>1689</v>
      </c>
      <c r="H584" s="56" t="s">
        <v>1233</v>
      </c>
      <c r="I584" s="5" t="s">
        <v>3368</v>
      </c>
      <c r="J584" s="5"/>
      <c r="K584" s="5">
        <v>50</v>
      </c>
      <c r="L584" s="607" t="s">
        <v>653</v>
      </c>
      <c r="M584" s="156">
        <v>43084</v>
      </c>
      <c r="N584" s="156">
        <v>43100</v>
      </c>
      <c r="O584" s="61" t="s">
        <v>1771</v>
      </c>
      <c r="P584" s="61"/>
      <c r="Q584" s="52"/>
      <c r="R584" s="648" t="s">
        <v>347</v>
      </c>
      <c r="S584" s="333" t="s">
        <v>1176</v>
      </c>
      <c r="T584" s="904"/>
    </row>
    <row r="585" spans="1:20" ht="20.100000000000001" customHeight="1">
      <c r="A585" s="1254" t="s">
        <v>2977</v>
      </c>
      <c r="B585" s="1127" t="s">
        <v>2544</v>
      </c>
      <c r="C585" s="1127" t="s">
        <v>3372</v>
      </c>
      <c r="D585" s="1006">
        <f>D813+600</f>
        <v>3900</v>
      </c>
      <c r="E585" s="1006">
        <f>E813+1250</f>
        <v>4550</v>
      </c>
      <c r="F585" s="1006">
        <f>F813+1250</f>
        <v>4550</v>
      </c>
      <c r="G585" s="618" t="s">
        <v>31</v>
      </c>
      <c r="H585" s="4" t="s">
        <v>1102</v>
      </c>
      <c r="I585" s="5" t="s">
        <v>2139</v>
      </c>
      <c r="J585" s="5"/>
      <c r="K585" s="5" t="s">
        <v>1983</v>
      </c>
      <c r="L585" s="607" t="s">
        <v>653</v>
      </c>
      <c r="M585" s="623">
        <v>43084</v>
      </c>
      <c r="N585" s="623">
        <v>43100</v>
      </c>
      <c r="O585" s="61"/>
      <c r="P585" s="61"/>
      <c r="Q585" s="7"/>
      <c r="R585" s="606" t="s">
        <v>2138</v>
      </c>
      <c r="S585" s="622" t="s">
        <v>1176</v>
      </c>
      <c r="T585" s="904"/>
    </row>
    <row r="586" spans="1:20" ht="20.100000000000001" customHeight="1">
      <c r="A586" s="1254" t="s">
        <v>2977</v>
      </c>
      <c r="B586" s="1127" t="s">
        <v>2544</v>
      </c>
      <c r="C586" s="1127" t="s">
        <v>3372</v>
      </c>
      <c r="D586" s="889">
        <f>D643+800+25</f>
        <v>4150</v>
      </c>
      <c r="E586" s="889">
        <f>E643+1300+50</f>
        <v>4650</v>
      </c>
      <c r="F586" s="889">
        <f>F643+1300+50</f>
        <v>4650</v>
      </c>
      <c r="G586" s="609" t="s">
        <v>1689</v>
      </c>
      <c r="H586" s="56" t="s">
        <v>1233</v>
      </c>
      <c r="I586" s="5" t="s">
        <v>3368</v>
      </c>
      <c r="J586" s="5"/>
      <c r="K586" s="5">
        <v>50</v>
      </c>
      <c r="L586" s="607" t="s">
        <v>653</v>
      </c>
      <c r="M586" s="156">
        <v>43084</v>
      </c>
      <c r="N586" s="156">
        <v>43100</v>
      </c>
      <c r="O586" s="61" t="s">
        <v>1771</v>
      </c>
      <c r="P586" s="61"/>
      <c r="Q586" s="52"/>
      <c r="R586" s="648" t="s">
        <v>347</v>
      </c>
      <c r="S586" s="333" t="s">
        <v>1176</v>
      </c>
      <c r="T586" s="904"/>
    </row>
    <row r="587" spans="1:20" ht="20.100000000000001" customHeight="1">
      <c r="A587" s="1254" t="s">
        <v>2977</v>
      </c>
      <c r="B587" s="1127" t="s">
        <v>2544</v>
      </c>
      <c r="C587" s="1127" t="s">
        <v>3371</v>
      </c>
      <c r="D587" s="1023">
        <f>D562+500</f>
        <v>3800</v>
      </c>
      <c r="E587" s="1023">
        <f>E562+700</f>
        <v>4000</v>
      </c>
      <c r="F587" s="1023">
        <f>F562+700</f>
        <v>4000</v>
      </c>
      <c r="G587" s="655" t="s">
        <v>31</v>
      </c>
      <c r="H587" s="22" t="s">
        <v>1102</v>
      </c>
      <c r="I587" s="50" t="s">
        <v>2590</v>
      </c>
      <c r="J587" s="37"/>
      <c r="K587" s="19" t="s">
        <v>1984</v>
      </c>
      <c r="L587" s="607" t="s">
        <v>653</v>
      </c>
      <c r="M587" s="623">
        <v>43084</v>
      </c>
      <c r="N587" s="623">
        <v>43100</v>
      </c>
      <c r="O587" s="654"/>
      <c r="P587" s="654"/>
      <c r="Q587" s="7"/>
      <c r="R587" s="606" t="s">
        <v>2138</v>
      </c>
      <c r="S587" s="622" t="s">
        <v>1176</v>
      </c>
      <c r="T587" s="904"/>
    </row>
    <row r="588" spans="1:20" ht="20.100000000000001" customHeight="1">
      <c r="A588" s="1254" t="s">
        <v>2977</v>
      </c>
      <c r="B588" s="1127" t="s">
        <v>2544</v>
      </c>
      <c r="C588" s="1127" t="s">
        <v>3371</v>
      </c>
      <c r="D588" s="1023"/>
      <c r="E588" s="1023"/>
      <c r="F588" s="1023"/>
      <c r="G588" s="636" t="s">
        <v>18</v>
      </c>
      <c r="H588" s="22" t="s">
        <v>1102</v>
      </c>
      <c r="I588" s="19" t="s">
        <v>2139</v>
      </c>
      <c r="J588" s="50"/>
      <c r="K588" s="19" t="s">
        <v>2396</v>
      </c>
      <c r="L588" s="607" t="s">
        <v>653</v>
      </c>
      <c r="M588" s="108">
        <v>43080</v>
      </c>
      <c r="N588" s="108">
        <v>43083</v>
      </c>
      <c r="O588" s="654"/>
      <c r="P588" s="654"/>
      <c r="Q588" s="7"/>
      <c r="R588" s="610" t="s">
        <v>2592</v>
      </c>
      <c r="S588" s="622"/>
      <c r="T588" s="904"/>
    </row>
    <row r="589" spans="1:20" ht="20.100000000000001" customHeight="1">
      <c r="A589" s="1254" t="s">
        <v>2977</v>
      </c>
      <c r="B589" s="1127" t="s">
        <v>2544</v>
      </c>
      <c r="C589" s="1127" t="s">
        <v>3371</v>
      </c>
      <c r="D589" s="1023">
        <v>3075</v>
      </c>
      <c r="E589" s="1023">
        <v>3450</v>
      </c>
      <c r="F589" s="1023">
        <v>3450</v>
      </c>
      <c r="G589" s="653" t="s">
        <v>2559</v>
      </c>
      <c r="H589" s="22" t="s">
        <v>1102</v>
      </c>
      <c r="I589" s="50" t="s">
        <v>3368</v>
      </c>
      <c r="J589" s="50"/>
      <c r="K589" s="19" t="s">
        <v>1979</v>
      </c>
      <c r="L589" s="607" t="s">
        <v>653</v>
      </c>
      <c r="M589" s="649">
        <v>43080</v>
      </c>
      <c r="N589" s="649">
        <v>43083</v>
      </c>
      <c r="O589" s="59"/>
      <c r="P589" s="59"/>
      <c r="Q589" s="7"/>
      <c r="R589" s="610" t="s">
        <v>3355</v>
      </c>
      <c r="S589" s="619" t="s">
        <v>1176</v>
      </c>
      <c r="T589" s="904"/>
    </row>
    <row r="590" spans="1:20" ht="20.100000000000001" customHeight="1">
      <c r="A590" s="1254" t="s">
        <v>2977</v>
      </c>
      <c r="B590" s="1127" t="s">
        <v>2544</v>
      </c>
      <c r="C590" s="1127" t="s">
        <v>3371</v>
      </c>
      <c r="D590" s="1006">
        <v>3225</v>
      </c>
      <c r="E590" s="1006">
        <v>3250</v>
      </c>
      <c r="F590" s="1006">
        <v>3250</v>
      </c>
      <c r="G590" s="227" t="s">
        <v>1689</v>
      </c>
      <c r="H590" s="56">
        <v>3</v>
      </c>
      <c r="I590" s="19" t="s">
        <v>2139</v>
      </c>
      <c r="J590" s="19"/>
      <c r="K590" s="19">
        <v>45</v>
      </c>
      <c r="L590" s="607" t="s">
        <v>653</v>
      </c>
      <c r="M590" s="156">
        <v>43074</v>
      </c>
      <c r="N590" s="156">
        <v>43083</v>
      </c>
      <c r="O590" s="61" t="s">
        <v>1771</v>
      </c>
      <c r="P590" s="59"/>
      <c r="Q590" s="52"/>
      <c r="R590" s="648" t="s">
        <v>2116</v>
      </c>
      <c r="S590" s="333" t="s">
        <v>1176</v>
      </c>
      <c r="T590" s="904"/>
    </row>
    <row r="591" spans="1:20" ht="20.100000000000001" customHeight="1">
      <c r="A591" s="1254" t="s">
        <v>2977</v>
      </c>
      <c r="B591" s="1127" t="s">
        <v>2544</v>
      </c>
      <c r="C591" s="1127" t="s">
        <v>3371</v>
      </c>
      <c r="D591" s="1006">
        <v>3450</v>
      </c>
      <c r="E591" s="1006">
        <v>4100</v>
      </c>
      <c r="F591" s="1006">
        <v>4100</v>
      </c>
      <c r="G591" s="629" t="s">
        <v>19</v>
      </c>
      <c r="H591" s="56" t="s">
        <v>3358</v>
      </c>
      <c r="I591" s="50" t="s">
        <v>2139</v>
      </c>
      <c r="J591" s="50"/>
      <c r="K591" s="19" t="s">
        <v>986</v>
      </c>
      <c r="L591" s="607" t="s">
        <v>653</v>
      </c>
      <c r="M591" s="156">
        <v>43084</v>
      </c>
      <c r="N591" s="156">
        <v>43092</v>
      </c>
      <c r="O591" s="59" t="s">
        <v>611</v>
      </c>
      <c r="P591" s="59"/>
      <c r="Q591" s="52"/>
      <c r="R591" s="610" t="s">
        <v>2562</v>
      </c>
      <c r="S591" s="316" t="s">
        <v>1176</v>
      </c>
      <c r="T591" s="317">
        <v>20</v>
      </c>
    </row>
    <row r="592" spans="1:20" ht="20.100000000000001" customHeight="1">
      <c r="A592" s="1254" t="s">
        <v>2977</v>
      </c>
      <c r="B592" s="1127" t="s">
        <v>2544</v>
      </c>
      <c r="C592" s="1127" t="s">
        <v>3371</v>
      </c>
      <c r="D592" s="1023">
        <f>D578+920</f>
        <v>3970</v>
      </c>
      <c r="E592" s="1023">
        <f>E578+1150</f>
        <v>4250</v>
      </c>
      <c r="F592" s="1023">
        <f>F578+1150</f>
        <v>4250</v>
      </c>
      <c r="G592" s="613" t="s">
        <v>33</v>
      </c>
      <c r="H592" s="4" t="s">
        <v>646</v>
      </c>
      <c r="I592" s="5" t="s">
        <v>2563</v>
      </c>
      <c r="J592" s="37"/>
      <c r="K592" s="5">
        <v>42</v>
      </c>
      <c r="L592" s="607" t="s">
        <v>653</v>
      </c>
      <c r="M592" s="159">
        <v>43084</v>
      </c>
      <c r="N592" s="159">
        <v>43100</v>
      </c>
      <c r="O592" s="61"/>
      <c r="P592" s="61"/>
      <c r="Q592" s="52"/>
      <c r="R592" s="606" t="s">
        <v>2584</v>
      </c>
      <c r="S592" s="316" t="s">
        <v>3353</v>
      </c>
      <c r="T592" s="904"/>
    </row>
    <row r="593" spans="1:20" ht="20.100000000000001" customHeight="1">
      <c r="A593" s="926" t="s">
        <v>2978</v>
      </c>
      <c r="B593" s="895" t="s">
        <v>2544</v>
      </c>
      <c r="C593" s="895" t="s">
        <v>3370</v>
      </c>
      <c r="D593" s="1006">
        <f>D813+600</f>
        <v>3900</v>
      </c>
      <c r="E593" s="1006">
        <f>E813+1250</f>
        <v>4550</v>
      </c>
      <c r="F593" s="1006">
        <f>F813+1250</f>
        <v>4550</v>
      </c>
      <c r="G593" s="618" t="s">
        <v>31</v>
      </c>
      <c r="H593" s="4" t="s">
        <v>1102</v>
      </c>
      <c r="I593" s="5" t="s">
        <v>2139</v>
      </c>
      <c r="J593" s="5"/>
      <c r="K593" s="5" t="s">
        <v>1983</v>
      </c>
      <c r="L593" s="607" t="s">
        <v>653</v>
      </c>
      <c r="M593" s="623">
        <v>43084</v>
      </c>
      <c r="N593" s="623">
        <v>43100</v>
      </c>
      <c r="O593" s="61"/>
      <c r="P593" s="61"/>
      <c r="Q593" s="7"/>
      <c r="R593" s="606" t="s">
        <v>2138</v>
      </c>
      <c r="S593" s="622" t="s">
        <v>1176</v>
      </c>
      <c r="T593" s="904"/>
    </row>
    <row r="594" spans="1:20" ht="20.100000000000001" customHeight="1">
      <c r="A594" s="1254" t="s">
        <v>2977</v>
      </c>
      <c r="B594" s="1127" t="s">
        <v>2544</v>
      </c>
      <c r="C594" s="1127" t="s">
        <v>3369</v>
      </c>
      <c r="D594" s="1023">
        <v>4775</v>
      </c>
      <c r="E594" s="1023">
        <v>5750</v>
      </c>
      <c r="F594" s="1023">
        <v>5750</v>
      </c>
      <c r="G594" s="642" t="s">
        <v>2559</v>
      </c>
      <c r="H594" s="22" t="s">
        <v>1102</v>
      </c>
      <c r="I594" s="50" t="s">
        <v>2563</v>
      </c>
      <c r="J594" s="50"/>
      <c r="K594" s="19" t="s">
        <v>3325</v>
      </c>
      <c r="L594" s="607" t="s">
        <v>653</v>
      </c>
      <c r="M594" s="649">
        <v>43080</v>
      </c>
      <c r="N594" s="649">
        <v>43083</v>
      </c>
      <c r="O594" s="59"/>
      <c r="P594" s="59"/>
      <c r="Q594" s="7"/>
      <c r="R594" s="610" t="s">
        <v>3355</v>
      </c>
      <c r="S594" s="619" t="s">
        <v>1176</v>
      </c>
      <c r="T594" s="904"/>
    </row>
    <row r="595" spans="1:20" ht="20.100000000000001" customHeight="1">
      <c r="A595" s="1254" t="s">
        <v>2977</v>
      </c>
      <c r="B595" s="1127" t="s">
        <v>2544</v>
      </c>
      <c r="C595" s="1127" t="s">
        <v>3369</v>
      </c>
      <c r="D595" s="1026">
        <v>4825</v>
      </c>
      <c r="E595" s="1026">
        <v>6050</v>
      </c>
      <c r="F595" s="1026">
        <v>6050</v>
      </c>
      <c r="G595" s="227" t="s">
        <v>1689</v>
      </c>
      <c r="H595" s="56">
        <v>3</v>
      </c>
      <c r="I595" s="5" t="s">
        <v>2563</v>
      </c>
      <c r="J595" s="5"/>
      <c r="K595" s="5">
        <v>40</v>
      </c>
      <c r="L595" s="607" t="s">
        <v>653</v>
      </c>
      <c r="M595" s="156">
        <v>43074</v>
      </c>
      <c r="N595" s="156">
        <v>43083</v>
      </c>
      <c r="O595" s="61" t="s">
        <v>1771</v>
      </c>
      <c r="P595" s="61"/>
      <c r="Q595" s="52"/>
      <c r="R595" s="648" t="s">
        <v>2116</v>
      </c>
      <c r="S595" s="333" t="s">
        <v>1176</v>
      </c>
      <c r="T595" s="904"/>
    </row>
    <row r="596" spans="1:20" ht="20.100000000000001" customHeight="1">
      <c r="A596" s="1254" t="s">
        <v>2977</v>
      </c>
      <c r="B596" s="1127" t="s">
        <v>2544</v>
      </c>
      <c r="C596" s="1127" t="s">
        <v>3369</v>
      </c>
      <c r="D596" s="1008">
        <v>4750</v>
      </c>
      <c r="E596" s="1008">
        <v>6500</v>
      </c>
      <c r="F596" s="1008">
        <v>6500</v>
      </c>
      <c r="G596" s="629" t="s">
        <v>19</v>
      </c>
      <c r="H596" s="56" t="s">
        <v>3358</v>
      </c>
      <c r="I596" s="50" t="s">
        <v>2563</v>
      </c>
      <c r="J596" s="50"/>
      <c r="K596" s="19" t="s">
        <v>1979</v>
      </c>
      <c r="L596" s="607" t="s">
        <v>653</v>
      </c>
      <c r="M596" s="156">
        <v>43084</v>
      </c>
      <c r="N596" s="156">
        <v>43092</v>
      </c>
      <c r="O596" s="59" t="s">
        <v>611</v>
      </c>
      <c r="P596" s="59"/>
      <c r="Q596" s="52"/>
      <c r="R596" s="610" t="s">
        <v>2562</v>
      </c>
      <c r="S596" s="316" t="s">
        <v>1176</v>
      </c>
      <c r="T596" s="317">
        <v>20</v>
      </c>
    </row>
    <row r="597" spans="1:20" ht="20.100000000000001" customHeight="1">
      <c r="A597" s="1254" t="s">
        <v>2977</v>
      </c>
      <c r="B597" s="1127" t="s">
        <v>2544</v>
      </c>
      <c r="C597" s="1127" t="s">
        <v>3369</v>
      </c>
      <c r="D597" s="1025">
        <f>D578+1920</f>
        <v>4970</v>
      </c>
      <c r="E597" s="1025">
        <f>E578+3390</f>
        <v>6490</v>
      </c>
      <c r="F597" s="1025">
        <f>F578+3390</f>
        <v>6490</v>
      </c>
      <c r="G597" s="613" t="s">
        <v>33</v>
      </c>
      <c r="H597" s="4" t="s">
        <v>646</v>
      </c>
      <c r="I597" s="5" t="s">
        <v>2563</v>
      </c>
      <c r="J597" s="5"/>
      <c r="K597" s="5">
        <v>47</v>
      </c>
      <c r="L597" s="607" t="s">
        <v>653</v>
      </c>
      <c r="M597" s="159">
        <v>43084</v>
      </c>
      <c r="N597" s="159">
        <v>43100</v>
      </c>
      <c r="O597" s="61"/>
      <c r="P597" s="61"/>
      <c r="Q597" s="52"/>
      <c r="R597" s="606" t="s">
        <v>2584</v>
      </c>
      <c r="S597" s="316" t="s">
        <v>3353</v>
      </c>
      <c r="T597" s="904"/>
    </row>
    <row r="598" spans="1:20" ht="20.100000000000001" customHeight="1">
      <c r="A598" s="1254" t="s">
        <v>2977</v>
      </c>
      <c r="B598" s="1127" t="s">
        <v>2544</v>
      </c>
      <c r="C598" s="1127" t="s">
        <v>3367</v>
      </c>
      <c r="D598" s="1023">
        <v>2975</v>
      </c>
      <c r="E598" s="1023">
        <v>2850</v>
      </c>
      <c r="F598" s="1023">
        <v>2850</v>
      </c>
      <c r="G598" s="636" t="s">
        <v>2559</v>
      </c>
      <c r="H598" s="22" t="s">
        <v>1102</v>
      </c>
      <c r="I598" s="50" t="s">
        <v>3368</v>
      </c>
      <c r="J598" s="50"/>
      <c r="K598" s="19" t="s">
        <v>1983</v>
      </c>
      <c r="L598" s="607" t="s">
        <v>653</v>
      </c>
      <c r="M598" s="649">
        <v>43080</v>
      </c>
      <c r="N598" s="649">
        <v>43083</v>
      </c>
      <c r="O598" s="59"/>
      <c r="P598" s="59"/>
      <c r="Q598" s="7"/>
      <c r="R598" s="610" t="s">
        <v>3355</v>
      </c>
      <c r="S598" s="619" t="s">
        <v>1176</v>
      </c>
      <c r="T598" s="904"/>
    </row>
    <row r="599" spans="1:20" ht="20.100000000000001" customHeight="1">
      <c r="A599" s="1254" t="s">
        <v>2977</v>
      </c>
      <c r="B599" s="1127" t="s">
        <v>2544</v>
      </c>
      <c r="C599" s="1127" t="s">
        <v>3367</v>
      </c>
      <c r="D599" s="1006">
        <f>D674+350</f>
        <v>3650</v>
      </c>
      <c r="E599" s="1006">
        <f>E674+550</f>
        <v>3850</v>
      </c>
      <c r="F599" s="1006">
        <f>F674+550</f>
        <v>3850</v>
      </c>
      <c r="G599" s="618" t="s">
        <v>31</v>
      </c>
      <c r="H599" s="22" t="s">
        <v>1102</v>
      </c>
      <c r="I599" s="5" t="s">
        <v>2139</v>
      </c>
      <c r="J599" s="37"/>
      <c r="K599" s="19" t="s">
        <v>2565</v>
      </c>
      <c r="L599" s="607" t="s">
        <v>653</v>
      </c>
      <c r="M599" s="623">
        <v>43084</v>
      </c>
      <c r="N599" s="623">
        <v>43100</v>
      </c>
      <c r="O599" s="61"/>
      <c r="P599" s="61"/>
      <c r="Q599" s="7"/>
      <c r="R599" s="606" t="s">
        <v>2138</v>
      </c>
      <c r="S599" s="622" t="s">
        <v>1176</v>
      </c>
      <c r="T599" s="904"/>
    </row>
    <row r="600" spans="1:20" ht="20.100000000000001" customHeight="1">
      <c r="A600" s="1254" t="s">
        <v>2977</v>
      </c>
      <c r="B600" s="1127" t="s">
        <v>2544</v>
      </c>
      <c r="C600" s="1127" t="s">
        <v>3367</v>
      </c>
      <c r="D600" s="1006">
        <f>D618+650</f>
        <v>3575</v>
      </c>
      <c r="E600" s="1006">
        <f>E618+900</f>
        <v>3850</v>
      </c>
      <c r="F600" s="1006">
        <f>F618+900</f>
        <v>3850</v>
      </c>
      <c r="G600" s="216" t="s">
        <v>5</v>
      </c>
      <c r="H600" s="56" t="s">
        <v>659</v>
      </c>
      <c r="I600" s="38" t="s">
        <v>2589</v>
      </c>
      <c r="J600" s="38"/>
      <c r="K600" s="5" t="s">
        <v>985</v>
      </c>
      <c r="L600" s="607" t="s">
        <v>653</v>
      </c>
      <c r="M600" s="159">
        <v>43070</v>
      </c>
      <c r="N600" s="159">
        <v>43083</v>
      </c>
      <c r="O600" s="61" t="s">
        <v>1771</v>
      </c>
      <c r="P600" s="61"/>
      <c r="Q600" s="7"/>
      <c r="R600" s="610" t="s">
        <v>2558</v>
      </c>
      <c r="S600" s="619"/>
      <c r="T600" s="904"/>
    </row>
    <row r="601" spans="1:20" ht="20.100000000000001" customHeight="1">
      <c r="A601" s="1254" t="s">
        <v>2977</v>
      </c>
      <c r="B601" s="1127" t="s">
        <v>2544</v>
      </c>
      <c r="C601" s="1127" t="s">
        <v>3367</v>
      </c>
      <c r="D601" s="1006">
        <v>3225</v>
      </c>
      <c r="E601" s="1006">
        <v>3250</v>
      </c>
      <c r="F601" s="1006">
        <v>3250</v>
      </c>
      <c r="G601" s="227" t="s">
        <v>1689</v>
      </c>
      <c r="H601" s="56">
        <v>3</v>
      </c>
      <c r="I601" s="19" t="s">
        <v>2139</v>
      </c>
      <c r="J601" s="5"/>
      <c r="K601" s="19">
        <v>37</v>
      </c>
      <c r="L601" s="607" t="s">
        <v>653</v>
      </c>
      <c r="M601" s="156">
        <v>43074</v>
      </c>
      <c r="N601" s="156">
        <v>43083</v>
      </c>
      <c r="O601" s="61" t="s">
        <v>1771</v>
      </c>
      <c r="P601" s="59"/>
      <c r="Q601" s="52"/>
      <c r="R601" s="648" t="s">
        <v>2116</v>
      </c>
      <c r="S601" s="333" t="s">
        <v>1176</v>
      </c>
      <c r="T601" s="904"/>
    </row>
    <row r="602" spans="1:20" ht="20.100000000000001" customHeight="1">
      <c r="A602" s="1254" t="s">
        <v>2977</v>
      </c>
      <c r="B602" s="1127" t="s">
        <v>2544</v>
      </c>
      <c r="C602" s="1127" t="s">
        <v>3367</v>
      </c>
      <c r="D602" s="1006">
        <f>D830+805</f>
        <v>3855</v>
      </c>
      <c r="E602" s="1006">
        <f>E830+1155</f>
        <v>4255</v>
      </c>
      <c r="F602" s="1006">
        <f>F830+1155</f>
        <v>4255</v>
      </c>
      <c r="G602" s="613" t="s">
        <v>33</v>
      </c>
      <c r="H602" s="4" t="s">
        <v>646</v>
      </c>
      <c r="I602" s="37" t="s">
        <v>2139</v>
      </c>
      <c r="J602" s="5"/>
      <c r="K602" s="19"/>
      <c r="L602" s="607" t="s">
        <v>653</v>
      </c>
      <c r="M602" s="159">
        <v>43084</v>
      </c>
      <c r="N602" s="159">
        <v>43100</v>
      </c>
      <c r="O602" s="61"/>
      <c r="P602" s="59"/>
      <c r="Q602" s="52"/>
      <c r="R602" s="606" t="s">
        <v>2584</v>
      </c>
      <c r="S602" s="316" t="s">
        <v>3353</v>
      </c>
      <c r="T602" s="904"/>
    </row>
    <row r="603" spans="1:20" ht="20.100000000000001" customHeight="1">
      <c r="A603" s="1254" t="s">
        <v>2977</v>
      </c>
      <c r="B603" s="1127" t="s">
        <v>2544</v>
      </c>
      <c r="C603" s="1127" t="s">
        <v>3367</v>
      </c>
      <c r="D603" s="1006">
        <v>3450</v>
      </c>
      <c r="E603" s="1006">
        <v>4100</v>
      </c>
      <c r="F603" s="1006">
        <v>4100</v>
      </c>
      <c r="G603" s="629" t="s">
        <v>19</v>
      </c>
      <c r="H603" s="56" t="s">
        <v>3358</v>
      </c>
      <c r="I603" s="50" t="s">
        <v>2139</v>
      </c>
      <c r="J603" s="50"/>
      <c r="K603" s="19" t="s">
        <v>986</v>
      </c>
      <c r="L603" s="607" t="s">
        <v>653</v>
      </c>
      <c r="M603" s="156">
        <v>43084</v>
      </c>
      <c r="N603" s="156">
        <v>43092</v>
      </c>
      <c r="O603" s="59" t="s">
        <v>611</v>
      </c>
      <c r="P603" s="59"/>
      <c r="Q603" s="52"/>
      <c r="R603" s="610" t="s">
        <v>2562</v>
      </c>
      <c r="S603" s="316" t="s">
        <v>1176</v>
      </c>
      <c r="T603" s="317">
        <v>20</v>
      </c>
    </row>
    <row r="604" spans="1:20" ht="20.100000000000001" customHeight="1">
      <c r="A604" s="1254" t="s">
        <v>2977</v>
      </c>
      <c r="B604" s="1127" t="s">
        <v>2585</v>
      </c>
      <c r="C604" s="1127" t="s">
        <v>3366</v>
      </c>
      <c r="D604" s="1023">
        <f>D816+300</f>
        <v>3225</v>
      </c>
      <c r="E604" s="1023">
        <f>E816+450</f>
        <v>3400</v>
      </c>
      <c r="F604" s="1023">
        <f>F816+450</f>
        <v>3400</v>
      </c>
      <c r="G604" s="216" t="s">
        <v>5</v>
      </c>
      <c r="H604" s="56">
        <v>3</v>
      </c>
      <c r="I604" s="5" t="s">
        <v>2139</v>
      </c>
      <c r="J604" s="5"/>
      <c r="K604" s="5">
        <v>40</v>
      </c>
      <c r="L604" s="607" t="s">
        <v>653</v>
      </c>
      <c r="M604" s="159">
        <v>43070</v>
      </c>
      <c r="N604" s="159">
        <v>43083</v>
      </c>
      <c r="O604" s="61" t="s">
        <v>1771</v>
      </c>
      <c r="P604" s="61"/>
      <c r="Q604" s="7"/>
      <c r="R604" s="606" t="s">
        <v>2558</v>
      </c>
      <c r="S604" s="622"/>
      <c r="T604" s="323" t="s">
        <v>3361</v>
      </c>
    </row>
    <row r="605" spans="1:20" ht="20.100000000000001" customHeight="1">
      <c r="A605" s="1254" t="s">
        <v>2977</v>
      </c>
      <c r="B605" s="1127" t="s">
        <v>2585</v>
      </c>
      <c r="C605" s="1127" t="s">
        <v>3366</v>
      </c>
      <c r="D605" s="1015">
        <f>D623+300+0</f>
        <v>3400</v>
      </c>
      <c r="E605" s="1015">
        <f>E623+500+0</f>
        <v>3600</v>
      </c>
      <c r="F605" s="1015">
        <f>F623+500+0</f>
        <v>3600</v>
      </c>
      <c r="G605" s="216" t="s">
        <v>12</v>
      </c>
      <c r="H605" s="56" t="s">
        <v>659</v>
      </c>
      <c r="I605" s="50" t="s">
        <v>2589</v>
      </c>
      <c r="J605" s="50"/>
      <c r="K605" s="34" t="s">
        <v>835</v>
      </c>
      <c r="L605" s="607" t="s">
        <v>653</v>
      </c>
      <c r="M605" s="15">
        <v>43084</v>
      </c>
      <c r="N605" s="15">
        <v>43100</v>
      </c>
      <c r="O605" s="61" t="s">
        <v>2545</v>
      </c>
      <c r="P605" s="59"/>
      <c r="Q605" s="52"/>
      <c r="R605" s="610" t="s">
        <v>2135</v>
      </c>
      <c r="S605" s="315" t="s">
        <v>3294</v>
      </c>
      <c r="T605" s="923"/>
    </row>
    <row r="606" spans="1:20" ht="20.100000000000001" customHeight="1">
      <c r="A606" s="1254" t="s">
        <v>2977</v>
      </c>
      <c r="B606" s="1127" t="s">
        <v>2585</v>
      </c>
      <c r="C606" s="1127" t="s">
        <v>3366</v>
      </c>
      <c r="D606" s="894">
        <v>3325</v>
      </c>
      <c r="E606" s="894">
        <v>3300</v>
      </c>
      <c r="F606" s="894">
        <v>3300</v>
      </c>
      <c r="G606" s="227" t="s">
        <v>1689</v>
      </c>
      <c r="H606" s="56" t="s">
        <v>646</v>
      </c>
      <c r="I606" s="37" t="s">
        <v>2589</v>
      </c>
      <c r="J606" s="37"/>
      <c r="K606" s="5" t="s">
        <v>982</v>
      </c>
      <c r="L606" s="607" t="s">
        <v>653</v>
      </c>
      <c r="M606" s="156">
        <v>43084</v>
      </c>
      <c r="N606" s="156">
        <v>43100</v>
      </c>
      <c r="O606" s="61" t="s">
        <v>1771</v>
      </c>
      <c r="P606" s="61"/>
      <c r="Q606" s="52"/>
      <c r="R606" s="648" t="s">
        <v>2588</v>
      </c>
      <c r="S606" s="333" t="s">
        <v>1176</v>
      </c>
      <c r="T606" s="923"/>
    </row>
    <row r="607" spans="1:20" ht="20.100000000000001" customHeight="1">
      <c r="A607" s="1254" t="s">
        <v>2977</v>
      </c>
      <c r="B607" s="1127" t="s">
        <v>2585</v>
      </c>
      <c r="C607" s="1127" t="s">
        <v>3366</v>
      </c>
      <c r="D607" s="1006">
        <v>2550</v>
      </c>
      <c r="E607" s="1006">
        <v>2600</v>
      </c>
      <c r="F607" s="1006">
        <v>2600</v>
      </c>
      <c r="G607" s="629" t="s">
        <v>19</v>
      </c>
      <c r="H607" s="652" t="s">
        <v>721</v>
      </c>
      <c r="I607" s="37" t="s">
        <v>2522</v>
      </c>
      <c r="J607" s="37"/>
      <c r="K607" s="5" t="s">
        <v>2567</v>
      </c>
      <c r="L607" s="607" t="s">
        <v>653</v>
      </c>
      <c r="M607" s="156">
        <v>43084</v>
      </c>
      <c r="N607" s="156">
        <v>43092</v>
      </c>
      <c r="O607" s="59" t="s">
        <v>2440</v>
      </c>
      <c r="P607" s="61"/>
      <c r="Q607" s="52"/>
      <c r="R607" s="648" t="s">
        <v>3308</v>
      </c>
      <c r="S607" s="316" t="s">
        <v>1176</v>
      </c>
      <c r="T607" s="922">
        <v>28</v>
      </c>
    </row>
    <row r="608" spans="1:20" ht="20.100000000000001" customHeight="1">
      <c r="A608" s="1254" t="s">
        <v>2977</v>
      </c>
      <c r="B608" s="1127" t="s">
        <v>2585</v>
      </c>
      <c r="C608" s="1127" t="s">
        <v>3366</v>
      </c>
      <c r="D608" s="1015">
        <v>3300</v>
      </c>
      <c r="E608" s="1015">
        <v>3300</v>
      </c>
      <c r="F608" s="1015">
        <v>3300</v>
      </c>
      <c r="G608" s="636" t="s">
        <v>31</v>
      </c>
      <c r="H608" s="56" t="s">
        <v>1233</v>
      </c>
      <c r="I608" s="38" t="s">
        <v>3304</v>
      </c>
      <c r="J608" s="37"/>
      <c r="K608" s="19" t="s">
        <v>982</v>
      </c>
      <c r="L608" s="607" t="s">
        <v>653</v>
      </c>
      <c r="M608" s="623">
        <v>43084</v>
      </c>
      <c r="N608" s="623">
        <v>43100</v>
      </c>
      <c r="O608" s="134" t="s">
        <v>3292</v>
      </c>
      <c r="P608" s="61"/>
      <c r="Q608" s="7"/>
      <c r="R608" s="606" t="s">
        <v>2394</v>
      </c>
      <c r="S608" s="622" t="s">
        <v>1176</v>
      </c>
      <c r="T608" s="923"/>
    </row>
    <row r="609" spans="1:20" ht="20.100000000000001" customHeight="1">
      <c r="A609" s="1254" t="s">
        <v>2977</v>
      </c>
      <c r="B609" s="1127" t="s">
        <v>2585</v>
      </c>
      <c r="C609" s="1127" t="s">
        <v>3366</v>
      </c>
      <c r="D609" s="1006">
        <v>2550</v>
      </c>
      <c r="E609" s="1006">
        <v>2600</v>
      </c>
      <c r="F609" s="1006">
        <v>2600</v>
      </c>
      <c r="G609" s="629" t="s">
        <v>19</v>
      </c>
      <c r="H609" s="628" t="s">
        <v>1233</v>
      </c>
      <c r="I609" s="50" t="s">
        <v>2443</v>
      </c>
      <c r="J609" s="50"/>
      <c r="K609" s="19" t="s">
        <v>1984</v>
      </c>
      <c r="L609" s="607" t="s">
        <v>653</v>
      </c>
      <c r="M609" s="156">
        <v>43084</v>
      </c>
      <c r="N609" s="156">
        <v>43092</v>
      </c>
      <c r="O609" s="59" t="s">
        <v>2440</v>
      </c>
      <c r="P609" s="59"/>
      <c r="Q609" s="167"/>
      <c r="R609" s="21" t="s">
        <v>1692</v>
      </c>
      <c r="S609" s="316" t="s">
        <v>1176</v>
      </c>
      <c r="T609" s="922">
        <v>28</v>
      </c>
    </row>
    <row r="610" spans="1:20" ht="20.100000000000001" customHeight="1">
      <c r="A610" s="1254" t="s">
        <v>2977</v>
      </c>
      <c r="B610" s="1127" t="s">
        <v>2585</v>
      </c>
      <c r="C610" s="1127" t="s">
        <v>3366</v>
      </c>
      <c r="D610" s="1023">
        <f>D631+350</f>
        <v>3500</v>
      </c>
      <c r="E610" s="1023">
        <f>E631+600</f>
        <v>3800</v>
      </c>
      <c r="F610" s="1023">
        <f>F631+600</f>
        <v>3800</v>
      </c>
      <c r="G610" s="216" t="s">
        <v>51</v>
      </c>
      <c r="H610" s="160" t="s">
        <v>1233</v>
      </c>
      <c r="I610" s="50" t="s">
        <v>2589</v>
      </c>
      <c r="J610" s="50"/>
      <c r="K610" s="19" t="s">
        <v>722</v>
      </c>
      <c r="L610" s="607" t="s">
        <v>653</v>
      </c>
      <c r="M610" s="611">
        <v>43084</v>
      </c>
      <c r="N610" s="611">
        <v>43100</v>
      </c>
      <c r="O610" s="61"/>
      <c r="P610" s="61"/>
      <c r="Q610" s="52"/>
      <c r="R610" s="606" t="s">
        <v>347</v>
      </c>
      <c r="S610" s="315" t="s">
        <v>3290</v>
      </c>
      <c r="T610" s="923"/>
    </row>
    <row r="611" spans="1:20" ht="20.100000000000001" customHeight="1">
      <c r="A611" s="1254" t="s">
        <v>2977</v>
      </c>
      <c r="B611" s="1127" t="s">
        <v>2585</v>
      </c>
      <c r="C611" s="1127" t="s">
        <v>3366</v>
      </c>
      <c r="D611" s="1015">
        <v>2775</v>
      </c>
      <c r="E611" s="1015">
        <v>2750</v>
      </c>
      <c r="F611" s="1015">
        <v>2750</v>
      </c>
      <c r="G611" s="653" t="s">
        <v>2559</v>
      </c>
      <c r="H611" s="160" t="s">
        <v>1233</v>
      </c>
      <c r="I611" s="50" t="s">
        <v>2589</v>
      </c>
      <c r="J611" s="50"/>
      <c r="K611" s="19" t="s">
        <v>662</v>
      </c>
      <c r="L611" s="607" t="s">
        <v>653</v>
      </c>
      <c r="M611" s="649">
        <v>43080</v>
      </c>
      <c r="N611" s="649">
        <v>43083</v>
      </c>
      <c r="O611" s="61"/>
      <c r="P611" s="61"/>
      <c r="Q611" s="52"/>
      <c r="R611" s="610" t="s">
        <v>2592</v>
      </c>
      <c r="S611" s="619" t="s">
        <v>1176</v>
      </c>
      <c r="T611" s="923"/>
    </row>
    <row r="612" spans="1:20" ht="20.100000000000001" customHeight="1">
      <c r="A612" s="1162" t="s">
        <v>2977</v>
      </c>
      <c r="B612" s="1162" t="s">
        <v>2585</v>
      </c>
      <c r="C612" s="1162" t="s">
        <v>3365</v>
      </c>
      <c r="D612" s="1022">
        <v>2775</v>
      </c>
      <c r="E612" s="1022">
        <v>2850</v>
      </c>
      <c r="F612" s="1022">
        <v>2850</v>
      </c>
      <c r="G612" s="639" t="s">
        <v>5</v>
      </c>
      <c r="H612" s="56" t="s">
        <v>729</v>
      </c>
      <c r="I612" s="50" t="s">
        <v>3304</v>
      </c>
      <c r="J612" s="50"/>
      <c r="K612" s="19" t="s">
        <v>2396</v>
      </c>
      <c r="L612" s="607" t="s">
        <v>653</v>
      </c>
      <c r="M612" s="159">
        <v>43075</v>
      </c>
      <c r="N612" s="159">
        <v>43083</v>
      </c>
      <c r="O612" s="61" t="s">
        <v>1771</v>
      </c>
      <c r="P612" s="61"/>
      <c r="Q612" s="52"/>
      <c r="R612" s="610" t="s">
        <v>2568</v>
      </c>
      <c r="S612" s="619"/>
      <c r="T612" s="923"/>
    </row>
    <row r="613" spans="1:20" ht="20.100000000000001" customHeight="1">
      <c r="A613" s="1166" t="s">
        <v>2977</v>
      </c>
      <c r="B613" s="1166" t="s">
        <v>2585</v>
      </c>
      <c r="C613" s="1166" t="s">
        <v>3365</v>
      </c>
      <c r="D613" s="956">
        <v>2900</v>
      </c>
      <c r="E613" s="956">
        <v>3200</v>
      </c>
      <c r="F613" s="956">
        <v>3200</v>
      </c>
      <c r="G613" s="629" t="s">
        <v>22</v>
      </c>
      <c r="H613" s="22" t="s">
        <v>1102</v>
      </c>
      <c r="I613" s="51" t="s">
        <v>17</v>
      </c>
      <c r="J613" s="51"/>
      <c r="K613" s="19" t="s">
        <v>975</v>
      </c>
      <c r="L613" s="607" t="s">
        <v>653</v>
      </c>
      <c r="M613" s="108">
        <v>43088</v>
      </c>
      <c r="N613" s="108">
        <v>43100</v>
      </c>
      <c r="O613" s="61" t="s">
        <v>2545</v>
      </c>
      <c r="P613" s="14"/>
      <c r="Q613" s="7"/>
      <c r="R613" s="648" t="s">
        <v>2560</v>
      </c>
      <c r="S613" s="316" t="s">
        <v>3356</v>
      </c>
      <c r="T613" s="904"/>
    </row>
    <row r="614" spans="1:20" ht="20.100000000000001" customHeight="1">
      <c r="A614" s="1166" t="s">
        <v>2977</v>
      </c>
      <c r="B614" s="1166" t="s">
        <v>2585</v>
      </c>
      <c r="C614" s="1166" t="s">
        <v>3365</v>
      </c>
      <c r="D614" s="1015">
        <v>3300</v>
      </c>
      <c r="E614" s="1015">
        <v>3300</v>
      </c>
      <c r="F614" s="1015">
        <v>3300</v>
      </c>
      <c r="G614" s="636" t="s">
        <v>31</v>
      </c>
      <c r="H614" s="22" t="s">
        <v>1102</v>
      </c>
      <c r="I614" s="50" t="s">
        <v>17</v>
      </c>
      <c r="J614" s="50"/>
      <c r="K614" s="19" t="s">
        <v>975</v>
      </c>
      <c r="L614" s="607" t="s">
        <v>653</v>
      </c>
      <c r="M614" s="623">
        <v>43084</v>
      </c>
      <c r="N614" s="623">
        <v>43100</v>
      </c>
      <c r="O614" s="61"/>
      <c r="P614" s="61"/>
      <c r="Q614" s="7"/>
      <c r="R614" s="606" t="s">
        <v>2138</v>
      </c>
      <c r="S614" s="622" t="s">
        <v>1176</v>
      </c>
      <c r="T614" s="904"/>
    </row>
    <row r="615" spans="1:20" ht="20.100000000000001" customHeight="1">
      <c r="A615" s="1166" t="s">
        <v>2977</v>
      </c>
      <c r="B615" s="1166" t="s">
        <v>2585</v>
      </c>
      <c r="C615" s="1166" t="s">
        <v>3365</v>
      </c>
      <c r="D615" s="1015">
        <v>2675</v>
      </c>
      <c r="E615" s="1015">
        <v>2750</v>
      </c>
      <c r="F615" s="1015">
        <v>2750</v>
      </c>
      <c r="G615" s="636" t="s">
        <v>18</v>
      </c>
      <c r="H615" s="22" t="s">
        <v>1102</v>
      </c>
      <c r="I615" s="50" t="s">
        <v>17</v>
      </c>
      <c r="J615" s="50"/>
      <c r="K615" s="19" t="s">
        <v>975</v>
      </c>
      <c r="L615" s="607" t="s">
        <v>653</v>
      </c>
      <c r="M615" s="108">
        <v>43080</v>
      </c>
      <c r="N615" s="108">
        <v>43083</v>
      </c>
      <c r="O615" s="61"/>
      <c r="P615" s="61"/>
      <c r="Q615" s="7"/>
      <c r="R615" s="610" t="s">
        <v>2592</v>
      </c>
      <c r="S615" s="622"/>
      <c r="T615" s="904"/>
    </row>
    <row r="616" spans="1:20" ht="20.100000000000001" customHeight="1">
      <c r="A616" s="1166" t="s">
        <v>2977</v>
      </c>
      <c r="B616" s="1166" t="s">
        <v>2585</v>
      </c>
      <c r="C616" s="1166" t="s">
        <v>3365</v>
      </c>
      <c r="D616" s="1015">
        <v>2675</v>
      </c>
      <c r="E616" s="1015">
        <v>2750</v>
      </c>
      <c r="F616" s="1015">
        <v>2750</v>
      </c>
      <c r="G616" s="636" t="s">
        <v>2559</v>
      </c>
      <c r="H616" s="22" t="s">
        <v>1102</v>
      </c>
      <c r="I616" s="50" t="s">
        <v>17</v>
      </c>
      <c r="J616" s="50"/>
      <c r="K616" s="19" t="s">
        <v>975</v>
      </c>
      <c r="L616" s="607" t="s">
        <v>653</v>
      </c>
      <c r="M616" s="649">
        <v>43080</v>
      </c>
      <c r="N616" s="649">
        <v>43083</v>
      </c>
      <c r="O616" s="59"/>
      <c r="P616" s="59"/>
      <c r="Q616" s="7"/>
      <c r="R616" s="610" t="s">
        <v>3355</v>
      </c>
      <c r="S616" s="619" t="s">
        <v>1176</v>
      </c>
      <c r="T616" s="904"/>
    </row>
    <row r="617" spans="1:20" ht="20.100000000000001" customHeight="1">
      <c r="A617" s="1166" t="s">
        <v>2977</v>
      </c>
      <c r="B617" s="1166" t="s">
        <v>2585</v>
      </c>
      <c r="C617" s="1166" t="s">
        <v>3365</v>
      </c>
      <c r="D617" s="1015">
        <v>2100</v>
      </c>
      <c r="E617" s="1015">
        <v>2900</v>
      </c>
      <c r="F617" s="1015">
        <v>2900</v>
      </c>
      <c r="G617" s="629" t="s">
        <v>1446</v>
      </c>
      <c r="H617" s="22" t="s">
        <v>1102</v>
      </c>
      <c r="I617" s="20" t="s">
        <v>3324</v>
      </c>
      <c r="J617" s="50"/>
      <c r="K617" s="19" t="s">
        <v>2467</v>
      </c>
      <c r="L617" s="607" t="s">
        <v>653</v>
      </c>
      <c r="M617" s="623">
        <v>43084</v>
      </c>
      <c r="N617" s="623">
        <v>43100</v>
      </c>
      <c r="O617" s="61" t="s">
        <v>601</v>
      </c>
      <c r="P617" s="59"/>
      <c r="Q617" s="7"/>
      <c r="R617" s="606" t="s">
        <v>3323</v>
      </c>
      <c r="S617" s="619"/>
      <c r="T617" s="904"/>
    </row>
    <row r="618" spans="1:20" ht="20.100000000000001" customHeight="1">
      <c r="A618" s="1166" t="s">
        <v>2977</v>
      </c>
      <c r="B618" s="1166" t="s">
        <v>2585</v>
      </c>
      <c r="C618" s="1166" t="s">
        <v>3365</v>
      </c>
      <c r="D618" s="1022">
        <v>2925</v>
      </c>
      <c r="E618" s="1022">
        <v>2950</v>
      </c>
      <c r="F618" s="1022">
        <v>2950</v>
      </c>
      <c r="G618" s="639" t="s">
        <v>5</v>
      </c>
      <c r="H618" s="56">
        <v>3</v>
      </c>
      <c r="I618" s="50" t="s">
        <v>17</v>
      </c>
      <c r="J618" s="50"/>
      <c r="K618" s="19" t="s">
        <v>975</v>
      </c>
      <c r="L618" s="607" t="s">
        <v>653</v>
      </c>
      <c r="M618" s="159">
        <v>43070</v>
      </c>
      <c r="N618" s="159">
        <v>43083</v>
      </c>
      <c r="O618" s="61" t="s">
        <v>1771</v>
      </c>
      <c r="P618" s="61"/>
      <c r="Q618" s="7"/>
      <c r="R618" s="610" t="s">
        <v>2558</v>
      </c>
      <c r="S618" s="619"/>
      <c r="T618" s="323" t="s">
        <v>3361</v>
      </c>
    </row>
    <row r="619" spans="1:20" ht="20.100000000000001" customHeight="1">
      <c r="A619" s="1166" t="s">
        <v>2977</v>
      </c>
      <c r="B619" s="1166" t="s">
        <v>2585</v>
      </c>
      <c r="C619" s="1166" t="s">
        <v>3365</v>
      </c>
      <c r="D619" s="1008">
        <v>3150</v>
      </c>
      <c r="E619" s="1008">
        <v>3200</v>
      </c>
      <c r="F619" s="1008">
        <v>3200</v>
      </c>
      <c r="G619" s="629" t="s">
        <v>51</v>
      </c>
      <c r="H619" s="56">
        <v>3</v>
      </c>
      <c r="I619" s="50" t="s">
        <v>17</v>
      </c>
      <c r="J619" s="50"/>
      <c r="K619" s="19" t="s">
        <v>975</v>
      </c>
      <c r="L619" s="607" t="s">
        <v>653</v>
      </c>
      <c r="M619" s="611">
        <v>43084</v>
      </c>
      <c r="N619" s="611">
        <v>43100</v>
      </c>
      <c r="O619" s="61"/>
      <c r="P619" s="61"/>
      <c r="Q619" s="52"/>
      <c r="R619" s="610" t="s">
        <v>2557</v>
      </c>
      <c r="S619" s="315" t="s">
        <v>3290</v>
      </c>
      <c r="T619" s="904"/>
    </row>
    <row r="620" spans="1:20" ht="20.100000000000001" customHeight="1">
      <c r="A620" s="1166" t="s">
        <v>2977</v>
      </c>
      <c r="B620" s="1166" t="s">
        <v>2585</v>
      </c>
      <c r="C620" s="1166" t="s">
        <v>3365</v>
      </c>
      <c r="D620" s="1068">
        <v>3050</v>
      </c>
      <c r="E620" s="1068">
        <v>3100</v>
      </c>
      <c r="F620" s="1068">
        <v>3100</v>
      </c>
      <c r="G620" s="633" t="s">
        <v>33</v>
      </c>
      <c r="H620" s="56">
        <v>3</v>
      </c>
      <c r="I620" s="50" t="s">
        <v>17</v>
      </c>
      <c r="J620" s="50"/>
      <c r="K620" s="19" t="s">
        <v>975</v>
      </c>
      <c r="L620" s="607" t="s">
        <v>653</v>
      </c>
      <c r="M620" s="159">
        <v>43084</v>
      </c>
      <c r="N620" s="159">
        <v>43100</v>
      </c>
      <c r="O620" s="61"/>
      <c r="P620" s="61"/>
      <c r="Q620" s="52"/>
      <c r="R620" s="610" t="s">
        <v>2557</v>
      </c>
      <c r="S620" s="316" t="s">
        <v>3353</v>
      </c>
      <c r="T620" s="904"/>
    </row>
    <row r="621" spans="1:20" ht="20.100000000000001" customHeight="1">
      <c r="A621" s="1166" t="s">
        <v>2977</v>
      </c>
      <c r="B621" s="1166" t="s">
        <v>2585</v>
      </c>
      <c r="C621" s="1166" t="s">
        <v>3365</v>
      </c>
      <c r="D621" s="894">
        <v>3325</v>
      </c>
      <c r="E621" s="894">
        <v>3300</v>
      </c>
      <c r="F621" s="894">
        <v>3300</v>
      </c>
      <c r="G621" s="227" t="s">
        <v>1689</v>
      </c>
      <c r="H621" s="56">
        <v>3</v>
      </c>
      <c r="I621" s="37" t="s">
        <v>17</v>
      </c>
      <c r="J621" s="37"/>
      <c r="K621" s="19" t="s">
        <v>975</v>
      </c>
      <c r="L621" s="607" t="s">
        <v>653</v>
      </c>
      <c r="M621" s="156">
        <v>43084</v>
      </c>
      <c r="N621" s="156">
        <v>43100</v>
      </c>
      <c r="O621" s="61" t="s">
        <v>1771</v>
      </c>
      <c r="P621" s="61"/>
      <c r="Q621" s="52"/>
      <c r="R621" s="648" t="s">
        <v>2116</v>
      </c>
      <c r="S621" s="333" t="s">
        <v>1176</v>
      </c>
      <c r="T621" s="904"/>
    </row>
    <row r="622" spans="1:20" ht="20.100000000000001" customHeight="1">
      <c r="A622" s="1166" t="s">
        <v>2977</v>
      </c>
      <c r="B622" s="1166" t="s">
        <v>2585</v>
      </c>
      <c r="C622" s="1166" t="s">
        <v>3365</v>
      </c>
      <c r="D622" s="1023">
        <v>2650</v>
      </c>
      <c r="E622" s="1023">
        <v>2800</v>
      </c>
      <c r="F622" s="1023">
        <v>2800</v>
      </c>
      <c r="G622" s="629" t="s">
        <v>19</v>
      </c>
      <c r="H622" s="628">
        <v>3</v>
      </c>
      <c r="I622" s="50" t="s">
        <v>17</v>
      </c>
      <c r="J622" s="50"/>
      <c r="K622" s="19" t="s">
        <v>975</v>
      </c>
      <c r="L622" s="607" t="s">
        <v>653</v>
      </c>
      <c r="M622" s="156">
        <v>43084</v>
      </c>
      <c r="N622" s="156">
        <v>43092</v>
      </c>
      <c r="O622" s="59" t="s">
        <v>611</v>
      </c>
      <c r="P622" s="59"/>
      <c r="Q622" s="52"/>
      <c r="R622" s="610" t="s">
        <v>2556</v>
      </c>
      <c r="S622" s="316" t="s">
        <v>1176</v>
      </c>
      <c r="T622" s="922">
        <v>28</v>
      </c>
    </row>
    <row r="623" spans="1:20" ht="20.100000000000001" customHeight="1">
      <c r="A623" s="1166" t="s">
        <v>2977</v>
      </c>
      <c r="B623" s="1166" t="s">
        <v>2585</v>
      </c>
      <c r="C623" s="1166" t="s">
        <v>3365</v>
      </c>
      <c r="D623" s="1021">
        <v>3100</v>
      </c>
      <c r="E623" s="1021">
        <v>3100</v>
      </c>
      <c r="F623" s="1021">
        <v>3100</v>
      </c>
      <c r="G623" s="637" t="s">
        <v>12</v>
      </c>
      <c r="H623" s="56" t="s">
        <v>659</v>
      </c>
      <c r="I623" s="50" t="s">
        <v>17</v>
      </c>
      <c r="J623" s="50"/>
      <c r="K623" s="19" t="s">
        <v>975</v>
      </c>
      <c r="L623" s="607" t="s">
        <v>653</v>
      </c>
      <c r="M623" s="15">
        <v>43084</v>
      </c>
      <c r="N623" s="15">
        <v>43100</v>
      </c>
      <c r="O623" s="61" t="s">
        <v>2545</v>
      </c>
      <c r="P623" s="59"/>
      <c r="Q623" s="52"/>
      <c r="R623" s="610" t="s">
        <v>2135</v>
      </c>
      <c r="S623" s="315" t="s">
        <v>3294</v>
      </c>
      <c r="T623" s="904"/>
    </row>
    <row r="624" spans="1:20" ht="20.100000000000001" customHeight="1">
      <c r="A624" s="1166" t="s">
        <v>2977</v>
      </c>
      <c r="B624" s="1166" t="s">
        <v>2585</v>
      </c>
      <c r="C624" s="1166" t="s">
        <v>3365</v>
      </c>
      <c r="D624" s="1006">
        <v>2675</v>
      </c>
      <c r="E624" s="1006">
        <v>2750</v>
      </c>
      <c r="F624" s="1006">
        <v>2750</v>
      </c>
      <c r="G624" s="640" t="s">
        <v>233</v>
      </c>
      <c r="H624" s="56">
        <v>3</v>
      </c>
      <c r="I624" s="37" t="s">
        <v>17</v>
      </c>
      <c r="J624" s="37"/>
      <c r="K624" s="19" t="s">
        <v>975</v>
      </c>
      <c r="L624" s="607" t="s">
        <v>653</v>
      </c>
      <c r="M624" s="620">
        <v>43080</v>
      </c>
      <c r="N624" s="620">
        <v>43083</v>
      </c>
      <c r="O624" s="59" t="s">
        <v>601</v>
      </c>
      <c r="P624" s="61"/>
      <c r="Q624" s="52"/>
      <c r="R624" s="648" t="s">
        <v>2137</v>
      </c>
      <c r="S624" s="316" t="s">
        <v>3352</v>
      </c>
      <c r="T624" s="904"/>
    </row>
    <row r="625" spans="1:20" ht="20.100000000000001" customHeight="1">
      <c r="A625" s="1166" t="s">
        <v>2977</v>
      </c>
      <c r="B625" s="1166" t="s">
        <v>2585</v>
      </c>
      <c r="C625" s="1166" t="s">
        <v>3365</v>
      </c>
      <c r="D625" s="1008">
        <v>2450</v>
      </c>
      <c r="E625" s="1008">
        <v>2500</v>
      </c>
      <c r="F625" s="1008">
        <v>2500</v>
      </c>
      <c r="G625" s="639" t="s">
        <v>51</v>
      </c>
      <c r="H625" s="56" t="s">
        <v>721</v>
      </c>
      <c r="I625" s="50" t="s">
        <v>3293</v>
      </c>
      <c r="J625" s="50"/>
      <c r="K625" s="19"/>
      <c r="L625" s="607" t="s">
        <v>653</v>
      </c>
      <c r="M625" s="611">
        <v>43080</v>
      </c>
      <c r="N625" s="611">
        <v>43083</v>
      </c>
      <c r="O625" s="61" t="s">
        <v>3292</v>
      </c>
      <c r="P625" s="59"/>
      <c r="Q625" s="52"/>
      <c r="R625" s="239" t="s">
        <v>2573</v>
      </c>
      <c r="S625" s="315" t="s">
        <v>3290</v>
      </c>
      <c r="T625" s="904"/>
    </row>
    <row r="626" spans="1:20" ht="20.100000000000001" customHeight="1">
      <c r="A626" s="1166" t="s">
        <v>2977</v>
      </c>
      <c r="B626" s="1166" t="s">
        <v>2585</v>
      </c>
      <c r="C626" s="1166" t="s">
        <v>3365</v>
      </c>
      <c r="D626" s="1022">
        <v>2775</v>
      </c>
      <c r="E626" s="1022">
        <v>2850</v>
      </c>
      <c r="F626" s="1022">
        <v>2850</v>
      </c>
      <c r="G626" s="639" t="s">
        <v>5</v>
      </c>
      <c r="H626" s="56" t="s">
        <v>721</v>
      </c>
      <c r="I626" s="50" t="s">
        <v>3293</v>
      </c>
      <c r="J626" s="37"/>
      <c r="K626" s="19" t="s">
        <v>1242</v>
      </c>
      <c r="L626" s="607" t="s">
        <v>653</v>
      </c>
      <c r="M626" s="159">
        <v>43075</v>
      </c>
      <c r="N626" s="159">
        <v>43083</v>
      </c>
      <c r="O626" s="61" t="s">
        <v>1771</v>
      </c>
      <c r="P626" s="61"/>
      <c r="Q626" s="7"/>
      <c r="R626" s="610" t="s">
        <v>3305</v>
      </c>
      <c r="S626" s="316"/>
      <c r="T626" s="904"/>
    </row>
    <row r="627" spans="1:20" ht="20.100000000000001" customHeight="1">
      <c r="A627" s="1166" t="s">
        <v>2977</v>
      </c>
      <c r="B627" s="1166" t="s">
        <v>2585</v>
      </c>
      <c r="C627" s="1166" t="s">
        <v>3365</v>
      </c>
      <c r="D627" s="1006">
        <v>2550</v>
      </c>
      <c r="E627" s="1006">
        <v>2600</v>
      </c>
      <c r="F627" s="1006">
        <v>2600</v>
      </c>
      <c r="G627" s="629" t="s">
        <v>19</v>
      </c>
      <c r="H627" s="652" t="s">
        <v>721</v>
      </c>
      <c r="I627" s="37" t="s">
        <v>2522</v>
      </c>
      <c r="J627" s="37"/>
      <c r="K627" s="5" t="s">
        <v>2565</v>
      </c>
      <c r="L627" s="607" t="s">
        <v>653</v>
      </c>
      <c r="M627" s="156">
        <v>43084</v>
      </c>
      <c r="N627" s="156">
        <v>43092</v>
      </c>
      <c r="O627" s="59" t="s">
        <v>2440</v>
      </c>
      <c r="P627" s="61"/>
      <c r="Q627" s="52"/>
      <c r="R627" s="648" t="s">
        <v>3308</v>
      </c>
      <c r="S627" s="316" t="s">
        <v>1176</v>
      </c>
      <c r="T627" s="922">
        <v>28</v>
      </c>
    </row>
    <row r="628" spans="1:20" ht="20.100000000000001" customHeight="1">
      <c r="A628" s="1166" t="s">
        <v>2977</v>
      </c>
      <c r="B628" s="1166" t="s">
        <v>2585</v>
      </c>
      <c r="C628" s="1166" t="s">
        <v>3365</v>
      </c>
      <c r="D628" s="1006">
        <v>2550</v>
      </c>
      <c r="E628" s="1006">
        <v>2600</v>
      </c>
      <c r="F628" s="1006">
        <v>2600</v>
      </c>
      <c r="G628" s="629" t="s">
        <v>19</v>
      </c>
      <c r="H628" s="628" t="s">
        <v>1233</v>
      </c>
      <c r="I628" s="50" t="s">
        <v>2443</v>
      </c>
      <c r="J628" s="50"/>
      <c r="K628" s="19" t="s">
        <v>2565</v>
      </c>
      <c r="L628" s="607" t="s">
        <v>653</v>
      </c>
      <c r="M628" s="156">
        <v>43084</v>
      </c>
      <c r="N628" s="156">
        <v>43092</v>
      </c>
      <c r="O628" s="59" t="s">
        <v>2440</v>
      </c>
      <c r="P628" s="59"/>
      <c r="Q628" s="167"/>
      <c r="R628" s="21" t="s">
        <v>1692</v>
      </c>
      <c r="S628" s="316" t="s">
        <v>1176</v>
      </c>
      <c r="T628" s="922">
        <v>28</v>
      </c>
    </row>
    <row r="629" spans="1:20" ht="20.100000000000001" customHeight="1">
      <c r="A629" s="1166" t="s">
        <v>2977</v>
      </c>
      <c r="B629" s="1166" t="s">
        <v>2585</v>
      </c>
      <c r="C629" s="1166" t="s">
        <v>3365</v>
      </c>
      <c r="D629" s="1022">
        <v>2925</v>
      </c>
      <c r="E629" s="1022">
        <v>2950</v>
      </c>
      <c r="F629" s="1022">
        <v>2950</v>
      </c>
      <c r="G629" s="639" t="s">
        <v>5</v>
      </c>
      <c r="H629" s="56">
        <v>7</v>
      </c>
      <c r="I629" s="50" t="s">
        <v>17</v>
      </c>
      <c r="J629" s="50"/>
      <c r="K629" s="34" t="s">
        <v>980</v>
      </c>
      <c r="L629" s="607" t="s">
        <v>653</v>
      </c>
      <c r="M629" s="159">
        <v>43070</v>
      </c>
      <c r="N629" s="159">
        <v>43083</v>
      </c>
      <c r="O629" s="61" t="s">
        <v>1771</v>
      </c>
      <c r="P629" s="61"/>
      <c r="Q629" s="7"/>
      <c r="R629" s="610" t="s">
        <v>2136</v>
      </c>
      <c r="S629" s="619"/>
      <c r="T629" s="323" t="s">
        <v>3361</v>
      </c>
    </row>
    <row r="630" spans="1:20" ht="20.100000000000001" customHeight="1">
      <c r="A630" s="1166" t="s">
        <v>2977</v>
      </c>
      <c r="B630" s="1166" t="s">
        <v>2585</v>
      </c>
      <c r="C630" s="1166" t="s">
        <v>3365</v>
      </c>
      <c r="D630" s="1019">
        <v>2650</v>
      </c>
      <c r="E630" s="1019">
        <v>2700</v>
      </c>
      <c r="F630" s="1019">
        <v>2700</v>
      </c>
      <c r="G630" s="636" t="s">
        <v>13</v>
      </c>
      <c r="H630" s="56">
        <v>7</v>
      </c>
      <c r="I630" s="50" t="s">
        <v>17</v>
      </c>
      <c r="J630" s="50"/>
      <c r="K630" s="34" t="s">
        <v>980</v>
      </c>
      <c r="L630" s="607" t="s">
        <v>653</v>
      </c>
      <c r="M630" s="156">
        <v>43077</v>
      </c>
      <c r="N630" s="156">
        <v>43083</v>
      </c>
      <c r="O630" s="59" t="s">
        <v>601</v>
      </c>
      <c r="P630" s="59"/>
      <c r="Q630" s="52"/>
      <c r="R630" s="610" t="s">
        <v>2287</v>
      </c>
      <c r="S630" s="316" t="s">
        <v>3354</v>
      </c>
      <c r="T630" s="904"/>
    </row>
    <row r="631" spans="1:20" ht="20.100000000000001" customHeight="1">
      <c r="A631" s="1166" t="s">
        <v>2977</v>
      </c>
      <c r="B631" s="1166" t="s">
        <v>2585</v>
      </c>
      <c r="C631" s="1166" t="s">
        <v>3365</v>
      </c>
      <c r="D631" s="1008">
        <v>3150</v>
      </c>
      <c r="E631" s="1008">
        <v>3200</v>
      </c>
      <c r="F631" s="1008">
        <v>3200</v>
      </c>
      <c r="G631" s="639" t="s">
        <v>51</v>
      </c>
      <c r="H631" s="4">
        <v>7</v>
      </c>
      <c r="I631" s="37" t="s">
        <v>17</v>
      </c>
      <c r="J631" s="37"/>
      <c r="K631" s="34" t="s">
        <v>980</v>
      </c>
      <c r="L631" s="607" t="s">
        <v>653</v>
      </c>
      <c r="M631" s="611">
        <v>43084</v>
      </c>
      <c r="N631" s="611">
        <v>43100</v>
      </c>
      <c r="O631" s="61"/>
      <c r="P631" s="61"/>
      <c r="Q631" s="52"/>
      <c r="R631" s="606" t="s">
        <v>347</v>
      </c>
      <c r="S631" s="315" t="s">
        <v>3290</v>
      </c>
      <c r="T631" s="904"/>
    </row>
    <row r="632" spans="1:20" ht="20.100000000000001" customHeight="1">
      <c r="A632" s="1166" t="s">
        <v>2977</v>
      </c>
      <c r="B632" s="1166" t="s">
        <v>2585</v>
      </c>
      <c r="C632" s="1166" t="s">
        <v>3365</v>
      </c>
      <c r="D632" s="894">
        <v>3325</v>
      </c>
      <c r="E632" s="894">
        <v>3300</v>
      </c>
      <c r="F632" s="894">
        <v>3300</v>
      </c>
      <c r="G632" s="227" t="s">
        <v>1689</v>
      </c>
      <c r="H632" s="4">
        <v>7</v>
      </c>
      <c r="I632" s="37" t="s">
        <v>17</v>
      </c>
      <c r="J632" s="37"/>
      <c r="K632" s="34" t="s">
        <v>980</v>
      </c>
      <c r="L632" s="607" t="s">
        <v>653</v>
      </c>
      <c r="M632" s="156">
        <v>43084</v>
      </c>
      <c r="N632" s="156">
        <v>43100</v>
      </c>
      <c r="O632" s="61" t="s">
        <v>1771</v>
      </c>
      <c r="P632" s="61"/>
      <c r="Q632" s="52"/>
      <c r="R632" s="648" t="s">
        <v>347</v>
      </c>
      <c r="S632" s="333" t="s">
        <v>1176</v>
      </c>
      <c r="T632" s="904"/>
    </row>
    <row r="633" spans="1:20" ht="20.100000000000001" customHeight="1">
      <c r="A633" s="1166" t="s">
        <v>2977</v>
      </c>
      <c r="B633" s="1166" t="s">
        <v>2585</v>
      </c>
      <c r="C633" s="1166" t="s">
        <v>3365</v>
      </c>
      <c r="D633" s="1006">
        <v>2675</v>
      </c>
      <c r="E633" s="1006">
        <v>2750</v>
      </c>
      <c r="F633" s="1006">
        <v>2750</v>
      </c>
      <c r="G633" s="640" t="s">
        <v>233</v>
      </c>
      <c r="H633" s="56">
        <v>7</v>
      </c>
      <c r="I633" s="20" t="s">
        <v>17</v>
      </c>
      <c r="J633" s="20"/>
      <c r="K633" s="34" t="s">
        <v>980</v>
      </c>
      <c r="L633" s="607" t="s">
        <v>653</v>
      </c>
      <c r="M633" s="620">
        <v>43080</v>
      </c>
      <c r="N633" s="620">
        <v>43083</v>
      </c>
      <c r="O633" s="59" t="s">
        <v>601</v>
      </c>
      <c r="P633" s="72"/>
      <c r="Q633" s="52"/>
      <c r="R633" s="606" t="s">
        <v>347</v>
      </c>
      <c r="S633" s="316" t="s">
        <v>3352</v>
      </c>
      <c r="T633" s="904"/>
    </row>
    <row r="634" spans="1:20" ht="20.100000000000001" customHeight="1">
      <c r="A634" s="1166" t="s">
        <v>2977</v>
      </c>
      <c r="B634" s="1166" t="s">
        <v>2585</v>
      </c>
      <c r="C634" s="1166" t="s">
        <v>3365</v>
      </c>
      <c r="D634" s="1023">
        <v>2650</v>
      </c>
      <c r="E634" s="1023">
        <v>2800</v>
      </c>
      <c r="F634" s="1023">
        <v>2800</v>
      </c>
      <c r="G634" s="629" t="s">
        <v>19</v>
      </c>
      <c r="H634" s="628">
        <v>7</v>
      </c>
      <c r="I634" s="37" t="s">
        <v>17</v>
      </c>
      <c r="J634" s="37"/>
      <c r="K634" s="34" t="s">
        <v>980</v>
      </c>
      <c r="L634" s="607" t="s">
        <v>653</v>
      </c>
      <c r="M634" s="156">
        <v>43084</v>
      </c>
      <c r="N634" s="156">
        <v>43092</v>
      </c>
      <c r="O634" s="59" t="s">
        <v>611</v>
      </c>
      <c r="P634" s="59"/>
      <c r="Q634" s="52"/>
      <c r="R634" s="610" t="s">
        <v>2135</v>
      </c>
      <c r="S634" s="316" t="s">
        <v>1176</v>
      </c>
      <c r="T634" s="922">
        <v>28</v>
      </c>
    </row>
    <row r="635" spans="1:20" ht="20.100000000000001" customHeight="1">
      <c r="A635" s="1166" t="s">
        <v>2977</v>
      </c>
      <c r="B635" s="1166" t="s">
        <v>2585</v>
      </c>
      <c r="C635" s="1166" t="s">
        <v>3365</v>
      </c>
      <c r="D635" s="1068">
        <v>3050</v>
      </c>
      <c r="E635" s="1068">
        <v>3100</v>
      </c>
      <c r="F635" s="1068">
        <v>3100</v>
      </c>
      <c r="G635" s="633" t="s">
        <v>33</v>
      </c>
      <c r="H635" s="4">
        <v>7</v>
      </c>
      <c r="I635" s="37" t="s">
        <v>17</v>
      </c>
      <c r="J635" s="37"/>
      <c r="K635" s="34" t="s">
        <v>980</v>
      </c>
      <c r="L635" s="607" t="s">
        <v>653</v>
      </c>
      <c r="M635" s="159">
        <v>43084</v>
      </c>
      <c r="N635" s="159">
        <v>43100</v>
      </c>
      <c r="O635" s="61"/>
      <c r="P635" s="61"/>
      <c r="Q635" s="52"/>
      <c r="R635" s="606" t="s">
        <v>347</v>
      </c>
      <c r="S635" s="316" t="s">
        <v>3353</v>
      </c>
      <c r="T635" s="904"/>
    </row>
    <row r="636" spans="1:20" ht="20.100000000000001" customHeight="1">
      <c r="A636" s="1166" t="s">
        <v>2977</v>
      </c>
      <c r="B636" s="1166" t="s">
        <v>2585</v>
      </c>
      <c r="C636" s="1166" t="s">
        <v>3365</v>
      </c>
      <c r="D636" s="1015">
        <v>2675</v>
      </c>
      <c r="E636" s="1015">
        <v>2750</v>
      </c>
      <c r="F636" s="1015">
        <v>2750</v>
      </c>
      <c r="G636" s="636" t="s">
        <v>2559</v>
      </c>
      <c r="H636" s="4">
        <v>7</v>
      </c>
      <c r="I636" s="37" t="s">
        <v>17</v>
      </c>
      <c r="J636" s="37"/>
      <c r="K636" s="34" t="s">
        <v>980</v>
      </c>
      <c r="L636" s="607" t="s">
        <v>653</v>
      </c>
      <c r="M636" s="649">
        <v>43080</v>
      </c>
      <c r="N636" s="649">
        <v>43083</v>
      </c>
      <c r="O636" s="59"/>
      <c r="P636" s="59"/>
      <c r="Q636" s="52"/>
      <c r="R636" s="610" t="s">
        <v>2592</v>
      </c>
      <c r="S636" s="619" t="s">
        <v>1176</v>
      </c>
      <c r="T636" s="904"/>
    </row>
    <row r="637" spans="1:20" ht="20.100000000000001" customHeight="1">
      <c r="A637" s="1167" t="s">
        <v>2977</v>
      </c>
      <c r="B637" s="1167" t="s">
        <v>2585</v>
      </c>
      <c r="C637" s="1167" t="s">
        <v>3365</v>
      </c>
      <c r="D637" s="1021">
        <v>3250</v>
      </c>
      <c r="E637" s="1021"/>
      <c r="F637" s="1021">
        <v>3300</v>
      </c>
      <c r="G637" s="630" t="s">
        <v>28</v>
      </c>
      <c r="H637" s="4">
        <v>7</v>
      </c>
      <c r="I637" s="37" t="s">
        <v>17</v>
      </c>
      <c r="J637" s="37"/>
      <c r="K637" s="34" t="s">
        <v>980</v>
      </c>
      <c r="L637" s="607" t="s">
        <v>653</v>
      </c>
      <c r="M637" s="620">
        <v>43084</v>
      </c>
      <c r="N637" s="620">
        <v>43100</v>
      </c>
      <c r="O637" s="153" t="s">
        <v>1980</v>
      </c>
      <c r="P637" s="61"/>
      <c r="Q637" s="7"/>
      <c r="R637" s="606" t="s">
        <v>2134</v>
      </c>
      <c r="S637" s="622"/>
      <c r="T637" s="904"/>
    </row>
    <row r="638" spans="1:20" ht="20.100000000000001" customHeight="1">
      <c r="A638" s="1254" t="s">
        <v>2977</v>
      </c>
      <c r="B638" s="1127" t="s">
        <v>2585</v>
      </c>
      <c r="C638" s="1127" t="s">
        <v>3842</v>
      </c>
      <c r="D638" s="956">
        <v>3100</v>
      </c>
      <c r="E638" s="956">
        <v>3200</v>
      </c>
      <c r="F638" s="956">
        <v>3200</v>
      </c>
      <c r="G638" s="629" t="s">
        <v>22</v>
      </c>
      <c r="H638" s="22" t="s">
        <v>1102</v>
      </c>
      <c r="I638" s="50" t="s">
        <v>17</v>
      </c>
      <c r="J638" s="51"/>
      <c r="K638" s="19" t="s">
        <v>1264</v>
      </c>
      <c r="L638" s="607" t="s">
        <v>653</v>
      </c>
      <c r="M638" s="108">
        <v>43088</v>
      </c>
      <c r="N638" s="108">
        <v>43100</v>
      </c>
      <c r="O638" s="61" t="s">
        <v>2545</v>
      </c>
      <c r="P638" s="14"/>
      <c r="Q638" s="7"/>
      <c r="R638" s="648" t="s">
        <v>2560</v>
      </c>
      <c r="S638" s="316" t="s">
        <v>3356</v>
      </c>
      <c r="T638" s="904"/>
    </row>
    <row r="639" spans="1:20" ht="20.100000000000001" customHeight="1">
      <c r="A639" s="1254" t="s">
        <v>2977</v>
      </c>
      <c r="B639" s="1127" t="s">
        <v>2585</v>
      </c>
      <c r="C639" s="1127" t="s">
        <v>3842</v>
      </c>
      <c r="D639" s="1015">
        <v>3300</v>
      </c>
      <c r="E639" s="1015">
        <v>3300</v>
      </c>
      <c r="F639" s="1015">
        <v>3300</v>
      </c>
      <c r="G639" s="631" t="s">
        <v>31</v>
      </c>
      <c r="H639" s="22" t="s">
        <v>1102</v>
      </c>
      <c r="I639" s="50" t="s">
        <v>17</v>
      </c>
      <c r="J639" s="50"/>
      <c r="K639" s="19" t="s">
        <v>1264</v>
      </c>
      <c r="L639" s="607" t="s">
        <v>653</v>
      </c>
      <c r="M639" s="623">
        <v>43084</v>
      </c>
      <c r="N639" s="623">
        <v>43100</v>
      </c>
      <c r="O639" s="61"/>
      <c r="P639" s="61"/>
      <c r="Q639" s="7"/>
      <c r="R639" s="606" t="s">
        <v>2138</v>
      </c>
      <c r="S639" s="622" t="s">
        <v>1176</v>
      </c>
      <c r="T639" s="904"/>
    </row>
    <row r="640" spans="1:20" ht="20.100000000000001" customHeight="1">
      <c r="A640" s="1254" t="s">
        <v>2977</v>
      </c>
      <c r="B640" s="1127" t="s">
        <v>2585</v>
      </c>
      <c r="C640" s="1127" t="s">
        <v>3842</v>
      </c>
      <c r="D640" s="1015">
        <v>2675</v>
      </c>
      <c r="E640" s="1015">
        <v>2750</v>
      </c>
      <c r="F640" s="1015">
        <v>2750</v>
      </c>
      <c r="G640" s="631" t="s">
        <v>18</v>
      </c>
      <c r="H640" s="22" t="s">
        <v>1102</v>
      </c>
      <c r="I640" s="50" t="s">
        <v>17</v>
      </c>
      <c r="J640" s="50"/>
      <c r="K640" s="19" t="s">
        <v>1264</v>
      </c>
      <c r="L640" s="607" t="s">
        <v>653</v>
      </c>
      <c r="M640" s="108">
        <v>43080</v>
      </c>
      <c r="N640" s="108">
        <v>43083</v>
      </c>
      <c r="O640" s="61"/>
      <c r="P640" s="61"/>
      <c r="Q640" s="7"/>
      <c r="R640" s="610" t="s">
        <v>2592</v>
      </c>
      <c r="S640" s="622"/>
      <c r="T640" s="904"/>
    </row>
    <row r="641" spans="1:20" ht="20.100000000000001" customHeight="1">
      <c r="A641" s="1254" t="s">
        <v>2977</v>
      </c>
      <c r="B641" s="1127" t="s">
        <v>2585</v>
      </c>
      <c r="C641" s="1127" t="s">
        <v>3842</v>
      </c>
      <c r="D641" s="1015">
        <v>2675</v>
      </c>
      <c r="E641" s="1015">
        <v>2750</v>
      </c>
      <c r="F641" s="1015">
        <v>2750</v>
      </c>
      <c r="G641" s="636" t="s">
        <v>2559</v>
      </c>
      <c r="H641" s="22" t="s">
        <v>1102</v>
      </c>
      <c r="I641" s="50" t="s">
        <v>17</v>
      </c>
      <c r="J641" s="50"/>
      <c r="K641" s="19" t="s">
        <v>1264</v>
      </c>
      <c r="L641" s="607" t="s">
        <v>653</v>
      </c>
      <c r="M641" s="649">
        <v>43080</v>
      </c>
      <c r="N641" s="649">
        <v>43083</v>
      </c>
      <c r="O641" s="59"/>
      <c r="P641" s="59"/>
      <c r="Q641" s="7"/>
      <c r="R641" s="610" t="s">
        <v>3355</v>
      </c>
      <c r="S641" s="619" t="s">
        <v>1176</v>
      </c>
      <c r="T641" s="904"/>
    </row>
    <row r="642" spans="1:20" ht="20.100000000000001" customHeight="1">
      <c r="A642" s="1254" t="s">
        <v>2977</v>
      </c>
      <c r="B642" s="1127" t="s">
        <v>2585</v>
      </c>
      <c r="C642" s="1127" t="s">
        <v>3842</v>
      </c>
      <c r="D642" s="956">
        <v>2100</v>
      </c>
      <c r="E642" s="1015"/>
      <c r="F642" s="1015"/>
      <c r="G642" s="629" t="s">
        <v>1446</v>
      </c>
      <c r="H642" s="22" t="s">
        <v>1102</v>
      </c>
      <c r="I642" s="20" t="s">
        <v>3324</v>
      </c>
      <c r="J642" s="50"/>
      <c r="K642" s="19" t="s">
        <v>1982</v>
      </c>
      <c r="L642" s="607" t="s">
        <v>653</v>
      </c>
      <c r="M642" s="623">
        <v>43084</v>
      </c>
      <c r="N642" s="623">
        <v>43100</v>
      </c>
      <c r="O642" s="61" t="s">
        <v>601</v>
      </c>
      <c r="P642" s="59"/>
      <c r="Q642" s="7"/>
      <c r="R642" s="606" t="s">
        <v>3323</v>
      </c>
      <c r="S642" s="619"/>
      <c r="T642" s="904"/>
    </row>
    <row r="643" spans="1:20" ht="20.100000000000001" customHeight="1">
      <c r="A643" s="1254" t="s">
        <v>2977</v>
      </c>
      <c r="B643" s="1127" t="s">
        <v>2585</v>
      </c>
      <c r="C643" s="1127" t="s">
        <v>3842</v>
      </c>
      <c r="D643" s="894">
        <v>3325</v>
      </c>
      <c r="E643" s="894">
        <v>3300</v>
      </c>
      <c r="F643" s="894">
        <v>3300</v>
      </c>
      <c r="G643" s="227" t="s">
        <v>1689</v>
      </c>
      <c r="H643" s="35">
        <v>7</v>
      </c>
      <c r="I643" s="37" t="s">
        <v>17</v>
      </c>
      <c r="J643" s="37"/>
      <c r="K643" s="24" t="s">
        <v>986</v>
      </c>
      <c r="L643" s="607" t="s">
        <v>653</v>
      </c>
      <c r="M643" s="156">
        <v>43084</v>
      </c>
      <c r="N643" s="156">
        <v>43100</v>
      </c>
      <c r="O643" s="61" t="s">
        <v>1771</v>
      </c>
      <c r="P643" s="72"/>
      <c r="Q643" s="52"/>
      <c r="R643" s="648" t="s">
        <v>347</v>
      </c>
      <c r="S643" s="333" t="s">
        <v>1176</v>
      </c>
      <c r="T643" s="904"/>
    </row>
    <row r="644" spans="1:20" ht="20.100000000000001" customHeight="1">
      <c r="A644" s="1254" t="s">
        <v>2977</v>
      </c>
      <c r="B644" s="1127" t="s">
        <v>2585</v>
      </c>
      <c r="C644" s="1127" t="s">
        <v>3842</v>
      </c>
      <c r="D644" s="1022">
        <v>2925</v>
      </c>
      <c r="E644" s="1022">
        <v>2950</v>
      </c>
      <c r="F644" s="1022">
        <v>2950</v>
      </c>
      <c r="G644" s="639" t="s">
        <v>5</v>
      </c>
      <c r="H644" s="160">
        <v>7</v>
      </c>
      <c r="I644" s="20" t="s">
        <v>17</v>
      </c>
      <c r="J644" s="20"/>
      <c r="K644" s="24" t="s">
        <v>986</v>
      </c>
      <c r="L644" s="607" t="s">
        <v>653</v>
      </c>
      <c r="M644" s="159">
        <v>43070</v>
      </c>
      <c r="N644" s="159">
        <v>43083</v>
      </c>
      <c r="O644" s="61" t="s">
        <v>1771</v>
      </c>
      <c r="P644" s="72"/>
      <c r="Q644" s="7"/>
      <c r="R644" s="610" t="s">
        <v>2136</v>
      </c>
      <c r="S644" s="619"/>
      <c r="T644" s="323" t="s">
        <v>3361</v>
      </c>
    </row>
    <row r="645" spans="1:20" ht="20.100000000000001" customHeight="1">
      <c r="A645" s="1254" t="s">
        <v>2977</v>
      </c>
      <c r="B645" s="1127" t="s">
        <v>2585</v>
      </c>
      <c r="C645" s="1127" t="s">
        <v>3842</v>
      </c>
      <c r="D645" s="1006">
        <v>2675</v>
      </c>
      <c r="E645" s="1006">
        <v>2750</v>
      </c>
      <c r="F645" s="1006">
        <v>2750</v>
      </c>
      <c r="G645" s="642" t="s">
        <v>233</v>
      </c>
      <c r="H645" s="4">
        <v>7</v>
      </c>
      <c r="I645" s="37" t="s">
        <v>17</v>
      </c>
      <c r="J645" s="37"/>
      <c r="K645" s="24" t="s">
        <v>986</v>
      </c>
      <c r="L645" s="607" t="s">
        <v>653</v>
      </c>
      <c r="M645" s="620">
        <v>43080</v>
      </c>
      <c r="N645" s="620">
        <v>43083</v>
      </c>
      <c r="O645" s="59" t="s">
        <v>601</v>
      </c>
      <c r="P645" s="72"/>
      <c r="Q645" s="52"/>
      <c r="R645" s="606" t="s">
        <v>347</v>
      </c>
      <c r="S645" s="316" t="s">
        <v>3352</v>
      </c>
      <c r="T645" s="904"/>
    </row>
    <row r="646" spans="1:20" ht="20.100000000000001" customHeight="1">
      <c r="A646" s="1254" t="s">
        <v>2977</v>
      </c>
      <c r="B646" s="1127" t="s">
        <v>2585</v>
      </c>
      <c r="C646" s="1127" t="s">
        <v>3842</v>
      </c>
      <c r="D646" s="1006">
        <v>2700</v>
      </c>
      <c r="E646" s="1006">
        <v>2850</v>
      </c>
      <c r="F646" s="1006">
        <v>2850</v>
      </c>
      <c r="G646" s="629" t="s">
        <v>19</v>
      </c>
      <c r="H646" s="227">
        <v>7</v>
      </c>
      <c r="I646" s="37" t="s">
        <v>17</v>
      </c>
      <c r="J646" s="37"/>
      <c r="K646" s="24" t="s">
        <v>986</v>
      </c>
      <c r="L646" s="607" t="s">
        <v>653</v>
      </c>
      <c r="M646" s="156">
        <v>43084</v>
      </c>
      <c r="N646" s="156">
        <v>43092</v>
      </c>
      <c r="O646" s="59" t="s">
        <v>611</v>
      </c>
      <c r="P646" s="59"/>
      <c r="Q646" s="52"/>
      <c r="R646" s="610" t="s">
        <v>2135</v>
      </c>
      <c r="S646" s="316" t="s">
        <v>1176</v>
      </c>
      <c r="T646" s="922">
        <v>28</v>
      </c>
    </row>
    <row r="647" spans="1:20" ht="20.100000000000001" customHeight="1">
      <c r="A647" s="1254" t="s">
        <v>2977</v>
      </c>
      <c r="B647" s="1127" t="s">
        <v>2585</v>
      </c>
      <c r="C647" s="1127" t="s">
        <v>3842</v>
      </c>
      <c r="D647" s="1008">
        <v>3150</v>
      </c>
      <c r="E647" s="1008">
        <v>3200</v>
      </c>
      <c r="F647" s="1008">
        <v>3200</v>
      </c>
      <c r="G647" s="639" t="s">
        <v>51</v>
      </c>
      <c r="H647" s="4">
        <v>7</v>
      </c>
      <c r="I647" s="37" t="s">
        <v>17</v>
      </c>
      <c r="J647" s="37"/>
      <c r="K647" s="24" t="s">
        <v>986</v>
      </c>
      <c r="L647" s="607" t="s">
        <v>653</v>
      </c>
      <c r="M647" s="611">
        <v>43084</v>
      </c>
      <c r="N647" s="611">
        <v>43100</v>
      </c>
      <c r="O647" s="61"/>
      <c r="P647" s="61"/>
      <c r="Q647" s="52"/>
      <c r="R647" s="606" t="s">
        <v>347</v>
      </c>
      <c r="S647" s="315" t="s">
        <v>3290</v>
      </c>
      <c r="T647" s="904"/>
    </row>
    <row r="648" spans="1:20" ht="20.100000000000001" customHeight="1">
      <c r="A648" s="1254" t="s">
        <v>2977</v>
      </c>
      <c r="B648" s="1127" t="s">
        <v>2585</v>
      </c>
      <c r="C648" s="1127" t="s">
        <v>3842</v>
      </c>
      <c r="D648" s="1068">
        <v>3050</v>
      </c>
      <c r="E648" s="1068">
        <v>3100</v>
      </c>
      <c r="F648" s="1068">
        <v>3100</v>
      </c>
      <c r="G648" s="633" t="s">
        <v>33</v>
      </c>
      <c r="H648" s="4">
        <v>7</v>
      </c>
      <c r="I648" s="37" t="s">
        <v>17</v>
      </c>
      <c r="J648" s="37"/>
      <c r="K648" s="24" t="s">
        <v>986</v>
      </c>
      <c r="L648" s="607" t="s">
        <v>653</v>
      </c>
      <c r="M648" s="159">
        <v>43084</v>
      </c>
      <c r="N648" s="159">
        <v>43100</v>
      </c>
      <c r="O648" s="61"/>
      <c r="P648" s="61"/>
      <c r="Q648" s="52"/>
      <c r="R648" s="606" t="s">
        <v>347</v>
      </c>
      <c r="S648" s="316" t="s">
        <v>3353</v>
      </c>
      <c r="T648" s="904"/>
    </row>
    <row r="649" spans="1:20" ht="20.100000000000001" customHeight="1">
      <c r="A649" s="1254" t="s">
        <v>2977</v>
      </c>
      <c r="B649" s="1127" t="s">
        <v>2585</v>
      </c>
      <c r="C649" s="1127" t="s">
        <v>3842</v>
      </c>
      <c r="D649" s="1021">
        <v>3250</v>
      </c>
      <c r="E649" s="1021"/>
      <c r="F649" s="1021">
        <v>3300</v>
      </c>
      <c r="G649" s="633" t="s">
        <v>28</v>
      </c>
      <c r="H649" s="4">
        <v>7</v>
      </c>
      <c r="I649" s="37" t="s">
        <v>17</v>
      </c>
      <c r="J649" s="37"/>
      <c r="K649" s="24" t="s">
        <v>986</v>
      </c>
      <c r="L649" s="607" t="s">
        <v>653</v>
      </c>
      <c r="M649" s="620">
        <v>43084</v>
      </c>
      <c r="N649" s="620">
        <v>43100</v>
      </c>
      <c r="O649" s="153" t="s">
        <v>1980</v>
      </c>
      <c r="P649" s="61"/>
      <c r="Q649" s="7"/>
      <c r="R649" s="606" t="s">
        <v>2134</v>
      </c>
      <c r="S649" s="622"/>
      <c r="T649" s="904"/>
    </row>
    <row r="650" spans="1:20" ht="20.100000000000001" customHeight="1">
      <c r="A650" s="1254" t="s">
        <v>2977</v>
      </c>
      <c r="B650" s="1127" t="s">
        <v>2585</v>
      </c>
      <c r="C650" s="1127" t="s">
        <v>3841</v>
      </c>
      <c r="D650" s="956">
        <v>3100</v>
      </c>
      <c r="E650" s="956">
        <v>3200</v>
      </c>
      <c r="F650" s="956">
        <v>3200</v>
      </c>
      <c r="G650" s="629" t="s">
        <v>22</v>
      </c>
      <c r="H650" s="22" t="s">
        <v>1102</v>
      </c>
      <c r="I650" s="51" t="s">
        <v>17</v>
      </c>
      <c r="J650" s="51"/>
      <c r="K650" s="19" t="s">
        <v>835</v>
      </c>
      <c r="L650" s="607" t="s">
        <v>653</v>
      </c>
      <c r="M650" s="108">
        <v>43088</v>
      </c>
      <c r="N650" s="108">
        <v>43100</v>
      </c>
      <c r="O650" s="61" t="s">
        <v>2545</v>
      </c>
      <c r="P650" s="14"/>
      <c r="Q650" s="7"/>
      <c r="R650" s="648" t="s">
        <v>2560</v>
      </c>
      <c r="S650" s="316" t="s">
        <v>3356</v>
      </c>
      <c r="T650" s="904"/>
    </row>
    <row r="651" spans="1:20" ht="20.100000000000001" customHeight="1">
      <c r="A651" s="1254" t="s">
        <v>2977</v>
      </c>
      <c r="B651" s="1127" t="s">
        <v>2585</v>
      </c>
      <c r="C651" s="1127" t="s">
        <v>3841</v>
      </c>
      <c r="D651" s="1015">
        <v>3300</v>
      </c>
      <c r="E651" s="1015">
        <v>3300</v>
      </c>
      <c r="F651" s="1015">
        <v>3300</v>
      </c>
      <c r="G651" s="636" t="s">
        <v>31</v>
      </c>
      <c r="H651" s="22" t="s">
        <v>1102</v>
      </c>
      <c r="I651" s="50" t="s">
        <v>17</v>
      </c>
      <c r="J651" s="50"/>
      <c r="K651" s="19" t="s">
        <v>835</v>
      </c>
      <c r="L651" s="607" t="s">
        <v>653</v>
      </c>
      <c r="M651" s="623">
        <v>43084</v>
      </c>
      <c r="N651" s="623">
        <v>43100</v>
      </c>
      <c r="O651" s="61"/>
      <c r="P651" s="61"/>
      <c r="Q651" s="7"/>
      <c r="R651" s="606" t="s">
        <v>2138</v>
      </c>
      <c r="S651" s="622" t="s">
        <v>1176</v>
      </c>
      <c r="T651" s="904"/>
    </row>
    <row r="652" spans="1:20" ht="20.100000000000001" customHeight="1">
      <c r="A652" s="1254" t="s">
        <v>2977</v>
      </c>
      <c r="B652" s="1127" t="s">
        <v>2585</v>
      </c>
      <c r="C652" s="1127" t="s">
        <v>3841</v>
      </c>
      <c r="D652" s="1015">
        <v>2775</v>
      </c>
      <c r="E652" s="1015">
        <v>2750</v>
      </c>
      <c r="F652" s="1015">
        <v>2750</v>
      </c>
      <c r="G652" s="636" t="s">
        <v>18</v>
      </c>
      <c r="H652" s="22" t="s">
        <v>1102</v>
      </c>
      <c r="I652" s="50" t="s">
        <v>17</v>
      </c>
      <c r="J652" s="50"/>
      <c r="K652" s="19" t="s">
        <v>835</v>
      </c>
      <c r="L652" s="607" t="s">
        <v>653</v>
      </c>
      <c r="M652" s="108">
        <v>43080</v>
      </c>
      <c r="N652" s="108">
        <v>43083</v>
      </c>
      <c r="O652" s="61"/>
      <c r="P652" s="61"/>
      <c r="Q652" s="7"/>
      <c r="R652" s="610" t="s">
        <v>2592</v>
      </c>
      <c r="S652" s="622"/>
      <c r="T652" s="904"/>
    </row>
    <row r="653" spans="1:20" ht="20.100000000000001" customHeight="1">
      <c r="A653" s="1254" t="s">
        <v>2977</v>
      </c>
      <c r="B653" s="1127" t="s">
        <v>2585</v>
      </c>
      <c r="C653" s="1127" t="s">
        <v>3841</v>
      </c>
      <c r="D653" s="1015">
        <v>2775</v>
      </c>
      <c r="E653" s="1015">
        <v>2750</v>
      </c>
      <c r="F653" s="1015">
        <v>2750</v>
      </c>
      <c r="G653" s="636" t="s">
        <v>2559</v>
      </c>
      <c r="H653" s="22" t="s">
        <v>1102</v>
      </c>
      <c r="I653" s="50" t="s">
        <v>17</v>
      </c>
      <c r="J653" s="50"/>
      <c r="K653" s="19" t="s">
        <v>835</v>
      </c>
      <c r="L653" s="607" t="s">
        <v>653</v>
      </c>
      <c r="M653" s="649">
        <v>43080</v>
      </c>
      <c r="N653" s="649">
        <v>43083</v>
      </c>
      <c r="O653" s="59"/>
      <c r="P653" s="59"/>
      <c r="Q653" s="7"/>
      <c r="R653" s="610" t="s">
        <v>3355</v>
      </c>
      <c r="S653" s="619" t="s">
        <v>1176</v>
      </c>
      <c r="T653" s="904"/>
    </row>
    <row r="654" spans="1:20" ht="20.100000000000001" customHeight="1">
      <c r="A654" s="1254" t="s">
        <v>2977</v>
      </c>
      <c r="B654" s="1127" t="s">
        <v>2585</v>
      </c>
      <c r="C654" s="1127" t="s">
        <v>3841</v>
      </c>
      <c r="D654" s="1015">
        <v>2100</v>
      </c>
      <c r="E654" s="1015">
        <v>2900</v>
      </c>
      <c r="F654" s="1015">
        <v>2900</v>
      </c>
      <c r="G654" s="629" t="s">
        <v>1446</v>
      </c>
      <c r="H654" s="22" t="s">
        <v>1102</v>
      </c>
      <c r="I654" s="20" t="s">
        <v>2590</v>
      </c>
      <c r="J654" s="50"/>
      <c r="K654" s="19" t="s">
        <v>1285</v>
      </c>
      <c r="L654" s="607" t="s">
        <v>653</v>
      </c>
      <c r="M654" s="623">
        <v>43084</v>
      </c>
      <c r="N654" s="623">
        <v>43100</v>
      </c>
      <c r="O654" s="61" t="s">
        <v>601</v>
      </c>
      <c r="P654" s="59"/>
      <c r="Q654" s="7"/>
      <c r="R654" s="606" t="s">
        <v>3323</v>
      </c>
      <c r="S654" s="619"/>
      <c r="T654" s="904"/>
    </row>
    <row r="655" spans="1:20" ht="20.100000000000001" customHeight="1">
      <c r="A655" s="1254" t="s">
        <v>2977</v>
      </c>
      <c r="B655" s="1127" t="s">
        <v>2585</v>
      </c>
      <c r="C655" s="1127" t="s">
        <v>3841</v>
      </c>
      <c r="D655" s="1022">
        <v>2925</v>
      </c>
      <c r="E655" s="1022">
        <v>2950</v>
      </c>
      <c r="F655" s="1022">
        <v>2950</v>
      </c>
      <c r="G655" s="639" t="s">
        <v>5</v>
      </c>
      <c r="H655" s="210">
        <v>3</v>
      </c>
      <c r="I655" s="37" t="s">
        <v>17</v>
      </c>
      <c r="J655" s="37"/>
      <c r="K655" s="19" t="s">
        <v>683</v>
      </c>
      <c r="L655" s="607" t="s">
        <v>653</v>
      </c>
      <c r="M655" s="159">
        <v>43070</v>
      </c>
      <c r="N655" s="159">
        <v>43083</v>
      </c>
      <c r="O655" s="61" t="s">
        <v>1771</v>
      </c>
      <c r="P655" s="61"/>
      <c r="Q655" s="7"/>
      <c r="R655" s="610" t="s">
        <v>2558</v>
      </c>
      <c r="S655" s="619"/>
      <c r="T655" s="323" t="s">
        <v>3361</v>
      </c>
    </row>
    <row r="656" spans="1:20" ht="20.100000000000001" customHeight="1">
      <c r="A656" s="1254" t="s">
        <v>2977</v>
      </c>
      <c r="B656" s="1127" t="s">
        <v>2585</v>
      </c>
      <c r="C656" s="1127" t="s">
        <v>3841</v>
      </c>
      <c r="D656" s="1008">
        <v>3150</v>
      </c>
      <c r="E656" s="1008">
        <v>3200</v>
      </c>
      <c r="F656" s="1008">
        <v>3200</v>
      </c>
      <c r="G656" s="638" t="s">
        <v>51</v>
      </c>
      <c r="H656" s="56">
        <v>3</v>
      </c>
      <c r="I656" s="50" t="s">
        <v>17</v>
      </c>
      <c r="J656" s="50"/>
      <c r="K656" s="19" t="s">
        <v>683</v>
      </c>
      <c r="L656" s="607" t="s">
        <v>653</v>
      </c>
      <c r="M656" s="611">
        <v>43084</v>
      </c>
      <c r="N656" s="611">
        <v>43100</v>
      </c>
      <c r="O656" s="61"/>
      <c r="P656" s="61"/>
      <c r="Q656" s="52"/>
      <c r="R656" s="610" t="s">
        <v>2557</v>
      </c>
      <c r="S656" s="315" t="s">
        <v>3290</v>
      </c>
      <c r="T656" s="904"/>
    </row>
    <row r="657" spans="1:20" ht="20.100000000000001" customHeight="1">
      <c r="A657" s="1254" t="s">
        <v>2977</v>
      </c>
      <c r="B657" s="1127" t="s">
        <v>2585</v>
      </c>
      <c r="C657" s="1127" t="s">
        <v>3841</v>
      </c>
      <c r="D657" s="1068">
        <v>3050</v>
      </c>
      <c r="E657" s="1068">
        <v>3100</v>
      </c>
      <c r="F657" s="1068">
        <v>3100</v>
      </c>
      <c r="G657" s="633" t="s">
        <v>33</v>
      </c>
      <c r="H657" s="56">
        <v>3</v>
      </c>
      <c r="I657" s="50" t="s">
        <v>17</v>
      </c>
      <c r="J657" s="50"/>
      <c r="K657" s="19" t="s">
        <v>683</v>
      </c>
      <c r="L657" s="607" t="s">
        <v>653</v>
      </c>
      <c r="M657" s="159">
        <v>43084</v>
      </c>
      <c r="N657" s="159">
        <v>43100</v>
      </c>
      <c r="O657" s="61"/>
      <c r="P657" s="61"/>
      <c r="Q657" s="52"/>
      <c r="R657" s="610" t="s">
        <v>2557</v>
      </c>
      <c r="S657" s="316" t="s">
        <v>3353</v>
      </c>
      <c r="T657" s="904"/>
    </row>
    <row r="658" spans="1:20" ht="20.100000000000001" customHeight="1">
      <c r="A658" s="1254" t="s">
        <v>2977</v>
      </c>
      <c r="B658" s="1127" t="s">
        <v>2585</v>
      </c>
      <c r="C658" s="1127" t="s">
        <v>3841</v>
      </c>
      <c r="D658" s="894">
        <v>3325</v>
      </c>
      <c r="E658" s="894">
        <v>3300</v>
      </c>
      <c r="F658" s="894">
        <v>3300</v>
      </c>
      <c r="G658" s="227" t="s">
        <v>1689</v>
      </c>
      <c r="H658" s="56">
        <v>3</v>
      </c>
      <c r="I658" s="37" t="s">
        <v>17</v>
      </c>
      <c r="J658" s="37"/>
      <c r="K658" s="19" t="s">
        <v>683</v>
      </c>
      <c r="L658" s="607" t="s">
        <v>653</v>
      </c>
      <c r="M658" s="156">
        <v>43084</v>
      </c>
      <c r="N658" s="156">
        <v>43100</v>
      </c>
      <c r="O658" s="61" t="s">
        <v>1771</v>
      </c>
      <c r="P658" s="61"/>
      <c r="Q658" s="52"/>
      <c r="R658" s="648" t="s">
        <v>2116</v>
      </c>
      <c r="S658" s="333" t="s">
        <v>1176</v>
      </c>
      <c r="T658" s="904"/>
    </row>
    <row r="659" spans="1:20" ht="20.100000000000001" customHeight="1">
      <c r="A659" s="1254" t="s">
        <v>2977</v>
      </c>
      <c r="B659" s="1127" t="s">
        <v>2585</v>
      </c>
      <c r="C659" s="1127" t="s">
        <v>3841</v>
      </c>
      <c r="D659" s="1006">
        <v>2675</v>
      </c>
      <c r="E659" s="1006">
        <v>2750</v>
      </c>
      <c r="F659" s="1006">
        <v>2750</v>
      </c>
      <c r="G659" s="631" t="s">
        <v>233</v>
      </c>
      <c r="H659" s="56">
        <v>3</v>
      </c>
      <c r="I659" s="37" t="s">
        <v>17</v>
      </c>
      <c r="J659" s="37"/>
      <c r="K659" s="19" t="s">
        <v>683</v>
      </c>
      <c r="L659" s="607" t="s">
        <v>653</v>
      </c>
      <c r="M659" s="620">
        <v>43080</v>
      </c>
      <c r="N659" s="620">
        <v>43083</v>
      </c>
      <c r="O659" s="59" t="s">
        <v>601</v>
      </c>
      <c r="P659" s="61"/>
      <c r="Q659" s="52"/>
      <c r="R659" s="648" t="s">
        <v>2137</v>
      </c>
      <c r="S659" s="316" t="s">
        <v>3352</v>
      </c>
      <c r="T659" s="904"/>
    </row>
    <row r="660" spans="1:20" ht="20.100000000000001" customHeight="1">
      <c r="A660" s="1254" t="s">
        <v>2977</v>
      </c>
      <c r="B660" s="1127" t="s">
        <v>2585</v>
      </c>
      <c r="C660" s="1127" t="s">
        <v>3841</v>
      </c>
      <c r="D660" s="1021">
        <v>3100</v>
      </c>
      <c r="E660" s="1021">
        <v>3100</v>
      </c>
      <c r="F660" s="1021">
        <v>3100</v>
      </c>
      <c r="G660" s="637" t="s">
        <v>12</v>
      </c>
      <c r="H660" s="56" t="s">
        <v>659</v>
      </c>
      <c r="I660" s="37" t="s">
        <v>17</v>
      </c>
      <c r="J660" s="37"/>
      <c r="K660" s="19" t="s">
        <v>683</v>
      </c>
      <c r="L660" s="607" t="s">
        <v>653</v>
      </c>
      <c r="M660" s="15">
        <v>43084</v>
      </c>
      <c r="N660" s="15">
        <v>43100</v>
      </c>
      <c r="O660" s="61" t="s">
        <v>2545</v>
      </c>
      <c r="P660" s="61"/>
      <c r="Q660" s="52"/>
      <c r="R660" s="606" t="s">
        <v>2135</v>
      </c>
      <c r="S660" s="315" t="s">
        <v>3294</v>
      </c>
      <c r="T660" s="904"/>
    </row>
    <row r="661" spans="1:20" ht="20.100000000000001" customHeight="1">
      <c r="A661" s="1254" t="s">
        <v>2977</v>
      </c>
      <c r="B661" s="1127" t="s">
        <v>2585</v>
      </c>
      <c r="C661" s="1127" t="s">
        <v>3841</v>
      </c>
      <c r="D661" s="1023">
        <v>2650</v>
      </c>
      <c r="E661" s="1023">
        <v>2800</v>
      </c>
      <c r="F661" s="1023">
        <v>2800</v>
      </c>
      <c r="G661" s="215" t="s">
        <v>19</v>
      </c>
      <c r="H661" s="628">
        <v>3</v>
      </c>
      <c r="I661" s="37" t="s">
        <v>17</v>
      </c>
      <c r="J661" s="37"/>
      <c r="K661" s="19" t="s">
        <v>683</v>
      </c>
      <c r="L661" s="607" t="s">
        <v>653</v>
      </c>
      <c r="M661" s="156">
        <v>43084</v>
      </c>
      <c r="N661" s="156">
        <v>43092</v>
      </c>
      <c r="O661" s="59" t="s">
        <v>611</v>
      </c>
      <c r="P661" s="61"/>
      <c r="Q661" s="52"/>
      <c r="R661" s="610" t="s">
        <v>2556</v>
      </c>
      <c r="S661" s="316" t="s">
        <v>1176</v>
      </c>
      <c r="T661" s="922">
        <v>28</v>
      </c>
    </row>
    <row r="662" spans="1:20" ht="20.100000000000001" customHeight="1">
      <c r="A662" s="1254" t="s">
        <v>2977</v>
      </c>
      <c r="B662" s="1127" t="s">
        <v>2585</v>
      </c>
      <c r="C662" s="1127" t="s">
        <v>3841</v>
      </c>
      <c r="D662" s="1008">
        <v>2450</v>
      </c>
      <c r="E662" s="1008">
        <v>2500</v>
      </c>
      <c r="F662" s="1008">
        <v>2500</v>
      </c>
      <c r="G662" s="638" t="s">
        <v>51</v>
      </c>
      <c r="H662" s="56" t="s">
        <v>721</v>
      </c>
      <c r="I662" s="50" t="s">
        <v>3293</v>
      </c>
      <c r="J662" s="50"/>
      <c r="K662" s="19"/>
      <c r="L662" s="607" t="s">
        <v>653</v>
      </c>
      <c r="M662" s="611">
        <v>43080</v>
      </c>
      <c r="N662" s="611">
        <v>43083</v>
      </c>
      <c r="O662" s="61" t="s">
        <v>3292</v>
      </c>
      <c r="P662" s="59"/>
      <c r="Q662" s="52"/>
      <c r="R662" s="239" t="s">
        <v>2573</v>
      </c>
      <c r="S662" s="315" t="s">
        <v>3290</v>
      </c>
      <c r="T662" s="922"/>
    </row>
    <row r="663" spans="1:20" ht="20.100000000000001" customHeight="1">
      <c r="A663" s="1254" t="s">
        <v>2977</v>
      </c>
      <c r="B663" s="1127" t="s">
        <v>2585</v>
      </c>
      <c r="C663" s="1127" t="s">
        <v>3841</v>
      </c>
      <c r="D663" s="1006">
        <v>2550</v>
      </c>
      <c r="E663" s="1006">
        <v>2600</v>
      </c>
      <c r="F663" s="1006">
        <v>2600</v>
      </c>
      <c r="G663" s="629" t="s">
        <v>19</v>
      </c>
      <c r="H663" s="652" t="s">
        <v>721</v>
      </c>
      <c r="I663" s="37" t="s">
        <v>2522</v>
      </c>
      <c r="J663" s="37"/>
      <c r="K663" s="5" t="s">
        <v>2467</v>
      </c>
      <c r="L663" s="607" t="s">
        <v>653</v>
      </c>
      <c r="M663" s="156">
        <v>43084</v>
      </c>
      <c r="N663" s="156">
        <v>43092</v>
      </c>
      <c r="O663" s="59" t="s">
        <v>2440</v>
      </c>
      <c r="P663" s="61"/>
      <c r="Q663" s="52"/>
      <c r="R663" s="648" t="s">
        <v>3308</v>
      </c>
      <c r="S663" s="316" t="s">
        <v>1176</v>
      </c>
      <c r="T663" s="922">
        <v>28</v>
      </c>
    </row>
    <row r="664" spans="1:20" ht="20.100000000000001" customHeight="1">
      <c r="A664" s="1254" t="s">
        <v>2977</v>
      </c>
      <c r="B664" s="1127" t="s">
        <v>2585</v>
      </c>
      <c r="C664" s="1127" t="s">
        <v>3841</v>
      </c>
      <c r="D664" s="1022">
        <v>2925</v>
      </c>
      <c r="E664" s="1022">
        <v>2950</v>
      </c>
      <c r="F664" s="1022">
        <v>2950</v>
      </c>
      <c r="G664" s="639" t="s">
        <v>5</v>
      </c>
      <c r="H664" s="56">
        <v>7</v>
      </c>
      <c r="I664" s="50" t="s">
        <v>17</v>
      </c>
      <c r="J664" s="50"/>
      <c r="K664" s="34" t="s">
        <v>683</v>
      </c>
      <c r="L664" s="607" t="s">
        <v>653</v>
      </c>
      <c r="M664" s="159">
        <v>43070</v>
      </c>
      <c r="N664" s="159">
        <v>43083</v>
      </c>
      <c r="O664" s="61" t="s">
        <v>1771</v>
      </c>
      <c r="P664" s="61"/>
      <c r="Q664" s="7"/>
      <c r="R664" s="610" t="s">
        <v>2136</v>
      </c>
      <c r="S664" s="619"/>
      <c r="T664" s="323" t="s">
        <v>3361</v>
      </c>
    </row>
    <row r="665" spans="1:20" ht="20.100000000000001" customHeight="1">
      <c r="A665" s="1254" t="s">
        <v>2977</v>
      </c>
      <c r="B665" s="1127" t="s">
        <v>2585</v>
      </c>
      <c r="C665" s="1127" t="s">
        <v>3841</v>
      </c>
      <c r="D665" s="894">
        <v>3325</v>
      </c>
      <c r="E665" s="894">
        <v>3300</v>
      </c>
      <c r="F665" s="894">
        <v>3300</v>
      </c>
      <c r="G665" s="227" t="s">
        <v>1689</v>
      </c>
      <c r="H665" s="56">
        <v>7</v>
      </c>
      <c r="I665" s="20" t="s">
        <v>17</v>
      </c>
      <c r="J665" s="20"/>
      <c r="K665" s="34" t="s">
        <v>683</v>
      </c>
      <c r="L665" s="607" t="s">
        <v>653</v>
      </c>
      <c r="M665" s="156">
        <v>43084</v>
      </c>
      <c r="N665" s="156">
        <v>43100</v>
      </c>
      <c r="O665" s="61" t="s">
        <v>1771</v>
      </c>
      <c r="P665" s="61"/>
      <c r="Q665" s="52"/>
      <c r="R665" s="648" t="s">
        <v>347</v>
      </c>
      <c r="S665" s="333" t="s">
        <v>1176</v>
      </c>
      <c r="T665" s="904"/>
    </row>
    <row r="666" spans="1:20" ht="20.100000000000001" customHeight="1">
      <c r="A666" s="1254" t="s">
        <v>2977</v>
      </c>
      <c r="B666" s="1127" t="s">
        <v>2585</v>
      </c>
      <c r="C666" s="1127" t="s">
        <v>3841</v>
      </c>
      <c r="D666" s="1006">
        <v>2675</v>
      </c>
      <c r="E666" s="1006">
        <v>2750</v>
      </c>
      <c r="F666" s="1006">
        <v>2750</v>
      </c>
      <c r="G666" s="631" t="s">
        <v>233</v>
      </c>
      <c r="H666" s="56">
        <v>7</v>
      </c>
      <c r="I666" s="20" t="s">
        <v>17</v>
      </c>
      <c r="J666" s="20"/>
      <c r="K666" s="34" t="s">
        <v>683</v>
      </c>
      <c r="L666" s="607" t="s">
        <v>653</v>
      </c>
      <c r="M666" s="620">
        <v>43080</v>
      </c>
      <c r="N666" s="620">
        <v>43083</v>
      </c>
      <c r="O666" s="59" t="s">
        <v>601</v>
      </c>
      <c r="P666" s="72"/>
      <c r="Q666" s="52"/>
      <c r="R666" s="606" t="s">
        <v>347</v>
      </c>
      <c r="S666" s="316" t="s">
        <v>3352</v>
      </c>
      <c r="T666" s="904"/>
    </row>
    <row r="667" spans="1:20" ht="20.100000000000001" customHeight="1">
      <c r="A667" s="1254" t="s">
        <v>2977</v>
      </c>
      <c r="B667" s="1127" t="s">
        <v>2585</v>
      </c>
      <c r="C667" s="1127" t="s">
        <v>3841</v>
      </c>
      <c r="D667" s="1023">
        <v>2650</v>
      </c>
      <c r="E667" s="1023">
        <v>2800</v>
      </c>
      <c r="F667" s="1023">
        <v>2800</v>
      </c>
      <c r="G667" s="629" t="s">
        <v>19</v>
      </c>
      <c r="H667" s="628">
        <v>7</v>
      </c>
      <c r="I667" s="20" t="s">
        <v>17</v>
      </c>
      <c r="J667" s="20"/>
      <c r="K667" s="34" t="s">
        <v>683</v>
      </c>
      <c r="L667" s="607" t="s">
        <v>653</v>
      </c>
      <c r="M667" s="156">
        <v>43084</v>
      </c>
      <c r="N667" s="156">
        <v>43092</v>
      </c>
      <c r="O667" s="59" t="s">
        <v>611</v>
      </c>
      <c r="P667" s="59"/>
      <c r="Q667" s="52"/>
      <c r="R667" s="610" t="s">
        <v>2135</v>
      </c>
      <c r="S667" s="316" t="s">
        <v>1176</v>
      </c>
      <c r="T667" s="922">
        <v>28</v>
      </c>
    </row>
    <row r="668" spans="1:20" ht="20.100000000000001" customHeight="1">
      <c r="A668" s="1254" t="s">
        <v>2977</v>
      </c>
      <c r="B668" s="1127" t="s">
        <v>2585</v>
      </c>
      <c r="C668" s="1127" t="s">
        <v>3841</v>
      </c>
      <c r="D668" s="1019">
        <v>2650</v>
      </c>
      <c r="E668" s="1019">
        <v>2700</v>
      </c>
      <c r="F668" s="1019">
        <v>2700</v>
      </c>
      <c r="G668" s="636" t="s">
        <v>13</v>
      </c>
      <c r="H668" s="56">
        <v>7</v>
      </c>
      <c r="I668" s="50" t="s">
        <v>17</v>
      </c>
      <c r="J668" s="50"/>
      <c r="K668" s="34" t="s">
        <v>683</v>
      </c>
      <c r="L668" s="607" t="s">
        <v>653</v>
      </c>
      <c r="M668" s="156">
        <v>43077</v>
      </c>
      <c r="N668" s="156">
        <v>43083</v>
      </c>
      <c r="O668" s="59" t="s">
        <v>601</v>
      </c>
      <c r="P668" s="59"/>
      <c r="Q668" s="52"/>
      <c r="R668" s="610" t="s">
        <v>2287</v>
      </c>
      <c r="S668" s="316" t="s">
        <v>3354</v>
      </c>
      <c r="T668" s="904"/>
    </row>
    <row r="669" spans="1:20" ht="20.100000000000001" customHeight="1">
      <c r="A669" s="1254" t="s">
        <v>2977</v>
      </c>
      <c r="B669" s="1127" t="s">
        <v>2585</v>
      </c>
      <c r="C669" s="1127" t="s">
        <v>3841</v>
      </c>
      <c r="D669" s="1008">
        <v>3150</v>
      </c>
      <c r="E669" s="1008">
        <v>3200</v>
      </c>
      <c r="F669" s="1008">
        <v>3200</v>
      </c>
      <c r="G669" s="639" t="s">
        <v>51</v>
      </c>
      <c r="H669" s="4">
        <v>7</v>
      </c>
      <c r="I669" s="37" t="s">
        <v>17</v>
      </c>
      <c r="J669" s="37"/>
      <c r="K669" s="34" t="s">
        <v>683</v>
      </c>
      <c r="L669" s="607" t="s">
        <v>653</v>
      </c>
      <c r="M669" s="611">
        <v>43084</v>
      </c>
      <c r="N669" s="611">
        <v>43100</v>
      </c>
      <c r="O669" s="61"/>
      <c r="P669" s="61"/>
      <c r="Q669" s="52"/>
      <c r="R669" s="606" t="s">
        <v>347</v>
      </c>
      <c r="S669" s="315" t="s">
        <v>3290</v>
      </c>
      <c r="T669" s="904"/>
    </row>
    <row r="670" spans="1:20" ht="20.100000000000001" customHeight="1">
      <c r="A670" s="1254" t="s">
        <v>2977</v>
      </c>
      <c r="B670" s="1127" t="s">
        <v>2585</v>
      </c>
      <c r="C670" s="1127" t="s">
        <v>3841</v>
      </c>
      <c r="D670" s="1068">
        <v>3050</v>
      </c>
      <c r="E670" s="1068">
        <v>3100</v>
      </c>
      <c r="F670" s="1068">
        <v>3100</v>
      </c>
      <c r="G670" s="633" t="s">
        <v>33</v>
      </c>
      <c r="H670" s="4">
        <v>7</v>
      </c>
      <c r="I670" s="37" t="s">
        <v>17</v>
      </c>
      <c r="J670" s="37"/>
      <c r="K670" s="34" t="s">
        <v>683</v>
      </c>
      <c r="L670" s="607" t="s">
        <v>653</v>
      </c>
      <c r="M670" s="159">
        <v>43084</v>
      </c>
      <c r="N670" s="159">
        <v>43100</v>
      </c>
      <c r="O670" s="61"/>
      <c r="P670" s="61"/>
      <c r="Q670" s="52"/>
      <c r="R670" s="606" t="s">
        <v>347</v>
      </c>
      <c r="S670" s="316" t="s">
        <v>3353</v>
      </c>
      <c r="T670" s="904"/>
    </row>
    <row r="671" spans="1:20" ht="20.100000000000001" customHeight="1">
      <c r="A671" s="1254" t="s">
        <v>2977</v>
      </c>
      <c r="B671" s="1127" t="s">
        <v>2585</v>
      </c>
      <c r="C671" s="1127" t="s">
        <v>3841</v>
      </c>
      <c r="D671" s="1015">
        <v>2775</v>
      </c>
      <c r="E671" s="1015">
        <v>2750</v>
      </c>
      <c r="F671" s="1015">
        <v>2750</v>
      </c>
      <c r="G671" s="636" t="s">
        <v>2559</v>
      </c>
      <c r="H671" s="645" t="s">
        <v>1233</v>
      </c>
      <c r="I671" s="37" t="s">
        <v>17</v>
      </c>
      <c r="J671" s="37"/>
      <c r="K671" s="34" t="s">
        <v>683</v>
      </c>
      <c r="L671" s="607" t="s">
        <v>653</v>
      </c>
      <c r="M671" s="649">
        <v>43080</v>
      </c>
      <c r="N671" s="649">
        <v>43083</v>
      </c>
      <c r="O671" s="59"/>
      <c r="P671" s="59"/>
      <c r="Q671" s="52"/>
      <c r="R671" s="610" t="s">
        <v>2592</v>
      </c>
      <c r="S671" s="619" t="s">
        <v>1176</v>
      </c>
      <c r="T671" s="904"/>
    </row>
    <row r="672" spans="1:20" ht="20.100000000000001" customHeight="1">
      <c r="A672" s="1254" t="s">
        <v>2977</v>
      </c>
      <c r="B672" s="1127" t="s">
        <v>2585</v>
      </c>
      <c r="C672" s="1127" t="s">
        <v>3841</v>
      </c>
      <c r="D672" s="1021">
        <v>3250</v>
      </c>
      <c r="E672" s="1021"/>
      <c r="F672" s="1021">
        <v>3300</v>
      </c>
      <c r="G672" s="633" t="s">
        <v>28</v>
      </c>
      <c r="H672" s="4">
        <v>7</v>
      </c>
      <c r="I672" s="37" t="s">
        <v>17</v>
      </c>
      <c r="J672" s="37"/>
      <c r="K672" s="34" t="s">
        <v>683</v>
      </c>
      <c r="L672" s="607" t="s">
        <v>653</v>
      </c>
      <c r="M672" s="620">
        <v>43084</v>
      </c>
      <c r="N672" s="620">
        <v>43100</v>
      </c>
      <c r="O672" s="153" t="s">
        <v>1980</v>
      </c>
      <c r="P672" s="61"/>
      <c r="Q672" s="7"/>
      <c r="R672" s="606" t="s">
        <v>2134</v>
      </c>
      <c r="S672" s="622"/>
      <c r="T672" s="904"/>
    </row>
    <row r="673" spans="1:20" ht="20.100000000000001" customHeight="1">
      <c r="A673" s="1254" t="s">
        <v>2977</v>
      </c>
      <c r="B673" s="1127" t="s">
        <v>2585</v>
      </c>
      <c r="C673" s="1127" t="s">
        <v>3840</v>
      </c>
      <c r="D673" s="956">
        <v>3100</v>
      </c>
      <c r="E673" s="956">
        <v>3200</v>
      </c>
      <c r="F673" s="956">
        <v>3200</v>
      </c>
      <c r="G673" s="629" t="s">
        <v>22</v>
      </c>
      <c r="H673" s="22" t="s">
        <v>1102</v>
      </c>
      <c r="I673" s="50" t="s">
        <v>17</v>
      </c>
      <c r="J673" s="37"/>
      <c r="K673" s="19" t="s">
        <v>986</v>
      </c>
      <c r="L673" s="607" t="s">
        <v>653</v>
      </c>
      <c r="M673" s="108">
        <v>43088</v>
      </c>
      <c r="N673" s="108">
        <v>43100</v>
      </c>
      <c r="O673" s="61" t="s">
        <v>2545</v>
      </c>
      <c r="P673" s="14"/>
      <c r="Q673" s="7"/>
      <c r="R673" s="648" t="s">
        <v>2560</v>
      </c>
      <c r="S673" s="316" t="s">
        <v>3356</v>
      </c>
      <c r="T673" s="904"/>
    </row>
    <row r="674" spans="1:20" ht="20.100000000000001" customHeight="1">
      <c r="A674" s="1254" t="s">
        <v>2977</v>
      </c>
      <c r="B674" s="1127" t="s">
        <v>2585</v>
      </c>
      <c r="C674" s="1127" t="s">
        <v>3840</v>
      </c>
      <c r="D674" s="1015">
        <v>3300</v>
      </c>
      <c r="E674" s="1015">
        <v>3300</v>
      </c>
      <c r="F674" s="1015">
        <v>3300</v>
      </c>
      <c r="G674" s="636" t="s">
        <v>31</v>
      </c>
      <c r="H674" s="22" t="s">
        <v>1102</v>
      </c>
      <c r="I674" s="50" t="s">
        <v>17</v>
      </c>
      <c r="J674" s="50"/>
      <c r="K674" s="19" t="s">
        <v>986</v>
      </c>
      <c r="L674" s="607" t="s">
        <v>653</v>
      </c>
      <c r="M674" s="623">
        <v>43084</v>
      </c>
      <c r="N674" s="623">
        <v>43100</v>
      </c>
      <c r="O674" s="61"/>
      <c r="P674" s="61"/>
      <c r="Q674" s="7"/>
      <c r="R674" s="606" t="s">
        <v>2138</v>
      </c>
      <c r="S674" s="622" t="s">
        <v>1176</v>
      </c>
      <c r="T674" s="904"/>
    </row>
    <row r="675" spans="1:20" ht="20.100000000000001" customHeight="1">
      <c r="A675" s="1254" t="s">
        <v>2977</v>
      </c>
      <c r="B675" s="1127" t="s">
        <v>2585</v>
      </c>
      <c r="C675" s="1127" t="s">
        <v>3840</v>
      </c>
      <c r="D675" s="1015">
        <v>2100</v>
      </c>
      <c r="E675" s="1015">
        <v>2900</v>
      </c>
      <c r="F675" s="1015">
        <v>2900</v>
      </c>
      <c r="G675" s="629" t="s">
        <v>1446</v>
      </c>
      <c r="H675" s="22" t="s">
        <v>1102</v>
      </c>
      <c r="I675" s="20" t="s">
        <v>3324</v>
      </c>
      <c r="J675" s="50"/>
      <c r="K675" s="19" t="s">
        <v>2565</v>
      </c>
      <c r="L675" s="607" t="s">
        <v>653</v>
      </c>
      <c r="M675" s="623">
        <v>43084</v>
      </c>
      <c r="N675" s="623">
        <v>43100</v>
      </c>
      <c r="O675" s="61" t="s">
        <v>601</v>
      </c>
      <c r="P675" s="61"/>
      <c r="Q675" s="7"/>
      <c r="R675" s="606" t="s">
        <v>3323</v>
      </c>
      <c r="S675" s="622"/>
      <c r="T675" s="904"/>
    </row>
    <row r="676" spans="1:20" ht="20.100000000000001" customHeight="1">
      <c r="A676" s="1254" t="s">
        <v>2977</v>
      </c>
      <c r="B676" s="1127" t="s">
        <v>2585</v>
      </c>
      <c r="C676" s="1127" t="s">
        <v>3840</v>
      </c>
      <c r="D676" s="1006">
        <v>2550</v>
      </c>
      <c r="E676" s="1006">
        <v>2600</v>
      </c>
      <c r="F676" s="1006">
        <v>2600</v>
      </c>
      <c r="G676" s="629" t="s">
        <v>19</v>
      </c>
      <c r="H676" s="652" t="s">
        <v>721</v>
      </c>
      <c r="I676" s="37" t="s">
        <v>2522</v>
      </c>
      <c r="J676" s="37"/>
      <c r="K676" s="5" t="s">
        <v>2467</v>
      </c>
      <c r="L676" s="607" t="s">
        <v>653</v>
      </c>
      <c r="M676" s="156">
        <v>43084</v>
      </c>
      <c r="N676" s="156">
        <v>43092</v>
      </c>
      <c r="O676" s="59" t="s">
        <v>2440</v>
      </c>
      <c r="P676" s="61"/>
      <c r="Q676" s="52"/>
      <c r="R676" s="648" t="s">
        <v>3308</v>
      </c>
      <c r="S676" s="316" t="s">
        <v>1176</v>
      </c>
      <c r="T676" s="922">
        <v>28</v>
      </c>
    </row>
    <row r="677" spans="1:20" ht="20.100000000000001" customHeight="1">
      <c r="A677" s="1254" t="s">
        <v>2977</v>
      </c>
      <c r="B677" s="1127" t="s">
        <v>2585</v>
      </c>
      <c r="C677" s="1127" t="s">
        <v>3840</v>
      </c>
      <c r="D677" s="1008">
        <v>3150</v>
      </c>
      <c r="E677" s="1008">
        <v>3200</v>
      </c>
      <c r="F677" s="1008">
        <v>3200</v>
      </c>
      <c r="G677" s="629" t="s">
        <v>51</v>
      </c>
      <c r="H677" s="160" t="s">
        <v>1233</v>
      </c>
      <c r="I677" s="37" t="s">
        <v>17</v>
      </c>
      <c r="J677" s="37"/>
      <c r="K677" s="34" t="s">
        <v>722</v>
      </c>
      <c r="L677" s="607" t="s">
        <v>653</v>
      </c>
      <c r="M677" s="611">
        <v>43084</v>
      </c>
      <c r="N677" s="611">
        <v>43100</v>
      </c>
      <c r="O677" s="61"/>
      <c r="P677" s="61"/>
      <c r="Q677" s="52"/>
      <c r="R677" s="606" t="s">
        <v>347</v>
      </c>
      <c r="S677" s="315" t="s">
        <v>3290</v>
      </c>
      <c r="T677" s="904"/>
    </row>
    <row r="678" spans="1:20" ht="20.100000000000001" customHeight="1">
      <c r="A678" s="1254" t="s">
        <v>2977</v>
      </c>
      <c r="B678" s="1127" t="s">
        <v>2585</v>
      </c>
      <c r="C678" s="1127" t="s">
        <v>3840</v>
      </c>
      <c r="D678" s="1022">
        <v>2925</v>
      </c>
      <c r="E678" s="1022">
        <v>2950</v>
      </c>
      <c r="F678" s="1022">
        <v>2950</v>
      </c>
      <c r="G678" s="639" t="s">
        <v>5</v>
      </c>
      <c r="H678" s="160" t="s">
        <v>1233</v>
      </c>
      <c r="I678" s="37" t="s">
        <v>17</v>
      </c>
      <c r="J678" s="37"/>
      <c r="K678" s="34" t="s">
        <v>722</v>
      </c>
      <c r="L678" s="607" t="s">
        <v>653</v>
      </c>
      <c r="M678" s="159">
        <v>43070</v>
      </c>
      <c r="N678" s="159">
        <v>43083</v>
      </c>
      <c r="O678" s="61" t="s">
        <v>1771</v>
      </c>
      <c r="P678" s="61"/>
      <c r="Q678" s="7"/>
      <c r="R678" s="610" t="s">
        <v>2136</v>
      </c>
      <c r="S678" s="619"/>
      <c r="T678" s="323" t="s">
        <v>3361</v>
      </c>
    </row>
    <row r="679" spans="1:20" ht="20.100000000000001" customHeight="1">
      <c r="A679" s="1254" t="s">
        <v>2977</v>
      </c>
      <c r="B679" s="1127" t="s">
        <v>2585</v>
      </c>
      <c r="C679" s="1127" t="s">
        <v>3840</v>
      </c>
      <c r="D679" s="1068">
        <v>3050</v>
      </c>
      <c r="E679" s="1068">
        <v>3100</v>
      </c>
      <c r="F679" s="1068">
        <v>3100</v>
      </c>
      <c r="G679" s="633" t="s">
        <v>33</v>
      </c>
      <c r="H679" s="160" t="s">
        <v>1233</v>
      </c>
      <c r="I679" s="37" t="s">
        <v>17</v>
      </c>
      <c r="J679" s="37"/>
      <c r="K679" s="34" t="s">
        <v>722</v>
      </c>
      <c r="L679" s="607" t="s">
        <v>653</v>
      </c>
      <c r="M679" s="159">
        <v>43084</v>
      </c>
      <c r="N679" s="159">
        <v>43100</v>
      </c>
      <c r="O679" s="61"/>
      <c r="P679" s="61"/>
      <c r="Q679" s="52"/>
      <c r="R679" s="647" t="s">
        <v>347</v>
      </c>
      <c r="S679" s="316" t="s">
        <v>3353</v>
      </c>
      <c r="T679" s="904"/>
    </row>
    <row r="680" spans="1:20" ht="20.100000000000001" customHeight="1">
      <c r="A680" s="1254" t="s">
        <v>2977</v>
      </c>
      <c r="B680" s="1127" t="s">
        <v>2585</v>
      </c>
      <c r="C680" s="1127" t="s">
        <v>3840</v>
      </c>
      <c r="D680" s="894">
        <v>3325</v>
      </c>
      <c r="E680" s="894">
        <v>3300</v>
      </c>
      <c r="F680" s="894">
        <v>3300</v>
      </c>
      <c r="G680" s="227" t="s">
        <v>1689</v>
      </c>
      <c r="H680" s="160" t="s">
        <v>1233</v>
      </c>
      <c r="I680" s="37" t="s">
        <v>17</v>
      </c>
      <c r="J680" s="37"/>
      <c r="K680" s="34" t="s">
        <v>722</v>
      </c>
      <c r="L680" s="607" t="s">
        <v>653</v>
      </c>
      <c r="M680" s="156">
        <v>43084</v>
      </c>
      <c r="N680" s="156">
        <v>43100</v>
      </c>
      <c r="O680" s="61" t="s">
        <v>1771</v>
      </c>
      <c r="P680" s="61"/>
      <c r="Q680" s="52"/>
      <c r="R680" s="648" t="s">
        <v>347</v>
      </c>
      <c r="S680" s="333" t="s">
        <v>1176</v>
      </c>
      <c r="T680" s="904"/>
    </row>
    <row r="681" spans="1:20" ht="20.100000000000001" customHeight="1">
      <c r="A681" s="1254" t="s">
        <v>2977</v>
      </c>
      <c r="B681" s="1127" t="s">
        <v>2585</v>
      </c>
      <c r="C681" s="1127" t="s">
        <v>3840</v>
      </c>
      <c r="D681" s="1006">
        <v>2675</v>
      </c>
      <c r="E681" s="1006">
        <v>2750</v>
      </c>
      <c r="F681" s="1006">
        <v>2750</v>
      </c>
      <c r="G681" s="640" t="s">
        <v>233</v>
      </c>
      <c r="H681" s="160" t="s">
        <v>1233</v>
      </c>
      <c r="I681" s="37" t="s">
        <v>17</v>
      </c>
      <c r="J681" s="37"/>
      <c r="K681" s="34" t="s">
        <v>722</v>
      </c>
      <c r="L681" s="607" t="s">
        <v>653</v>
      </c>
      <c r="M681" s="620">
        <v>43080</v>
      </c>
      <c r="N681" s="620">
        <v>43083</v>
      </c>
      <c r="O681" s="59" t="s">
        <v>601</v>
      </c>
      <c r="P681" s="61"/>
      <c r="Q681" s="52"/>
      <c r="R681" s="606" t="s">
        <v>347</v>
      </c>
      <c r="S681" s="316" t="s">
        <v>3352</v>
      </c>
      <c r="T681" s="904"/>
    </row>
    <row r="682" spans="1:20" ht="20.100000000000001" customHeight="1">
      <c r="A682" s="1254" t="s">
        <v>2977</v>
      </c>
      <c r="B682" s="1127" t="s">
        <v>2585</v>
      </c>
      <c r="C682" s="1127" t="s">
        <v>3840</v>
      </c>
      <c r="D682" s="1006">
        <v>2700</v>
      </c>
      <c r="E682" s="1006">
        <v>2850</v>
      </c>
      <c r="F682" s="1006">
        <v>2850</v>
      </c>
      <c r="G682" s="215" t="s">
        <v>19</v>
      </c>
      <c r="H682" s="627" t="s">
        <v>1233</v>
      </c>
      <c r="I682" s="37" t="s">
        <v>17</v>
      </c>
      <c r="J682" s="37"/>
      <c r="K682" s="34" t="s">
        <v>722</v>
      </c>
      <c r="L682" s="607" t="s">
        <v>653</v>
      </c>
      <c r="M682" s="156">
        <v>43084</v>
      </c>
      <c r="N682" s="156">
        <v>43092</v>
      </c>
      <c r="O682" s="59" t="s">
        <v>611</v>
      </c>
      <c r="P682" s="61"/>
      <c r="Q682" s="52"/>
      <c r="R682" s="610" t="s">
        <v>2135</v>
      </c>
      <c r="S682" s="316" t="s">
        <v>1176</v>
      </c>
      <c r="T682" s="922">
        <v>28</v>
      </c>
    </row>
    <row r="683" spans="1:20" ht="20.100000000000001" customHeight="1">
      <c r="A683" s="1254" t="s">
        <v>2977</v>
      </c>
      <c r="B683" s="1127" t="s">
        <v>2585</v>
      </c>
      <c r="C683" s="1127" t="s">
        <v>3840</v>
      </c>
      <c r="D683" s="1019">
        <v>2650</v>
      </c>
      <c r="E683" s="1019">
        <v>2700</v>
      </c>
      <c r="F683" s="1019">
        <v>2700</v>
      </c>
      <c r="G683" s="635" t="s">
        <v>13</v>
      </c>
      <c r="H683" s="160" t="s">
        <v>1233</v>
      </c>
      <c r="I683" s="37" t="s">
        <v>17</v>
      </c>
      <c r="J683" s="37"/>
      <c r="K683" s="34" t="s">
        <v>722</v>
      </c>
      <c r="L683" s="607" t="s">
        <v>653</v>
      </c>
      <c r="M683" s="156">
        <v>43077</v>
      </c>
      <c r="N683" s="156">
        <v>43083</v>
      </c>
      <c r="O683" s="59" t="s">
        <v>601</v>
      </c>
      <c r="P683" s="61"/>
      <c r="Q683" s="52"/>
      <c r="R683" s="610" t="s">
        <v>2287</v>
      </c>
      <c r="S683" s="316" t="s">
        <v>3354</v>
      </c>
      <c r="T683" s="904"/>
    </row>
    <row r="684" spans="1:20" ht="20.100000000000001" customHeight="1">
      <c r="A684" s="1254" t="s">
        <v>2977</v>
      </c>
      <c r="B684" s="1127" t="s">
        <v>2585</v>
      </c>
      <c r="C684" s="1127" t="s">
        <v>3840</v>
      </c>
      <c r="D684" s="1015"/>
      <c r="E684" s="1015"/>
      <c r="F684" s="1015"/>
      <c r="G684" s="636" t="s">
        <v>2559</v>
      </c>
      <c r="H684" s="160" t="s">
        <v>1233</v>
      </c>
      <c r="I684" s="37" t="s">
        <v>17</v>
      </c>
      <c r="J684" s="37"/>
      <c r="K684" s="34" t="s">
        <v>722</v>
      </c>
      <c r="L684" s="607" t="s">
        <v>653</v>
      </c>
      <c r="M684" s="649">
        <v>43080</v>
      </c>
      <c r="N684" s="649">
        <v>43083</v>
      </c>
      <c r="O684" s="59"/>
      <c r="P684" s="59"/>
      <c r="Q684" s="52"/>
      <c r="R684" s="610" t="s">
        <v>2592</v>
      </c>
      <c r="S684" s="619" t="s">
        <v>1176</v>
      </c>
      <c r="T684" s="904"/>
    </row>
    <row r="685" spans="1:20" ht="20.100000000000001" customHeight="1">
      <c r="A685" s="1254" t="s">
        <v>2977</v>
      </c>
      <c r="B685" s="1127" t="s">
        <v>2585</v>
      </c>
      <c r="C685" s="1127" t="s">
        <v>3840</v>
      </c>
      <c r="D685" s="1021">
        <v>3250</v>
      </c>
      <c r="E685" s="1021"/>
      <c r="F685" s="1021">
        <v>3300</v>
      </c>
      <c r="G685" s="630" t="s">
        <v>28</v>
      </c>
      <c r="H685" s="160" t="s">
        <v>1233</v>
      </c>
      <c r="I685" s="37" t="s">
        <v>17</v>
      </c>
      <c r="J685" s="37"/>
      <c r="K685" s="34" t="s">
        <v>722</v>
      </c>
      <c r="L685" s="607" t="s">
        <v>653</v>
      </c>
      <c r="M685" s="620">
        <v>43084</v>
      </c>
      <c r="N685" s="620">
        <v>43100</v>
      </c>
      <c r="O685" s="153" t="s">
        <v>1980</v>
      </c>
      <c r="P685" s="61"/>
      <c r="Q685" s="7"/>
      <c r="R685" s="606" t="s">
        <v>2134</v>
      </c>
      <c r="S685" s="622"/>
      <c r="T685" s="904"/>
    </row>
    <row r="686" spans="1:20" ht="20.100000000000001" customHeight="1">
      <c r="A686" s="1254" t="s">
        <v>2977</v>
      </c>
      <c r="B686" s="1127" t="s">
        <v>2585</v>
      </c>
      <c r="C686" s="1127" t="s">
        <v>3839</v>
      </c>
      <c r="D686" s="956">
        <v>3100</v>
      </c>
      <c r="E686" s="956">
        <v>3200</v>
      </c>
      <c r="F686" s="956">
        <v>3200</v>
      </c>
      <c r="G686" s="629" t="s">
        <v>22</v>
      </c>
      <c r="H686" s="56" t="s">
        <v>1102</v>
      </c>
      <c r="I686" s="50" t="s">
        <v>17</v>
      </c>
      <c r="J686" s="50"/>
      <c r="K686" s="19" t="s">
        <v>2396</v>
      </c>
      <c r="L686" s="607" t="s">
        <v>653</v>
      </c>
      <c r="M686" s="108">
        <v>43088</v>
      </c>
      <c r="N686" s="108">
        <v>43100</v>
      </c>
      <c r="O686" s="61" t="s">
        <v>2545</v>
      </c>
      <c r="P686" s="14"/>
      <c r="Q686" s="7"/>
      <c r="R686" s="648" t="s">
        <v>2560</v>
      </c>
      <c r="S686" s="316" t="s">
        <v>3356</v>
      </c>
      <c r="T686" s="904"/>
    </row>
    <row r="687" spans="1:20" ht="20.100000000000001" customHeight="1">
      <c r="A687" s="1254" t="s">
        <v>2977</v>
      </c>
      <c r="B687" s="1127" t="s">
        <v>2585</v>
      </c>
      <c r="C687" s="1127" t="s">
        <v>3839</v>
      </c>
      <c r="D687" s="1015">
        <v>2775</v>
      </c>
      <c r="E687" s="1015">
        <v>2750</v>
      </c>
      <c r="F687" s="1015">
        <v>2750</v>
      </c>
      <c r="G687" s="636" t="s">
        <v>18</v>
      </c>
      <c r="H687" s="22" t="s">
        <v>1102</v>
      </c>
      <c r="I687" s="50" t="s">
        <v>2563</v>
      </c>
      <c r="J687" s="50"/>
      <c r="K687" s="34" t="s">
        <v>1242</v>
      </c>
      <c r="L687" s="607" t="s">
        <v>653</v>
      </c>
      <c r="M687" s="108">
        <v>43080</v>
      </c>
      <c r="N687" s="108">
        <v>43083</v>
      </c>
      <c r="O687" s="61"/>
      <c r="P687" s="14"/>
      <c r="Q687" s="7"/>
      <c r="R687" s="610" t="s">
        <v>2592</v>
      </c>
      <c r="S687" s="316"/>
      <c r="T687" s="904"/>
    </row>
    <row r="688" spans="1:20" ht="20.100000000000001" customHeight="1">
      <c r="A688" s="1254" t="s">
        <v>2977</v>
      </c>
      <c r="B688" s="1127" t="s">
        <v>2585</v>
      </c>
      <c r="C688" s="1127" t="s">
        <v>3839</v>
      </c>
      <c r="D688" s="1015">
        <v>2775</v>
      </c>
      <c r="E688" s="1015">
        <v>2750</v>
      </c>
      <c r="F688" s="1015">
        <v>2750</v>
      </c>
      <c r="G688" s="636" t="s">
        <v>2559</v>
      </c>
      <c r="H688" s="22" t="s">
        <v>1102</v>
      </c>
      <c r="I688" s="50" t="s">
        <v>2563</v>
      </c>
      <c r="J688" s="50"/>
      <c r="K688" s="34" t="s">
        <v>1242</v>
      </c>
      <c r="L688" s="607" t="s">
        <v>653</v>
      </c>
      <c r="M688" s="649">
        <v>43080</v>
      </c>
      <c r="N688" s="649">
        <v>43083</v>
      </c>
      <c r="O688" s="59"/>
      <c r="P688" s="59"/>
      <c r="Q688" s="7"/>
      <c r="R688" s="610" t="s">
        <v>3355</v>
      </c>
      <c r="S688" s="619" t="s">
        <v>1176</v>
      </c>
      <c r="T688" s="904"/>
    </row>
    <row r="689" spans="1:20" ht="20.100000000000001" customHeight="1">
      <c r="A689" s="1254" t="s">
        <v>2977</v>
      </c>
      <c r="B689" s="1127" t="s">
        <v>2585</v>
      </c>
      <c r="C689" s="1127" t="s">
        <v>3839</v>
      </c>
      <c r="D689" s="1008">
        <v>3175</v>
      </c>
      <c r="E689" s="1008">
        <v>3250</v>
      </c>
      <c r="F689" s="1008">
        <v>3250</v>
      </c>
      <c r="G689" s="629" t="s">
        <v>51</v>
      </c>
      <c r="H689" s="160" t="s">
        <v>659</v>
      </c>
      <c r="I689" s="37" t="s">
        <v>17</v>
      </c>
      <c r="J689" s="37"/>
      <c r="K689" s="19" t="s">
        <v>986</v>
      </c>
      <c r="L689" s="607" t="s">
        <v>653</v>
      </c>
      <c r="M689" s="611">
        <v>43084</v>
      </c>
      <c r="N689" s="611">
        <v>43100</v>
      </c>
      <c r="O689" s="59"/>
      <c r="P689" s="59"/>
      <c r="Q689" s="52"/>
      <c r="R689" s="610" t="s">
        <v>2557</v>
      </c>
      <c r="S689" s="315" t="s">
        <v>3290</v>
      </c>
      <c r="T689" s="904"/>
    </row>
    <row r="690" spans="1:20" ht="20.100000000000001" customHeight="1">
      <c r="A690" s="1254" t="s">
        <v>2977</v>
      </c>
      <c r="B690" s="1127" t="s">
        <v>2585</v>
      </c>
      <c r="C690" s="1127" t="s">
        <v>3839</v>
      </c>
      <c r="D690" s="1022">
        <v>2925</v>
      </c>
      <c r="E690" s="1022">
        <v>2950</v>
      </c>
      <c r="F690" s="1022">
        <v>2950</v>
      </c>
      <c r="G690" s="629" t="s">
        <v>5</v>
      </c>
      <c r="H690" s="210">
        <v>3</v>
      </c>
      <c r="I690" s="37" t="s">
        <v>17</v>
      </c>
      <c r="J690" s="37"/>
      <c r="K690" s="19" t="s">
        <v>986</v>
      </c>
      <c r="L690" s="607" t="s">
        <v>653</v>
      </c>
      <c r="M690" s="159">
        <v>43070</v>
      </c>
      <c r="N690" s="159">
        <v>43083</v>
      </c>
      <c r="O690" s="61" t="s">
        <v>1771</v>
      </c>
      <c r="P690" s="59"/>
      <c r="Q690" s="7"/>
      <c r="R690" s="606" t="s">
        <v>2558</v>
      </c>
      <c r="S690" s="622"/>
      <c r="T690" s="323" t="s">
        <v>3361</v>
      </c>
    </row>
    <row r="691" spans="1:20" ht="20.100000000000001" customHeight="1">
      <c r="A691" s="1254" t="s">
        <v>2977</v>
      </c>
      <c r="B691" s="1127" t="s">
        <v>2585</v>
      </c>
      <c r="C691" s="1127" t="s">
        <v>3839</v>
      </c>
      <c r="D691" s="1068">
        <v>3050</v>
      </c>
      <c r="E691" s="1068">
        <v>3100</v>
      </c>
      <c r="F691" s="1068">
        <v>3100</v>
      </c>
      <c r="G691" s="636" t="s">
        <v>33</v>
      </c>
      <c r="H691" s="160" t="s">
        <v>659</v>
      </c>
      <c r="I691" s="37" t="s">
        <v>17</v>
      </c>
      <c r="J691" s="37"/>
      <c r="K691" s="19" t="s">
        <v>986</v>
      </c>
      <c r="L691" s="607" t="s">
        <v>653</v>
      </c>
      <c r="M691" s="159">
        <v>43084</v>
      </c>
      <c r="N691" s="159">
        <v>43100</v>
      </c>
      <c r="O691" s="61"/>
      <c r="P691" s="59"/>
      <c r="Q691" s="52"/>
      <c r="R691" s="610" t="s">
        <v>2557</v>
      </c>
      <c r="S691" s="316" t="s">
        <v>3353</v>
      </c>
      <c r="T691" s="904"/>
    </row>
    <row r="692" spans="1:20" ht="20.100000000000001" customHeight="1">
      <c r="A692" s="1254" t="s">
        <v>2977</v>
      </c>
      <c r="B692" s="1127" t="s">
        <v>2585</v>
      </c>
      <c r="C692" s="1127" t="s">
        <v>3839</v>
      </c>
      <c r="D692" s="1006">
        <v>2675</v>
      </c>
      <c r="E692" s="1006">
        <v>2750</v>
      </c>
      <c r="F692" s="1006">
        <v>2750</v>
      </c>
      <c r="G692" s="636" t="s">
        <v>233</v>
      </c>
      <c r="H692" s="160" t="s">
        <v>659</v>
      </c>
      <c r="I692" s="37" t="s">
        <v>17</v>
      </c>
      <c r="J692" s="37"/>
      <c r="K692" s="19" t="s">
        <v>986</v>
      </c>
      <c r="L692" s="607" t="s">
        <v>653</v>
      </c>
      <c r="M692" s="620">
        <v>43080</v>
      </c>
      <c r="N692" s="620">
        <v>43083</v>
      </c>
      <c r="O692" s="59" t="s">
        <v>601</v>
      </c>
      <c r="P692" s="59"/>
      <c r="Q692" s="52"/>
      <c r="R692" s="610" t="s">
        <v>2137</v>
      </c>
      <c r="S692" s="316" t="s">
        <v>3352</v>
      </c>
      <c r="T692" s="904"/>
    </row>
    <row r="693" spans="1:20" ht="20.100000000000001" customHeight="1">
      <c r="A693" s="1254" t="s">
        <v>2977</v>
      </c>
      <c r="B693" s="1127" t="s">
        <v>2585</v>
      </c>
      <c r="C693" s="1127" t="s">
        <v>3839</v>
      </c>
      <c r="D693" s="894">
        <v>3325</v>
      </c>
      <c r="E693" s="894">
        <v>3300</v>
      </c>
      <c r="F693" s="894">
        <v>3300</v>
      </c>
      <c r="G693" s="227" t="s">
        <v>1689</v>
      </c>
      <c r="H693" s="160" t="s">
        <v>659</v>
      </c>
      <c r="I693" s="37" t="s">
        <v>17</v>
      </c>
      <c r="J693" s="37"/>
      <c r="K693" s="19" t="s">
        <v>986</v>
      </c>
      <c r="L693" s="607" t="s">
        <v>653</v>
      </c>
      <c r="M693" s="156">
        <v>43084</v>
      </c>
      <c r="N693" s="156">
        <v>43100</v>
      </c>
      <c r="O693" s="61" t="s">
        <v>1771</v>
      </c>
      <c r="P693" s="61"/>
      <c r="Q693" s="52"/>
      <c r="R693" s="648" t="s">
        <v>2116</v>
      </c>
      <c r="S693" s="333" t="s">
        <v>1176</v>
      </c>
      <c r="T693" s="904"/>
    </row>
    <row r="694" spans="1:20" ht="20.100000000000001" customHeight="1">
      <c r="A694" s="1254" t="s">
        <v>2977</v>
      </c>
      <c r="B694" s="1127" t="s">
        <v>2585</v>
      </c>
      <c r="C694" s="1127" t="s">
        <v>3839</v>
      </c>
      <c r="D694" s="1021">
        <v>3100</v>
      </c>
      <c r="E694" s="1021">
        <v>3100</v>
      </c>
      <c r="F694" s="1021">
        <v>3100</v>
      </c>
      <c r="G694" s="227" t="s">
        <v>12</v>
      </c>
      <c r="H694" s="160" t="s">
        <v>659</v>
      </c>
      <c r="I694" s="37" t="s">
        <v>17</v>
      </c>
      <c r="J694" s="37"/>
      <c r="K694" s="19" t="s">
        <v>986</v>
      </c>
      <c r="L694" s="607" t="s">
        <v>653</v>
      </c>
      <c r="M694" s="15">
        <v>43084</v>
      </c>
      <c r="N694" s="15">
        <v>43100</v>
      </c>
      <c r="O694" s="61" t="s">
        <v>2545</v>
      </c>
      <c r="P694" s="61"/>
      <c r="Q694" s="52"/>
      <c r="R694" s="606" t="s">
        <v>2135</v>
      </c>
      <c r="S694" s="315" t="s">
        <v>3294</v>
      </c>
      <c r="T694" s="904"/>
    </row>
    <row r="695" spans="1:20" ht="20.100000000000001" customHeight="1">
      <c r="A695" s="1162" t="s">
        <v>2977</v>
      </c>
      <c r="B695" s="1162" t="s">
        <v>2585</v>
      </c>
      <c r="C695" s="1162" t="s">
        <v>3364</v>
      </c>
      <c r="D695" s="1022">
        <v>2775</v>
      </c>
      <c r="E695" s="1022">
        <v>2850</v>
      </c>
      <c r="F695" s="1022">
        <v>2850</v>
      </c>
      <c r="G695" s="639" t="s">
        <v>5</v>
      </c>
      <c r="H695" s="56" t="s">
        <v>729</v>
      </c>
      <c r="I695" s="50" t="s">
        <v>3304</v>
      </c>
      <c r="J695" s="37"/>
      <c r="K695" s="19" t="s">
        <v>987</v>
      </c>
      <c r="L695" s="607" t="s">
        <v>653</v>
      </c>
      <c r="M695" s="159">
        <v>43075</v>
      </c>
      <c r="N695" s="159">
        <v>43083</v>
      </c>
      <c r="O695" s="61" t="s">
        <v>1771</v>
      </c>
      <c r="P695" s="61"/>
      <c r="Q695" s="52"/>
      <c r="R695" s="610" t="s">
        <v>2568</v>
      </c>
      <c r="S695" s="316"/>
      <c r="T695" s="904"/>
    </row>
    <row r="696" spans="1:20" ht="20.100000000000001" customHeight="1">
      <c r="A696" s="1166" t="s">
        <v>2977</v>
      </c>
      <c r="B696" s="1166" t="s">
        <v>2585</v>
      </c>
      <c r="C696" s="1166" t="s">
        <v>3364</v>
      </c>
      <c r="D696" s="894">
        <v>3325</v>
      </c>
      <c r="E696" s="894">
        <v>3300</v>
      </c>
      <c r="F696" s="894">
        <v>3300</v>
      </c>
      <c r="G696" s="227" t="s">
        <v>1689</v>
      </c>
      <c r="H696" s="56">
        <v>3</v>
      </c>
      <c r="I696" s="37" t="s">
        <v>17</v>
      </c>
      <c r="J696" s="37"/>
      <c r="K696" s="19" t="s">
        <v>987</v>
      </c>
      <c r="L696" s="607" t="s">
        <v>653</v>
      </c>
      <c r="M696" s="156">
        <v>43084</v>
      </c>
      <c r="N696" s="156">
        <v>43100</v>
      </c>
      <c r="O696" s="61" t="s">
        <v>1771</v>
      </c>
      <c r="P696" s="59"/>
      <c r="Q696" s="52"/>
      <c r="R696" s="135" t="s">
        <v>2116</v>
      </c>
      <c r="S696" s="333" t="s">
        <v>1176</v>
      </c>
      <c r="T696" s="904"/>
    </row>
    <row r="697" spans="1:20" ht="20.100000000000001" customHeight="1">
      <c r="A697" s="1166" t="s">
        <v>2977</v>
      </c>
      <c r="B697" s="1166" t="s">
        <v>2585</v>
      </c>
      <c r="C697" s="1166" t="s">
        <v>3364</v>
      </c>
      <c r="D697" s="1022">
        <v>2925</v>
      </c>
      <c r="E697" s="1022">
        <v>2950</v>
      </c>
      <c r="F697" s="1022">
        <v>2950</v>
      </c>
      <c r="G697" s="639" t="s">
        <v>5</v>
      </c>
      <c r="H697" s="160" t="s">
        <v>659</v>
      </c>
      <c r="I697" s="50" t="s">
        <v>17</v>
      </c>
      <c r="J697" s="50"/>
      <c r="K697" s="19" t="s">
        <v>987</v>
      </c>
      <c r="L697" s="607" t="s">
        <v>653</v>
      </c>
      <c r="M697" s="159">
        <v>43070</v>
      </c>
      <c r="N697" s="159">
        <v>43083</v>
      </c>
      <c r="O697" s="61" t="s">
        <v>1771</v>
      </c>
      <c r="P697" s="61"/>
      <c r="Q697" s="7"/>
      <c r="R697" s="610" t="s">
        <v>2558</v>
      </c>
      <c r="S697" s="619"/>
      <c r="T697" s="323" t="s">
        <v>3361</v>
      </c>
    </row>
    <row r="698" spans="1:20" ht="20.100000000000001" customHeight="1">
      <c r="A698" s="1166" t="s">
        <v>2977</v>
      </c>
      <c r="B698" s="1166" t="s">
        <v>2585</v>
      </c>
      <c r="C698" s="1166" t="s">
        <v>3364</v>
      </c>
      <c r="D698" s="1008">
        <v>3175</v>
      </c>
      <c r="E698" s="1008">
        <v>3250</v>
      </c>
      <c r="F698" s="1008">
        <v>3250</v>
      </c>
      <c r="G698" s="629" t="s">
        <v>51</v>
      </c>
      <c r="H698" s="56">
        <v>3</v>
      </c>
      <c r="I698" s="37" t="s">
        <v>17</v>
      </c>
      <c r="J698" s="37"/>
      <c r="K698" s="19" t="s">
        <v>987</v>
      </c>
      <c r="L698" s="607" t="s">
        <v>653</v>
      </c>
      <c r="M698" s="611">
        <v>43084</v>
      </c>
      <c r="N698" s="611">
        <v>43100</v>
      </c>
      <c r="O698" s="61"/>
      <c r="P698" s="59"/>
      <c r="Q698" s="52"/>
      <c r="R698" s="135" t="s">
        <v>2557</v>
      </c>
      <c r="S698" s="315" t="s">
        <v>3290</v>
      </c>
      <c r="T698" s="904"/>
    </row>
    <row r="699" spans="1:20" ht="20.100000000000001" customHeight="1">
      <c r="A699" s="1166" t="s">
        <v>2977</v>
      </c>
      <c r="B699" s="1166" t="s">
        <v>2585</v>
      </c>
      <c r="C699" s="1166" t="s">
        <v>3364</v>
      </c>
      <c r="D699" s="1068">
        <v>3050</v>
      </c>
      <c r="E699" s="1068">
        <v>3100</v>
      </c>
      <c r="F699" s="1068">
        <v>3100</v>
      </c>
      <c r="G699" s="636" t="s">
        <v>33</v>
      </c>
      <c r="H699" s="56">
        <v>3</v>
      </c>
      <c r="I699" s="37" t="s">
        <v>17</v>
      </c>
      <c r="J699" s="37"/>
      <c r="K699" s="19" t="s">
        <v>987</v>
      </c>
      <c r="L699" s="607" t="s">
        <v>653</v>
      </c>
      <c r="M699" s="159">
        <v>43084</v>
      </c>
      <c r="N699" s="159">
        <v>43100</v>
      </c>
      <c r="O699" s="61"/>
      <c r="P699" s="59"/>
      <c r="Q699" s="52"/>
      <c r="R699" s="610" t="s">
        <v>2557</v>
      </c>
      <c r="S699" s="316" t="s">
        <v>3353</v>
      </c>
      <c r="T699" s="904"/>
    </row>
    <row r="700" spans="1:20" ht="20.100000000000001" customHeight="1">
      <c r="A700" s="1166" t="s">
        <v>2977</v>
      </c>
      <c r="B700" s="1166" t="s">
        <v>2585</v>
      </c>
      <c r="C700" s="1166" t="s">
        <v>3364</v>
      </c>
      <c r="D700" s="1006">
        <v>2675</v>
      </c>
      <c r="E700" s="1006">
        <v>2750</v>
      </c>
      <c r="F700" s="1006">
        <v>2750</v>
      </c>
      <c r="G700" s="640" t="s">
        <v>233</v>
      </c>
      <c r="H700" s="56">
        <v>3</v>
      </c>
      <c r="I700" s="37" t="s">
        <v>17</v>
      </c>
      <c r="J700" s="37"/>
      <c r="K700" s="19" t="s">
        <v>987</v>
      </c>
      <c r="L700" s="607" t="s">
        <v>653</v>
      </c>
      <c r="M700" s="620">
        <v>43080</v>
      </c>
      <c r="N700" s="620">
        <v>43083</v>
      </c>
      <c r="O700" s="59" t="s">
        <v>601</v>
      </c>
      <c r="P700" s="61"/>
      <c r="Q700" s="52"/>
      <c r="R700" s="648" t="s">
        <v>2137</v>
      </c>
      <c r="S700" s="316" t="s">
        <v>3352</v>
      </c>
      <c r="T700" s="904"/>
    </row>
    <row r="701" spans="1:20" ht="20.100000000000001" customHeight="1">
      <c r="A701" s="1166" t="s">
        <v>2977</v>
      </c>
      <c r="B701" s="1166" t="s">
        <v>2585</v>
      </c>
      <c r="C701" s="1166" t="s">
        <v>3364</v>
      </c>
      <c r="D701" s="1021">
        <v>3100</v>
      </c>
      <c r="E701" s="1021">
        <v>3100</v>
      </c>
      <c r="F701" s="1021">
        <v>3100</v>
      </c>
      <c r="G701" s="637" t="s">
        <v>12</v>
      </c>
      <c r="H701" s="56">
        <v>3</v>
      </c>
      <c r="I701" s="37" t="s">
        <v>17</v>
      </c>
      <c r="J701" s="37"/>
      <c r="K701" s="19" t="s">
        <v>987</v>
      </c>
      <c r="L701" s="607" t="s">
        <v>653</v>
      </c>
      <c r="M701" s="15">
        <v>43084</v>
      </c>
      <c r="N701" s="15">
        <v>43100</v>
      </c>
      <c r="O701" s="61" t="s">
        <v>2545</v>
      </c>
      <c r="P701" s="61"/>
      <c r="Q701" s="52"/>
      <c r="R701" s="606" t="s">
        <v>2135</v>
      </c>
      <c r="S701" s="315" t="s">
        <v>3294</v>
      </c>
      <c r="T701" s="904"/>
    </row>
    <row r="702" spans="1:20" ht="20.100000000000001" customHeight="1">
      <c r="A702" s="1166" t="s">
        <v>2977</v>
      </c>
      <c r="B702" s="1166" t="s">
        <v>2585</v>
      </c>
      <c r="C702" s="1166" t="s">
        <v>3364</v>
      </c>
      <c r="D702" s="1006">
        <v>2550</v>
      </c>
      <c r="E702" s="1006">
        <v>2600</v>
      </c>
      <c r="F702" s="1006">
        <v>2600</v>
      </c>
      <c r="G702" s="629" t="s">
        <v>19</v>
      </c>
      <c r="H702" s="652" t="s">
        <v>721</v>
      </c>
      <c r="I702" s="37" t="s">
        <v>2522</v>
      </c>
      <c r="J702" s="37"/>
      <c r="K702" s="5" t="s">
        <v>2565</v>
      </c>
      <c r="L702" s="607" t="s">
        <v>653</v>
      </c>
      <c r="M702" s="156">
        <v>43084</v>
      </c>
      <c r="N702" s="156">
        <v>43092</v>
      </c>
      <c r="O702" s="59" t="s">
        <v>2440</v>
      </c>
      <c r="P702" s="61"/>
      <c r="Q702" s="52"/>
      <c r="R702" s="648" t="s">
        <v>3308</v>
      </c>
      <c r="S702" s="316" t="s">
        <v>1176</v>
      </c>
      <c r="T702" s="922">
        <v>28</v>
      </c>
    </row>
    <row r="703" spans="1:20" ht="20.100000000000001" customHeight="1">
      <c r="A703" s="1166" t="s">
        <v>2977</v>
      </c>
      <c r="B703" s="1166" t="s">
        <v>2585</v>
      </c>
      <c r="C703" s="1166" t="s">
        <v>3364</v>
      </c>
      <c r="D703" s="1008">
        <v>2450</v>
      </c>
      <c r="E703" s="1008">
        <v>2500</v>
      </c>
      <c r="F703" s="1008">
        <v>2500</v>
      </c>
      <c r="G703" s="629" t="s">
        <v>51</v>
      </c>
      <c r="H703" s="56" t="s">
        <v>721</v>
      </c>
      <c r="I703" s="50" t="s">
        <v>3293</v>
      </c>
      <c r="J703" s="50"/>
      <c r="K703" s="19"/>
      <c r="L703" s="607" t="s">
        <v>653</v>
      </c>
      <c r="M703" s="611">
        <v>43080</v>
      </c>
      <c r="N703" s="611">
        <v>43083</v>
      </c>
      <c r="O703" s="61" t="s">
        <v>3292</v>
      </c>
      <c r="P703" s="59"/>
      <c r="Q703" s="52"/>
      <c r="R703" s="239" t="s">
        <v>2573</v>
      </c>
      <c r="S703" s="315" t="s">
        <v>3290</v>
      </c>
      <c r="T703" s="904"/>
    </row>
    <row r="704" spans="1:20" ht="20.100000000000001" customHeight="1">
      <c r="A704" s="1166" t="s">
        <v>2977</v>
      </c>
      <c r="B704" s="1166" t="s">
        <v>2585</v>
      </c>
      <c r="C704" s="1166" t="s">
        <v>3364</v>
      </c>
      <c r="D704" s="1022">
        <v>2775</v>
      </c>
      <c r="E704" s="1022">
        <v>2850</v>
      </c>
      <c r="F704" s="1022">
        <v>2850</v>
      </c>
      <c r="G704" s="639" t="s">
        <v>5</v>
      </c>
      <c r="H704" s="56" t="s">
        <v>721</v>
      </c>
      <c r="I704" s="50" t="s">
        <v>3293</v>
      </c>
      <c r="J704" s="37"/>
      <c r="K704" s="19" t="s">
        <v>2395</v>
      </c>
      <c r="L704" s="607" t="s">
        <v>653</v>
      </c>
      <c r="M704" s="159">
        <v>43075</v>
      </c>
      <c r="N704" s="159">
        <v>43083</v>
      </c>
      <c r="O704" s="61" t="s">
        <v>1771</v>
      </c>
      <c r="P704" s="61"/>
      <c r="Q704" s="7"/>
      <c r="R704" s="610" t="s">
        <v>3305</v>
      </c>
      <c r="S704" s="316"/>
      <c r="T704" s="904"/>
    </row>
    <row r="705" spans="1:20" ht="20.100000000000001" customHeight="1">
      <c r="A705" s="1167" t="s">
        <v>2977</v>
      </c>
      <c r="B705" s="1167" t="s">
        <v>2585</v>
      </c>
      <c r="C705" s="1167" t="s">
        <v>3364</v>
      </c>
      <c r="D705" s="1015">
        <v>3300</v>
      </c>
      <c r="E705" s="1015">
        <v>3300</v>
      </c>
      <c r="F705" s="1015">
        <v>3300</v>
      </c>
      <c r="G705" s="636" t="s">
        <v>31</v>
      </c>
      <c r="H705" s="22" t="s">
        <v>721</v>
      </c>
      <c r="I705" s="37" t="s">
        <v>3304</v>
      </c>
      <c r="J705" s="50"/>
      <c r="K705" s="19" t="s">
        <v>1242</v>
      </c>
      <c r="L705" s="607" t="s">
        <v>653</v>
      </c>
      <c r="M705" s="623">
        <v>43084</v>
      </c>
      <c r="N705" s="623">
        <v>43100</v>
      </c>
      <c r="O705" s="134" t="s">
        <v>2442</v>
      </c>
      <c r="P705" s="61"/>
      <c r="Q705" s="7"/>
      <c r="R705" s="606" t="s">
        <v>2394</v>
      </c>
      <c r="S705" s="622" t="s">
        <v>1176</v>
      </c>
      <c r="T705" s="904"/>
    </row>
    <row r="706" spans="1:20" ht="20.100000000000001" customHeight="1">
      <c r="A706" s="1162" t="s">
        <v>2977</v>
      </c>
      <c r="B706" s="1162" t="s">
        <v>2585</v>
      </c>
      <c r="C706" s="1162" t="s">
        <v>3363</v>
      </c>
      <c r="D706" s="1022">
        <v>2775</v>
      </c>
      <c r="E706" s="1022">
        <v>2850</v>
      </c>
      <c r="F706" s="1022">
        <v>2850</v>
      </c>
      <c r="G706" s="639" t="s">
        <v>5</v>
      </c>
      <c r="H706" s="56" t="s">
        <v>729</v>
      </c>
      <c r="I706" s="50" t="s">
        <v>3304</v>
      </c>
      <c r="J706" s="37"/>
      <c r="K706" s="19" t="s">
        <v>986</v>
      </c>
      <c r="L706" s="607" t="s">
        <v>653</v>
      </c>
      <c r="M706" s="159">
        <v>43075</v>
      </c>
      <c r="N706" s="159">
        <v>43083</v>
      </c>
      <c r="O706" s="61" t="s">
        <v>1771</v>
      </c>
      <c r="P706" s="61"/>
      <c r="Q706" s="7"/>
      <c r="R706" s="610" t="s">
        <v>2568</v>
      </c>
      <c r="S706" s="316"/>
      <c r="T706" s="904"/>
    </row>
    <row r="707" spans="1:20" ht="20.100000000000001" customHeight="1">
      <c r="A707" s="1166" t="s">
        <v>2977</v>
      </c>
      <c r="B707" s="1166" t="s">
        <v>2585</v>
      </c>
      <c r="C707" s="1166" t="s">
        <v>3363</v>
      </c>
      <c r="D707" s="1015">
        <v>2775</v>
      </c>
      <c r="E707" s="1015">
        <v>2750</v>
      </c>
      <c r="F707" s="1015">
        <v>2750</v>
      </c>
      <c r="G707" s="636" t="s">
        <v>2559</v>
      </c>
      <c r="H707" s="56" t="s">
        <v>1981</v>
      </c>
      <c r="I707" s="37" t="s">
        <v>2589</v>
      </c>
      <c r="J707" s="37"/>
      <c r="K707" s="5" t="s">
        <v>662</v>
      </c>
      <c r="L707" s="607" t="s">
        <v>653</v>
      </c>
      <c r="M707" s="649">
        <v>43080</v>
      </c>
      <c r="N707" s="649">
        <v>43083</v>
      </c>
      <c r="O707" s="61"/>
      <c r="P707" s="61"/>
      <c r="Q707" s="52"/>
      <c r="R707" s="610" t="s">
        <v>4149</v>
      </c>
      <c r="S707" s="619" t="s">
        <v>1176</v>
      </c>
      <c r="T707" s="904"/>
    </row>
    <row r="708" spans="1:20" ht="20.100000000000001" customHeight="1">
      <c r="A708" s="1166" t="s">
        <v>2977</v>
      </c>
      <c r="B708" s="1166" t="s">
        <v>2585</v>
      </c>
      <c r="C708" s="1166" t="s">
        <v>3363</v>
      </c>
      <c r="D708" s="1015">
        <v>2775</v>
      </c>
      <c r="E708" s="1015">
        <v>2750</v>
      </c>
      <c r="F708" s="1015">
        <v>2750</v>
      </c>
      <c r="G708" s="636" t="s">
        <v>18</v>
      </c>
      <c r="H708" s="56" t="s">
        <v>1102</v>
      </c>
      <c r="I708" s="37" t="s">
        <v>2589</v>
      </c>
      <c r="J708" s="37"/>
      <c r="K708" s="5" t="s">
        <v>662</v>
      </c>
      <c r="L708" s="607" t="s">
        <v>653</v>
      </c>
      <c r="M708" s="108">
        <v>43080</v>
      </c>
      <c r="N708" s="108">
        <v>43083</v>
      </c>
      <c r="O708" s="61"/>
      <c r="P708" s="61"/>
      <c r="Q708" s="7"/>
      <c r="R708" s="610" t="s">
        <v>2592</v>
      </c>
      <c r="S708" s="619"/>
      <c r="T708" s="904"/>
    </row>
    <row r="709" spans="1:20" ht="20.100000000000001" customHeight="1">
      <c r="A709" s="1166" t="s">
        <v>2977</v>
      </c>
      <c r="B709" s="1166" t="s">
        <v>2585</v>
      </c>
      <c r="C709" s="1166" t="s">
        <v>3363</v>
      </c>
      <c r="D709" s="894">
        <v>3325</v>
      </c>
      <c r="E709" s="894">
        <v>3300</v>
      </c>
      <c r="F709" s="894">
        <v>3300</v>
      </c>
      <c r="G709" s="227" t="s">
        <v>1689</v>
      </c>
      <c r="H709" s="160" t="s">
        <v>659</v>
      </c>
      <c r="I709" s="50" t="s">
        <v>17</v>
      </c>
      <c r="J709" s="50"/>
      <c r="K709" s="19" t="s">
        <v>687</v>
      </c>
      <c r="L709" s="607" t="s">
        <v>653</v>
      </c>
      <c r="M709" s="156">
        <v>43084</v>
      </c>
      <c r="N709" s="156">
        <v>43100</v>
      </c>
      <c r="O709" s="61" t="s">
        <v>1771</v>
      </c>
      <c r="P709" s="61"/>
      <c r="Q709" s="52"/>
      <c r="R709" s="648" t="s">
        <v>2116</v>
      </c>
      <c r="S709" s="333" t="s">
        <v>1176</v>
      </c>
      <c r="T709" s="904"/>
    </row>
    <row r="710" spans="1:20" ht="20.100000000000001" customHeight="1">
      <c r="A710" s="1166" t="s">
        <v>2977</v>
      </c>
      <c r="B710" s="1166" t="s">
        <v>2585</v>
      </c>
      <c r="C710" s="1166" t="s">
        <v>3363</v>
      </c>
      <c r="D710" s="1022">
        <v>2925</v>
      </c>
      <c r="E710" s="1022">
        <v>2950</v>
      </c>
      <c r="F710" s="1022">
        <v>2950</v>
      </c>
      <c r="G710" s="639" t="s">
        <v>5</v>
      </c>
      <c r="H710" s="645" t="s">
        <v>659</v>
      </c>
      <c r="I710" s="50" t="s">
        <v>17</v>
      </c>
      <c r="J710" s="50"/>
      <c r="K710" s="19" t="s">
        <v>687</v>
      </c>
      <c r="L710" s="607" t="s">
        <v>653</v>
      </c>
      <c r="M710" s="159">
        <v>43070</v>
      </c>
      <c r="N710" s="159">
        <v>43083</v>
      </c>
      <c r="O710" s="61" t="s">
        <v>1771</v>
      </c>
      <c r="P710" s="61"/>
      <c r="Q710" s="7"/>
      <c r="R710" s="606" t="s">
        <v>2558</v>
      </c>
      <c r="S710" s="622"/>
      <c r="T710" s="323" t="s">
        <v>3361</v>
      </c>
    </row>
    <row r="711" spans="1:20" ht="20.100000000000001" customHeight="1">
      <c r="A711" s="1166" t="s">
        <v>2977</v>
      </c>
      <c r="B711" s="1166" t="s">
        <v>2585</v>
      </c>
      <c r="C711" s="1166" t="s">
        <v>3363</v>
      </c>
      <c r="D711" s="1008">
        <v>3175</v>
      </c>
      <c r="E711" s="1008">
        <v>3250</v>
      </c>
      <c r="F711" s="1008">
        <v>3250</v>
      </c>
      <c r="G711" s="629" t="s">
        <v>51</v>
      </c>
      <c r="H711" s="160" t="s">
        <v>659</v>
      </c>
      <c r="I711" s="50" t="s">
        <v>17</v>
      </c>
      <c r="J711" s="50"/>
      <c r="K711" s="19" t="s">
        <v>687</v>
      </c>
      <c r="L711" s="607" t="s">
        <v>653</v>
      </c>
      <c r="M711" s="611">
        <v>43084</v>
      </c>
      <c r="N711" s="611">
        <v>43100</v>
      </c>
      <c r="O711" s="61"/>
      <c r="P711" s="61"/>
      <c r="Q711" s="52"/>
      <c r="R711" s="610" t="s">
        <v>2557</v>
      </c>
      <c r="S711" s="315" t="s">
        <v>3290</v>
      </c>
      <c r="T711" s="904"/>
    </row>
    <row r="712" spans="1:20" ht="20.100000000000001" customHeight="1">
      <c r="A712" s="1166" t="s">
        <v>2977</v>
      </c>
      <c r="B712" s="1166" t="s">
        <v>2585</v>
      </c>
      <c r="C712" s="1166" t="s">
        <v>3363</v>
      </c>
      <c r="D712" s="1068">
        <v>3050</v>
      </c>
      <c r="E712" s="1068">
        <v>3100</v>
      </c>
      <c r="F712" s="1068">
        <v>3100</v>
      </c>
      <c r="G712" s="636" t="s">
        <v>33</v>
      </c>
      <c r="H712" s="160" t="s">
        <v>659</v>
      </c>
      <c r="I712" s="50" t="s">
        <v>17</v>
      </c>
      <c r="J712" s="50"/>
      <c r="K712" s="19" t="s">
        <v>687</v>
      </c>
      <c r="L712" s="607" t="s">
        <v>653</v>
      </c>
      <c r="M712" s="159">
        <v>43084</v>
      </c>
      <c r="N712" s="159">
        <v>43100</v>
      </c>
      <c r="O712" s="61"/>
      <c r="P712" s="61"/>
      <c r="Q712" s="52"/>
      <c r="R712" s="610" t="s">
        <v>2557</v>
      </c>
      <c r="S712" s="316" t="s">
        <v>3353</v>
      </c>
      <c r="T712" s="904"/>
    </row>
    <row r="713" spans="1:20" ht="20.100000000000001" customHeight="1">
      <c r="A713" s="1166" t="s">
        <v>2977</v>
      </c>
      <c r="B713" s="1166" t="s">
        <v>2585</v>
      </c>
      <c r="C713" s="1166" t="s">
        <v>3363</v>
      </c>
      <c r="D713" s="1023">
        <v>2650</v>
      </c>
      <c r="E713" s="1023">
        <v>2800</v>
      </c>
      <c r="F713" s="1023">
        <v>2800</v>
      </c>
      <c r="G713" s="215" t="s">
        <v>19</v>
      </c>
      <c r="H713" s="627" t="s">
        <v>659</v>
      </c>
      <c r="I713" s="50" t="s">
        <v>17</v>
      </c>
      <c r="J713" s="50"/>
      <c r="K713" s="19" t="s">
        <v>687</v>
      </c>
      <c r="L713" s="607" t="s">
        <v>653</v>
      </c>
      <c r="M713" s="156">
        <v>43084</v>
      </c>
      <c r="N713" s="156">
        <v>43092</v>
      </c>
      <c r="O713" s="59" t="s">
        <v>611</v>
      </c>
      <c r="P713" s="61"/>
      <c r="Q713" s="52"/>
      <c r="R713" s="610" t="s">
        <v>2556</v>
      </c>
      <c r="S713" s="316" t="s">
        <v>1176</v>
      </c>
      <c r="T713" s="922">
        <v>28</v>
      </c>
    </row>
    <row r="714" spans="1:20" ht="20.100000000000001" customHeight="1">
      <c r="A714" s="1166" t="s">
        <v>2977</v>
      </c>
      <c r="B714" s="1166" t="s">
        <v>2585</v>
      </c>
      <c r="C714" s="1166" t="s">
        <v>3363</v>
      </c>
      <c r="D714" s="1021">
        <v>3100</v>
      </c>
      <c r="E714" s="1021">
        <v>3100</v>
      </c>
      <c r="F714" s="1021">
        <v>3100</v>
      </c>
      <c r="G714" s="637" t="s">
        <v>12</v>
      </c>
      <c r="H714" s="160" t="s">
        <v>659</v>
      </c>
      <c r="I714" s="50" t="s">
        <v>17</v>
      </c>
      <c r="J714" s="50"/>
      <c r="K714" s="19" t="s">
        <v>687</v>
      </c>
      <c r="L714" s="607" t="s">
        <v>653</v>
      </c>
      <c r="M714" s="15">
        <v>43084</v>
      </c>
      <c r="N714" s="15">
        <v>43100</v>
      </c>
      <c r="O714" s="61" t="s">
        <v>2545</v>
      </c>
      <c r="P714" s="61"/>
      <c r="Q714" s="52"/>
      <c r="R714" s="606" t="s">
        <v>2135</v>
      </c>
      <c r="S714" s="315" t="s">
        <v>3294</v>
      </c>
      <c r="T714" s="904"/>
    </row>
    <row r="715" spans="1:20" ht="20.100000000000001" customHeight="1">
      <c r="A715" s="1166" t="s">
        <v>2977</v>
      </c>
      <c r="B715" s="1166" t="s">
        <v>2585</v>
      </c>
      <c r="C715" s="1166" t="s">
        <v>3363</v>
      </c>
      <c r="D715" s="1006">
        <v>2675</v>
      </c>
      <c r="E715" s="1006">
        <v>2750</v>
      </c>
      <c r="F715" s="1006">
        <v>2750</v>
      </c>
      <c r="G715" s="640" t="s">
        <v>233</v>
      </c>
      <c r="H715" s="160" t="s">
        <v>659</v>
      </c>
      <c r="I715" s="50" t="s">
        <v>17</v>
      </c>
      <c r="J715" s="50"/>
      <c r="K715" s="19" t="s">
        <v>687</v>
      </c>
      <c r="L715" s="607" t="s">
        <v>653</v>
      </c>
      <c r="M715" s="620">
        <v>43080</v>
      </c>
      <c r="N715" s="620">
        <v>43083</v>
      </c>
      <c r="O715" s="59" t="s">
        <v>601</v>
      </c>
      <c r="P715" s="61"/>
      <c r="Q715" s="52"/>
      <c r="R715" s="610" t="s">
        <v>2137</v>
      </c>
      <c r="S715" s="316" t="s">
        <v>3352</v>
      </c>
      <c r="T715" s="904"/>
    </row>
    <row r="716" spans="1:20" ht="20.100000000000001" customHeight="1">
      <c r="A716" s="1166" t="s">
        <v>2977</v>
      </c>
      <c r="B716" s="1166" t="s">
        <v>2585</v>
      </c>
      <c r="C716" s="1166" t="s">
        <v>3363</v>
      </c>
      <c r="D716" s="1022">
        <v>2775</v>
      </c>
      <c r="E716" s="1022">
        <v>2850</v>
      </c>
      <c r="F716" s="1022">
        <v>2850</v>
      </c>
      <c r="G716" s="639" t="s">
        <v>5</v>
      </c>
      <c r="H716" s="56" t="s">
        <v>721</v>
      </c>
      <c r="I716" s="50" t="s">
        <v>3293</v>
      </c>
      <c r="J716" s="50"/>
      <c r="K716" s="19" t="s">
        <v>662</v>
      </c>
      <c r="L716" s="607" t="s">
        <v>653</v>
      </c>
      <c r="M716" s="159">
        <v>43075</v>
      </c>
      <c r="N716" s="159">
        <v>43083</v>
      </c>
      <c r="O716" s="61" t="s">
        <v>1771</v>
      </c>
      <c r="P716" s="61"/>
      <c r="Q716" s="7"/>
      <c r="R716" s="610" t="s">
        <v>3305</v>
      </c>
      <c r="S716" s="316"/>
      <c r="T716" s="904"/>
    </row>
    <row r="717" spans="1:20" ht="20.100000000000001" customHeight="1">
      <c r="A717" s="1166" t="s">
        <v>2977</v>
      </c>
      <c r="B717" s="1166" t="s">
        <v>2585</v>
      </c>
      <c r="C717" s="1166" t="s">
        <v>3363</v>
      </c>
      <c r="D717" s="1022">
        <v>2925</v>
      </c>
      <c r="E717" s="1022">
        <v>2950</v>
      </c>
      <c r="F717" s="1022">
        <v>2950</v>
      </c>
      <c r="G717" s="639" t="s">
        <v>5</v>
      </c>
      <c r="H717" s="160" t="s">
        <v>1233</v>
      </c>
      <c r="I717" s="50" t="s">
        <v>17</v>
      </c>
      <c r="J717" s="50"/>
      <c r="K717" s="19" t="s">
        <v>687</v>
      </c>
      <c r="L717" s="607" t="s">
        <v>653</v>
      </c>
      <c r="M717" s="159">
        <v>43070</v>
      </c>
      <c r="N717" s="159">
        <v>43083</v>
      </c>
      <c r="O717" s="61" t="s">
        <v>1771</v>
      </c>
      <c r="P717" s="61"/>
      <c r="Q717" s="7"/>
      <c r="R717" s="610" t="s">
        <v>2136</v>
      </c>
      <c r="S717" s="619"/>
      <c r="T717" s="323" t="s">
        <v>3361</v>
      </c>
    </row>
    <row r="718" spans="1:20" ht="20.100000000000001" customHeight="1">
      <c r="A718" s="1166" t="s">
        <v>2977</v>
      </c>
      <c r="B718" s="1166" t="s">
        <v>2585</v>
      </c>
      <c r="C718" s="1166" t="s">
        <v>3363</v>
      </c>
      <c r="D718" s="1023">
        <v>2650</v>
      </c>
      <c r="E718" s="1023">
        <v>2800</v>
      </c>
      <c r="F718" s="1023">
        <v>2800</v>
      </c>
      <c r="G718" s="639" t="s">
        <v>19</v>
      </c>
      <c r="H718" s="627" t="s">
        <v>1233</v>
      </c>
      <c r="I718" s="50" t="s">
        <v>17</v>
      </c>
      <c r="J718" s="50"/>
      <c r="K718" s="19" t="s">
        <v>687</v>
      </c>
      <c r="L718" s="607" t="s">
        <v>653</v>
      </c>
      <c r="M718" s="156">
        <v>43084</v>
      </c>
      <c r="N718" s="156">
        <v>43092</v>
      </c>
      <c r="O718" s="59" t="s">
        <v>611</v>
      </c>
      <c r="P718" s="61"/>
      <c r="Q718" s="52"/>
      <c r="R718" s="610" t="s">
        <v>2135</v>
      </c>
      <c r="S718" s="316" t="s">
        <v>1176</v>
      </c>
      <c r="T718" s="922">
        <v>28</v>
      </c>
    </row>
    <row r="719" spans="1:20" ht="20.100000000000001" customHeight="1">
      <c r="A719" s="1166" t="s">
        <v>2977</v>
      </c>
      <c r="B719" s="1166" t="s">
        <v>2585</v>
      </c>
      <c r="C719" s="1166" t="s">
        <v>3363</v>
      </c>
      <c r="D719" s="894">
        <v>3325</v>
      </c>
      <c r="E719" s="894">
        <v>3300</v>
      </c>
      <c r="F719" s="894">
        <v>3300</v>
      </c>
      <c r="G719" s="227" t="s">
        <v>1689</v>
      </c>
      <c r="H719" s="160" t="s">
        <v>1233</v>
      </c>
      <c r="I719" s="50" t="s">
        <v>17</v>
      </c>
      <c r="J719" s="50"/>
      <c r="K719" s="19" t="s">
        <v>687</v>
      </c>
      <c r="L719" s="607" t="s">
        <v>653</v>
      </c>
      <c r="M719" s="156">
        <v>43084</v>
      </c>
      <c r="N719" s="156">
        <v>43100</v>
      </c>
      <c r="O719" s="61" t="s">
        <v>1771</v>
      </c>
      <c r="P719" s="61"/>
      <c r="Q719" s="52"/>
      <c r="R719" s="648" t="s">
        <v>347</v>
      </c>
      <c r="S719" s="333" t="s">
        <v>1176</v>
      </c>
      <c r="T719" s="904"/>
    </row>
    <row r="720" spans="1:20" ht="20.100000000000001" customHeight="1">
      <c r="A720" s="1167" t="s">
        <v>2977</v>
      </c>
      <c r="B720" s="1167" t="s">
        <v>2585</v>
      </c>
      <c r="C720" s="1167" t="s">
        <v>3363</v>
      </c>
      <c r="D720" s="1021">
        <v>3250</v>
      </c>
      <c r="E720" s="1021"/>
      <c r="F720" s="1021">
        <v>3300</v>
      </c>
      <c r="G720" s="630" t="s">
        <v>28</v>
      </c>
      <c r="H720" s="160" t="s">
        <v>1233</v>
      </c>
      <c r="I720" s="50" t="s">
        <v>17</v>
      </c>
      <c r="J720" s="50"/>
      <c r="K720" s="19" t="s">
        <v>687</v>
      </c>
      <c r="L720" s="607" t="s">
        <v>653</v>
      </c>
      <c r="M720" s="620">
        <v>43084</v>
      </c>
      <c r="N720" s="620">
        <v>43100</v>
      </c>
      <c r="O720" s="153" t="s">
        <v>1980</v>
      </c>
      <c r="P720" s="61"/>
      <c r="Q720" s="7"/>
      <c r="R720" s="606" t="s">
        <v>2134</v>
      </c>
      <c r="S720" s="333"/>
      <c r="T720" s="904"/>
    </row>
    <row r="721" spans="1:20" ht="20.100000000000001" customHeight="1">
      <c r="A721" s="926" t="s">
        <v>2977</v>
      </c>
      <c r="B721" s="895" t="s">
        <v>2585</v>
      </c>
      <c r="C721" s="895" t="s">
        <v>4148</v>
      </c>
      <c r="D721" s="1015"/>
      <c r="E721" s="1015"/>
      <c r="F721" s="1015"/>
      <c r="G721" s="636"/>
      <c r="H721" s="22"/>
      <c r="I721" s="50"/>
      <c r="J721" s="37"/>
      <c r="K721" s="19"/>
      <c r="L721" s="607"/>
      <c r="M721" s="607"/>
      <c r="N721" s="623"/>
      <c r="O721" s="61"/>
      <c r="P721" s="7"/>
      <c r="Q721" s="7"/>
      <c r="R721" s="606"/>
      <c r="S721" s="622"/>
      <c r="T721" s="904"/>
    </row>
    <row r="722" spans="1:20" ht="20.100000000000001" customHeight="1">
      <c r="A722" s="1254" t="s">
        <v>2977</v>
      </c>
      <c r="B722" s="1127" t="s">
        <v>2585</v>
      </c>
      <c r="C722" s="1127" t="s">
        <v>4147</v>
      </c>
      <c r="D722" s="1008">
        <v>3175</v>
      </c>
      <c r="E722" s="1008">
        <v>3250</v>
      </c>
      <c r="F722" s="1008">
        <v>3250</v>
      </c>
      <c r="G722" s="637" t="s">
        <v>51</v>
      </c>
      <c r="H722" s="56">
        <v>3</v>
      </c>
      <c r="I722" s="50" t="s">
        <v>17</v>
      </c>
      <c r="J722" s="50"/>
      <c r="K722" s="19" t="s">
        <v>2395</v>
      </c>
      <c r="L722" s="607" t="s">
        <v>653</v>
      </c>
      <c r="M722" s="611">
        <v>43084</v>
      </c>
      <c r="N722" s="611">
        <v>43100</v>
      </c>
      <c r="O722" s="61"/>
      <c r="P722" s="61"/>
      <c r="Q722" s="52"/>
      <c r="R722" s="610" t="s">
        <v>2557</v>
      </c>
      <c r="S722" s="315" t="s">
        <v>3290</v>
      </c>
      <c r="T722" s="904"/>
    </row>
    <row r="723" spans="1:20" ht="20.100000000000001" customHeight="1">
      <c r="A723" s="1254" t="s">
        <v>2977</v>
      </c>
      <c r="B723" s="1127" t="s">
        <v>2585</v>
      </c>
      <c r="C723" s="1127" t="s">
        <v>4147</v>
      </c>
      <c r="D723" s="1022">
        <v>2925</v>
      </c>
      <c r="E723" s="1022">
        <v>2950</v>
      </c>
      <c r="F723" s="1022">
        <v>2950</v>
      </c>
      <c r="G723" s="637" t="s">
        <v>5</v>
      </c>
      <c r="H723" s="645" t="s">
        <v>659</v>
      </c>
      <c r="I723" s="50" t="s">
        <v>17</v>
      </c>
      <c r="J723" s="50"/>
      <c r="K723" s="19" t="s">
        <v>2395</v>
      </c>
      <c r="L723" s="607" t="s">
        <v>653</v>
      </c>
      <c r="M723" s="159">
        <v>43070</v>
      </c>
      <c r="N723" s="159">
        <v>43083</v>
      </c>
      <c r="O723" s="61" t="s">
        <v>1771</v>
      </c>
      <c r="P723" s="61"/>
      <c r="Q723" s="7"/>
      <c r="R723" s="606" t="s">
        <v>2558</v>
      </c>
      <c r="S723" s="622"/>
      <c r="T723" s="323" t="s">
        <v>3361</v>
      </c>
    </row>
    <row r="724" spans="1:20" ht="20.100000000000001" customHeight="1">
      <c r="A724" s="1254" t="s">
        <v>2977</v>
      </c>
      <c r="B724" s="1127" t="s">
        <v>2585</v>
      </c>
      <c r="C724" s="1127" t="s">
        <v>4147</v>
      </c>
      <c r="D724" s="1068">
        <v>3050</v>
      </c>
      <c r="E724" s="1068">
        <v>3100</v>
      </c>
      <c r="F724" s="1068">
        <v>3100</v>
      </c>
      <c r="G724" s="631" t="s">
        <v>33</v>
      </c>
      <c r="H724" s="56">
        <v>3</v>
      </c>
      <c r="I724" s="50" t="s">
        <v>17</v>
      </c>
      <c r="J724" s="50"/>
      <c r="K724" s="19" t="s">
        <v>2395</v>
      </c>
      <c r="L724" s="607" t="s">
        <v>653</v>
      </c>
      <c r="M724" s="159">
        <v>43084</v>
      </c>
      <c r="N724" s="159">
        <v>43100</v>
      </c>
      <c r="O724" s="61"/>
      <c r="P724" s="61"/>
      <c r="Q724" s="52"/>
      <c r="R724" s="610" t="s">
        <v>2557</v>
      </c>
      <c r="S724" s="316" t="s">
        <v>3353</v>
      </c>
      <c r="T724" s="904"/>
    </row>
    <row r="725" spans="1:20" ht="20.100000000000001" customHeight="1">
      <c r="A725" s="1254" t="s">
        <v>2977</v>
      </c>
      <c r="B725" s="1127" t="s">
        <v>2585</v>
      </c>
      <c r="C725" s="1127" t="s">
        <v>4147</v>
      </c>
      <c r="D725" s="1023">
        <v>2650</v>
      </c>
      <c r="E725" s="1023">
        <v>2800</v>
      </c>
      <c r="F725" s="1023">
        <v>2800</v>
      </c>
      <c r="G725" s="637" t="s">
        <v>19</v>
      </c>
      <c r="H725" s="628">
        <v>3</v>
      </c>
      <c r="I725" s="50" t="s">
        <v>17</v>
      </c>
      <c r="J725" s="50"/>
      <c r="K725" s="19" t="s">
        <v>2395</v>
      </c>
      <c r="L725" s="607" t="s">
        <v>653</v>
      </c>
      <c r="M725" s="156">
        <v>43084</v>
      </c>
      <c r="N725" s="156">
        <v>43092</v>
      </c>
      <c r="O725" s="59" t="s">
        <v>611</v>
      </c>
      <c r="P725" s="61"/>
      <c r="Q725" s="52"/>
      <c r="R725" s="610" t="s">
        <v>2556</v>
      </c>
      <c r="S725" s="316" t="s">
        <v>1176</v>
      </c>
      <c r="T725" s="922">
        <v>28</v>
      </c>
    </row>
    <row r="726" spans="1:20" ht="20.100000000000001" customHeight="1">
      <c r="A726" s="1254" t="s">
        <v>2977</v>
      </c>
      <c r="B726" s="1127" t="s">
        <v>2585</v>
      </c>
      <c r="C726" s="1127" t="s">
        <v>4147</v>
      </c>
      <c r="D726" s="1006">
        <v>2675</v>
      </c>
      <c r="E726" s="1006">
        <v>2750</v>
      </c>
      <c r="F726" s="1006">
        <v>2750</v>
      </c>
      <c r="G726" s="640" t="s">
        <v>233</v>
      </c>
      <c r="H726" s="56">
        <v>3</v>
      </c>
      <c r="I726" s="50" t="s">
        <v>17</v>
      </c>
      <c r="J726" s="50"/>
      <c r="K726" s="19" t="s">
        <v>2395</v>
      </c>
      <c r="L726" s="607" t="s">
        <v>653</v>
      </c>
      <c r="M726" s="620">
        <v>43080</v>
      </c>
      <c r="N726" s="620">
        <v>43083</v>
      </c>
      <c r="O726" s="59" t="s">
        <v>601</v>
      </c>
      <c r="P726" s="61"/>
      <c r="Q726" s="52"/>
      <c r="R726" s="610" t="s">
        <v>2137</v>
      </c>
      <c r="S726" s="316" t="s">
        <v>3352</v>
      </c>
      <c r="T726" s="922"/>
    </row>
    <row r="727" spans="1:20" ht="20.100000000000001" customHeight="1">
      <c r="A727" s="1254" t="s">
        <v>2977</v>
      </c>
      <c r="B727" s="1127" t="s">
        <v>2585</v>
      </c>
      <c r="C727" s="1127" t="s">
        <v>4147</v>
      </c>
      <c r="D727" s="894">
        <v>3325</v>
      </c>
      <c r="E727" s="894">
        <v>3300</v>
      </c>
      <c r="F727" s="894">
        <v>3300</v>
      </c>
      <c r="G727" s="227" t="s">
        <v>1689</v>
      </c>
      <c r="H727" s="56">
        <v>3</v>
      </c>
      <c r="I727" s="50" t="s">
        <v>17</v>
      </c>
      <c r="J727" s="50"/>
      <c r="K727" s="19" t="s">
        <v>2395</v>
      </c>
      <c r="L727" s="607" t="s">
        <v>653</v>
      </c>
      <c r="M727" s="156">
        <v>43084</v>
      </c>
      <c r="N727" s="156">
        <v>43100</v>
      </c>
      <c r="O727" s="61" t="s">
        <v>1771</v>
      </c>
      <c r="P727" s="59"/>
      <c r="Q727" s="52"/>
      <c r="R727" s="135" t="s">
        <v>2116</v>
      </c>
      <c r="S727" s="333" t="s">
        <v>1176</v>
      </c>
      <c r="T727" s="904"/>
    </row>
    <row r="728" spans="1:20" ht="20.100000000000001" customHeight="1">
      <c r="A728" s="1254" t="s">
        <v>2977</v>
      </c>
      <c r="B728" s="1127" t="s">
        <v>2585</v>
      </c>
      <c r="C728" s="1127" t="s">
        <v>4147</v>
      </c>
      <c r="D728" s="1021">
        <v>3100</v>
      </c>
      <c r="E728" s="1021">
        <v>3100</v>
      </c>
      <c r="F728" s="1021">
        <v>3100</v>
      </c>
      <c r="G728" s="227" t="s">
        <v>12</v>
      </c>
      <c r="H728" s="56">
        <v>3</v>
      </c>
      <c r="I728" s="50" t="s">
        <v>17</v>
      </c>
      <c r="J728" s="50"/>
      <c r="K728" s="19" t="s">
        <v>2395</v>
      </c>
      <c r="L728" s="607" t="s">
        <v>653</v>
      </c>
      <c r="M728" s="15">
        <v>43084</v>
      </c>
      <c r="N728" s="15">
        <v>43100</v>
      </c>
      <c r="O728" s="61" t="s">
        <v>2545</v>
      </c>
      <c r="P728" s="61"/>
      <c r="Q728" s="52"/>
      <c r="R728" s="606" t="s">
        <v>2135</v>
      </c>
      <c r="S728" s="315" t="s">
        <v>3294</v>
      </c>
      <c r="T728" s="904"/>
    </row>
    <row r="729" spans="1:20" ht="20.100000000000001" customHeight="1">
      <c r="A729" s="1254" t="s">
        <v>2977</v>
      </c>
      <c r="B729" s="1127" t="s">
        <v>2585</v>
      </c>
      <c r="C729" s="1127" t="s">
        <v>4147</v>
      </c>
      <c r="D729" s="1008">
        <v>3425</v>
      </c>
      <c r="E729" s="1008">
        <v>3450</v>
      </c>
      <c r="F729" s="1008">
        <v>3450</v>
      </c>
      <c r="G729" s="227" t="s">
        <v>1689</v>
      </c>
      <c r="H729" s="160" t="s">
        <v>659</v>
      </c>
      <c r="I729" s="50" t="s">
        <v>4138</v>
      </c>
      <c r="J729" s="50"/>
      <c r="K729" s="19">
        <v>38</v>
      </c>
      <c r="L729" s="607" t="s">
        <v>653</v>
      </c>
      <c r="M729" s="156">
        <v>43074</v>
      </c>
      <c r="N729" s="156">
        <v>43100</v>
      </c>
      <c r="O729" s="61" t="s">
        <v>1771</v>
      </c>
      <c r="P729" s="59"/>
      <c r="Q729" s="52"/>
      <c r="R729" s="648" t="s">
        <v>2116</v>
      </c>
      <c r="S729" s="333" t="s">
        <v>1176</v>
      </c>
      <c r="T729" s="904"/>
    </row>
    <row r="730" spans="1:20" ht="20.100000000000001" customHeight="1">
      <c r="A730" s="1254" t="s">
        <v>2977</v>
      </c>
      <c r="B730" s="1127" t="s">
        <v>2585</v>
      </c>
      <c r="C730" s="1127" t="s">
        <v>4146</v>
      </c>
      <c r="D730" s="1024">
        <v>4000</v>
      </c>
      <c r="E730" s="1024">
        <v>4000</v>
      </c>
      <c r="F730" s="1024">
        <v>4000</v>
      </c>
      <c r="G730" s="636" t="s">
        <v>31</v>
      </c>
      <c r="H730" s="22" t="s">
        <v>1102</v>
      </c>
      <c r="I730" s="50" t="s">
        <v>2589</v>
      </c>
      <c r="J730" s="50"/>
      <c r="K730" s="19" t="s">
        <v>985</v>
      </c>
      <c r="L730" s="607" t="s">
        <v>653</v>
      </c>
      <c r="M730" s="623">
        <v>43084</v>
      </c>
      <c r="N730" s="623">
        <v>43100</v>
      </c>
      <c r="O730" s="59"/>
      <c r="P730" s="59"/>
      <c r="Q730" s="7"/>
      <c r="R730" s="610" t="s">
        <v>2138</v>
      </c>
      <c r="S730" s="622" t="s">
        <v>1176</v>
      </c>
      <c r="T730" s="904"/>
    </row>
    <row r="731" spans="1:20" ht="20.100000000000001" customHeight="1">
      <c r="A731" s="1254" t="s">
        <v>2977</v>
      </c>
      <c r="B731" s="1127" t="s">
        <v>2585</v>
      </c>
      <c r="C731" s="1127" t="s">
        <v>4146</v>
      </c>
      <c r="D731" s="1015">
        <v>4475</v>
      </c>
      <c r="E731" s="1015">
        <v>4550</v>
      </c>
      <c r="F731" s="1015">
        <v>4550</v>
      </c>
      <c r="G731" s="636" t="s">
        <v>2559</v>
      </c>
      <c r="H731" s="160" t="s">
        <v>1102</v>
      </c>
      <c r="I731" s="37" t="s">
        <v>2548</v>
      </c>
      <c r="J731" s="37"/>
      <c r="K731" s="19" t="s">
        <v>2151</v>
      </c>
      <c r="L731" s="607" t="s">
        <v>653</v>
      </c>
      <c r="M731" s="649">
        <v>43070</v>
      </c>
      <c r="N731" s="649">
        <v>43083</v>
      </c>
      <c r="O731" s="61"/>
      <c r="P731" s="61"/>
      <c r="Q731" s="7"/>
      <c r="R731" s="610" t="s">
        <v>2547</v>
      </c>
      <c r="S731" s="619" t="s">
        <v>1176</v>
      </c>
      <c r="T731" s="904"/>
    </row>
    <row r="732" spans="1:20" ht="20.100000000000001" customHeight="1">
      <c r="A732" s="1254" t="s">
        <v>2977</v>
      </c>
      <c r="B732" s="1127" t="s">
        <v>2585</v>
      </c>
      <c r="C732" s="1127" t="s">
        <v>4146</v>
      </c>
      <c r="D732" s="1023">
        <v>3575</v>
      </c>
      <c r="E732" s="1023">
        <v>3650</v>
      </c>
      <c r="F732" s="1023">
        <v>3650</v>
      </c>
      <c r="G732" s="636" t="s">
        <v>18</v>
      </c>
      <c r="H732" s="160" t="s">
        <v>1102</v>
      </c>
      <c r="I732" s="37" t="s">
        <v>2548</v>
      </c>
      <c r="J732" s="37"/>
      <c r="K732" s="19" t="s">
        <v>2151</v>
      </c>
      <c r="L732" s="607" t="s">
        <v>653</v>
      </c>
      <c r="M732" s="108">
        <v>43080</v>
      </c>
      <c r="N732" s="108">
        <v>43083</v>
      </c>
      <c r="O732" s="61"/>
      <c r="P732" s="61"/>
      <c r="Q732" s="7"/>
      <c r="R732" s="606" t="s">
        <v>2547</v>
      </c>
      <c r="S732" s="619"/>
      <c r="T732" s="904"/>
    </row>
    <row r="733" spans="1:20" ht="20.100000000000001" customHeight="1">
      <c r="A733" s="1254" t="s">
        <v>2977</v>
      </c>
      <c r="B733" s="1127" t="s">
        <v>2585</v>
      </c>
      <c r="C733" s="1127" t="s">
        <v>4146</v>
      </c>
      <c r="D733" s="1022">
        <v>3475</v>
      </c>
      <c r="E733" s="1022">
        <v>3550</v>
      </c>
      <c r="F733" s="1022">
        <v>3550</v>
      </c>
      <c r="G733" s="639" t="s">
        <v>5</v>
      </c>
      <c r="H733" s="56">
        <v>3</v>
      </c>
      <c r="I733" s="50" t="s">
        <v>2589</v>
      </c>
      <c r="J733" s="50"/>
      <c r="K733" s="19" t="s">
        <v>2395</v>
      </c>
      <c r="L733" s="607" t="s">
        <v>653</v>
      </c>
      <c r="M733" s="159">
        <v>43075</v>
      </c>
      <c r="N733" s="159">
        <v>43083</v>
      </c>
      <c r="O733" s="61" t="s">
        <v>1771</v>
      </c>
      <c r="P733" s="61"/>
      <c r="Q733" s="7"/>
      <c r="R733" s="606" t="s">
        <v>2558</v>
      </c>
      <c r="S733" s="622"/>
      <c r="T733" s="323" t="s">
        <v>3361</v>
      </c>
    </row>
    <row r="734" spans="1:20" ht="20.100000000000001" customHeight="1">
      <c r="A734" s="1254" t="s">
        <v>2977</v>
      </c>
      <c r="B734" s="1127" t="s">
        <v>2585</v>
      </c>
      <c r="C734" s="1127" t="s">
        <v>4146</v>
      </c>
      <c r="D734" s="1019">
        <v>3300</v>
      </c>
      <c r="E734" s="1019">
        <v>3600</v>
      </c>
      <c r="F734" s="1019">
        <v>3600</v>
      </c>
      <c r="G734" s="637" t="s">
        <v>12</v>
      </c>
      <c r="H734" s="160" t="s">
        <v>659</v>
      </c>
      <c r="I734" s="50" t="s">
        <v>2589</v>
      </c>
      <c r="J734" s="50"/>
      <c r="K734" s="19">
        <v>42</v>
      </c>
      <c r="L734" s="607" t="s">
        <v>653</v>
      </c>
      <c r="M734" s="15">
        <v>43084</v>
      </c>
      <c r="N734" s="15">
        <v>43100</v>
      </c>
      <c r="O734" s="61" t="s">
        <v>2545</v>
      </c>
      <c r="P734" s="59"/>
      <c r="Q734" s="52"/>
      <c r="R734" s="610" t="s">
        <v>2135</v>
      </c>
      <c r="S734" s="315" t="s">
        <v>3294</v>
      </c>
      <c r="T734" s="904"/>
    </row>
    <row r="735" spans="1:20" ht="20.100000000000001" customHeight="1">
      <c r="A735" s="1254" t="s">
        <v>2977</v>
      </c>
      <c r="B735" s="1127" t="s">
        <v>2585</v>
      </c>
      <c r="C735" s="1127" t="s">
        <v>4146</v>
      </c>
      <c r="D735" s="1008">
        <v>3425</v>
      </c>
      <c r="E735" s="1008">
        <v>3450</v>
      </c>
      <c r="F735" s="1008">
        <v>3450</v>
      </c>
      <c r="G735" s="227" t="s">
        <v>1689</v>
      </c>
      <c r="H735" s="56" t="s">
        <v>646</v>
      </c>
      <c r="I735" s="37" t="s">
        <v>2589</v>
      </c>
      <c r="J735" s="37"/>
      <c r="K735" s="5">
        <v>43</v>
      </c>
      <c r="L735" s="607" t="s">
        <v>653</v>
      </c>
      <c r="M735" s="156">
        <v>43074</v>
      </c>
      <c r="N735" s="156">
        <v>43100</v>
      </c>
      <c r="O735" s="61" t="s">
        <v>1771</v>
      </c>
      <c r="P735" s="61"/>
      <c r="Q735" s="52"/>
      <c r="R735" s="648" t="s">
        <v>2588</v>
      </c>
      <c r="S735" s="333" t="s">
        <v>1176</v>
      </c>
      <c r="T735" s="904"/>
    </row>
    <row r="736" spans="1:20" ht="20.100000000000001" customHeight="1">
      <c r="A736" s="1254" t="s">
        <v>2977</v>
      </c>
      <c r="B736" s="1127" t="s">
        <v>2585</v>
      </c>
      <c r="C736" s="1127" t="s">
        <v>4146</v>
      </c>
      <c r="D736" s="1023">
        <v>3650</v>
      </c>
      <c r="E736" s="1023">
        <v>3800</v>
      </c>
      <c r="F736" s="1023">
        <v>3800</v>
      </c>
      <c r="G736" s="629" t="s">
        <v>19</v>
      </c>
      <c r="H736" s="627" t="s">
        <v>3358</v>
      </c>
      <c r="I736" s="37" t="s">
        <v>2589</v>
      </c>
      <c r="J736" s="37"/>
      <c r="K736" s="5" t="s">
        <v>985</v>
      </c>
      <c r="L736" s="607" t="s">
        <v>653</v>
      </c>
      <c r="M736" s="156">
        <v>43084</v>
      </c>
      <c r="N736" s="156">
        <v>43092</v>
      </c>
      <c r="O736" s="59" t="s">
        <v>611</v>
      </c>
      <c r="P736" s="59"/>
      <c r="Q736" s="52"/>
      <c r="R736" s="610" t="s">
        <v>2562</v>
      </c>
      <c r="S736" s="316" t="s">
        <v>1176</v>
      </c>
      <c r="T736" s="922">
        <v>28</v>
      </c>
    </row>
    <row r="737" spans="1:20" ht="20.100000000000001" customHeight="1">
      <c r="A737" s="1254" t="s">
        <v>2977</v>
      </c>
      <c r="B737" s="1127" t="s">
        <v>2585</v>
      </c>
      <c r="C737" s="1127" t="s">
        <v>4146</v>
      </c>
      <c r="D737" s="1019">
        <f>D631+600</f>
        <v>3750</v>
      </c>
      <c r="E737" s="1019">
        <f>E631+1100</f>
        <v>4300</v>
      </c>
      <c r="F737" s="1019">
        <f>F631+1100</f>
        <v>4300</v>
      </c>
      <c r="G737" s="217" t="s">
        <v>51</v>
      </c>
      <c r="H737" s="4">
        <v>7</v>
      </c>
      <c r="I737" s="37" t="s">
        <v>2589</v>
      </c>
      <c r="J737" s="37"/>
      <c r="K737" s="34" t="s">
        <v>1242</v>
      </c>
      <c r="L737" s="607" t="s">
        <v>653</v>
      </c>
      <c r="M737" s="611">
        <v>43084</v>
      </c>
      <c r="N737" s="611">
        <v>43100</v>
      </c>
      <c r="O737" s="61"/>
      <c r="P737" s="61"/>
      <c r="Q737" s="52"/>
      <c r="R737" s="606" t="s">
        <v>347</v>
      </c>
      <c r="S737" s="315" t="s">
        <v>3290</v>
      </c>
      <c r="T737" s="904"/>
    </row>
    <row r="738" spans="1:20" ht="20.100000000000001" customHeight="1">
      <c r="A738" s="1162" t="s">
        <v>2977</v>
      </c>
      <c r="B738" s="1162" t="s">
        <v>2585</v>
      </c>
      <c r="C738" s="1162" t="s">
        <v>4144</v>
      </c>
      <c r="D738" s="1022">
        <v>3475</v>
      </c>
      <c r="E738" s="1022">
        <v>3550</v>
      </c>
      <c r="F738" s="1022">
        <v>3550</v>
      </c>
      <c r="G738" s="639" t="s">
        <v>5</v>
      </c>
      <c r="H738" s="56" t="s">
        <v>729</v>
      </c>
      <c r="I738" s="50" t="s">
        <v>3304</v>
      </c>
      <c r="J738" s="37"/>
      <c r="K738" s="34" t="s">
        <v>2395</v>
      </c>
      <c r="L738" s="607" t="s">
        <v>653</v>
      </c>
      <c r="M738" s="159">
        <v>43075</v>
      </c>
      <c r="N738" s="159">
        <v>43083</v>
      </c>
      <c r="O738" s="61" t="s">
        <v>1771</v>
      </c>
      <c r="P738" s="61"/>
      <c r="Q738" s="52"/>
      <c r="R738" s="610" t="s">
        <v>2568</v>
      </c>
      <c r="S738" s="316"/>
      <c r="T738" s="904"/>
    </row>
    <row r="739" spans="1:20" ht="20.100000000000001" customHeight="1">
      <c r="A739" s="1166" t="s">
        <v>2977</v>
      </c>
      <c r="B739" s="1166" t="s">
        <v>2585</v>
      </c>
      <c r="C739" s="1166" t="s">
        <v>4144</v>
      </c>
      <c r="D739" s="1023">
        <v>3575</v>
      </c>
      <c r="E739" s="1023">
        <v>3650</v>
      </c>
      <c r="F739" s="1023">
        <v>3650</v>
      </c>
      <c r="G739" s="636" t="s">
        <v>2559</v>
      </c>
      <c r="H739" s="22" t="s">
        <v>1102</v>
      </c>
      <c r="I739" s="50" t="s">
        <v>16</v>
      </c>
      <c r="J739" s="50"/>
      <c r="K739" s="19" t="s">
        <v>987</v>
      </c>
      <c r="L739" s="607" t="s">
        <v>653</v>
      </c>
      <c r="M739" s="649">
        <v>43080</v>
      </c>
      <c r="N739" s="649">
        <v>43083</v>
      </c>
      <c r="O739" s="59"/>
      <c r="P739" s="59"/>
      <c r="Q739" s="7"/>
      <c r="R739" s="610" t="s">
        <v>3355</v>
      </c>
      <c r="S739" s="619" t="s">
        <v>1176</v>
      </c>
      <c r="T739" s="904"/>
    </row>
    <row r="740" spans="1:20" ht="20.100000000000001" customHeight="1">
      <c r="A740" s="1166" t="s">
        <v>2977</v>
      </c>
      <c r="B740" s="1166" t="s">
        <v>2585</v>
      </c>
      <c r="C740" s="1166" t="s">
        <v>4144</v>
      </c>
      <c r="D740" s="1008">
        <v>3425</v>
      </c>
      <c r="E740" s="1008">
        <v>3450</v>
      </c>
      <c r="F740" s="1008">
        <v>3450</v>
      </c>
      <c r="G740" s="227" t="s">
        <v>1689</v>
      </c>
      <c r="H740" s="160" t="s">
        <v>659</v>
      </c>
      <c r="I740" s="50" t="s">
        <v>4138</v>
      </c>
      <c r="J740" s="50"/>
      <c r="K740" s="19">
        <v>38</v>
      </c>
      <c r="L740" s="607" t="s">
        <v>653</v>
      </c>
      <c r="M740" s="156">
        <v>43074</v>
      </c>
      <c r="N740" s="156">
        <v>43100</v>
      </c>
      <c r="O740" s="61" t="s">
        <v>1771</v>
      </c>
      <c r="P740" s="59"/>
      <c r="Q740" s="52"/>
      <c r="R740" s="648" t="s">
        <v>2116</v>
      </c>
      <c r="S740" s="333" t="s">
        <v>1176</v>
      </c>
      <c r="T740" s="904"/>
    </row>
    <row r="741" spans="1:20" ht="20.100000000000001" customHeight="1">
      <c r="A741" s="1166" t="s">
        <v>2977</v>
      </c>
      <c r="B741" s="1166" t="s">
        <v>2585</v>
      </c>
      <c r="C741" s="1166" t="s">
        <v>4144</v>
      </c>
      <c r="D741" s="1022">
        <v>3475</v>
      </c>
      <c r="E741" s="1022">
        <v>3550</v>
      </c>
      <c r="F741" s="1022">
        <v>3550</v>
      </c>
      <c r="G741" s="639" t="s">
        <v>5</v>
      </c>
      <c r="H741" s="56">
        <v>3</v>
      </c>
      <c r="I741" s="50" t="s">
        <v>2589</v>
      </c>
      <c r="J741" s="5"/>
      <c r="K741" s="5" t="s">
        <v>1979</v>
      </c>
      <c r="L741" s="607" t="s">
        <v>653</v>
      </c>
      <c r="M741" s="159">
        <v>43075</v>
      </c>
      <c r="N741" s="159">
        <v>43083</v>
      </c>
      <c r="O741" s="61" t="s">
        <v>1771</v>
      </c>
      <c r="P741" s="61"/>
      <c r="Q741" s="7"/>
      <c r="R741" s="606" t="s">
        <v>2558</v>
      </c>
      <c r="S741" s="622"/>
      <c r="T741" s="323" t="s">
        <v>3361</v>
      </c>
    </row>
    <row r="742" spans="1:20" ht="20.100000000000001" customHeight="1">
      <c r="A742" s="1166" t="s">
        <v>2977</v>
      </c>
      <c r="B742" s="1166" t="s">
        <v>2585</v>
      </c>
      <c r="C742" s="1166" t="s">
        <v>4144</v>
      </c>
      <c r="D742" s="1023">
        <v>3650</v>
      </c>
      <c r="E742" s="1023">
        <v>3800</v>
      </c>
      <c r="F742" s="1023">
        <v>3800</v>
      </c>
      <c r="G742" s="629" t="s">
        <v>19</v>
      </c>
      <c r="H742" s="627" t="s">
        <v>3358</v>
      </c>
      <c r="I742" s="37" t="s">
        <v>2589</v>
      </c>
      <c r="J742" s="19"/>
      <c r="K742" s="19" t="s">
        <v>1264</v>
      </c>
      <c r="L742" s="607" t="s">
        <v>653</v>
      </c>
      <c r="M742" s="156">
        <v>43084</v>
      </c>
      <c r="N742" s="156">
        <v>43092</v>
      </c>
      <c r="O742" s="59" t="s">
        <v>611</v>
      </c>
      <c r="P742" s="59"/>
      <c r="Q742" s="52"/>
      <c r="R742" s="610" t="s">
        <v>2562</v>
      </c>
      <c r="S742" s="316" t="s">
        <v>1176</v>
      </c>
      <c r="T742" s="922">
        <v>28</v>
      </c>
    </row>
    <row r="743" spans="1:20" ht="20.100000000000001" customHeight="1">
      <c r="A743" s="1166" t="s">
        <v>2977</v>
      </c>
      <c r="B743" s="1166" t="s">
        <v>2585</v>
      </c>
      <c r="C743" s="1166" t="s">
        <v>4144</v>
      </c>
      <c r="D743" s="1023">
        <v>3575</v>
      </c>
      <c r="E743" s="1023">
        <v>3650</v>
      </c>
      <c r="F743" s="1023">
        <v>3650</v>
      </c>
      <c r="G743" s="636" t="s">
        <v>18</v>
      </c>
      <c r="H743" s="4" t="s">
        <v>681</v>
      </c>
      <c r="I743" s="37" t="s">
        <v>3293</v>
      </c>
      <c r="J743" s="37"/>
      <c r="K743" s="34" t="s">
        <v>986</v>
      </c>
      <c r="L743" s="607" t="s">
        <v>653</v>
      </c>
      <c r="M743" s="108">
        <v>43080</v>
      </c>
      <c r="N743" s="108">
        <v>43083</v>
      </c>
      <c r="O743" s="61" t="s">
        <v>4145</v>
      </c>
      <c r="P743" s="61"/>
      <c r="Q743" s="7"/>
      <c r="R743" s="606" t="s">
        <v>3306</v>
      </c>
      <c r="S743" s="316"/>
      <c r="T743" s="857"/>
    </row>
    <row r="744" spans="1:20" ht="20.100000000000001" customHeight="1">
      <c r="A744" s="1166" t="s">
        <v>2977</v>
      </c>
      <c r="B744" s="1166" t="s">
        <v>2585</v>
      </c>
      <c r="C744" s="1166" t="s">
        <v>4144</v>
      </c>
      <c r="D744" s="1022">
        <v>3475</v>
      </c>
      <c r="E744" s="1022">
        <v>3550</v>
      </c>
      <c r="F744" s="1022">
        <v>3550</v>
      </c>
      <c r="G744" s="639" t="s">
        <v>5</v>
      </c>
      <c r="H744" s="56" t="s">
        <v>721</v>
      </c>
      <c r="I744" s="50" t="s">
        <v>3293</v>
      </c>
      <c r="J744" s="37"/>
      <c r="K744" s="34" t="s">
        <v>731</v>
      </c>
      <c r="L744" s="607" t="s">
        <v>653</v>
      </c>
      <c r="M744" s="159">
        <v>43075</v>
      </c>
      <c r="N744" s="159">
        <v>43083</v>
      </c>
      <c r="O744" s="61" t="s">
        <v>1771</v>
      </c>
      <c r="P744" s="61"/>
      <c r="Q744" s="7"/>
      <c r="R744" s="610" t="s">
        <v>3305</v>
      </c>
      <c r="S744" s="316"/>
      <c r="T744" s="857"/>
    </row>
    <row r="745" spans="1:20" ht="20.100000000000001" customHeight="1">
      <c r="A745" s="1166" t="s">
        <v>2977</v>
      </c>
      <c r="B745" s="1166" t="s">
        <v>2585</v>
      </c>
      <c r="C745" s="1166" t="s">
        <v>4144</v>
      </c>
      <c r="D745" s="1024">
        <v>4000</v>
      </c>
      <c r="E745" s="1024">
        <v>4000</v>
      </c>
      <c r="F745" s="1024">
        <v>4000</v>
      </c>
      <c r="G745" s="636" t="s">
        <v>31</v>
      </c>
      <c r="H745" s="56" t="s">
        <v>721</v>
      </c>
      <c r="I745" s="37" t="s">
        <v>3304</v>
      </c>
      <c r="J745" s="37"/>
      <c r="K745" s="5">
        <v>47</v>
      </c>
      <c r="L745" s="607" t="s">
        <v>653</v>
      </c>
      <c r="M745" s="623">
        <v>43084</v>
      </c>
      <c r="N745" s="623">
        <v>43100</v>
      </c>
      <c r="O745" s="134" t="s">
        <v>2442</v>
      </c>
      <c r="P745" s="61"/>
      <c r="Q745" s="7"/>
      <c r="R745" s="606" t="s">
        <v>2394</v>
      </c>
      <c r="S745" s="622" t="s">
        <v>1176</v>
      </c>
      <c r="T745" s="857"/>
    </row>
    <row r="746" spans="1:20" ht="20.100000000000001" customHeight="1">
      <c r="A746" s="1167" t="s">
        <v>2977</v>
      </c>
      <c r="B746" s="1167" t="s">
        <v>2585</v>
      </c>
      <c r="C746" s="1167" t="s">
        <v>4144</v>
      </c>
      <c r="D746" s="1015">
        <f>D631+600</f>
        <v>3750</v>
      </c>
      <c r="E746" s="1015">
        <f>E631+1100</f>
        <v>4300</v>
      </c>
      <c r="F746" s="1015">
        <f>F631+1100</f>
        <v>4300</v>
      </c>
      <c r="G746" s="216" t="s">
        <v>51</v>
      </c>
      <c r="H746" s="4">
        <v>7</v>
      </c>
      <c r="I746" s="37" t="s">
        <v>2590</v>
      </c>
      <c r="J746" s="37"/>
      <c r="K746" s="34" t="s">
        <v>1242</v>
      </c>
      <c r="L746" s="607" t="s">
        <v>653</v>
      </c>
      <c r="M746" s="611">
        <v>43084</v>
      </c>
      <c r="N746" s="611">
        <v>43100</v>
      </c>
      <c r="O746" s="61"/>
      <c r="P746" s="61"/>
      <c r="Q746" s="52"/>
      <c r="R746" s="606" t="s">
        <v>347</v>
      </c>
      <c r="S746" s="315" t="s">
        <v>3290</v>
      </c>
      <c r="T746" s="857"/>
    </row>
    <row r="747" spans="1:20" ht="20.100000000000001" customHeight="1">
      <c r="A747" s="1254" t="s">
        <v>2977</v>
      </c>
      <c r="B747" s="1127" t="s">
        <v>2585</v>
      </c>
      <c r="C747" s="1127" t="s">
        <v>4143</v>
      </c>
      <c r="D747" s="1023">
        <v>3575</v>
      </c>
      <c r="E747" s="1023">
        <v>3650</v>
      </c>
      <c r="F747" s="1023">
        <v>3650</v>
      </c>
      <c r="G747" s="636" t="s">
        <v>18</v>
      </c>
      <c r="H747" s="22" t="s">
        <v>1102</v>
      </c>
      <c r="I747" s="50" t="s">
        <v>2589</v>
      </c>
      <c r="J747" s="50"/>
      <c r="K747" s="19" t="s">
        <v>662</v>
      </c>
      <c r="L747" s="607" t="s">
        <v>653</v>
      </c>
      <c r="M747" s="108">
        <v>43080</v>
      </c>
      <c r="N747" s="108">
        <v>43083</v>
      </c>
      <c r="O747" s="59"/>
      <c r="P747" s="59"/>
      <c r="Q747" s="7"/>
      <c r="R747" s="610" t="s">
        <v>2592</v>
      </c>
      <c r="S747" s="316"/>
      <c r="T747" s="857"/>
    </row>
    <row r="748" spans="1:20" ht="20.100000000000001" customHeight="1">
      <c r="A748" s="1254" t="s">
        <v>2977</v>
      </c>
      <c r="B748" s="1127" t="s">
        <v>2585</v>
      </c>
      <c r="C748" s="1127" t="s">
        <v>4143</v>
      </c>
      <c r="D748" s="1023">
        <v>3575</v>
      </c>
      <c r="E748" s="1023">
        <v>3650</v>
      </c>
      <c r="F748" s="1023">
        <v>3650</v>
      </c>
      <c r="G748" s="636" t="s">
        <v>2559</v>
      </c>
      <c r="H748" s="22" t="s">
        <v>1102</v>
      </c>
      <c r="I748" s="50" t="s">
        <v>2589</v>
      </c>
      <c r="J748" s="50"/>
      <c r="K748" s="19" t="s">
        <v>662</v>
      </c>
      <c r="L748" s="607" t="s">
        <v>653</v>
      </c>
      <c r="M748" s="649">
        <v>43080</v>
      </c>
      <c r="N748" s="649">
        <v>43083</v>
      </c>
      <c r="O748" s="59"/>
      <c r="P748" s="59"/>
      <c r="Q748" s="7"/>
      <c r="R748" s="610" t="s">
        <v>3355</v>
      </c>
      <c r="S748" s="619" t="s">
        <v>1176</v>
      </c>
      <c r="T748" s="904"/>
    </row>
    <row r="749" spans="1:20" ht="20.100000000000001" customHeight="1">
      <c r="A749" s="1254" t="s">
        <v>2977</v>
      </c>
      <c r="B749" s="1127" t="s">
        <v>2585</v>
      </c>
      <c r="C749" s="1127" t="s">
        <v>4143</v>
      </c>
      <c r="D749" s="1008">
        <v>3425</v>
      </c>
      <c r="E749" s="1008">
        <v>3450</v>
      </c>
      <c r="F749" s="1008">
        <v>3450</v>
      </c>
      <c r="G749" s="227" t="s">
        <v>1689</v>
      </c>
      <c r="H749" s="160" t="s">
        <v>659</v>
      </c>
      <c r="I749" s="50" t="s">
        <v>4138</v>
      </c>
      <c r="J749" s="50"/>
      <c r="K749" s="19">
        <v>36</v>
      </c>
      <c r="L749" s="607" t="s">
        <v>653</v>
      </c>
      <c r="M749" s="156">
        <v>43074</v>
      </c>
      <c r="N749" s="156">
        <v>43100</v>
      </c>
      <c r="O749" s="61" t="s">
        <v>1771</v>
      </c>
      <c r="P749" s="59"/>
      <c r="Q749" s="52"/>
      <c r="R749" s="648" t="s">
        <v>2116</v>
      </c>
      <c r="S749" s="333" t="s">
        <v>1176</v>
      </c>
      <c r="T749" s="904"/>
    </row>
    <row r="750" spans="1:20" ht="20.100000000000001" customHeight="1">
      <c r="A750" s="1254" t="s">
        <v>2977</v>
      </c>
      <c r="B750" s="1127" t="s">
        <v>2585</v>
      </c>
      <c r="C750" s="1127" t="s">
        <v>4143</v>
      </c>
      <c r="D750" s="1022">
        <v>3475</v>
      </c>
      <c r="E750" s="1022">
        <v>3550</v>
      </c>
      <c r="F750" s="1022">
        <v>3550</v>
      </c>
      <c r="G750" s="639" t="s">
        <v>5</v>
      </c>
      <c r="H750" s="56" t="s">
        <v>659</v>
      </c>
      <c r="I750" s="50" t="s">
        <v>2589</v>
      </c>
      <c r="J750" s="50"/>
      <c r="K750" s="19" t="s">
        <v>1264</v>
      </c>
      <c r="L750" s="607" t="s">
        <v>653</v>
      </c>
      <c r="M750" s="159">
        <v>43075</v>
      </c>
      <c r="N750" s="159">
        <v>43083</v>
      </c>
      <c r="O750" s="61" t="s">
        <v>1771</v>
      </c>
      <c r="P750" s="61"/>
      <c r="Q750" s="7"/>
      <c r="R750" s="606" t="s">
        <v>2558</v>
      </c>
      <c r="S750" s="622"/>
      <c r="T750" s="323" t="s">
        <v>3361</v>
      </c>
    </row>
    <row r="751" spans="1:20" ht="20.100000000000001" customHeight="1">
      <c r="A751" s="1254" t="s">
        <v>2977</v>
      </c>
      <c r="B751" s="1127" t="s">
        <v>2585</v>
      </c>
      <c r="C751" s="1127" t="s">
        <v>4143</v>
      </c>
      <c r="D751" s="1023">
        <v>3650</v>
      </c>
      <c r="E751" s="1023">
        <v>3800</v>
      </c>
      <c r="F751" s="1023">
        <v>3800</v>
      </c>
      <c r="G751" s="629" t="s">
        <v>19</v>
      </c>
      <c r="H751" s="627" t="s">
        <v>3358</v>
      </c>
      <c r="I751" s="37" t="s">
        <v>4138</v>
      </c>
      <c r="J751" s="19"/>
      <c r="K751" s="5" t="s">
        <v>1264</v>
      </c>
      <c r="L751" s="607" t="s">
        <v>653</v>
      </c>
      <c r="M751" s="156">
        <v>43084</v>
      </c>
      <c r="N751" s="156">
        <v>43092</v>
      </c>
      <c r="O751" s="59" t="s">
        <v>611</v>
      </c>
      <c r="P751" s="61"/>
      <c r="Q751" s="52"/>
      <c r="R751" s="610" t="s">
        <v>2562</v>
      </c>
      <c r="S751" s="316" t="s">
        <v>1176</v>
      </c>
      <c r="T751" s="922">
        <v>28</v>
      </c>
    </row>
    <row r="752" spans="1:20" ht="20.100000000000001" customHeight="1">
      <c r="A752" s="1254" t="s">
        <v>2977</v>
      </c>
      <c r="B752" s="1127" t="s">
        <v>2585</v>
      </c>
      <c r="C752" s="1127" t="s">
        <v>4143</v>
      </c>
      <c r="D752" s="1024">
        <v>4000</v>
      </c>
      <c r="E752" s="1024">
        <v>4000</v>
      </c>
      <c r="F752" s="1024">
        <v>4000</v>
      </c>
      <c r="G752" s="636" t="s">
        <v>31</v>
      </c>
      <c r="H752" s="56" t="s">
        <v>721</v>
      </c>
      <c r="I752" s="37" t="s">
        <v>3304</v>
      </c>
      <c r="J752" s="37"/>
      <c r="K752" s="5">
        <v>42</v>
      </c>
      <c r="L752" s="607" t="s">
        <v>653</v>
      </c>
      <c r="M752" s="623">
        <v>43084</v>
      </c>
      <c r="N752" s="623">
        <v>43100</v>
      </c>
      <c r="O752" s="134" t="s">
        <v>2442</v>
      </c>
      <c r="P752" s="61"/>
      <c r="Q752" s="7"/>
      <c r="R752" s="606" t="s">
        <v>2394</v>
      </c>
      <c r="S752" s="622" t="s">
        <v>1176</v>
      </c>
      <c r="T752" s="904"/>
    </row>
    <row r="753" spans="1:20" ht="20.100000000000001" customHeight="1">
      <c r="A753" s="1254" t="s">
        <v>2977</v>
      </c>
      <c r="B753" s="1127" t="s">
        <v>2585</v>
      </c>
      <c r="C753" s="1127" t="s">
        <v>4143</v>
      </c>
      <c r="D753" s="1023">
        <v>3350</v>
      </c>
      <c r="E753" s="1023">
        <v>3400</v>
      </c>
      <c r="F753" s="1023">
        <v>3400</v>
      </c>
      <c r="G753" s="629" t="s">
        <v>19</v>
      </c>
      <c r="H753" s="651" t="s">
        <v>1233</v>
      </c>
      <c r="I753" s="50" t="s">
        <v>2443</v>
      </c>
      <c r="J753" s="50"/>
      <c r="K753" s="19" t="s">
        <v>2151</v>
      </c>
      <c r="L753" s="607" t="s">
        <v>653</v>
      </c>
      <c r="M753" s="156">
        <v>43084</v>
      </c>
      <c r="N753" s="156">
        <v>43092</v>
      </c>
      <c r="O753" s="59" t="s">
        <v>2440</v>
      </c>
      <c r="P753" s="59"/>
      <c r="Q753" s="167"/>
      <c r="R753" s="21" t="s">
        <v>1692</v>
      </c>
      <c r="S753" s="316" t="s">
        <v>1176</v>
      </c>
      <c r="T753" s="922">
        <v>28</v>
      </c>
    </row>
    <row r="754" spans="1:20" ht="20.100000000000001" customHeight="1">
      <c r="A754" s="1254" t="s">
        <v>2977</v>
      </c>
      <c r="B754" s="1127" t="s">
        <v>2585</v>
      </c>
      <c r="C754" s="1127" t="s">
        <v>4142</v>
      </c>
      <c r="D754" s="1024">
        <v>4000</v>
      </c>
      <c r="E754" s="1024">
        <v>4000</v>
      </c>
      <c r="F754" s="1024">
        <v>4000</v>
      </c>
      <c r="G754" s="636" t="s">
        <v>31</v>
      </c>
      <c r="H754" s="22" t="s">
        <v>1102</v>
      </c>
      <c r="I754" s="50" t="s">
        <v>2589</v>
      </c>
      <c r="J754" s="50"/>
      <c r="K754" s="19" t="s">
        <v>1264</v>
      </c>
      <c r="L754" s="607" t="s">
        <v>653</v>
      </c>
      <c r="M754" s="623">
        <v>43084</v>
      </c>
      <c r="N754" s="623">
        <v>43100</v>
      </c>
      <c r="O754" s="59"/>
      <c r="P754" s="59"/>
      <c r="Q754" s="7"/>
      <c r="R754" s="610" t="s">
        <v>2138</v>
      </c>
      <c r="S754" s="622" t="s">
        <v>1176</v>
      </c>
      <c r="T754" s="904"/>
    </row>
    <row r="755" spans="1:20" ht="20.100000000000001" customHeight="1">
      <c r="A755" s="1254" t="s">
        <v>2977</v>
      </c>
      <c r="B755" s="1127" t="s">
        <v>2585</v>
      </c>
      <c r="C755" s="1127" t="s">
        <v>4142</v>
      </c>
      <c r="D755" s="1023">
        <v>3575</v>
      </c>
      <c r="E755" s="1023">
        <v>3650</v>
      </c>
      <c r="F755" s="1023">
        <v>3650</v>
      </c>
      <c r="G755" s="636" t="s">
        <v>18</v>
      </c>
      <c r="H755" s="22" t="s">
        <v>1102</v>
      </c>
      <c r="I755" s="50" t="s">
        <v>2589</v>
      </c>
      <c r="J755" s="50"/>
      <c r="K755" s="19" t="s">
        <v>986</v>
      </c>
      <c r="L755" s="607" t="s">
        <v>653</v>
      </c>
      <c r="M755" s="108">
        <v>43080</v>
      </c>
      <c r="N755" s="108">
        <v>43083</v>
      </c>
      <c r="O755" s="59"/>
      <c r="P755" s="59"/>
      <c r="Q755" s="7"/>
      <c r="R755" s="610" t="s">
        <v>2592</v>
      </c>
      <c r="S755" s="622"/>
      <c r="T755" s="904"/>
    </row>
    <row r="756" spans="1:20" ht="20.100000000000001" customHeight="1">
      <c r="A756" s="1254" t="s">
        <v>2977</v>
      </c>
      <c r="B756" s="1127" t="s">
        <v>2585</v>
      </c>
      <c r="C756" s="1127" t="s">
        <v>4142</v>
      </c>
      <c r="D756" s="1023">
        <v>3575</v>
      </c>
      <c r="E756" s="1023">
        <v>3650</v>
      </c>
      <c r="F756" s="1023">
        <v>3650</v>
      </c>
      <c r="G756" s="636" t="s">
        <v>2559</v>
      </c>
      <c r="H756" s="22" t="s">
        <v>1102</v>
      </c>
      <c r="I756" s="50" t="s">
        <v>2589</v>
      </c>
      <c r="J756" s="50"/>
      <c r="K756" s="19" t="s">
        <v>986</v>
      </c>
      <c r="L756" s="607" t="s">
        <v>653</v>
      </c>
      <c r="M756" s="649">
        <v>43080</v>
      </c>
      <c r="N756" s="649">
        <v>43083</v>
      </c>
      <c r="O756" s="59"/>
      <c r="P756" s="59"/>
      <c r="Q756" s="7"/>
      <c r="R756" s="610" t="s">
        <v>3355</v>
      </c>
      <c r="S756" s="619" t="s">
        <v>1176</v>
      </c>
      <c r="T756" s="904"/>
    </row>
    <row r="757" spans="1:20" ht="20.100000000000001" customHeight="1">
      <c r="A757" s="1254" t="s">
        <v>2977</v>
      </c>
      <c r="B757" s="1127" t="s">
        <v>2585</v>
      </c>
      <c r="C757" s="1127" t="s">
        <v>4142</v>
      </c>
      <c r="D757" s="1008">
        <v>3425</v>
      </c>
      <c r="E757" s="1008">
        <v>3450</v>
      </c>
      <c r="F757" s="1008">
        <v>3450</v>
      </c>
      <c r="G757" s="227" t="s">
        <v>1689</v>
      </c>
      <c r="H757" s="160" t="s">
        <v>659</v>
      </c>
      <c r="I757" s="50" t="s">
        <v>4138</v>
      </c>
      <c r="J757" s="50"/>
      <c r="K757" s="19">
        <v>36</v>
      </c>
      <c r="L757" s="607" t="s">
        <v>653</v>
      </c>
      <c r="M757" s="156">
        <v>43074</v>
      </c>
      <c r="N757" s="156">
        <v>43100</v>
      </c>
      <c r="O757" s="61" t="s">
        <v>1771</v>
      </c>
      <c r="P757" s="59"/>
      <c r="Q757" s="52"/>
      <c r="R757" s="648" t="s">
        <v>2116</v>
      </c>
      <c r="S757" s="333" t="s">
        <v>1176</v>
      </c>
      <c r="T757" s="904"/>
    </row>
    <row r="758" spans="1:20" ht="20.100000000000001" customHeight="1">
      <c r="A758" s="1254" t="s">
        <v>2977</v>
      </c>
      <c r="B758" s="1127" t="s">
        <v>2585</v>
      </c>
      <c r="C758" s="1127" t="s">
        <v>4142</v>
      </c>
      <c r="D758" s="1023">
        <v>3650</v>
      </c>
      <c r="E758" s="1023">
        <v>3800</v>
      </c>
      <c r="F758" s="1023">
        <v>3800</v>
      </c>
      <c r="G758" s="629" t="s">
        <v>19</v>
      </c>
      <c r="H758" s="627" t="s">
        <v>646</v>
      </c>
      <c r="I758" s="37" t="s">
        <v>4138</v>
      </c>
      <c r="J758" s="19"/>
      <c r="K758" s="5" t="s">
        <v>1242</v>
      </c>
      <c r="L758" s="607" t="s">
        <v>653</v>
      </c>
      <c r="M758" s="156">
        <v>43084</v>
      </c>
      <c r="N758" s="156">
        <v>43092</v>
      </c>
      <c r="O758" s="59" t="s">
        <v>611</v>
      </c>
      <c r="P758" s="61"/>
      <c r="Q758" s="52"/>
      <c r="R758" s="610" t="s">
        <v>2562</v>
      </c>
      <c r="S758" s="316" t="s">
        <v>1176</v>
      </c>
      <c r="T758" s="922">
        <v>28</v>
      </c>
    </row>
    <row r="759" spans="1:20" ht="20.100000000000001" customHeight="1">
      <c r="A759" s="1254" t="s">
        <v>2977</v>
      </c>
      <c r="B759" s="1127" t="s">
        <v>2585</v>
      </c>
      <c r="C759" s="1127" t="s">
        <v>4142</v>
      </c>
      <c r="D759" s="1019"/>
      <c r="E759" s="1019"/>
      <c r="F759" s="1019"/>
      <c r="G759" s="639" t="s">
        <v>5</v>
      </c>
      <c r="H759" s="56" t="s">
        <v>2535</v>
      </c>
      <c r="I759" s="38" t="s">
        <v>2431</v>
      </c>
      <c r="J759" s="38"/>
      <c r="K759" s="5">
        <v>55</v>
      </c>
      <c r="L759" s="607" t="s">
        <v>653</v>
      </c>
      <c r="M759" s="159">
        <v>43075</v>
      </c>
      <c r="N759" s="159">
        <v>43083</v>
      </c>
      <c r="O759" s="61" t="s">
        <v>1771</v>
      </c>
      <c r="P759" s="61"/>
      <c r="Q759" s="72" t="s">
        <v>1024</v>
      </c>
      <c r="R759" s="606" t="s">
        <v>2587</v>
      </c>
      <c r="S759" s="622"/>
      <c r="T759" s="323" t="s">
        <v>3361</v>
      </c>
    </row>
    <row r="760" spans="1:20" ht="20.100000000000001" customHeight="1">
      <c r="A760" s="1254" t="s">
        <v>2977</v>
      </c>
      <c r="B760" s="1127" t="s">
        <v>2585</v>
      </c>
      <c r="C760" s="1127" t="s">
        <v>4141</v>
      </c>
      <c r="D760" s="956">
        <v>3100</v>
      </c>
      <c r="E760" s="956">
        <v>3200</v>
      </c>
      <c r="F760" s="956">
        <v>3200</v>
      </c>
      <c r="G760" s="639" t="s">
        <v>22</v>
      </c>
      <c r="H760" s="56" t="s">
        <v>729</v>
      </c>
      <c r="I760" s="50" t="s">
        <v>3362</v>
      </c>
      <c r="J760" s="38"/>
      <c r="K760" s="5" t="s">
        <v>722</v>
      </c>
      <c r="L760" s="607" t="s">
        <v>653</v>
      </c>
      <c r="M760" s="108">
        <v>43087</v>
      </c>
      <c r="N760" s="108">
        <v>43094</v>
      </c>
      <c r="O760" s="61" t="s">
        <v>2545</v>
      </c>
      <c r="P760" s="61"/>
      <c r="Q760" s="7"/>
      <c r="R760" s="606" t="s">
        <v>1750</v>
      </c>
      <c r="S760" s="322" t="s">
        <v>1176</v>
      </c>
      <c r="T760" s="904"/>
    </row>
    <row r="761" spans="1:20" ht="20.100000000000001" customHeight="1">
      <c r="A761" s="1254" t="s">
        <v>2977</v>
      </c>
      <c r="B761" s="1127" t="s">
        <v>2585</v>
      </c>
      <c r="C761" s="1127" t="s">
        <v>4141</v>
      </c>
      <c r="D761" s="1015">
        <v>3575</v>
      </c>
      <c r="E761" s="1015">
        <v>3650</v>
      </c>
      <c r="F761" s="1015">
        <v>3650</v>
      </c>
      <c r="G761" s="636" t="s">
        <v>2559</v>
      </c>
      <c r="H761" s="160" t="s">
        <v>1102</v>
      </c>
      <c r="I761" s="37" t="s">
        <v>2548</v>
      </c>
      <c r="J761" s="37"/>
      <c r="K761" s="19" t="s">
        <v>984</v>
      </c>
      <c r="L761" s="607" t="s">
        <v>653</v>
      </c>
      <c r="M761" s="649">
        <v>43070</v>
      </c>
      <c r="N761" s="649">
        <v>43083</v>
      </c>
      <c r="O761" s="61"/>
      <c r="P761" s="61"/>
      <c r="Q761" s="7"/>
      <c r="R761" s="610" t="s">
        <v>2547</v>
      </c>
      <c r="S761" s="619" t="s">
        <v>1176</v>
      </c>
      <c r="T761" s="904"/>
    </row>
    <row r="762" spans="1:20" ht="20.100000000000001" customHeight="1">
      <c r="A762" s="1254" t="s">
        <v>2977</v>
      </c>
      <c r="B762" s="1127" t="s">
        <v>2585</v>
      </c>
      <c r="C762" s="1127" t="s">
        <v>4141</v>
      </c>
      <c r="D762" s="1023">
        <v>3575</v>
      </c>
      <c r="E762" s="1023">
        <v>3650</v>
      </c>
      <c r="F762" s="1023">
        <v>3650</v>
      </c>
      <c r="G762" s="636" t="s">
        <v>18</v>
      </c>
      <c r="H762" s="160" t="s">
        <v>1102</v>
      </c>
      <c r="I762" s="37" t="s">
        <v>2548</v>
      </c>
      <c r="J762" s="37"/>
      <c r="K762" s="19" t="s">
        <v>984</v>
      </c>
      <c r="L762" s="607" t="s">
        <v>653</v>
      </c>
      <c r="M762" s="108">
        <v>43080</v>
      </c>
      <c r="N762" s="108">
        <v>43083</v>
      </c>
      <c r="O762" s="61"/>
      <c r="P762" s="61"/>
      <c r="Q762" s="7"/>
      <c r="R762" s="606" t="s">
        <v>2547</v>
      </c>
      <c r="S762" s="619"/>
      <c r="T762" s="904"/>
    </row>
    <row r="763" spans="1:20" ht="20.100000000000001" customHeight="1">
      <c r="A763" s="1254" t="s">
        <v>2977</v>
      </c>
      <c r="B763" s="1127" t="s">
        <v>2585</v>
      </c>
      <c r="C763" s="1127" t="s">
        <v>4141</v>
      </c>
      <c r="D763" s="1015">
        <f>D711+1600</f>
        <v>4775</v>
      </c>
      <c r="E763" s="1015">
        <f>E711+2500</f>
        <v>5750</v>
      </c>
      <c r="F763" s="1015">
        <f>F711+2500</f>
        <v>5750</v>
      </c>
      <c r="G763" s="216" t="s">
        <v>51</v>
      </c>
      <c r="H763" s="160" t="s">
        <v>659</v>
      </c>
      <c r="I763" s="37" t="s">
        <v>4138</v>
      </c>
      <c r="J763" s="37"/>
      <c r="K763" s="19" t="s">
        <v>662</v>
      </c>
      <c r="L763" s="607" t="s">
        <v>653</v>
      </c>
      <c r="M763" s="611">
        <v>43084</v>
      </c>
      <c r="N763" s="611">
        <v>43100</v>
      </c>
      <c r="O763" s="61"/>
      <c r="P763" s="61"/>
      <c r="Q763" s="52"/>
      <c r="R763" s="610" t="s">
        <v>2557</v>
      </c>
      <c r="S763" s="315" t="s">
        <v>3290</v>
      </c>
      <c r="T763" s="904"/>
    </row>
    <row r="764" spans="1:20" ht="20.100000000000001" customHeight="1">
      <c r="A764" s="1254" t="s">
        <v>2977</v>
      </c>
      <c r="B764" s="1127" t="s">
        <v>2585</v>
      </c>
      <c r="C764" s="1127" t="s">
        <v>4141</v>
      </c>
      <c r="D764" s="1008">
        <v>3025</v>
      </c>
      <c r="E764" s="1008">
        <v>3050</v>
      </c>
      <c r="F764" s="1008">
        <v>3050</v>
      </c>
      <c r="G764" s="227" t="s">
        <v>1689</v>
      </c>
      <c r="H764" s="56" t="s">
        <v>646</v>
      </c>
      <c r="I764" s="50" t="s">
        <v>2589</v>
      </c>
      <c r="J764" s="50"/>
      <c r="K764" s="19">
        <v>44</v>
      </c>
      <c r="L764" s="607" t="s">
        <v>653</v>
      </c>
      <c r="M764" s="156">
        <v>43074</v>
      </c>
      <c r="N764" s="156">
        <v>43083</v>
      </c>
      <c r="O764" s="61" t="s">
        <v>1771</v>
      </c>
      <c r="P764" s="59"/>
      <c r="Q764" s="52"/>
      <c r="R764" s="648" t="s">
        <v>2588</v>
      </c>
      <c r="S764" s="333" t="s">
        <v>1176</v>
      </c>
      <c r="T764" s="904"/>
    </row>
    <row r="765" spans="1:20" ht="20.100000000000001" customHeight="1">
      <c r="A765" s="1254" t="s">
        <v>2977</v>
      </c>
      <c r="B765" s="1127" t="s">
        <v>2585</v>
      </c>
      <c r="C765" s="1127" t="s">
        <v>4141</v>
      </c>
      <c r="D765" s="1024">
        <v>3050</v>
      </c>
      <c r="E765" s="1024">
        <v>3100</v>
      </c>
      <c r="F765" s="1024">
        <v>3100</v>
      </c>
      <c r="G765" s="636" t="s">
        <v>31</v>
      </c>
      <c r="H765" s="168" t="s">
        <v>725</v>
      </c>
      <c r="I765" s="37" t="s">
        <v>2468</v>
      </c>
      <c r="J765" s="37"/>
      <c r="K765" s="5">
        <v>45</v>
      </c>
      <c r="L765" s="607" t="s">
        <v>653</v>
      </c>
      <c r="M765" s="623">
        <v>43060</v>
      </c>
      <c r="N765" s="623">
        <v>43100</v>
      </c>
      <c r="O765" s="61"/>
      <c r="P765" s="61"/>
      <c r="Q765" s="52"/>
      <c r="R765" s="606" t="s">
        <v>2586</v>
      </c>
      <c r="S765" s="622" t="s">
        <v>1176</v>
      </c>
      <c r="T765" s="904"/>
    </row>
    <row r="766" spans="1:20" ht="20.100000000000001" customHeight="1">
      <c r="A766" s="1254" t="s">
        <v>2977</v>
      </c>
      <c r="B766" s="1127" t="s">
        <v>2585</v>
      </c>
      <c r="C766" s="1127" t="s">
        <v>4141</v>
      </c>
      <c r="D766" s="1019"/>
      <c r="E766" s="1019"/>
      <c r="F766" s="1019"/>
      <c r="G766" s="639" t="s">
        <v>5</v>
      </c>
      <c r="H766" s="168" t="s">
        <v>1233</v>
      </c>
      <c r="I766" s="37" t="s">
        <v>3362</v>
      </c>
      <c r="J766" s="37"/>
      <c r="K766" s="5" t="s">
        <v>982</v>
      </c>
      <c r="L766" s="607" t="s">
        <v>653</v>
      </c>
      <c r="M766" s="159">
        <v>43075</v>
      </c>
      <c r="N766" s="159">
        <v>43083</v>
      </c>
      <c r="O766" s="61" t="s">
        <v>1771</v>
      </c>
      <c r="P766" s="61"/>
      <c r="Q766" s="7"/>
      <c r="R766" s="606" t="s">
        <v>2566</v>
      </c>
      <c r="S766" s="622"/>
      <c r="T766" s="323" t="s">
        <v>3361</v>
      </c>
    </row>
    <row r="767" spans="1:20" ht="20.100000000000001" customHeight="1">
      <c r="A767" s="926" t="s">
        <v>2977</v>
      </c>
      <c r="B767" s="895" t="s">
        <v>2585</v>
      </c>
      <c r="C767" s="895" t="s">
        <v>4140</v>
      </c>
      <c r="D767" s="1019"/>
      <c r="E767" s="1019"/>
      <c r="F767" s="1019"/>
      <c r="G767" s="639" t="s">
        <v>5</v>
      </c>
      <c r="H767" s="56" t="s">
        <v>2535</v>
      </c>
      <c r="I767" s="38" t="s">
        <v>2431</v>
      </c>
      <c r="J767" s="38"/>
      <c r="K767" s="5">
        <v>40</v>
      </c>
      <c r="L767" s="607" t="s">
        <v>653</v>
      </c>
      <c r="M767" s="159">
        <v>43075</v>
      </c>
      <c r="N767" s="159">
        <v>43083</v>
      </c>
      <c r="O767" s="61" t="s">
        <v>1771</v>
      </c>
      <c r="P767" s="61"/>
      <c r="Q767" s="72" t="s">
        <v>1024</v>
      </c>
      <c r="R767" s="606" t="s">
        <v>2587</v>
      </c>
      <c r="S767" s="316" t="s">
        <v>2894</v>
      </c>
      <c r="T767" s="323" t="s">
        <v>3361</v>
      </c>
    </row>
    <row r="768" spans="1:20" ht="20.100000000000001" customHeight="1">
      <c r="A768" s="1254" t="s">
        <v>2977</v>
      </c>
      <c r="B768" s="1127" t="s">
        <v>2585</v>
      </c>
      <c r="C768" s="1127" t="s">
        <v>4139</v>
      </c>
      <c r="D768" s="1022">
        <v>3475</v>
      </c>
      <c r="E768" s="1022">
        <v>3550</v>
      </c>
      <c r="F768" s="1022">
        <v>3550</v>
      </c>
      <c r="G768" s="639" t="s">
        <v>5</v>
      </c>
      <c r="H768" s="56" t="s">
        <v>1233</v>
      </c>
      <c r="I768" s="38" t="s">
        <v>2590</v>
      </c>
      <c r="J768" s="38"/>
      <c r="K768" s="5" t="s">
        <v>1264</v>
      </c>
      <c r="L768" s="607" t="s">
        <v>653</v>
      </c>
      <c r="M768" s="159">
        <v>43075</v>
      </c>
      <c r="N768" s="159">
        <v>43083</v>
      </c>
      <c r="O768" s="61" t="s">
        <v>1771</v>
      </c>
      <c r="P768" s="61"/>
      <c r="Q768" s="7"/>
      <c r="R768" s="610" t="s">
        <v>2136</v>
      </c>
      <c r="S768" s="316"/>
      <c r="T768" s="323" t="s">
        <v>3361</v>
      </c>
    </row>
    <row r="769" spans="1:20" ht="20.100000000000001" customHeight="1">
      <c r="A769" s="1254" t="s">
        <v>2977</v>
      </c>
      <c r="B769" s="1127" t="s">
        <v>2585</v>
      </c>
      <c r="C769" s="1127" t="s">
        <v>4139</v>
      </c>
      <c r="D769" s="1019"/>
      <c r="E769" s="1019"/>
      <c r="F769" s="1019"/>
      <c r="G769" s="639" t="s">
        <v>5</v>
      </c>
      <c r="H769" s="56" t="s">
        <v>2535</v>
      </c>
      <c r="I769" s="38" t="s">
        <v>2431</v>
      </c>
      <c r="J769" s="38"/>
      <c r="K769" s="5" t="s">
        <v>2396</v>
      </c>
      <c r="L769" s="607" t="s">
        <v>653</v>
      </c>
      <c r="M769" s="159">
        <v>43075</v>
      </c>
      <c r="N769" s="159">
        <v>43083</v>
      </c>
      <c r="O769" s="61" t="s">
        <v>4107</v>
      </c>
      <c r="P769" s="61"/>
      <c r="Q769" s="52"/>
      <c r="R769" s="606" t="s">
        <v>2587</v>
      </c>
      <c r="S769" s="619"/>
      <c r="T769" s="323" t="s">
        <v>3361</v>
      </c>
    </row>
    <row r="770" spans="1:20" ht="20.100000000000001" customHeight="1">
      <c r="A770" s="1254" t="s">
        <v>2977</v>
      </c>
      <c r="B770" s="1127" t="s">
        <v>2585</v>
      </c>
      <c r="C770" s="1127" t="s">
        <v>4137</v>
      </c>
      <c r="D770" s="956">
        <f>D709+2000+25</f>
        <v>5350</v>
      </c>
      <c r="E770" s="956">
        <f>E709+3500+50</f>
        <v>6850</v>
      </c>
      <c r="F770" s="956">
        <f>F709+3500+50</f>
        <v>6850</v>
      </c>
      <c r="G770" s="609" t="s">
        <v>1689</v>
      </c>
      <c r="H770" s="160" t="s">
        <v>659</v>
      </c>
      <c r="I770" s="50" t="s">
        <v>4138</v>
      </c>
      <c r="J770" s="50"/>
      <c r="K770" s="19" t="s">
        <v>3325</v>
      </c>
      <c r="L770" s="607" t="s">
        <v>653</v>
      </c>
      <c r="M770" s="156">
        <v>43084</v>
      </c>
      <c r="N770" s="156">
        <v>43100</v>
      </c>
      <c r="O770" s="61" t="s">
        <v>1771</v>
      </c>
      <c r="P770" s="61"/>
      <c r="Q770" s="72" t="s">
        <v>1024</v>
      </c>
      <c r="R770" s="648" t="s">
        <v>2116</v>
      </c>
      <c r="S770" s="333" t="s">
        <v>1176</v>
      </c>
      <c r="T770" s="904"/>
    </row>
    <row r="771" spans="1:20" ht="20.100000000000001" customHeight="1">
      <c r="A771" s="1254" t="s">
        <v>2977</v>
      </c>
      <c r="B771" s="1127" t="s">
        <v>2585</v>
      </c>
      <c r="C771" s="1127" t="s">
        <v>4137</v>
      </c>
      <c r="D771" s="1019"/>
      <c r="E771" s="1019"/>
      <c r="F771" s="1019"/>
      <c r="G771" s="639" t="s">
        <v>5</v>
      </c>
      <c r="H771" s="56" t="s">
        <v>2535</v>
      </c>
      <c r="I771" s="38" t="s">
        <v>2431</v>
      </c>
      <c r="J771" s="38"/>
      <c r="K771" s="5">
        <v>50</v>
      </c>
      <c r="L771" s="607" t="s">
        <v>653</v>
      </c>
      <c r="M771" s="159">
        <v>43075</v>
      </c>
      <c r="N771" s="159">
        <v>43083</v>
      </c>
      <c r="O771" s="61" t="s">
        <v>1771</v>
      </c>
      <c r="P771" s="61"/>
      <c r="Q771" s="72" t="s">
        <v>1024</v>
      </c>
      <c r="R771" s="606" t="s">
        <v>2587</v>
      </c>
      <c r="S771" s="316" t="s">
        <v>2894</v>
      </c>
      <c r="T771" s="323" t="s">
        <v>3361</v>
      </c>
    </row>
    <row r="772" spans="1:20" ht="20.100000000000001" customHeight="1">
      <c r="A772" s="1254" t="s">
        <v>2977</v>
      </c>
      <c r="B772" s="1127" t="s">
        <v>2585</v>
      </c>
      <c r="C772" s="1127" t="s">
        <v>4135</v>
      </c>
      <c r="D772" s="1019"/>
      <c r="E772" s="1019"/>
      <c r="F772" s="1019"/>
      <c r="G772" s="639" t="s">
        <v>5</v>
      </c>
      <c r="H772" s="168" t="s">
        <v>1233</v>
      </c>
      <c r="I772" s="50" t="s">
        <v>4133</v>
      </c>
      <c r="J772" s="50"/>
      <c r="K772" s="34" t="s">
        <v>4136</v>
      </c>
      <c r="L772" s="607" t="s">
        <v>653</v>
      </c>
      <c r="M772" s="159">
        <v>43075</v>
      </c>
      <c r="N772" s="159">
        <v>43083</v>
      </c>
      <c r="O772" s="61" t="s">
        <v>1771</v>
      </c>
      <c r="P772" s="59"/>
      <c r="Q772" s="7"/>
      <c r="R772" s="610" t="s">
        <v>2566</v>
      </c>
      <c r="S772" s="316"/>
      <c r="T772" s="323" t="s">
        <v>3361</v>
      </c>
    </row>
    <row r="773" spans="1:20" ht="20.100000000000001" customHeight="1">
      <c r="A773" s="1254" t="s">
        <v>2977</v>
      </c>
      <c r="B773" s="1127" t="s">
        <v>2585</v>
      </c>
      <c r="C773" s="1127" t="s">
        <v>4135</v>
      </c>
      <c r="D773" s="1019"/>
      <c r="E773" s="1019"/>
      <c r="F773" s="1019"/>
      <c r="G773" s="639" t="s">
        <v>5</v>
      </c>
      <c r="H773" s="56" t="s">
        <v>2535</v>
      </c>
      <c r="I773" s="38" t="s">
        <v>2431</v>
      </c>
      <c r="J773" s="38"/>
      <c r="K773" s="5">
        <v>50</v>
      </c>
      <c r="L773" s="607" t="s">
        <v>653</v>
      </c>
      <c r="M773" s="159">
        <v>43075</v>
      </c>
      <c r="N773" s="159">
        <v>43083</v>
      </c>
      <c r="O773" s="61" t="s">
        <v>1771</v>
      </c>
      <c r="P773" s="61"/>
      <c r="Q773" s="72" t="s">
        <v>1024</v>
      </c>
      <c r="R773" s="606" t="s">
        <v>2587</v>
      </c>
      <c r="S773" s="316" t="s">
        <v>2894</v>
      </c>
      <c r="T773" s="323" t="s">
        <v>3361</v>
      </c>
    </row>
    <row r="774" spans="1:20" ht="20.100000000000001" customHeight="1">
      <c r="A774" s="926" t="s">
        <v>2977</v>
      </c>
      <c r="B774" s="895" t="s">
        <v>2585</v>
      </c>
      <c r="C774" s="895" t="s">
        <v>4494</v>
      </c>
      <c r="D774" s="1019"/>
      <c r="E774" s="1019"/>
      <c r="F774" s="1019"/>
      <c r="G774" s="639" t="s">
        <v>5</v>
      </c>
      <c r="H774" s="56" t="s">
        <v>2535</v>
      </c>
      <c r="I774" s="38" t="s">
        <v>2431</v>
      </c>
      <c r="J774" s="38"/>
      <c r="K774" s="5">
        <v>65</v>
      </c>
      <c r="L774" s="607" t="s">
        <v>653</v>
      </c>
      <c r="M774" s="159">
        <v>43075</v>
      </c>
      <c r="N774" s="159">
        <v>43083</v>
      </c>
      <c r="O774" s="61" t="s">
        <v>1771</v>
      </c>
      <c r="P774" s="61"/>
      <c r="Q774" s="72" t="s">
        <v>1024</v>
      </c>
      <c r="R774" s="606" t="s">
        <v>2587</v>
      </c>
      <c r="S774" s="316" t="s">
        <v>2894</v>
      </c>
      <c r="T774" s="323" t="s">
        <v>3361</v>
      </c>
    </row>
    <row r="775" spans="1:20" ht="20.100000000000001" customHeight="1">
      <c r="A775" s="1254" t="s">
        <v>2977</v>
      </c>
      <c r="B775" s="1127" t="s">
        <v>2585</v>
      </c>
      <c r="C775" s="1127" t="s">
        <v>4134</v>
      </c>
      <c r="D775" s="956">
        <v>3100</v>
      </c>
      <c r="E775" s="956">
        <v>3200</v>
      </c>
      <c r="F775" s="956">
        <v>3200</v>
      </c>
      <c r="G775" s="639" t="s">
        <v>22</v>
      </c>
      <c r="H775" s="56" t="s">
        <v>729</v>
      </c>
      <c r="I775" s="50" t="s">
        <v>3362</v>
      </c>
      <c r="J775" s="38"/>
      <c r="K775" s="5" t="s">
        <v>985</v>
      </c>
      <c r="L775" s="607" t="s">
        <v>653</v>
      </c>
      <c r="M775" s="108">
        <v>43087</v>
      </c>
      <c r="N775" s="108">
        <v>43094</v>
      </c>
      <c r="O775" s="61" t="s">
        <v>2545</v>
      </c>
      <c r="P775" s="61"/>
      <c r="Q775" s="7"/>
      <c r="R775" s="606" t="s">
        <v>1750</v>
      </c>
      <c r="S775" s="322" t="s">
        <v>1176</v>
      </c>
      <c r="T775" s="904"/>
    </row>
    <row r="776" spans="1:20" ht="20.100000000000001" customHeight="1">
      <c r="A776" s="1254" t="s">
        <v>2977</v>
      </c>
      <c r="B776" s="1127" t="s">
        <v>2585</v>
      </c>
      <c r="C776" s="1127" t="s">
        <v>4134</v>
      </c>
      <c r="D776" s="1008">
        <v>3425</v>
      </c>
      <c r="E776" s="1008">
        <v>3450</v>
      </c>
      <c r="F776" s="1008">
        <v>3450</v>
      </c>
      <c r="G776" s="227" t="s">
        <v>1689</v>
      </c>
      <c r="H776" s="56" t="s">
        <v>646</v>
      </c>
      <c r="I776" s="50" t="s">
        <v>2589</v>
      </c>
      <c r="J776" s="50"/>
      <c r="K776" s="19">
        <v>44</v>
      </c>
      <c r="L776" s="607" t="s">
        <v>653</v>
      </c>
      <c r="M776" s="156">
        <v>43074</v>
      </c>
      <c r="N776" s="156">
        <v>43083</v>
      </c>
      <c r="O776" s="61" t="s">
        <v>1771</v>
      </c>
      <c r="P776" s="59"/>
      <c r="Q776" s="52"/>
      <c r="R776" s="648" t="s">
        <v>2588</v>
      </c>
      <c r="S776" s="333" t="s">
        <v>1176</v>
      </c>
      <c r="T776" s="904"/>
    </row>
    <row r="777" spans="1:20" ht="20.100000000000001" customHeight="1">
      <c r="A777" s="1254" t="s">
        <v>2977</v>
      </c>
      <c r="B777" s="1127" t="s">
        <v>2585</v>
      </c>
      <c r="C777" s="1127" t="s">
        <v>4134</v>
      </c>
      <c r="D777" s="1019"/>
      <c r="E777" s="1019"/>
      <c r="F777" s="1019"/>
      <c r="G777" s="639" t="s">
        <v>5</v>
      </c>
      <c r="H777" s="56" t="s">
        <v>2535</v>
      </c>
      <c r="I777" s="38" t="s">
        <v>2431</v>
      </c>
      <c r="J777" s="38"/>
      <c r="K777" s="5">
        <v>65</v>
      </c>
      <c r="L777" s="607" t="s">
        <v>653</v>
      </c>
      <c r="M777" s="159">
        <v>43075</v>
      </c>
      <c r="N777" s="159">
        <v>43083</v>
      </c>
      <c r="O777" s="61" t="s">
        <v>1771</v>
      </c>
      <c r="P777" s="61"/>
      <c r="Q777" s="72" t="s">
        <v>1024</v>
      </c>
      <c r="R777" s="606" t="s">
        <v>2587</v>
      </c>
      <c r="S777" s="316" t="s">
        <v>2894</v>
      </c>
      <c r="T777" s="323" t="s">
        <v>3361</v>
      </c>
    </row>
    <row r="778" spans="1:20" ht="20.100000000000001" customHeight="1">
      <c r="A778" s="1254" t="s">
        <v>2977</v>
      </c>
      <c r="B778" s="1127" t="s">
        <v>2585</v>
      </c>
      <c r="C778" s="1127" t="s">
        <v>4134</v>
      </c>
      <c r="D778" s="1024">
        <v>3050</v>
      </c>
      <c r="E778" s="1024">
        <v>3100</v>
      </c>
      <c r="F778" s="1024">
        <v>3100</v>
      </c>
      <c r="G778" s="636" t="s">
        <v>31</v>
      </c>
      <c r="H778" s="168" t="s">
        <v>725</v>
      </c>
      <c r="I778" s="37" t="s">
        <v>2468</v>
      </c>
      <c r="J778" s="37"/>
      <c r="K778" s="5">
        <v>59</v>
      </c>
      <c r="L778" s="607" t="s">
        <v>653</v>
      </c>
      <c r="M778" s="623">
        <v>43060</v>
      </c>
      <c r="N778" s="623">
        <v>43100</v>
      </c>
      <c r="O778" s="61"/>
      <c r="P778" s="61"/>
      <c r="Q778" s="52"/>
      <c r="R778" s="606" t="s">
        <v>2586</v>
      </c>
      <c r="S778" s="622" t="s">
        <v>1176</v>
      </c>
      <c r="T778" s="904"/>
    </row>
    <row r="779" spans="1:20" ht="20.100000000000001" customHeight="1">
      <c r="A779" s="1254" t="s">
        <v>2977</v>
      </c>
      <c r="B779" s="1127" t="s">
        <v>2585</v>
      </c>
      <c r="C779" s="1127" t="s">
        <v>4134</v>
      </c>
      <c r="D779" s="1019"/>
      <c r="E779" s="1019"/>
      <c r="F779" s="1019"/>
      <c r="G779" s="639" t="s">
        <v>5</v>
      </c>
      <c r="H779" s="168" t="s">
        <v>1233</v>
      </c>
      <c r="I779" s="50" t="s">
        <v>4133</v>
      </c>
      <c r="J779" s="50"/>
      <c r="K779" s="34" t="s">
        <v>987</v>
      </c>
      <c r="L779" s="607" t="s">
        <v>653</v>
      </c>
      <c r="M779" s="159">
        <v>43075</v>
      </c>
      <c r="N779" s="159">
        <v>43083</v>
      </c>
      <c r="O779" s="61" t="s">
        <v>1771</v>
      </c>
      <c r="P779" s="59"/>
      <c r="Q779" s="7"/>
      <c r="R779" s="610" t="s">
        <v>2566</v>
      </c>
      <c r="S779" s="316"/>
      <c r="T779" s="323" t="s">
        <v>3361</v>
      </c>
    </row>
    <row r="780" spans="1:20" ht="20.100000000000001" customHeight="1">
      <c r="A780" s="1254" t="s">
        <v>2977</v>
      </c>
      <c r="B780" s="1127" t="s">
        <v>2561</v>
      </c>
      <c r="C780" s="1127" t="s">
        <v>4131</v>
      </c>
      <c r="D780" s="1065">
        <f>D559+1100</f>
        <v>4200</v>
      </c>
      <c r="E780" s="1065">
        <f>E559+2000</f>
        <v>5200</v>
      </c>
      <c r="F780" s="1065">
        <f>F559+2000</f>
        <v>5200</v>
      </c>
      <c r="G780" s="216" t="s">
        <v>22</v>
      </c>
      <c r="H780" s="22" t="s">
        <v>1102</v>
      </c>
      <c r="I780" s="51" t="s">
        <v>2563</v>
      </c>
      <c r="J780" s="51"/>
      <c r="K780" s="19" t="s">
        <v>984</v>
      </c>
      <c r="L780" s="607" t="s">
        <v>653</v>
      </c>
      <c r="M780" s="108">
        <v>43088</v>
      </c>
      <c r="N780" s="108">
        <v>43100</v>
      </c>
      <c r="O780" s="61" t="s">
        <v>2545</v>
      </c>
      <c r="P780" s="14"/>
      <c r="Q780" s="7"/>
      <c r="R780" s="648" t="s">
        <v>2560</v>
      </c>
      <c r="S780" s="316" t="s">
        <v>3356</v>
      </c>
      <c r="T780" s="904"/>
    </row>
    <row r="781" spans="1:20" ht="20.100000000000001" customHeight="1">
      <c r="A781" s="1254" t="s">
        <v>2977</v>
      </c>
      <c r="B781" s="1127" t="s">
        <v>2561</v>
      </c>
      <c r="C781" s="1127" t="s">
        <v>4131</v>
      </c>
      <c r="D781" s="1015">
        <v>4100</v>
      </c>
      <c r="E781" s="1015">
        <v>4700</v>
      </c>
      <c r="F781" s="1015">
        <v>4700</v>
      </c>
      <c r="G781" s="636" t="s">
        <v>31</v>
      </c>
      <c r="H781" s="22" t="s">
        <v>1102</v>
      </c>
      <c r="I781" s="50" t="s">
        <v>2563</v>
      </c>
      <c r="J781" s="50"/>
      <c r="K781" s="19" t="s">
        <v>4132</v>
      </c>
      <c r="L781" s="607" t="s">
        <v>653</v>
      </c>
      <c r="M781" s="623">
        <v>43073</v>
      </c>
      <c r="N781" s="623">
        <v>43100</v>
      </c>
      <c r="O781" s="61"/>
      <c r="P781" s="61"/>
      <c r="Q781" s="7"/>
      <c r="R781" s="606" t="s">
        <v>2138</v>
      </c>
      <c r="S781" s="622" t="s">
        <v>1176</v>
      </c>
      <c r="T781" s="904"/>
    </row>
    <row r="782" spans="1:20" ht="20.100000000000001" customHeight="1">
      <c r="A782" s="1254" t="s">
        <v>2977</v>
      </c>
      <c r="B782" s="1127" t="s">
        <v>2561</v>
      </c>
      <c r="C782" s="1127" t="s">
        <v>4131</v>
      </c>
      <c r="D782" s="1023">
        <v>4675</v>
      </c>
      <c r="E782" s="1023">
        <v>4750</v>
      </c>
      <c r="F782" s="1023">
        <v>4750</v>
      </c>
      <c r="G782" s="631" t="s">
        <v>18</v>
      </c>
      <c r="H782" s="22" t="s">
        <v>1102</v>
      </c>
      <c r="I782" s="19" t="s">
        <v>2563</v>
      </c>
      <c r="J782" s="19"/>
      <c r="K782" s="19" t="s">
        <v>2565</v>
      </c>
      <c r="L782" s="607" t="s">
        <v>653</v>
      </c>
      <c r="M782" s="108">
        <v>43080</v>
      </c>
      <c r="N782" s="108">
        <v>43083</v>
      </c>
      <c r="O782" s="61"/>
      <c r="P782" s="61"/>
      <c r="Q782" s="7"/>
      <c r="R782" s="610" t="s">
        <v>2592</v>
      </c>
      <c r="S782" s="622"/>
      <c r="T782" s="904"/>
    </row>
    <row r="783" spans="1:20" ht="20.100000000000001" customHeight="1">
      <c r="A783" s="1254" t="s">
        <v>2977</v>
      </c>
      <c r="B783" s="1127" t="s">
        <v>2561</v>
      </c>
      <c r="C783" s="1127" t="s">
        <v>4131</v>
      </c>
      <c r="D783" s="1023">
        <v>4675</v>
      </c>
      <c r="E783" s="1023">
        <v>4750</v>
      </c>
      <c r="F783" s="1023">
        <v>4750</v>
      </c>
      <c r="G783" s="636" t="s">
        <v>2559</v>
      </c>
      <c r="H783" s="22" t="s">
        <v>1102</v>
      </c>
      <c r="I783" s="19" t="s">
        <v>2563</v>
      </c>
      <c r="J783" s="19"/>
      <c r="K783" s="19" t="s">
        <v>2565</v>
      </c>
      <c r="L783" s="607" t="s">
        <v>653</v>
      </c>
      <c r="M783" s="649">
        <v>43080</v>
      </c>
      <c r="N783" s="649">
        <v>43083</v>
      </c>
      <c r="O783" s="59"/>
      <c r="P783" s="59"/>
      <c r="Q783" s="7"/>
      <c r="R783" s="610" t="s">
        <v>3355</v>
      </c>
      <c r="S783" s="316" t="s">
        <v>4304</v>
      </c>
      <c r="T783" s="904"/>
    </row>
    <row r="784" spans="1:20" ht="20.100000000000001" customHeight="1">
      <c r="A784" s="1254" t="s">
        <v>2977</v>
      </c>
      <c r="B784" s="1127" t="s">
        <v>2561</v>
      </c>
      <c r="C784" s="1127" t="s">
        <v>4131</v>
      </c>
      <c r="D784" s="1019">
        <f>D816+1000</f>
        <v>3925</v>
      </c>
      <c r="E784" s="1019">
        <f>E816+1600</f>
        <v>4550</v>
      </c>
      <c r="F784" s="1019">
        <f>F816+1600</f>
        <v>4550</v>
      </c>
      <c r="G784" s="216" t="s">
        <v>5</v>
      </c>
      <c r="H784" s="56">
        <v>3</v>
      </c>
      <c r="I784" s="5" t="s">
        <v>2139</v>
      </c>
      <c r="J784" s="5"/>
      <c r="K784" s="5">
        <v>40</v>
      </c>
      <c r="L784" s="607" t="s">
        <v>653</v>
      </c>
      <c r="M784" s="159">
        <v>43070</v>
      </c>
      <c r="N784" s="159">
        <v>43083</v>
      </c>
      <c r="O784" s="61" t="s">
        <v>1771</v>
      </c>
      <c r="P784" s="61"/>
      <c r="Q784" s="7"/>
      <c r="R784" s="606" t="s">
        <v>2558</v>
      </c>
      <c r="S784" s="622"/>
      <c r="T784" s="904"/>
    </row>
    <row r="785" spans="1:20" ht="20.100000000000001" customHeight="1">
      <c r="A785" s="1254" t="s">
        <v>2977</v>
      </c>
      <c r="B785" s="1127" t="s">
        <v>2561</v>
      </c>
      <c r="C785" s="1127" t="s">
        <v>4131</v>
      </c>
      <c r="D785" s="1008">
        <v>3925</v>
      </c>
      <c r="E785" s="1008">
        <v>4650</v>
      </c>
      <c r="F785" s="1008">
        <v>4650</v>
      </c>
      <c r="G785" s="227" t="s">
        <v>1689</v>
      </c>
      <c r="H785" s="56">
        <v>3</v>
      </c>
      <c r="I785" s="19" t="s">
        <v>2563</v>
      </c>
      <c r="J785" s="19"/>
      <c r="K785" s="19">
        <v>40</v>
      </c>
      <c r="L785" s="607" t="s">
        <v>653</v>
      </c>
      <c r="M785" s="156">
        <v>43074</v>
      </c>
      <c r="N785" s="156">
        <v>43083</v>
      </c>
      <c r="O785" s="61" t="s">
        <v>1771</v>
      </c>
      <c r="P785" s="59"/>
      <c r="Q785" s="52"/>
      <c r="R785" s="648" t="s">
        <v>2116</v>
      </c>
      <c r="S785" s="333" t="s">
        <v>1176</v>
      </c>
      <c r="T785" s="904"/>
    </row>
    <row r="786" spans="1:20" ht="20.100000000000001" customHeight="1">
      <c r="A786" s="1254" t="s">
        <v>2977</v>
      </c>
      <c r="B786" s="1127" t="s">
        <v>2561</v>
      </c>
      <c r="C786" s="1127" t="s">
        <v>4131</v>
      </c>
      <c r="D786" s="1008">
        <v>4300</v>
      </c>
      <c r="E786" s="1008">
        <v>4700</v>
      </c>
      <c r="F786" s="1008">
        <v>4700</v>
      </c>
      <c r="G786" s="215" t="s">
        <v>12</v>
      </c>
      <c r="H786" s="160" t="s">
        <v>659</v>
      </c>
      <c r="I786" s="50" t="s">
        <v>2563</v>
      </c>
      <c r="J786" s="50"/>
      <c r="K786" s="19">
        <v>42</v>
      </c>
      <c r="L786" s="607" t="s">
        <v>653</v>
      </c>
      <c r="M786" s="15">
        <v>43084</v>
      </c>
      <c r="N786" s="15">
        <v>43100</v>
      </c>
      <c r="O786" s="61" t="s">
        <v>2545</v>
      </c>
      <c r="P786" s="59"/>
      <c r="Q786" s="52"/>
      <c r="R786" s="610" t="s">
        <v>2135</v>
      </c>
      <c r="S786" s="315" t="s">
        <v>3294</v>
      </c>
      <c r="T786" s="904"/>
    </row>
    <row r="787" spans="1:20" ht="20.100000000000001" customHeight="1">
      <c r="A787" s="1254" t="s">
        <v>2977</v>
      </c>
      <c r="B787" s="1127" t="s">
        <v>2561</v>
      </c>
      <c r="C787" s="1127" t="s">
        <v>4131</v>
      </c>
      <c r="D787" s="1013">
        <v>3500</v>
      </c>
      <c r="E787" s="1013">
        <v>4500</v>
      </c>
      <c r="F787" s="1013">
        <v>4500</v>
      </c>
      <c r="G787" s="629" t="s">
        <v>19</v>
      </c>
      <c r="H787" s="56" t="s">
        <v>3358</v>
      </c>
      <c r="I787" s="50" t="s">
        <v>2563</v>
      </c>
      <c r="J787" s="50"/>
      <c r="K787" s="24" t="s">
        <v>984</v>
      </c>
      <c r="L787" s="607" t="s">
        <v>653</v>
      </c>
      <c r="M787" s="156">
        <v>43084</v>
      </c>
      <c r="N787" s="156">
        <v>43092</v>
      </c>
      <c r="O787" s="59" t="s">
        <v>611</v>
      </c>
      <c r="P787" s="59"/>
      <c r="Q787" s="52"/>
      <c r="R787" s="610" t="s">
        <v>2562</v>
      </c>
      <c r="S787" s="316" t="s">
        <v>1176</v>
      </c>
      <c r="T787" s="904"/>
    </row>
    <row r="788" spans="1:20" ht="20.100000000000001" customHeight="1">
      <c r="A788" s="1254" t="s">
        <v>2977</v>
      </c>
      <c r="B788" s="1127" t="s">
        <v>2561</v>
      </c>
      <c r="C788" s="1127" t="s">
        <v>4131</v>
      </c>
      <c r="D788" s="1008">
        <f>D829+900</f>
        <v>4050</v>
      </c>
      <c r="E788" s="1008">
        <f>E829+1625</f>
        <v>4825</v>
      </c>
      <c r="F788" s="1008">
        <f>F829+1625</f>
        <v>4825</v>
      </c>
      <c r="G788" s="216" t="s">
        <v>51</v>
      </c>
      <c r="H788" s="56" t="s">
        <v>646</v>
      </c>
      <c r="I788" s="37" t="s">
        <v>2139</v>
      </c>
      <c r="J788" s="37"/>
      <c r="K788" s="34" t="s">
        <v>1242</v>
      </c>
      <c r="L788" s="607" t="s">
        <v>653</v>
      </c>
      <c r="M788" s="611">
        <v>43084</v>
      </c>
      <c r="N788" s="611">
        <v>43100</v>
      </c>
      <c r="O788" s="61"/>
      <c r="P788" s="61"/>
      <c r="Q788" s="52"/>
      <c r="R788" s="606" t="s">
        <v>2584</v>
      </c>
      <c r="S788" s="315" t="s">
        <v>3290</v>
      </c>
      <c r="T788" s="904"/>
    </row>
    <row r="789" spans="1:20" ht="20.100000000000001" customHeight="1">
      <c r="A789" s="1254" t="s">
        <v>2977</v>
      </c>
      <c r="B789" s="1127" t="s">
        <v>2561</v>
      </c>
      <c r="C789" s="1127" t="s">
        <v>4131</v>
      </c>
      <c r="D789" s="1022">
        <v>3675</v>
      </c>
      <c r="E789" s="1022">
        <v>4350</v>
      </c>
      <c r="F789" s="1022">
        <v>4350</v>
      </c>
      <c r="G789" s="633" t="s">
        <v>33</v>
      </c>
      <c r="H789" s="4" t="s">
        <v>646</v>
      </c>
      <c r="I789" s="37" t="s">
        <v>2139</v>
      </c>
      <c r="J789" s="37"/>
      <c r="K789" s="5">
        <v>52</v>
      </c>
      <c r="L789" s="607" t="s">
        <v>653</v>
      </c>
      <c r="M789" s="159">
        <v>43079</v>
      </c>
      <c r="N789" s="159">
        <v>43083</v>
      </c>
      <c r="O789" s="61"/>
      <c r="P789" s="61"/>
      <c r="Q789" s="52"/>
      <c r="R789" s="606" t="s">
        <v>2584</v>
      </c>
      <c r="S789" s="316" t="s">
        <v>3353</v>
      </c>
      <c r="T789" s="904"/>
    </row>
    <row r="790" spans="1:20" ht="20.100000000000001" customHeight="1">
      <c r="A790" s="1254" t="s">
        <v>2977</v>
      </c>
      <c r="B790" s="1127" t="s">
        <v>2561</v>
      </c>
      <c r="C790" s="1127" t="s">
        <v>3069</v>
      </c>
      <c r="D790" s="1066">
        <f t="shared" ref="D790:F791" si="1">D780</f>
        <v>4200</v>
      </c>
      <c r="E790" s="1066">
        <f t="shared" si="1"/>
        <v>5200</v>
      </c>
      <c r="F790" s="1066">
        <f t="shared" si="1"/>
        <v>5200</v>
      </c>
      <c r="G790" s="216" t="s">
        <v>22</v>
      </c>
      <c r="H790" s="22" t="s">
        <v>1102</v>
      </c>
      <c r="I790" s="38" t="s">
        <v>2563</v>
      </c>
      <c r="J790" s="38"/>
      <c r="K790" s="5" t="s">
        <v>984</v>
      </c>
      <c r="L790" s="607" t="s">
        <v>653</v>
      </c>
      <c r="M790" s="108">
        <v>43088</v>
      </c>
      <c r="N790" s="108">
        <v>43100</v>
      </c>
      <c r="O790" s="61" t="s">
        <v>2545</v>
      </c>
      <c r="P790" s="14"/>
      <c r="Q790" s="7"/>
      <c r="R790" s="648" t="s">
        <v>2560</v>
      </c>
      <c r="S790" s="316" t="s">
        <v>3356</v>
      </c>
      <c r="T790" s="904"/>
    </row>
    <row r="791" spans="1:20" ht="20.100000000000001" customHeight="1">
      <c r="A791" s="1254" t="s">
        <v>2977</v>
      </c>
      <c r="B791" s="1127" t="s">
        <v>2561</v>
      </c>
      <c r="C791" s="1127" t="s">
        <v>3069</v>
      </c>
      <c r="D791" s="1007">
        <f t="shared" si="1"/>
        <v>4100</v>
      </c>
      <c r="E791" s="1007">
        <f t="shared" si="1"/>
        <v>4700</v>
      </c>
      <c r="F791" s="1007">
        <f t="shared" si="1"/>
        <v>4700</v>
      </c>
      <c r="G791" s="618" t="s">
        <v>31</v>
      </c>
      <c r="H791" s="22" t="s">
        <v>1102</v>
      </c>
      <c r="I791" s="37" t="s">
        <v>2563</v>
      </c>
      <c r="J791" s="37"/>
      <c r="K791" s="5" t="s">
        <v>3488</v>
      </c>
      <c r="L791" s="607" t="s">
        <v>653</v>
      </c>
      <c r="M791" s="623">
        <v>43073</v>
      </c>
      <c r="N791" s="623">
        <v>43100</v>
      </c>
      <c r="O791" s="61"/>
      <c r="P791" s="61"/>
      <c r="Q791" s="7"/>
      <c r="R791" s="606" t="s">
        <v>2138</v>
      </c>
      <c r="S791" s="622" t="s">
        <v>1176</v>
      </c>
      <c r="T791" s="904"/>
    </row>
    <row r="792" spans="1:20" ht="20.100000000000001" customHeight="1">
      <c r="A792" s="1254" t="s">
        <v>2977</v>
      </c>
      <c r="B792" s="1127" t="s">
        <v>2561</v>
      </c>
      <c r="C792" s="1127" t="s">
        <v>3069</v>
      </c>
      <c r="D792" s="1008"/>
      <c r="E792" s="1008"/>
      <c r="F792" s="1008"/>
      <c r="G792" s="227" t="s">
        <v>1689</v>
      </c>
      <c r="H792" s="56">
        <v>3</v>
      </c>
      <c r="I792" s="5" t="s">
        <v>2563</v>
      </c>
      <c r="J792" s="5"/>
      <c r="K792" s="19">
        <v>40</v>
      </c>
      <c r="L792" s="607" t="s">
        <v>653</v>
      </c>
      <c r="M792" s="156">
        <v>43074</v>
      </c>
      <c r="N792" s="156">
        <v>43083</v>
      </c>
      <c r="O792" s="61" t="s">
        <v>1771</v>
      </c>
      <c r="P792" s="61"/>
      <c r="Q792" s="52"/>
      <c r="R792" s="648" t="s">
        <v>2116</v>
      </c>
      <c r="S792" s="333" t="s">
        <v>1176</v>
      </c>
      <c r="T792" s="904"/>
    </row>
    <row r="793" spans="1:20" ht="20.100000000000001" customHeight="1">
      <c r="A793" s="1254" t="s">
        <v>2977</v>
      </c>
      <c r="B793" s="1127" t="s">
        <v>2561</v>
      </c>
      <c r="C793" s="1127" t="s">
        <v>3069</v>
      </c>
      <c r="D793" s="1013">
        <f>D787</f>
        <v>3500</v>
      </c>
      <c r="E793" s="1013">
        <f>E787</f>
        <v>4500</v>
      </c>
      <c r="F793" s="1013">
        <f>F787</f>
        <v>4500</v>
      </c>
      <c r="G793" s="216" t="s">
        <v>19</v>
      </c>
      <c r="H793" s="56" t="s">
        <v>3358</v>
      </c>
      <c r="I793" s="50" t="s">
        <v>2563</v>
      </c>
      <c r="J793" s="50"/>
      <c r="K793" s="24" t="s">
        <v>984</v>
      </c>
      <c r="L793" s="607" t="s">
        <v>653</v>
      </c>
      <c r="M793" s="156">
        <v>43084</v>
      </c>
      <c r="N793" s="156">
        <v>43092</v>
      </c>
      <c r="O793" s="59" t="s">
        <v>611</v>
      </c>
      <c r="P793" s="59"/>
      <c r="Q793" s="52"/>
      <c r="R793" s="610" t="s">
        <v>2562</v>
      </c>
      <c r="S793" s="316" t="s">
        <v>1176</v>
      </c>
      <c r="T793" s="904"/>
    </row>
    <row r="794" spans="1:20" ht="20.100000000000001" customHeight="1">
      <c r="A794" s="1254" t="s">
        <v>2977</v>
      </c>
      <c r="B794" s="1127" t="s">
        <v>2561</v>
      </c>
      <c r="C794" s="1127" t="s">
        <v>3487</v>
      </c>
      <c r="D794" s="894">
        <f>D780</f>
        <v>4200</v>
      </c>
      <c r="E794" s="894">
        <f>E780</f>
        <v>5200</v>
      </c>
      <c r="F794" s="894">
        <f>F780</f>
        <v>5200</v>
      </c>
      <c r="G794" s="216" t="s">
        <v>22</v>
      </c>
      <c r="H794" s="22" t="s">
        <v>1102</v>
      </c>
      <c r="I794" s="38" t="s">
        <v>2563</v>
      </c>
      <c r="J794" s="38"/>
      <c r="K794" s="5" t="s">
        <v>984</v>
      </c>
      <c r="L794" s="607" t="s">
        <v>653</v>
      </c>
      <c r="M794" s="108">
        <v>43088</v>
      </c>
      <c r="N794" s="108">
        <v>43100</v>
      </c>
      <c r="O794" s="61" t="s">
        <v>2545</v>
      </c>
      <c r="P794" s="14"/>
      <c r="Q794" s="7"/>
      <c r="R794" s="648" t="s">
        <v>2560</v>
      </c>
      <c r="S794" s="316" t="s">
        <v>3356</v>
      </c>
      <c r="T794" s="904"/>
    </row>
    <row r="795" spans="1:20" ht="20.100000000000001" customHeight="1">
      <c r="A795" s="1254" t="s">
        <v>2977</v>
      </c>
      <c r="B795" s="1127" t="s">
        <v>2561</v>
      </c>
      <c r="C795" s="1127" t="s">
        <v>3487</v>
      </c>
      <c r="D795" s="1008">
        <f>D784</f>
        <v>3925</v>
      </c>
      <c r="E795" s="1008">
        <f>E784</f>
        <v>4550</v>
      </c>
      <c r="F795" s="1008">
        <f>F784</f>
        <v>4550</v>
      </c>
      <c r="G795" s="216" t="s">
        <v>5</v>
      </c>
      <c r="H795" s="56">
        <v>3</v>
      </c>
      <c r="I795" s="5" t="s">
        <v>2139</v>
      </c>
      <c r="J795" s="5"/>
      <c r="K795" s="5">
        <v>40</v>
      </c>
      <c r="L795" s="607" t="s">
        <v>653</v>
      </c>
      <c r="M795" s="159">
        <v>43070</v>
      </c>
      <c r="N795" s="159">
        <v>43083</v>
      </c>
      <c r="O795" s="61" t="s">
        <v>1771</v>
      </c>
      <c r="P795" s="61"/>
      <c r="Q795" s="7"/>
      <c r="R795" s="606" t="s">
        <v>2558</v>
      </c>
      <c r="S795" s="316"/>
      <c r="T795" s="904"/>
    </row>
    <row r="796" spans="1:20" ht="20.100000000000001" customHeight="1">
      <c r="A796" s="1254" t="s">
        <v>2977</v>
      </c>
      <c r="B796" s="1127" t="s">
        <v>2561</v>
      </c>
      <c r="C796" s="1127" t="s">
        <v>3487</v>
      </c>
      <c r="D796" s="1008"/>
      <c r="E796" s="1008"/>
      <c r="F796" s="1008"/>
      <c r="G796" s="227" t="s">
        <v>1689</v>
      </c>
      <c r="H796" s="56">
        <v>3</v>
      </c>
      <c r="I796" s="5" t="s">
        <v>2563</v>
      </c>
      <c r="J796" s="5"/>
      <c r="K796" s="19">
        <v>40</v>
      </c>
      <c r="L796" s="607" t="s">
        <v>653</v>
      </c>
      <c r="M796" s="156">
        <v>43074</v>
      </c>
      <c r="N796" s="156">
        <v>43083</v>
      </c>
      <c r="O796" s="61" t="s">
        <v>1771</v>
      </c>
      <c r="P796" s="61"/>
      <c r="Q796" s="52"/>
      <c r="R796" s="648" t="s">
        <v>2116</v>
      </c>
      <c r="S796" s="333" t="s">
        <v>1176</v>
      </c>
      <c r="T796" s="904"/>
    </row>
    <row r="797" spans="1:20" ht="20.100000000000001" customHeight="1">
      <c r="A797" s="1254" t="s">
        <v>2977</v>
      </c>
      <c r="B797" s="1127" t="s">
        <v>2561</v>
      </c>
      <c r="C797" s="1127" t="s">
        <v>3487</v>
      </c>
      <c r="D797" s="1008">
        <f>D787</f>
        <v>3500</v>
      </c>
      <c r="E797" s="1008">
        <f>E787</f>
        <v>4500</v>
      </c>
      <c r="F797" s="1008">
        <f>F787</f>
        <v>4500</v>
      </c>
      <c r="G797" s="216" t="s">
        <v>19</v>
      </c>
      <c r="H797" s="56" t="s">
        <v>3358</v>
      </c>
      <c r="I797" s="50" t="s">
        <v>2563</v>
      </c>
      <c r="J797" s="50"/>
      <c r="K797" s="24" t="s">
        <v>984</v>
      </c>
      <c r="L797" s="607" t="s">
        <v>653</v>
      </c>
      <c r="M797" s="156">
        <v>43084</v>
      </c>
      <c r="N797" s="156">
        <v>43092</v>
      </c>
      <c r="O797" s="59" t="s">
        <v>611</v>
      </c>
      <c r="P797" s="59"/>
      <c r="Q797" s="52"/>
      <c r="R797" s="610" t="s">
        <v>2562</v>
      </c>
      <c r="S797" s="316" t="s">
        <v>1176</v>
      </c>
      <c r="T797" s="904"/>
    </row>
    <row r="798" spans="1:20" ht="20.100000000000001" customHeight="1">
      <c r="A798" s="1254" t="s">
        <v>3359</v>
      </c>
      <c r="B798" s="1127" t="s">
        <v>2561</v>
      </c>
      <c r="C798" s="1127" t="s">
        <v>3360</v>
      </c>
      <c r="D798" s="894">
        <f t="shared" ref="D798:F799" si="2">D780</f>
        <v>4200</v>
      </c>
      <c r="E798" s="894">
        <f t="shared" si="2"/>
        <v>5200</v>
      </c>
      <c r="F798" s="894">
        <f t="shared" si="2"/>
        <v>5200</v>
      </c>
      <c r="G798" s="216" t="s">
        <v>22</v>
      </c>
      <c r="H798" s="22" t="s">
        <v>1102</v>
      </c>
      <c r="I798" s="38" t="s">
        <v>2563</v>
      </c>
      <c r="J798" s="38"/>
      <c r="K798" s="5" t="s">
        <v>984</v>
      </c>
      <c r="L798" s="607" t="s">
        <v>653</v>
      </c>
      <c r="M798" s="108">
        <v>43088</v>
      </c>
      <c r="N798" s="108">
        <v>43100</v>
      </c>
      <c r="O798" s="61" t="s">
        <v>2545</v>
      </c>
      <c r="P798" s="14"/>
      <c r="Q798" s="7"/>
      <c r="R798" s="648" t="s">
        <v>2560</v>
      </c>
      <c r="S798" s="316" t="s">
        <v>3356</v>
      </c>
      <c r="T798" s="904"/>
    </row>
    <row r="799" spans="1:20" ht="20.100000000000001" customHeight="1">
      <c r="A799" s="1254" t="s">
        <v>2977</v>
      </c>
      <c r="B799" s="1127" t="s">
        <v>2561</v>
      </c>
      <c r="C799" s="1127" t="s">
        <v>3360</v>
      </c>
      <c r="D799" s="1019">
        <f t="shared" si="2"/>
        <v>4100</v>
      </c>
      <c r="E799" s="1019">
        <f t="shared" si="2"/>
        <v>4700</v>
      </c>
      <c r="F799" s="1019">
        <f t="shared" si="2"/>
        <v>4700</v>
      </c>
      <c r="G799" s="618" t="s">
        <v>31</v>
      </c>
      <c r="H799" s="22" t="s">
        <v>1102</v>
      </c>
      <c r="I799" s="37" t="s">
        <v>2563</v>
      </c>
      <c r="J799" s="37"/>
      <c r="K799" s="5" t="s">
        <v>2467</v>
      </c>
      <c r="L799" s="607" t="s">
        <v>653</v>
      </c>
      <c r="M799" s="623">
        <v>43073</v>
      </c>
      <c r="N799" s="623">
        <v>43100</v>
      </c>
      <c r="O799" s="61"/>
      <c r="P799" s="61"/>
      <c r="Q799" s="7"/>
      <c r="R799" s="606" t="s">
        <v>2138</v>
      </c>
      <c r="S799" s="622" t="s">
        <v>1176</v>
      </c>
      <c r="T799" s="904"/>
    </row>
    <row r="800" spans="1:20" ht="20.100000000000001" customHeight="1">
      <c r="A800" s="1254" t="s">
        <v>2977</v>
      </c>
      <c r="B800" s="1127" t="s">
        <v>2561</v>
      </c>
      <c r="C800" s="1127" t="s">
        <v>3360</v>
      </c>
      <c r="D800" s="1019">
        <f>D784</f>
        <v>3925</v>
      </c>
      <c r="E800" s="1019">
        <f>E784</f>
        <v>4550</v>
      </c>
      <c r="F800" s="1019">
        <f>F784</f>
        <v>4550</v>
      </c>
      <c r="G800" s="216" t="s">
        <v>5</v>
      </c>
      <c r="H800" s="56">
        <v>3</v>
      </c>
      <c r="I800" s="5" t="s">
        <v>2139</v>
      </c>
      <c r="J800" s="5"/>
      <c r="K800" s="5">
        <v>40</v>
      </c>
      <c r="L800" s="607" t="s">
        <v>653</v>
      </c>
      <c r="M800" s="159">
        <v>43070</v>
      </c>
      <c r="N800" s="159">
        <v>43083</v>
      </c>
      <c r="O800" s="61" t="s">
        <v>1771</v>
      </c>
      <c r="P800" s="61"/>
      <c r="Q800" s="7"/>
      <c r="R800" s="606" t="s">
        <v>2558</v>
      </c>
      <c r="S800" s="622"/>
      <c r="T800" s="904"/>
    </row>
    <row r="801" spans="1:20" ht="20.100000000000001" customHeight="1">
      <c r="A801" s="1254" t="s">
        <v>2977</v>
      </c>
      <c r="B801" s="1127" t="s">
        <v>2561</v>
      </c>
      <c r="C801" s="1127" t="s">
        <v>3360</v>
      </c>
      <c r="D801" s="1008"/>
      <c r="E801" s="1008"/>
      <c r="F801" s="1008"/>
      <c r="G801" s="227" t="s">
        <v>1689</v>
      </c>
      <c r="H801" s="56">
        <v>3</v>
      </c>
      <c r="I801" s="19" t="s">
        <v>2563</v>
      </c>
      <c r="J801" s="19"/>
      <c r="K801" s="19">
        <v>40</v>
      </c>
      <c r="L801" s="607" t="s">
        <v>653</v>
      </c>
      <c r="M801" s="156">
        <v>43074</v>
      </c>
      <c r="N801" s="156">
        <v>43083</v>
      </c>
      <c r="O801" s="61" t="s">
        <v>1771</v>
      </c>
      <c r="P801" s="59"/>
      <c r="Q801" s="52"/>
      <c r="R801" s="648" t="s">
        <v>2116</v>
      </c>
      <c r="S801" s="333" t="s">
        <v>1176</v>
      </c>
      <c r="T801" s="904"/>
    </row>
    <row r="802" spans="1:20" ht="20.100000000000001" customHeight="1">
      <c r="A802" s="1254" t="s">
        <v>2977</v>
      </c>
      <c r="B802" s="1127" t="s">
        <v>2561</v>
      </c>
      <c r="C802" s="1127" t="s">
        <v>3360</v>
      </c>
      <c r="D802" s="1013">
        <f>D787</f>
        <v>3500</v>
      </c>
      <c r="E802" s="1013">
        <f>E787</f>
        <v>4500</v>
      </c>
      <c r="F802" s="1013">
        <f>F787</f>
        <v>4500</v>
      </c>
      <c r="G802" s="216" t="s">
        <v>19</v>
      </c>
      <c r="H802" s="56" t="s">
        <v>3358</v>
      </c>
      <c r="I802" s="50" t="s">
        <v>2563</v>
      </c>
      <c r="J802" s="50"/>
      <c r="K802" s="24" t="s">
        <v>984</v>
      </c>
      <c r="L802" s="607" t="s">
        <v>653</v>
      </c>
      <c r="M802" s="156">
        <v>43084</v>
      </c>
      <c r="N802" s="156">
        <v>43092</v>
      </c>
      <c r="O802" s="59" t="s">
        <v>611</v>
      </c>
      <c r="P802" s="59"/>
      <c r="Q802" s="52"/>
      <c r="R802" s="610" t="s">
        <v>2562</v>
      </c>
      <c r="S802" s="316" t="s">
        <v>1176</v>
      </c>
      <c r="T802" s="904"/>
    </row>
    <row r="803" spans="1:20" ht="20.100000000000001" customHeight="1">
      <c r="A803" s="926" t="s">
        <v>2978</v>
      </c>
      <c r="B803" s="895" t="s">
        <v>2561</v>
      </c>
      <c r="C803" s="895" t="s">
        <v>3451</v>
      </c>
      <c r="D803" s="1013">
        <f>D787</f>
        <v>3500</v>
      </c>
      <c r="E803" s="1013">
        <f>E787</f>
        <v>4500</v>
      </c>
      <c r="F803" s="1013">
        <f>F787</f>
        <v>4500</v>
      </c>
      <c r="G803" s="216" t="s">
        <v>19</v>
      </c>
      <c r="H803" s="56" t="s">
        <v>3358</v>
      </c>
      <c r="I803" s="50" t="s">
        <v>2563</v>
      </c>
      <c r="J803" s="50"/>
      <c r="K803" s="24" t="s">
        <v>984</v>
      </c>
      <c r="L803" s="607" t="s">
        <v>653</v>
      </c>
      <c r="M803" s="156">
        <v>43084</v>
      </c>
      <c r="N803" s="156">
        <v>43092</v>
      </c>
      <c r="O803" s="59" t="s">
        <v>611</v>
      </c>
      <c r="P803" s="59"/>
      <c r="Q803" s="52"/>
      <c r="R803" s="610" t="s">
        <v>2562</v>
      </c>
      <c r="S803" s="316" t="s">
        <v>1176</v>
      </c>
      <c r="T803" s="904"/>
    </row>
    <row r="804" spans="1:20" ht="20.100000000000001" customHeight="1">
      <c r="A804" s="1254" t="s">
        <v>3359</v>
      </c>
      <c r="B804" s="1127" t="s">
        <v>2561</v>
      </c>
      <c r="C804" s="1127" t="s">
        <v>3450</v>
      </c>
      <c r="D804" s="1008"/>
      <c r="E804" s="1008"/>
      <c r="F804" s="1008"/>
      <c r="G804" s="613" t="s">
        <v>31</v>
      </c>
      <c r="H804" s="22" t="s">
        <v>1102</v>
      </c>
      <c r="I804" s="37" t="s">
        <v>2563</v>
      </c>
      <c r="J804" s="37"/>
      <c r="K804" s="5" t="s">
        <v>2509</v>
      </c>
      <c r="L804" s="607" t="s">
        <v>653</v>
      </c>
      <c r="M804" s="623">
        <v>43073</v>
      </c>
      <c r="N804" s="623">
        <v>43100</v>
      </c>
      <c r="O804" s="61"/>
      <c r="P804" s="61"/>
      <c r="Q804" s="7"/>
      <c r="R804" s="606" t="s">
        <v>2138</v>
      </c>
      <c r="S804" s="622" t="s">
        <v>1176</v>
      </c>
      <c r="T804" s="904"/>
    </row>
    <row r="805" spans="1:20" ht="20.100000000000001" customHeight="1">
      <c r="A805" s="1254" t="s">
        <v>3359</v>
      </c>
      <c r="B805" s="1127" t="s">
        <v>2561</v>
      </c>
      <c r="C805" s="1127" t="s">
        <v>3450</v>
      </c>
      <c r="D805" s="1019">
        <f>D784</f>
        <v>3925</v>
      </c>
      <c r="E805" s="1019">
        <f>E784</f>
        <v>4550</v>
      </c>
      <c r="F805" s="1019">
        <f>F784</f>
        <v>4550</v>
      </c>
      <c r="G805" s="216" t="s">
        <v>5</v>
      </c>
      <c r="H805" s="56">
        <v>3</v>
      </c>
      <c r="I805" s="5" t="s">
        <v>2139</v>
      </c>
      <c r="J805" s="5"/>
      <c r="K805" s="5">
        <v>40</v>
      </c>
      <c r="L805" s="607" t="s">
        <v>653</v>
      </c>
      <c r="M805" s="159">
        <v>43070</v>
      </c>
      <c r="N805" s="159">
        <v>43083</v>
      </c>
      <c r="O805" s="61" t="s">
        <v>1771</v>
      </c>
      <c r="P805" s="61"/>
      <c r="Q805" s="7"/>
      <c r="R805" s="606" t="s">
        <v>2558</v>
      </c>
      <c r="S805" s="622"/>
      <c r="T805" s="904"/>
    </row>
    <row r="806" spans="1:20" ht="20.100000000000001" customHeight="1">
      <c r="A806" s="1254" t="s">
        <v>3359</v>
      </c>
      <c r="B806" s="1127" t="s">
        <v>2561</v>
      </c>
      <c r="C806" s="1127" t="s">
        <v>2564</v>
      </c>
      <c r="D806" s="894">
        <f t="shared" ref="D806:F807" si="3">D780</f>
        <v>4200</v>
      </c>
      <c r="E806" s="894">
        <f t="shared" si="3"/>
        <v>5200</v>
      </c>
      <c r="F806" s="894">
        <f t="shared" si="3"/>
        <v>5200</v>
      </c>
      <c r="G806" s="216" t="s">
        <v>22</v>
      </c>
      <c r="H806" s="22" t="s">
        <v>1102</v>
      </c>
      <c r="I806" s="38" t="s">
        <v>2563</v>
      </c>
      <c r="J806" s="38"/>
      <c r="K806" s="5" t="s">
        <v>984</v>
      </c>
      <c r="L806" s="607" t="s">
        <v>653</v>
      </c>
      <c r="M806" s="108">
        <v>43088</v>
      </c>
      <c r="N806" s="108">
        <v>43100</v>
      </c>
      <c r="O806" s="61" t="s">
        <v>2545</v>
      </c>
      <c r="P806" s="14"/>
      <c r="Q806" s="7"/>
      <c r="R806" s="648" t="s">
        <v>2560</v>
      </c>
      <c r="S806" s="316" t="s">
        <v>3356</v>
      </c>
      <c r="T806" s="904"/>
    </row>
    <row r="807" spans="1:20" ht="20.100000000000001" customHeight="1">
      <c r="A807" s="1254" t="s">
        <v>2979</v>
      </c>
      <c r="B807" s="1127" t="s">
        <v>2561</v>
      </c>
      <c r="C807" s="1127" t="s">
        <v>2564</v>
      </c>
      <c r="D807" s="1023">
        <f t="shared" si="3"/>
        <v>4100</v>
      </c>
      <c r="E807" s="1023">
        <f t="shared" si="3"/>
        <v>4700</v>
      </c>
      <c r="F807" s="1023">
        <f t="shared" si="3"/>
        <v>4700</v>
      </c>
      <c r="G807" s="613" t="s">
        <v>31</v>
      </c>
      <c r="H807" s="22" t="s">
        <v>1102</v>
      </c>
      <c r="I807" s="37" t="s">
        <v>2563</v>
      </c>
      <c r="J807" s="37"/>
      <c r="K807" s="5" t="s">
        <v>2509</v>
      </c>
      <c r="L807" s="607" t="s">
        <v>653</v>
      </c>
      <c r="M807" s="623">
        <v>43073</v>
      </c>
      <c r="N807" s="623">
        <v>43100</v>
      </c>
      <c r="O807" s="61"/>
      <c r="P807" s="61"/>
      <c r="Q807" s="7"/>
      <c r="R807" s="606" t="s">
        <v>2138</v>
      </c>
      <c r="S807" s="622" t="s">
        <v>1176</v>
      </c>
      <c r="T807" s="904"/>
    </row>
    <row r="808" spans="1:20" ht="20.100000000000001" customHeight="1">
      <c r="A808" s="1254" t="s">
        <v>2979</v>
      </c>
      <c r="B808" s="1127" t="s">
        <v>2561</v>
      </c>
      <c r="C808" s="1127" t="s">
        <v>2564</v>
      </c>
      <c r="D808" s="1023">
        <f>D784</f>
        <v>3925</v>
      </c>
      <c r="E808" s="1023">
        <f>E784</f>
        <v>4550</v>
      </c>
      <c r="F808" s="1023">
        <f>F784</f>
        <v>4550</v>
      </c>
      <c r="G808" s="216" t="s">
        <v>5</v>
      </c>
      <c r="H808" s="56">
        <v>3</v>
      </c>
      <c r="I808" s="5" t="s">
        <v>2139</v>
      </c>
      <c r="J808" s="5"/>
      <c r="K808" s="5">
        <v>40</v>
      </c>
      <c r="L808" s="607" t="s">
        <v>653</v>
      </c>
      <c r="M808" s="159">
        <v>43070</v>
      </c>
      <c r="N808" s="159">
        <v>43083</v>
      </c>
      <c r="O808" s="61" t="s">
        <v>1771</v>
      </c>
      <c r="P808" s="61"/>
      <c r="Q808" s="7"/>
      <c r="R808" s="606" t="s">
        <v>2558</v>
      </c>
      <c r="S808" s="622"/>
      <c r="T808" s="904"/>
    </row>
    <row r="809" spans="1:20" ht="20.100000000000001" customHeight="1">
      <c r="A809" s="1254" t="s">
        <v>2979</v>
      </c>
      <c r="B809" s="1127" t="s">
        <v>2561</v>
      </c>
      <c r="C809" s="1127" t="s">
        <v>2564</v>
      </c>
      <c r="D809" s="1023">
        <f>D787</f>
        <v>3500</v>
      </c>
      <c r="E809" s="1023">
        <f>E787</f>
        <v>4500</v>
      </c>
      <c r="F809" s="1023">
        <f>F787</f>
        <v>4500</v>
      </c>
      <c r="G809" s="216" t="s">
        <v>19</v>
      </c>
      <c r="H809" s="56" t="s">
        <v>3358</v>
      </c>
      <c r="I809" s="50" t="s">
        <v>2563</v>
      </c>
      <c r="J809" s="50"/>
      <c r="K809" s="24" t="s">
        <v>984</v>
      </c>
      <c r="L809" s="607" t="s">
        <v>653</v>
      </c>
      <c r="M809" s="156">
        <v>43084</v>
      </c>
      <c r="N809" s="156">
        <v>43092</v>
      </c>
      <c r="O809" s="59" t="s">
        <v>611</v>
      </c>
      <c r="P809" s="59"/>
      <c r="Q809" s="52"/>
      <c r="R809" s="610" t="s">
        <v>2562</v>
      </c>
      <c r="S809" s="316" t="s">
        <v>1176</v>
      </c>
      <c r="T809" s="904"/>
    </row>
    <row r="810" spans="1:20" ht="20.100000000000001" customHeight="1">
      <c r="A810" s="926" t="s">
        <v>2978</v>
      </c>
      <c r="B810" s="895" t="s">
        <v>2561</v>
      </c>
      <c r="C810" s="895" t="s">
        <v>3838</v>
      </c>
      <c r="D810" s="1013">
        <f>D787</f>
        <v>3500</v>
      </c>
      <c r="E810" s="1013">
        <f>E787</f>
        <v>4500</v>
      </c>
      <c r="F810" s="1013">
        <f>F787</f>
        <v>4500</v>
      </c>
      <c r="G810" s="216" t="s">
        <v>19</v>
      </c>
      <c r="H810" s="56" t="s">
        <v>3358</v>
      </c>
      <c r="I810" s="50" t="s">
        <v>2563</v>
      </c>
      <c r="J810" s="50"/>
      <c r="K810" s="24" t="s">
        <v>984</v>
      </c>
      <c r="L810" s="607" t="s">
        <v>653</v>
      </c>
      <c r="M810" s="156">
        <v>43084</v>
      </c>
      <c r="N810" s="156">
        <v>43092</v>
      </c>
      <c r="O810" s="59" t="s">
        <v>611</v>
      </c>
      <c r="P810" s="59"/>
      <c r="Q810" s="52"/>
      <c r="R810" s="610" t="s">
        <v>2562</v>
      </c>
      <c r="S810" s="316" t="s">
        <v>1176</v>
      </c>
      <c r="T810" s="904"/>
    </row>
    <row r="811" spans="1:20" ht="20.100000000000001" customHeight="1">
      <c r="A811" s="926" t="s">
        <v>2978</v>
      </c>
      <c r="B811" s="895" t="s">
        <v>2561</v>
      </c>
      <c r="C811" s="895" t="s">
        <v>3357</v>
      </c>
      <c r="D811" s="1013">
        <f>D784</f>
        <v>3925</v>
      </c>
      <c r="E811" s="1013">
        <f>E784</f>
        <v>4550</v>
      </c>
      <c r="F811" s="1013">
        <f>F784</f>
        <v>4550</v>
      </c>
      <c r="G811" s="216" t="s">
        <v>5</v>
      </c>
      <c r="H811" s="56">
        <v>3</v>
      </c>
      <c r="I811" s="5" t="s">
        <v>2139</v>
      </c>
      <c r="J811" s="5"/>
      <c r="K811" s="5">
        <v>40</v>
      </c>
      <c r="L811" s="607" t="s">
        <v>653</v>
      </c>
      <c r="M811" s="159">
        <v>43070</v>
      </c>
      <c r="N811" s="159">
        <v>43083</v>
      </c>
      <c r="O811" s="61" t="s">
        <v>1771</v>
      </c>
      <c r="P811" s="61"/>
      <c r="Q811" s="7"/>
      <c r="R811" s="606" t="s">
        <v>2558</v>
      </c>
      <c r="S811" s="622"/>
      <c r="T811" s="904"/>
    </row>
    <row r="812" spans="1:20" ht="20.100000000000001" customHeight="1">
      <c r="A812" s="1254" t="s">
        <v>2977</v>
      </c>
      <c r="B812" s="1127" t="s">
        <v>2555</v>
      </c>
      <c r="C812" s="1127" t="s">
        <v>2554</v>
      </c>
      <c r="D812" s="956">
        <v>3100</v>
      </c>
      <c r="E812" s="956">
        <v>3200</v>
      </c>
      <c r="F812" s="956">
        <v>3200</v>
      </c>
      <c r="G812" s="629" t="s">
        <v>22</v>
      </c>
      <c r="H812" s="22" t="s">
        <v>1102</v>
      </c>
      <c r="I812" s="50" t="s">
        <v>17</v>
      </c>
      <c r="J812" s="50"/>
      <c r="K812" s="24" t="s">
        <v>984</v>
      </c>
      <c r="L812" s="607" t="s">
        <v>653</v>
      </c>
      <c r="M812" s="108">
        <v>43088</v>
      </c>
      <c r="N812" s="108">
        <v>43100</v>
      </c>
      <c r="O812" s="61" t="s">
        <v>2545</v>
      </c>
      <c r="P812" s="14"/>
      <c r="Q812" s="7"/>
      <c r="R812" s="648" t="s">
        <v>2560</v>
      </c>
      <c r="S812" s="316" t="s">
        <v>3356</v>
      </c>
      <c r="T812" s="904"/>
    </row>
    <row r="813" spans="1:20" ht="20.100000000000001" customHeight="1">
      <c r="A813" s="1254" t="s">
        <v>2977</v>
      </c>
      <c r="B813" s="1127" t="s">
        <v>2555</v>
      </c>
      <c r="C813" s="1127" t="s">
        <v>2554</v>
      </c>
      <c r="D813" s="1015">
        <v>3300</v>
      </c>
      <c r="E813" s="1015">
        <v>3300</v>
      </c>
      <c r="F813" s="1015">
        <v>3300</v>
      </c>
      <c r="G813" s="636" t="s">
        <v>31</v>
      </c>
      <c r="H813" s="22" t="s">
        <v>1102</v>
      </c>
      <c r="I813" s="50" t="s">
        <v>17</v>
      </c>
      <c r="J813" s="50"/>
      <c r="K813" s="24" t="s">
        <v>984</v>
      </c>
      <c r="L813" s="607" t="s">
        <v>653</v>
      </c>
      <c r="M813" s="623">
        <v>43084</v>
      </c>
      <c r="N813" s="623">
        <v>43100</v>
      </c>
      <c r="O813" s="61"/>
      <c r="P813" s="61"/>
      <c r="Q813" s="7"/>
      <c r="R813" s="606" t="s">
        <v>2138</v>
      </c>
      <c r="S813" s="622" t="s">
        <v>1176</v>
      </c>
      <c r="T813" s="904"/>
    </row>
    <row r="814" spans="1:20" ht="20.100000000000001" customHeight="1">
      <c r="A814" s="1254" t="s">
        <v>2977</v>
      </c>
      <c r="B814" s="1127" t="s">
        <v>2555</v>
      </c>
      <c r="C814" s="1127" t="s">
        <v>2554</v>
      </c>
      <c r="D814" s="1015">
        <v>2675</v>
      </c>
      <c r="E814" s="1015">
        <v>2750</v>
      </c>
      <c r="F814" s="1015">
        <v>2750</v>
      </c>
      <c r="G814" s="636" t="s">
        <v>18</v>
      </c>
      <c r="H814" s="22" t="s">
        <v>1102</v>
      </c>
      <c r="I814" s="50" t="s">
        <v>17</v>
      </c>
      <c r="J814" s="50"/>
      <c r="K814" s="24" t="s">
        <v>984</v>
      </c>
      <c r="L814" s="607" t="s">
        <v>653</v>
      </c>
      <c r="M814" s="108">
        <v>43080</v>
      </c>
      <c r="N814" s="108">
        <v>43083</v>
      </c>
      <c r="O814" s="61"/>
      <c r="P814" s="61"/>
      <c r="Q814" s="7"/>
      <c r="R814" s="610" t="s">
        <v>2592</v>
      </c>
      <c r="S814" s="622"/>
      <c r="T814" s="904"/>
    </row>
    <row r="815" spans="1:20" ht="20.100000000000001" customHeight="1">
      <c r="A815" s="1254" t="s">
        <v>2977</v>
      </c>
      <c r="B815" s="1127" t="s">
        <v>2555</v>
      </c>
      <c r="C815" s="1127" t="s">
        <v>2554</v>
      </c>
      <c r="D815" s="1015"/>
      <c r="E815" s="1015"/>
      <c r="F815" s="1015"/>
      <c r="G815" s="636" t="s">
        <v>2559</v>
      </c>
      <c r="H815" s="22" t="s">
        <v>1102</v>
      </c>
      <c r="I815" s="50" t="s">
        <v>17</v>
      </c>
      <c r="J815" s="50"/>
      <c r="K815" s="24" t="s">
        <v>984</v>
      </c>
      <c r="L815" s="607" t="s">
        <v>653</v>
      </c>
      <c r="M815" s="649">
        <v>43080</v>
      </c>
      <c r="N815" s="649">
        <v>43083</v>
      </c>
      <c r="O815" s="59"/>
      <c r="P815" s="59"/>
      <c r="Q815" s="7"/>
      <c r="R815" s="610" t="s">
        <v>3355</v>
      </c>
      <c r="S815" s="619" t="s">
        <v>1176</v>
      </c>
      <c r="T815" s="904"/>
    </row>
    <row r="816" spans="1:20" ht="20.100000000000001" customHeight="1">
      <c r="A816" s="1254" t="s">
        <v>2977</v>
      </c>
      <c r="B816" s="1127" t="s">
        <v>2555</v>
      </c>
      <c r="C816" s="1127" t="s">
        <v>2554</v>
      </c>
      <c r="D816" s="1022">
        <v>2925</v>
      </c>
      <c r="E816" s="1022">
        <v>2950</v>
      </c>
      <c r="F816" s="1022">
        <v>2950</v>
      </c>
      <c r="G816" s="629" t="s">
        <v>5</v>
      </c>
      <c r="H816" s="210">
        <v>3</v>
      </c>
      <c r="I816" s="50" t="s">
        <v>17</v>
      </c>
      <c r="J816" s="50"/>
      <c r="K816" s="24" t="s">
        <v>1242</v>
      </c>
      <c r="L816" s="607" t="s">
        <v>653</v>
      </c>
      <c r="M816" s="159">
        <v>43070</v>
      </c>
      <c r="N816" s="159">
        <v>43083</v>
      </c>
      <c r="O816" s="61" t="s">
        <v>1771</v>
      </c>
      <c r="P816" s="61"/>
      <c r="Q816" s="7"/>
      <c r="R816" s="610" t="s">
        <v>2558</v>
      </c>
      <c r="S816" s="619"/>
      <c r="T816" s="904"/>
    </row>
    <row r="817" spans="1:20" ht="20.100000000000001" customHeight="1">
      <c r="A817" s="1254" t="s">
        <v>2977</v>
      </c>
      <c r="B817" s="1127" t="s">
        <v>2555</v>
      </c>
      <c r="C817" s="1127" t="s">
        <v>2554</v>
      </c>
      <c r="D817" s="1008">
        <v>3150</v>
      </c>
      <c r="E817" s="1008">
        <v>3200</v>
      </c>
      <c r="F817" s="1008">
        <v>3200</v>
      </c>
      <c r="G817" s="629" t="s">
        <v>51</v>
      </c>
      <c r="H817" s="56">
        <v>3</v>
      </c>
      <c r="I817" s="50" t="s">
        <v>17</v>
      </c>
      <c r="J817" s="50"/>
      <c r="K817" s="24" t="s">
        <v>1242</v>
      </c>
      <c r="L817" s="607" t="s">
        <v>653</v>
      </c>
      <c r="M817" s="611">
        <v>43084</v>
      </c>
      <c r="N817" s="611">
        <v>43100</v>
      </c>
      <c r="O817" s="61"/>
      <c r="P817" s="61"/>
      <c r="Q817" s="52"/>
      <c r="R817" s="610" t="s">
        <v>2557</v>
      </c>
      <c r="S817" s="315" t="s">
        <v>3290</v>
      </c>
      <c r="T817" s="904"/>
    </row>
    <row r="818" spans="1:20" ht="20.100000000000001" customHeight="1">
      <c r="A818" s="1254" t="s">
        <v>2977</v>
      </c>
      <c r="B818" s="1127" t="s">
        <v>2555</v>
      </c>
      <c r="C818" s="1127" t="s">
        <v>2554</v>
      </c>
      <c r="D818" s="1068">
        <v>3050</v>
      </c>
      <c r="E818" s="1068">
        <v>3100</v>
      </c>
      <c r="F818" s="1068">
        <v>3100</v>
      </c>
      <c r="G818" s="633" t="s">
        <v>33</v>
      </c>
      <c r="H818" s="56">
        <v>3</v>
      </c>
      <c r="I818" s="50" t="s">
        <v>17</v>
      </c>
      <c r="J818" s="50"/>
      <c r="K818" s="24" t="s">
        <v>1242</v>
      </c>
      <c r="L818" s="607" t="s">
        <v>653</v>
      </c>
      <c r="M818" s="159">
        <v>43084</v>
      </c>
      <c r="N818" s="159">
        <v>43100</v>
      </c>
      <c r="O818" s="61"/>
      <c r="P818" s="61"/>
      <c r="Q818" s="52"/>
      <c r="R818" s="610" t="s">
        <v>2557</v>
      </c>
      <c r="S818" s="316" t="s">
        <v>3353</v>
      </c>
      <c r="T818" s="904"/>
    </row>
    <row r="819" spans="1:20" ht="20.100000000000001" customHeight="1">
      <c r="A819" s="1254" t="s">
        <v>2977</v>
      </c>
      <c r="B819" s="1127" t="s">
        <v>2555</v>
      </c>
      <c r="C819" s="1127" t="s">
        <v>2554</v>
      </c>
      <c r="D819" s="894">
        <v>3325</v>
      </c>
      <c r="E819" s="894">
        <v>3300</v>
      </c>
      <c r="F819" s="894">
        <v>3300</v>
      </c>
      <c r="G819" s="227" t="s">
        <v>1689</v>
      </c>
      <c r="H819" s="56">
        <v>3</v>
      </c>
      <c r="I819" s="50" t="s">
        <v>17</v>
      </c>
      <c r="J819" s="50"/>
      <c r="K819" s="24" t="s">
        <v>1242</v>
      </c>
      <c r="L819" s="607" t="s">
        <v>653</v>
      </c>
      <c r="M819" s="156">
        <v>43084</v>
      </c>
      <c r="N819" s="156">
        <v>43100</v>
      </c>
      <c r="O819" s="61" t="s">
        <v>1771</v>
      </c>
      <c r="P819" s="59"/>
      <c r="Q819" s="52"/>
      <c r="R819" s="135" t="s">
        <v>2116</v>
      </c>
      <c r="S819" s="333" t="s">
        <v>1176</v>
      </c>
      <c r="T819" s="904"/>
    </row>
    <row r="820" spans="1:20" ht="20.100000000000001" customHeight="1">
      <c r="A820" s="1254" t="s">
        <v>2977</v>
      </c>
      <c r="B820" s="1127" t="s">
        <v>2555</v>
      </c>
      <c r="C820" s="1127" t="s">
        <v>2554</v>
      </c>
      <c r="D820" s="1006">
        <v>2675</v>
      </c>
      <c r="E820" s="1006">
        <v>2750</v>
      </c>
      <c r="F820" s="1006">
        <v>2750</v>
      </c>
      <c r="G820" s="640" t="s">
        <v>233</v>
      </c>
      <c r="H820" s="56">
        <v>3</v>
      </c>
      <c r="I820" s="50" t="s">
        <v>17</v>
      </c>
      <c r="J820" s="50"/>
      <c r="K820" s="24" t="s">
        <v>1242</v>
      </c>
      <c r="L820" s="607" t="s">
        <v>653</v>
      </c>
      <c r="M820" s="620">
        <v>43080</v>
      </c>
      <c r="N820" s="620">
        <v>43083</v>
      </c>
      <c r="O820" s="59" t="s">
        <v>601</v>
      </c>
      <c r="P820" s="61"/>
      <c r="Q820" s="52"/>
      <c r="R820" s="648" t="s">
        <v>2137</v>
      </c>
      <c r="S820" s="316" t="s">
        <v>3352</v>
      </c>
      <c r="T820" s="904"/>
    </row>
    <row r="821" spans="1:20" ht="20.100000000000001" customHeight="1">
      <c r="A821" s="1254" t="s">
        <v>2977</v>
      </c>
      <c r="B821" s="1127" t="s">
        <v>2555</v>
      </c>
      <c r="C821" s="1127" t="s">
        <v>2554</v>
      </c>
      <c r="D821" s="1023">
        <v>2650</v>
      </c>
      <c r="E821" s="1023">
        <v>2800</v>
      </c>
      <c r="F821" s="1023">
        <v>2800</v>
      </c>
      <c r="G821" s="629" t="s">
        <v>19</v>
      </c>
      <c r="H821" s="56">
        <v>3</v>
      </c>
      <c r="I821" s="50" t="s">
        <v>17</v>
      </c>
      <c r="J821" s="50"/>
      <c r="K821" s="24" t="s">
        <v>1242</v>
      </c>
      <c r="L821" s="607" t="s">
        <v>653</v>
      </c>
      <c r="M821" s="156">
        <v>43084</v>
      </c>
      <c r="N821" s="156">
        <v>43092</v>
      </c>
      <c r="O821" s="59" t="s">
        <v>611</v>
      </c>
      <c r="P821" s="59"/>
      <c r="Q821" s="52"/>
      <c r="R821" s="610" t="s">
        <v>2556</v>
      </c>
      <c r="S821" s="316" t="s">
        <v>1176</v>
      </c>
      <c r="T821" s="317">
        <v>20</v>
      </c>
    </row>
    <row r="822" spans="1:20" ht="20.100000000000001" customHeight="1">
      <c r="A822" s="1254" t="s">
        <v>2977</v>
      </c>
      <c r="B822" s="1127" t="s">
        <v>2555</v>
      </c>
      <c r="C822" s="1127" t="s">
        <v>2554</v>
      </c>
      <c r="D822" s="1021">
        <v>3100</v>
      </c>
      <c r="E822" s="1021">
        <v>3100</v>
      </c>
      <c r="F822" s="1021">
        <v>3100</v>
      </c>
      <c r="G822" s="637" t="s">
        <v>12</v>
      </c>
      <c r="H822" s="56" t="s">
        <v>659</v>
      </c>
      <c r="I822" s="50" t="s">
        <v>17</v>
      </c>
      <c r="J822" s="50"/>
      <c r="K822" s="24" t="s">
        <v>1242</v>
      </c>
      <c r="L822" s="607" t="s">
        <v>653</v>
      </c>
      <c r="M822" s="15">
        <v>43084</v>
      </c>
      <c r="N822" s="15">
        <v>43100</v>
      </c>
      <c r="O822" s="61" t="s">
        <v>2545</v>
      </c>
      <c r="P822" s="59"/>
      <c r="Q822" s="52"/>
      <c r="R822" s="610" t="s">
        <v>2135</v>
      </c>
      <c r="S822" s="315" t="s">
        <v>3294</v>
      </c>
      <c r="T822" s="904"/>
    </row>
    <row r="823" spans="1:20" ht="20.100000000000001" customHeight="1">
      <c r="A823" s="1254" t="s">
        <v>2977</v>
      </c>
      <c r="B823" s="1127" t="s">
        <v>2555</v>
      </c>
      <c r="C823" s="1127" t="s">
        <v>2554</v>
      </c>
      <c r="D823" s="1008">
        <v>2450</v>
      </c>
      <c r="E823" s="1008">
        <v>2500</v>
      </c>
      <c r="F823" s="1008">
        <v>2500</v>
      </c>
      <c r="G823" s="629" t="s">
        <v>51</v>
      </c>
      <c r="H823" s="56" t="s">
        <v>721</v>
      </c>
      <c r="I823" s="50" t="s">
        <v>3293</v>
      </c>
      <c r="J823" s="50"/>
      <c r="K823" s="19"/>
      <c r="L823" s="607" t="s">
        <v>653</v>
      </c>
      <c r="M823" s="611">
        <v>43080</v>
      </c>
      <c r="N823" s="611">
        <v>43083</v>
      </c>
      <c r="O823" s="61" t="s">
        <v>3292</v>
      </c>
      <c r="P823" s="59"/>
      <c r="Q823" s="52"/>
      <c r="R823" s="239" t="s">
        <v>2573</v>
      </c>
      <c r="S823" s="315" t="s">
        <v>3290</v>
      </c>
      <c r="T823" s="904"/>
    </row>
    <row r="824" spans="1:20" ht="20.100000000000001" customHeight="1">
      <c r="A824" s="1254" t="s">
        <v>2977</v>
      </c>
      <c r="B824" s="1127" t="s">
        <v>2555</v>
      </c>
      <c r="C824" s="1127" t="s">
        <v>2554</v>
      </c>
      <c r="D824" s="1006">
        <v>2550</v>
      </c>
      <c r="E824" s="1006">
        <v>2600</v>
      </c>
      <c r="F824" s="1006">
        <v>2600</v>
      </c>
      <c r="G824" s="629" t="s">
        <v>19</v>
      </c>
      <c r="H824" s="56" t="s">
        <v>1233</v>
      </c>
      <c r="I824" s="50" t="s">
        <v>2443</v>
      </c>
      <c r="J824" s="50"/>
      <c r="K824" s="19" t="s">
        <v>2237</v>
      </c>
      <c r="L824" s="607" t="s">
        <v>653</v>
      </c>
      <c r="M824" s="156">
        <v>43084</v>
      </c>
      <c r="N824" s="156">
        <v>43092</v>
      </c>
      <c r="O824" s="59" t="s">
        <v>2440</v>
      </c>
      <c r="P824" s="59"/>
      <c r="Q824" s="167"/>
      <c r="R824" s="21" t="s">
        <v>1692</v>
      </c>
      <c r="S824" s="316" t="s">
        <v>1176</v>
      </c>
      <c r="T824" s="317">
        <v>20</v>
      </c>
    </row>
    <row r="825" spans="1:20" ht="20.100000000000001" customHeight="1">
      <c r="A825" s="1254" t="s">
        <v>2977</v>
      </c>
      <c r="B825" s="1127" t="s">
        <v>2555</v>
      </c>
      <c r="C825" s="1127" t="s">
        <v>2554</v>
      </c>
      <c r="D825" s="894">
        <v>3325</v>
      </c>
      <c r="E825" s="894">
        <v>3300</v>
      </c>
      <c r="F825" s="894">
        <v>3300</v>
      </c>
      <c r="G825" s="227" t="s">
        <v>1689</v>
      </c>
      <c r="H825" s="56">
        <v>7</v>
      </c>
      <c r="I825" s="20" t="s">
        <v>17</v>
      </c>
      <c r="J825" s="20"/>
      <c r="K825" s="19" t="s">
        <v>982</v>
      </c>
      <c r="L825" s="607" t="s">
        <v>653</v>
      </c>
      <c r="M825" s="156">
        <v>43084</v>
      </c>
      <c r="N825" s="156">
        <v>43100</v>
      </c>
      <c r="O825" s="61" t="s">
        <v>1771</v>
      </c>
      <c r="P825" s="72"/>
      <c r="Q825" s="52"/>
      <c r="R825" s="648" t="s">
        <v>347</v>
      </c>
      <c r="S825" s="333" t="s">
        <v>1176</v>
      </c>
      <c r="T825" s="904"/>
    </row>
    <row r="826" spans="1:20" ht="20.100000000000001" customHeight="1">
      <c r="A826" s="1254" t="s">
        <v>2977</v>
      </c>
      <c r="B826" s="1127" t="s">
        <v>2555</v>
      </c>
      <c r="C826" s="1127" t="s">
        <v>2554</v>
      </c>
      <c r="D826" s="1022">
        <v>2925</v>
      </c>
      <c r="E826" s="1022">
        <v>2950</v>
      </c>
      <c r="F826" s="1022">
        <v>2950</v>
      </c>
      <c r="G826" s="629" t="s">
        <v>5</v>
      </c>
      <c r="H826" s="56">
        <v>7</v>
      </c>
      <c r="I826" s="20" t="s">
        <v>17</v>
      </c>
      <c r="J826" s="20"/>
      <c r="K826" s="19" t="s">
        <v>982</v>
      </c>
      <c r="L826" s="607" t="s">
        <v>653</v>
      </c>
      <c r="M826" s="159">
        <v>43070</v>
      </c>
      <c r="N826" s="159">
        <v>43083</v>
      </c>
      <c r="O826" s="61" t="s">
        <v>1771</v>
      </c>
      <c r="P826" s="72"/>
      <c r="Q826" s="7"/>
      <c r="R826" s="647" t="s">
        <v>2136</v>
      </c>
      <c r="S826" s="646"/>
      <c r="T826" s="904"/>
    </row>
    <row r="827" spans="1:20" ht="20.100000000000001" customHeight="1">
      <c r="A827" s="1254" t="s">
        <v>2977</v>
      </c>
      <c r="B827" s="1127" t="s">
        <v>2555</v>
      </c>
      <c r="C827" s="1127" t="s">
        <v>2554</v>
      </c>
      <c r="D827" s="1023"/>
      <c r="E827" s="1023"/>
      <c r="F827" s="1023"/>
      <c r="G827" s="629" t="s">
        <v>19</v>
      </c>
      <c r="H827" s="210">
        <v>7</v>
      </c>
      <c r="I827" s="20" t="s">
        <v>17</v>
      </c>
      <c r="J827" s="20"/>
      <c r="K827" s="19" t="s">
        <v>982</v>
      </c>
      <c r="L827" s="607" t="s">
        <v>653</v>
      </c>
      <c r="M827" s="156">
        <v>43084</v>
      </c>
      <c r="N827" s="156">
        <v>43092</v>
      </c>
      <c r="O827" s="59" t="s">
        <v>611</v>
      </c>
      <c r="P827" s="72"/>
      <c r="Q827" s="52"/>
      <c r="R827" s="610" t="s">
        <v>2135</v>
      </c>
      <c r="S827" s="316" t="s">
        <v>1176</v>
      </c>
      <c r="T827" s="317">
        <v>20</v>
      </c>
    </row>
    <row r="828" spans="1:20" ht="20.100000000000001" customHeight="1">
      <c r="A828" s="1254" t="s">
        <v>2977</v>
      </c>
      <c r="B828" s="1127" t="s">
        <v>2555</v>
      </c>
      <c r="C828" s="1127" t="s">
        <v>2554</v>
      </c>
      <c r="D828" s="1019">
        <v>2650</v>
      </c>
      <c r="E828" s="1019">
        <v>2700</v>
      </c>
      <c r="F828" s="1019">
        <v>2700</v>
      </c>
      <c r="G828" s="636" t="s">
        <v>13</v>
      </c>
      <c r="H828" s="160">
        <v>7</v>
      </c>
      <c r="I828" s="50" t="s">
        <v>17</v>
      </c>
      <c r="J828" s="50"/>
      <c r="K828" s="19" t="s">
        <v>982</v>
      </c>
      <c r="L828" s="607" t="s">
        <v>653</v>
      </c>
      <c r="M828" s="156">
        <v>43077</v>
      </c>
      <c r="N828" s="156">
        <v>43083</v>
      </c>
      <c r="O828" s="59" t="s">
        <v>601</v>
      </c>
      <c r="P828" s="59"/>
      <c r="Q828" s="52"/>
      <c r="R828" s="606" t="s">
        <v>2287</v>
      </c>
      <c r="S828" s="316" t="s">
        <v>3354</v>
      </c>
      <c r="T828" s="904"/>
    </row>
    <row r="829" spans="1:20" ht="20.100000000000001" customHeight="1">
      <c r="A829" s="1254" t="s">
        <v>2977</v>
      </c>
      <c r="B829" s="1127" t="s">
        <v>2555</v>
      </c>
      <c r="C829" s="1127" t="s">
        <v>2554</v>
      </c>
      <c r="D829" s="1008">
        <v>3150</v>
      </c>
      <c r="E829" s="1008">
        <v>3200</v>
      </c>
      <c r="F829" s="1008">
        <v>3200</v>
      </c>
      <c r="G829" s="629" t="s">
        <v>51</v>
      </c>
      <c r="H829" s="4">
        <v>7</v>
      </c>
      <c r="I829" s="50" t="s">
        <v>17</v>
      </c>
      <c r="J829" s="50"/>
      <c r="K829" s="19" t="s">
        <v>982</v>
      </c>
      <c r="L829" s="607" t="s">
        <v>653</v>
      </c>
      <c r="M829" s="611">
        <v>43084</v>
      </c>
      <c r="N829" s="611">
        <v>43100</v>
      </c>
      <c r="O829" s="59"/>
      <c r="P829" s="59"/>
      <c r="Q829" s="52"/>
      <c r="R829" s="610" t="s">
        <v>347</v>
      </c>
      <c r="S829" s="315" t="s">
        <v>3290</v>
      </c>
      <c r="T829" s="904"/>
    </row>
    <row r="830" spans="1:20" ht="20.100000000000001" customHeight="1">
      <c r="A830" s="1254" t="s">
        <v>2977</v>
      </c>
      <c r="B830" s="1127" t="s">
        <v>2555</v>
      </c>
      <c r="C830" s="1127" t="s">
        <v>2554</v>
      </c>
      <c r="D830" s="1068">
        <v>3050</v>
      </c>
      <c r="E830" s="1068">
        <v>3100</v>
      </c>
      <c r="F830" s="1068">
        <v>3100</v>
      </c>
      <c r="G830" s="633" t="s">
        <v>33</v>
      </c>
      <c r="H830" s="4">
        <v>7</v>
      </c>
      <c r="I830" s="37" t="s">
        <v>17</v>
      </c>
      <c r="J830" s="37"/>
      <c r="K830" s="19" t="s">
        <v>982</v>
      </c>
      <c r="L830" s="607" t="s">
        <v>653</v>
      </c>
      <c r="M830" s="159">
        <v>43084</v>
      </c>
      <c r="N830" s="159">
        <v>43100</v>
      </c>
      <c r="O830" s="61"/>
      <c r="P830" s="61"/>
      <c r="Q830" s="52"/>
      <c r="R830" s="606" t="s">
        <v>347</v>
      </c>
      <c r="S830" s="316" t="s">
        <v>3353</v>
      </c>
      <c r="T830" s="904"/>
    </row>
    <row r="831" spans="1:20" ht="20.100000000000001" customHeight="1">
      <c r="A831" s="1254" t="s">
        <v>2977</v>
      </c>
      <c r="B831" s="1127" t="s">
        <v>2555</v>
      </c>
      <c r="C831" s="1127" t="s">
        <v>2554</v>
      </c>
      <c r="D831" s="1006">
        <v>2675</v>
      </c>
      <c r="E831" s="1006">
        <v>2750</v>
      </c>
      <c r="F831" s="1006">
        <v>2750</v>
      </c>
      <c r="G831" s="640" t="s">
        <v>233</v>
      </c>
      <c r="H831" s="4">
        <v>7</v>
      </c>
      <c r="I831" s="37" t="s">
        <v>17</v>
      </c>
      <c r="J831" s="37"/>
      <c r="K831" s="19" t="s">
        <v>982</v>
      </c>
      <c r="L831" s="607" t="s">
        <v>653</v>
      </c>
      <c r="M831" s="620">
        <v>43080</v>
      </c>
      <c r="N831" s="620">
        <v>43083</v>
      </c>
      <c r="O831" s="59" t="s">
        <v>601</v>
      </c>
      <c r="P831" s="61"/>
      <c r="Q831" s="52"/>
      <c r="R831" s="606" t="s">
        <v>347</v>
      </c>
      <c r="S831" s="316" t="s">
        <v>3352</v>
      </c>
      <c r="T831" s="904"/>
    </row>
    <row r="832" spans="1:20" ht="20.100000000000001" customHeight="1">
      <c r="A832" s="1254" t="s">
        <v>2977</v>
      </c>
      <c r="B832" s="1127" t="s">
        <v>2555</v>
      </c>
      <c r="C832" s="1127" t="s">
        <v>2554</v>
      </c>
      <c r="D832" s="1021">
        <v>3250</v>
      </c>
      <c r="E832" s="1021">
        <v>3300</v>
      </c>
      <c r="F832" s="1021">
        <v>3300</v>
      </c>
      <c r="G832" s="633" t="s">
        <v>28</v>
      </c>
      <c r="H832" s="4">
        <v>7</v>
      </c>
      <c r="I832" s="37" t="s">
        <v>17</v>
      </c>
      <c r="J832" s="37"/>
      <c r="K832" s="19" t="s">
        <v>982</v>
      </c>
      <c r="L832" s="607" t="s">
        <v>653</v>
      </c>
      <c r="M832" s="620">
        <v>43084</v>
      </c>
      <c r="N832" s="620">
        <v>43100</v>
      </c>
      <c r="O832" s="153" t="s">
        <v>1980</v>
      </c>
      <c r="P832" s="61"/>
      <c r="Q832" s="7"/>
      <c r="R832" s="606" t="s">
        <v>2134</v>
      </c>
      <c r="S832" s="622"/>
      <c r="T832" s="904"/>
    </row>
    <row r="833" spans="1:20" ht="20.100000000000001" customHeight="1">
      <c r="A833" s="1274" t="s">
        <v>2976</v>
      </c>
      <c r="B833" s="1215" t="s">
        <v>2115</v>
      </c>
      <c r="C833" s="1215" t="s">
        <v>4493</v>
      </c>
      <c r="D833" s="1006">
        <v>1400</v>
      </c>
      <c r="E833" s="1006">
        <v>1625</v>
      </c>
      <c r="F833" s="1006">
        <v>1625</v>
      </c>
      <c r="G833" s="636" t="s">
        <v>18</v>
      </c>
      <c r="H833" s="160" t="s">
        <v>1102</v>
      </c>
      <c r="I833" s="37" t="s">
        <v>2526</v>
      </c>
      <c r="J833" s="50"/>
      <c r="K833" s="19" t="s">
        <v>680</v>
      </c>
      <c r="L833" s="607" t="s">
        <v>653</v>
      </c>
      <c r="M833" s="108">
        <v>43078</v>
      </c>
      <c r="N833" s="108">
        <v>43083</v>
      </c>
      <c r="O833" s="153" t="s">
        <v>2552</v>
      </c>
      <c r="P833" s="59"/>
      <c r="Q833" s="7"/>
      <c r="R833" s="606" t="s">
        <v>2547</v>
      </c>
      <c r="S833" s="316"/>
      <c r="T833" s="904"/>
    </row>
    <row r="834" spans="1:20" ht="20.100000000000001" customHeight="1">
      <c r="A834" s="1274" t="s">
        <v>2976</v>
      </c>
      <c r="B834" s="1215" t="s">
        <v>2115</v>
      </c>
      <c r="C834" s="1215" t="s">
        <v>4493</v>
      </c>
      <c r="D834" s="1006">
        <v>1750</v>
      </c>
      <c r="E834" s="1006">
        <v>2100</v>
      </c>
      <c r="F834" s="1006">
        <v>2100</v>
      </c>
      <c r="G834" s="629" t="s">
        <v>19</v>
      </c>
      <c r="H834" s="645" t="s">
        <v>3664</v>
      </c>
      <c r="I834" s="50" t="s">
        <v>2127</v>
      </c>
      <c r="J834" s="50"/>
      <c r="K834" s="19">
        <v>30</v>
      </c>
      <c r="L834" s="607" t="s">
        <v>653</v>
      </c>
      <c r="M834" s="156">
        <v>43084</v>
      </c>
      <c r="N834" s="156">
        <v>43093</v>
      </c>
      <c r="O834" s="153" t="s">
        <v>2131</v>
      </c>
      <c r="P834" s="59"/>
      <c r="Q834" s="7"/>
      <c r="R834" s="606" t="s">
        <v>3339</v>
      </c>
      <c r="S834" s="315" t="s">
        <v>3337</v>
      </c>
      <c r="T834" s="904"/>
    </row>
    <row r="835" spans="1:20" ht="20.100000000000001" customHeight="1">
      <c r="A835" s="1274" t="s">
        <v>2976</v>
      </c>
      <c r="B835" s="1215" t="s">
        <v>2115</v>
      </c>
      <c r="C835" s="1215" t="s">
        <v>4493</v>
      </c>
      <c r="D835" s="956">
        <v>1750</v>
      </c>
      <c r="E835" s="956">
        <v>2100</v>
      </c>
      <c r="F835" s="956">
        <v>2100</v>
      </c>
      <c r="G835" s="637" t="s">
        <v>5</v>
      </c>
      <c r="H835" s="4" t="s">
        <v>3666</v>
      </c>
      <c r="I835" s="37" t="s">
        <v>2127</v>
      </c>
      <c r="J835" s="37"/>
      <c r="K835" s="5" t="s">
        <v>829</v>
      </c>
      <c r="L835" s="607" t="s">
        <v>653</v>
      </c>
      <c r="M835" s="159">
        <v>43087</v>
      </c>
      <c r="N835" s="159">
        <v>43093</v>
      </c>
      <c r="O835" s="61" t="s">
        <v>1771</v>
      </c>
      <c r="P835" s="61"/>
      <c r="Q835" s="7"/>
      <c r="R835" s="606" t="s">
        <v>3665</v>
      </c>
      <c r="S835" s="622"/>
      <c r="T835" s="858"/>
    </row>
    <row r="836" spans="1:20" ht="20.100000000000001" customHeight="1">
      <c r="A836" s="1274" t="s">
        <v>2976</v>
      </c>
      <c r="B836" s="1215" t="s">
        <v>2115</v>
      </c>
      <c r="C836" s="1215" t="s">
        <v>4493</v>
      </c>
      <c r="D836" s="956">
        <v>1750</v>
      </c>
      <c r="E836" s="956">
        <v>2700</v>
      </c>
      <c r="F836" s="956">
        <v>2700</v>
      </c>
      <c r="G836" s="629" t="s">
        <v>22</v>
      </c>
      <c r="H836" s="56" t="s">
        <v>657</v>
      </c>
      <c r="I836" s="5" t="s">
        <v>2127</v>
      </c>
      <c r="J836" s="37"/>
      <c r="K836" s="19" t="s">
        <v>968</v>
      </c>
      <c r="L836" s="607" t="s">
        <v>653</v>
      </c>
      <c r="M836" s="108">
        <v>43087</v>
      </c>
      <c r="N836" s="108">
        <v>43094</v>
      </c>
      <c r="O836" s="61" t="s">
        <v>2444</v>
      </c>
      <c r="P836" s="61"/>
      <c r="Q836" s="7"/>
      <c r="R836" s="606" t="s">
        <v>2126</v>
      </c>
      <c r="S836" s="322" t="s">
        <v>1176</v>
      </c>
      <c r="T836" s="858"/>
    </row>
    <row r="837" spans="1:20" ht="20.100000000000001" customHeight="1">
      <c r="A837" s="1274" t="s">
        <v>2976</v>
      </c>
      <c r="B837" s="1215" t="s">
        <v>2115</v>
      </c>
      <c r="C837" s="1215" t="s">
        <v>4493</v>
      </c>
      <c r="D837" s="1008">
        <v>1425</v>
      </c>
      <c r="E837" s="1008">
        <v>1550</v>
      </c>
      <c r="F837" s="1008">
        <v>1550</v>
      </c>
      <c r="G837" s="227" t="s">
        <v>1689</v>
      </c>
      <c r="H837" s="160" t="s">
        <v>1311</v>
      </c>
      <c r="I837" s="37" t="s">
        <v>2526</v>
      </c>
      <c r="J837" s="37"/>
      <c r="K837" s="5">
        <v>25</v>
      </c>
      <c r="L837" s="607" t="s">
        <v>653</v>
      </c>
      <c r="M837" s="156">
        <v>43076</v>
      </c>
      <c r="N837" s="156">
        <v>43083</v>
      </c>
      <c r="O837" s="153" t="s">
        <v>2529</v>
      </c>
      <c r="P837" s="61"/>
      <c r="Q837" s="7"/>
      <c r="R837" s="606" t="s">
        <v>2528</v>
      </c>
      <c r="S837" s="316" t="s">
        <v>2943</v>
      </c>
      <c r="T837" s="858"/>
    </row>
    <row r="838" spans="1:20" ht="20.100000000000001" customHeight="1">
      <c r="A838" s="1274" t="s">
        <v>2976</v>
      </c>
      <c r="B838" s="1215" t="s">
        <v>2115</v>
      </c>
      <c r="C838" s="1215" t="s">
        <v>4493</v>
      </c>
      <c r="D838" s="1015">
        <v>1400</v>
      </c>
      <c r="E838" s="1015">
        <v>1650</v>
      </c>
      <c r="F838" s="1015">
        <v>1650</v>
      </c>
      <c r="G838" s="636" t="s">
        <v>31</v>
      </c>
      <c r="H838" s="168" t="s">
        <v>681</v>
      </c>
      <c r="I838" s="37" t="s">
        <v>2127</v>
      </c>
      <c r="J838" s="37"/>
      <c r="K838" s="5">
        <v>34</v>
      </c>
      <c r="L838" s="607" t="s">
        <v>653</v>
      </c>
      <c r="M838" s="623">
        <v>43080</v>
      </c>
      <c r="N838" s="623">
        <v>43083</v>
      </c>
      <c r="O838" s="61" t="s">
        <v>1307</v>
      </c>
      <c r="P838" s="61"/>
      <c r="Q838" s="52"/>
      <c r="R838" s="606" t="s">
        <v>3563</v>
      </c>
      <c r="S838" s="622" t="s">
        <v>1176</v>
      </c>
      <c r="T838" s="858"/>
    </row>
    <row r="839" spans="1:20" ht="20.100000000000001" customHeight="1">
      <c r="A839" s="1274" t="s">
        <v>2976</v>
      </c>
      <c r="B839" s="1215" t="s">
        <v>2115</v>
      </c>
      <c r="C839" s="1215" t="s">
        <v>4493</v>
      </c>
      <c r="D839" s="1008">
        <f>D19+150+0</f>
        <v>1700</v>
      </c>
      <c r="E839" s="1008">
        <f>E19+300+0</f>
        <v>2100</v>
      </c>
      <c r="F839" s="1008">
        <f>F19+300+0</f>
        <v>2100</v>
      </c>
      <c r="G839" s="216" t="s">
        <v>51</v>
      </c>
      <c r="H839" s="4">
        <v>5</v>
      </c>
      <c r="I839" s="37" t="s">
        <v>17</v>
      </c>
      <c r="J839" s="37"/>
      <c r="K839" s="19" t="s">
        <v>680</v>
      </c>
      <c r="L839" s="607" t="s">
        <v>653</v>
      </c>
      <c r="M839" s="611">
        <v>43086</v>
      </c>
      <c r="N839" s="611">
        <v>43100</v>
      </c>
      <c r="O839" s="61" t="s">
        <v>601</v>
      </c>
      <c r="P839" s="52"/>
      <c r="Q839" s="7"/>
      <c r="R839" s="606" t="s">
        <v>2538</v>
      </c>
      <c r="S839" s="315" t="s">
        <v>3290</v>
      </c>
      <c r="T839" s="749" t="s">
        <v>2838</v>
      </c>
    </row>
    <row r="840" spans="1:20" ht="20.100000000000001" customHeight="1">
      <c r="A840" s="1274" t="s">
        <v>2976</v>
      </c>
      <c r="B840" s="1215" t="s">
        <v>2115</v>
      </c>
      <c r="C840" s="1215" t="s">
        <v>4493</v>
      </c>
      <c r="D840" s="1008">
        <v>1350</v>
      </c>
      <c r="E840" s="1008">
        <v>1600</v>
      </c>
      <c r="F840" s="1008">
        <v>1600</v>
      </c>
      <c r="G840" s="633" t="s">
        <v>13</v>
      </c>
      <c r="H840" s="4">
        <v>5</v>
      </c>
      <c r="I840" s="37" t="s">
        <v>17</v>
      </c>
      <c r="J840" s="37"/>
      <c r="K840" s="19" t="s">
        <v>680</v>
      </c>
      <c r="L840" s="607" t="s">
        <v>653</v>
      </c>
      <c r="M840" s="156">
        <v>43073</v>
      </c>
      <c r="N840" s="156">
        <v>43083</v>
      </c>
      <c r="O840" s="59" t="s">
        <v>601</v>
      </c>
      <c r="P840" s="59"/>
      <c r="Q840" s="7"/>
      <c r="R840" s="606" t="s">
        <v>2536</v>
      </c>
      <c r="S840" s="316" t="s">
        <v>3334</v>
      </c>
      <c r="T840" s="858"/>
    </row>
    <row r="841" spans="1:20" ht="20.100000000000001" customHeight="1">
      <c r="A841" s="1274" t="s">
        <v>2976</v>
      </c>
      <c r="B841" s="1215" t="s">
        <v>2115</v>
      </c>
      <c r="C841" s="1215" t="s">
        <v>4493</v>
      </c>
      <c r="D841" s="1014">
        <v>1650</v>
      </c>
      <c r="E841" s="1014">
        <v>2000</v>
      </c>
      <c r="F841" s="1014">
        <v>2000</v>
      </c>
      <c r="G841" s="633" t="s">
        <v>28</v>
      </c>
      <c r="H841" s="4">
        <v>5</v>
      </c>
      <c r="I841" s="37" t="s">
        <v>17</v>
      </c>
      <c r="J841" s="37"/>
      <c r="K841" s="19" t="s">
        <v>680</v>
      </c>
      <c r="L841" s="607" t="s">
        <v>653</v>
      </c>
      <c r="M841" s="620">
        <v>43086</v>
      </c>
      <c r="N841" s="620">
        <v>43100</v>
      </c>
      <c r="O841" s="153" t="s">
        <v>601</v>
      </c>
      <c r="P841" s="59"/>
      <c r="Q841" s="7"/>
      <c r="R841" s="610" t="s">
        <v>3649</v>
      </c>
      <c r="S841" s="619"/>
      <c r="T841" s="858"/>
    </row>
    <row r="842" spans="1:20" ht="20.100000000000001" customHeight="1">
      <c r="A842" s="1274" t="s">
        <v>2976</v>
      </c>
      <c r="B842" s="1215" t="s">
        <v>2115</v>
      </c>
      <c r="C842" s="1215" t="s">
        <v>4493</v>
      </c>
      <c r="D842" s="1015">
        <v>1225</v>
      </c>
      <c r="E842" s="1015">
        <v>1450</v>
      </c>
      <c r="F842" s="1015">
        <v>1450</v>
      </c>
      <c r="G842" s="633" t="s">
        <v>29</v>
      </c>
      <c r="H842" s="4">
        <v>5</v>
      </c>
      <c r="I842" s="37" t="s">
        <v>17</v>
      </c>
      <c r="J842" s="37"/>
      <c r="K842" s="19" t="s">
        <v>680</v>
      </c>
      <c r="L842" s="607" t="s">
        <v>653</v>
      </c>
      <c r="M842" s="620">
        <v>43084</v>
      </c>
      <c r="N842" s="620">
        <v>43086</v>
      </c>
      <c r="O842" s="59" t="s">
        <v>601</v>
      </c>
      <c r="P842" s="59"/>
      <c r="Q842" s="7"/>
      <c r="R842" s="606" t="s">
        <v>3562</v>
      </c>
      <c r="S842" s="316" t="s">
        <v>3561</v>
      </c>
      <c r="T842" s="858"/>
    </row>
    <row r="843" spans="1:20" ht="20.100000000000001" customHeight="1">
      <c r="A843" s="1274" t="s">
        <v>2976</v>
      </c>
      <c r="B843" s="1215" t="s">
        <v>2115</v>
      </c>
      <c r="C843" s="1215" t="s">
        <v>4493</v>
      </c>
      <c r="D843" s="956">
        <v>1700</v>
      </c>
      <c r="E843" s="956">
        <v>2050</v>
      </c>
      <c r="F843" s="956">
        <v>2050</v>
      </c>
      <c r="G843" s="633" t="s">
        <v>33</v>
      </c>
      <c r="H843" s="4">
        <v>5</v>
      </c>
      <c r="I843" s="37" t="s">
        <v>17</v>
      </c>
      <c r="J843" s="37"/>
      <c r="K843" s="19" t="s">
        <v>680</v>
      </c>
      <c r="L843" s="607" t="s">
        <v>653</v>
      </c>
      <c r="M843" s="159">
        <v>43087</v>
      </c>
      <c r="N843" s="159">
        <v>43093</v>
      </c>
      <c r="O843" s="61"/>
      <c r="P843" s="61"/>
      <c r="Q843" s="7"/>
      <c r="R843" s="606" t="s">
        <v>2538</v>
      </c>
      <c r="S843" s="316" t="s">
        <v>3333</v>
      </c>
      <c r="T843" s="858"/>
    </row>
    <row r="844" spans="1:20" ht="20.100000000000001" customHeight="1">
      <c r="A844" s="1274" t="s">
        <v>2976</v>
      </c>
      <c r="B844" s="1215" t="s">
        <v>2115</v>
      </c>
      <c r="C844" s="1215" t="s">
        <v>2553</v>
      </c>
      <c r="D844" s="1015">
        <f>D835+400+25</f>
        <v>2175</v>
      </c>
      <c r="E844" s="1015">
        <f>E835+400+50</f>
        <v>2550</v>
      </c>
      <c r="F844" s="1015">
        <f>F835+400+50</f>
        <v>2550</v>
      </c>
      <c r="G844" s="216" t="s">
        <v>5</v>
      </c>
      <c r="H844" s="4" t="s">
        <v>3666</v>
      </c>
      <c r="I844" s="37" t="s">
        <v>2127</v>
      </c>
      <c r="J844" s="37"/>
      <c r="K844" s="5" t="s">
        <v>829</v>
      </c>
      <c r="L844" s="607" t="s">
        <v>653</v>
      </c>
      <c r="M844" s="159">
        <v>43087</v>
      </c>
      <c r="N844" s="159">
        <v>43093</v>
      </c>
      <c r="O844" s="61" t="s">
        <v>1771</v>
      </c>
      <c r="P844" s="61"/>
      <c r="Q844" s="72" t="s">
        <v>3344</v>
      </c>
      <c r="R844" s="606" t="s">
        <v>3665</v>
      </c>
      <c r="S844" s="622"/>
      <c r="T844" s="858"/>
    </row>
    <row r="845" spans="1:20" ht="20.100000000000001" customHeight="1">
      <c r="A845" s="1274" t="s">
        <v>2976</v>
      </c>
      <c r="B845" s="1215" t="s">
        <v>2115</v>
      </c>
      <c r="C845" s="1215" t="s">
        <v>2553</v>
      </c>
      <c r="D845" s="1015">
        <f>D834+368</f>
        <v>2118</v>
      </c>
      <c r="E845" s="1015">
        <f>E834+350</f>
        <v>2450</v>
      </c>
      <c r="F845" s="1015">
        <f>F834+350</f>
        <v>2450</v>
      </c>
      <c r="G845" s="216" t="s">
        <v>19</v>
      </c>
      <c r="H845" s="645" t="s">
        <v>3664</v>
      </c>
      <c r="I845" s="37" t="s">
        <v>3673</v>
      </c>
      <c r="J845" s="38"/>
      <c r="K845" s="19" t="s">
        <v>835</v>
      </c>
      <c r="L845" s="607" t="s">
        <v>653</v>
      </c>
      <c r="M845" s="156">
        <v>43084</v>
      </c>
      <c r="N845" s="156">
        <v>43093</v>
      </c>
      <c r="O845" s="153" t="s">
        <v>2131</v>
      </c>
      <c r="P845" s="59"/>
      <c r="Q845" s="72" t="s">
        <v>100</v>
      </c>
      <c r="R845" s="606" t="s">
        <v>3339</v>
      </c>
      <c r="S845" s="315" t="s">
        <v>3337</v>
      </c>
      <c r="T845" s="858"/>
    </row>
    <row r="846" spans="1:20" ht="20.100000000000001" customHeight="1">
      <c r="A846" s="1274" t="s">
        <v>2976</v>
      </c>
      <c r="B846" s="1215" t="s">
        <v>2115</v>
      </c>
      <c r="C846" s="1215" t="s">
        <v>2553</v>
      </c>
      <c r="D846" s="1008">
        <f>D837+412+25</f>
        <v>1862</v>
      </c>
      <c r="E846" s="1008">
        <f>E837+412+50</f>
        <v>2012</v>
      </c>
      <c r="F846" s="1008">
        <f>F837+412+50</f>
        <v>2012</v>
      </c>
      <c r="G846" s="609" t="s">
        <v>1689</v>
      </c>
      <c r="H846" s="160" t="s">
        <v>1311</v>
      </c>
      <c r="I846" s="37" t="s">
        <v>3673</v>
      </c>
      <c r="J846" s="37"/>
      <c r="K846" s="5">
        <v>29</v>
      </c>
      <c r="L846" s="607" t="s">
        <v>653</v>
      </c>
      <c r="M846" s="156">
        <v>43076</v>
      </c>
      <c r="N846" s="156">
        <v>43083</v>
      </c>
      <c r="O846" s="153" t="s">
        <v>2529</v>
      </c>
      <c r="P846" s="61"/>
      <c r="Q846" s="14" t="s">
        <v>24</v>
      </c>
      <c r="R846" s="606" t="s">
        <v>2528</v>
      </c>
      <c r="S846" s="316" t="s">
        <v>5417</v>
      </c>
      <c r="T846" s="858"/>
    </row>
    <row r="847" spans="1:20" ht="20.100000000000001" customHeight="1">
      <c r="A847" s="1274" t="s">
        <v>5416</v>
      </c>
      <c r="B847" s="1215" t="s">
        <v>5415</v>
      </c>
      <c r="C847" s="1215" t="s">
        <v>5414</v>
      </c>
      <c r="D847" s="1006">
        <f t="shared" ref="D847:F848" si="4">D838+420</f>
        <v>1820</v>
      </c>
      <c r="E847" s="1006">
        <f t="shared" si="4"/>
        <v>2070</v>
      </c>
      <c r="F847" s="1006">
        <f t="shared" si="4"/>
        <v>2070</v>
      </c>
      <c r="G847" s="618" t="s">
        <v>31</v>
      </c>
      <c r="H847" s="168" t="s">
        <v>681</v>
      </c>
      <c r="I847" s="37" t="s">
        <v>3673</v>
      </c>
      <c r="J847" s="37"/>
      <c r="K847" s="5">
        <v>35</v>
      </c>
      <c r="L847" s="607" t="s">
        <v>653</v>
      </c>
      <c r="M847" s="623">
        <v>43080</v>
      </c>
      <c r="N847" s="623">
        <v>43083</v>
      </c>
      <c r="O847" s="61" t="s">
        <v>1307</v>
      </c>
      <c r="P847" s="61"/>
      <c r="Q847" s="52"/>
      <c r="R847" s="606" t="s">
        <v>3563</v>
      </c>
      <c r="S847" s="622" t="s">
        <v>1176</v>
      </c>
      <c r="T847" s="858"/>
    </row>
    <row r="848" spans="1:20" ht="20.100000000000001" customHeight="1">
      <c r="A848" s="1274" t="s">
        <v>2976</v>
      </c>
      <c r="B848" s="1215" t="s">
        <v>2115</v>
      </c>
      <c r="C848" s="1215" t="s">
        <v>2553</v>
      </c>
      <c r="D848" s="1006">
        <f t="shared" si="4"/>
        <v>2120</v>
      </c>
      <c r="E848" s="1006">
        <f t="shared" si="4"/>
        <v>2520</v>
      </c>
      <c r="F848" s="1006">
        <f t="shared" si="4"/>
        <v>2520</v>
      </c>
      <c r="G848" s="216" t="s">
        <v>51</v>
      </c>
      <c r="H848" s="4">
        <v>5</v>
      </c>
      <c r="I848" s="37" t="s">
        <v>3673</v>
      </c>
      <c r="J848" s="37"/>
      <c r="K848" s="5" t="s">
        <v>680</v>
      </c>
      <c r="L848" s="607" t="s">
        <v>653</v>
      </c>
      <c r="M848" s="611">
        <v>43086</v>
      </c>
      <c r="N848" s="611">
        <v>43100</v>
      </c>
      <c r="O848" s="61" t="s">
        <v>601</v>
      </c>
      <c r="P848" s="52"/>
      <c r="Q848" s="14" t="s">
        <v>4185</v>
      </c>
      <c r="R848" s="606" t="s">
        <v>2538</v>
      </c>
      <c r="S848" s="315" t="s">
        <v>3290</v>
      </c>
      <c r="T848" s="858"/>
    </row>
    <row r="849" spans="1:20" ht="20.100000000000001" customHeight="1">
      <c r="A849" s="1274" t="s">
        <v>2976</v>
      </c>
      <c r="B849" s="1215" t="s">
        <v>2115</v>
      </c>
      <c r="C849" s="1215" t="s">
        <v>2553</v>
      </c>
      <c r="D849" s="1006">
        <f>D840+400</f>
        <v>1750</v>
      </c>
      <c r="E849" s="1006">
        <f>E840+400</f>
        <v>2000</v>
      </c>
      <c r="F849" s="1006">
        <f>F840+400</f>
        <v>2000</v>
      </c>
      <c r="G849" s="613" t="s">
        <v>13</v>
      </c>
      <c r="H849" s="4">
        <v>5</v>
      </c>
      <c r="I849" s="37" t="s">
        <v>3673</v>
      </c>
      <c r="J849" s="37"/>
      <c r="K849" s="5">
        <v>25</v>
      </c>
      <c r="L849" s="607" t="s">
        <v>653</v>
      </c>
      <c r="M849" s="156">
        <v>43073</v>
      </c>
      <c r="N849" s="156">
        <v>43083</v>
      </c>
      <c r="O849" s="59" t="s">
        <v>601</v>
      </c>
      <c r="P849" s="59"/>
      <c r="Q849" s="7"/>
      <c r="R849" s="606" t="s">
        <v>2536</v>
      </c>
      <c r="S849" s="316" t="s">
        <v>3334</v>
      </c>
      <c r="T849" s="858"/>
    </row>
    <row r="850" spans="1:20" ht="20.100000000000001" customHeight="1">
      <c r="A850" s="1274" t="s">
        <v>2976</v>
      </c>
      <c r="B850" s="1215" t="s">
        <v>2115</v>
      </c>
      <c r="C850" s="1215" t="s">
        <v>2553</v>
      </c>
      <c r="D850" s="1006">
        <f t="shared" ref="D850:F851" si="5">D842+400</f>
        <v>1625</v>
      </c>
      <c r="E850" s="1006">
        <f t="shared" si="5"/>
        <v>1850</v>
      </c>
      <c r="F850" s="1006">
        <f t="shared" si="5"/>
        <v>1850</v>
      </c>
      <c r="G850" s="613" t="s">
        <v>29</v>
      </c>
      <c r="H850" s="4">
        <v>5</v>
      </c>
      <c r="I850" s="37" t="s">
        <v>3673</v>
      </c>
      <c r="J850" s="37"/>
      <c r="K850" s="5">
        <v>25</v>
      </c>
      <c r="L850" s="607" t="s">
        <v>653</v>
      </c>
      <c r="M850" s="620">
        <v>43084</v>
      </c>
      <c r="N850" s="620">
        <v>43086</v>
      </c>
      <c r="O850" s="59" t="s">
        <v>601</v>
      </c>
      <c r="P850" s="59"/>
      <c r="Q850" s="7"/>
      <c r="R850" s="606" t="s">
        <v>3562</v>
      </c>
      <c r="S850" s="316" t="s">
        <v>3561</v>
      </c>
      <c r="T850" s="858"/>
    </row>
    <row r="851" spans="1:20" ht="20.100000000000001" customHeight="1">
      <c r="A851" s="1274" t="s">
        <v>2976</v>
      </c>
      <c r="B851" s="1215" t="s">
        <v>2115</v>
      </c>
      <c r="C851" s="1215" t="s">
        <v>2553</v>
      </c>
      <c r="D851" s="1006">
        <f t="shared" si="5"/>
        <v>2100</v>
      </c>
      <c r="E851" s="1006">
        <f t="shared" si="5"/>
        <v>2450</v>
      </c>
      <c r="F851" s="1006">
        <f t="shared" si="5"/>
        <v>2450</v>
      </c>
      <c r="G851" s="613" t="s">
        <v>33</v>
      </c>
      <c r="H851" s="4">
        <v>5</v>
      </c>
      <c r="I851" s="37" t="s">
        <v>3673</v>
      </c>
      <c r="J851" s="37"/>
      <c r="K851" s="5">
        <v>27</v>
      </c>
      <c r="L851" s="607" t="s">
        <v>653</v>
      </c>
      <c r="M851" s="159">
        <v>43087</v>
      </c>
      <c r="N851" s="159">
        <v>43093</v>
      </c>
      <c r="O851" s="61"/>
      <c r="P851" s="61"/>
      <c r="Q851" s="7"/>
      <c r="R851" s="606" t="s">
        <v>2538</v>
      </c>
      <c r="S851" s="316" t="s">
        <v>3333</v>
      </c>
      <c r="T851" s="921"/>
    </row>
    <row r="852" spans="1:20" ht="20.100000000000001" customHeight="1">
      <c r="A852" s="1274" t="s">
        <v>2976</v>
      </c>
      <c r="B852" s="1215" t="s">
        <v>2115</v>
      </c>
      <c r="C852" s="1215" t="s">
        <v>3351</v>
      </c>
      <c r="D852" s="1015">
        <f>D835+400+25</f>
        <v>2175</v>
      </c>
      <c r="E852" s="1015">
        <f>E835+400+50</f>
        <v>2550</v>
      </c>
      <c r="F852" s="1015">
        <f>F835+400+50</f>
        <v>2550</v>
      </c>
      <c r="G852" s="216" t="s">
        <v>5</v>
      </c>
      <c r="H852" s="4" t="s">
        <v>3666</v>
      </c>
      <c r="I852" s="37" t="s">
        <v>2127</v>
      </c>
      <c r="J852" s="37"/>
      <c r="K852" s="5" t="s">
        <v>829</v>
      </c>
      <c r="L852" s="607" t="s">
        <v>653</v>
      </c>
      <c r="M852" s="159">
        <v>43087</v>
      </c>
      <c r="N852" s="159">
        <v>43093</v>
      </c>
      <c r="O852" s="61" t="s">
        <v>1771</v>
      </c>
      <c r="P852" s="61"/>
      <c r="Q852" s="72" t="s">
        <v>3344</v>
      </c>
      <c r="R852" s="606" t="s">
        <v>3665</v>
      </c>
      <c r="S852" s="622"/>
      <c r="T852" s="921"/>
    </row>
    <row r="853" spans="1:20" ht="20.100000000000001" customHeight="1">
      <c r="A853" s="1274" t="s">
        <v>2976</v>
      </c>
      <c r="B853" s="1215" t="s">
        <v>2115</v>
      </c>
      <c r="C853" s="1215" t="s">
        <v>3351</v>
      </c>
      <c r="D853" s="1006">
        <f>D834+438</f>
        <v>2188</v>
      </c>
      <c r="E853" s="1006">
        <f>E834+325</f>
        <v>2425</v>
      </c>
      <c r="F853" s="1006">
        <f>F834+370</f>
        <v>2470</v>
      </c>
      <c r="G853" s="216" t="s">
        <v>19</v>
      </c>
      <c r="H853" s="645" t="s">
        <v>3664</v>
      </c>
      <c r="I853" s="37" t="s">
        <v>3673</v>
      </c>
      <c r="J853" s="38"/>
      <c r="K853" s="19" t="s">
        <v>835</v>
      </c>
      <c r="L853" s="607" t="s">
        <v>653</v>
      </c>
      <c r="M853" s="156">
        <v>43084</v>
      </c>
      <c r="N853" s="156">
        <v>43093</v>
      </c>
      <c r="O853" s="153" t="s">
        <v>2131</v>
      </c>
      <c r="P853" s="59"/>
      <c r="Q853" s="72" t="s">
        <v>100</v>
      </c>
      <c r="R853" s="606" t="s">
        <v>3339</v>
      </c>
      <c r="S853" s="315" t="s">
        <v>3337</v>
      </c>
      <c r="T853" s="921"/>
    </row>
    <row r="854" spans="1:20" ht="20.100000000000001" customHeight="1">
      <c r="A854" s="1274" t="s">
        <v>2976</v>
      </c>
      <c r="B854" s="1215" t="s">
        <v>2115</v>
      </c>
      <c r="C854" s="1215" t="s">
        <v>3351</v>
      </c>
      <c r="D854" s="1006">
        <f>D837+412+25</f>
        <v>1862</v>
      </c>
      <c r="E854" s="1006">
        <f>E837+412+50</f>
        <v>2012</v>
      </c>
      <c r="F854" s="1006">
        <f>F837+412+50</f>
        <v>2012</v>
      </c>
      <c r="G854" s="609" t="s">
        <v>1689</v>
      </c>
      <c r="H854" s="160" t="s">
        <v>1311</v>
      </c>
      <c r="I854" s="37" t="s">
        <v>3673</v>
      </c>
      <c r="J854" s="37"/>
      <c r="K854" s="5">
        <v>29</v>
      </c>
      <c r="L854" s="607" t="s">
        <v>653</v>
      </c>
      <c r="M854" s="156">
        <v>43076</v>
      </c>
      <c r="N854" s="156">
        <v>43083</v>
      </c>
      <c r="O854" s="153" t="s">
        <v>2529</v>
      </c>
      <c r="P854" s="61"/>
      <c r="Q854" s="14" t="s">
        <v>24</v>
      </c>
      <c r="R854" s="606" t="s">
        <v>2528</v>
      </c>
      <c r="S854" s="316" t="s">
        <v>2943</v>
      </c>
      <c r="T854" s="921"/>
    </row>
    <row r="855" spans="1:20" ht="20.100000000000001" customHeight="1">
      <c r="A855" s="1274" t="s">
        <v>2976</v>
      </c>
      <c r="B855" s="1215" t="s">
        <v>3346</v>
      </c>
      <c r="C855" s="1215" t="s">
        <v>3679</v>
      </c>
      <c r="D855" s="1006">
        <v>1475</v>
      </c>
      <c r="E855" s="1006">
        <v>1650</v>
      </c>
      <c r="F855" s="1006">
        <v>1650</v>
      </c>
      <c r="G855" s="636" t="s">
        <v>18</v>
      </c>
      <c r="H855" s="56" t="s">
        <v>1102</v>
      </c>
      <c r="I855" s="50" t="s">
        <v>2548</v>
      </c>
      <c r="J855" s="50"/>
      <c r="K855" s="34" t="s">
        <v>1107</v>
      </c>
      <c r="L855" s="607" t="s">
        <v>653</v>
      </c>
      <c r="M855" s="108">
        <v>43078</v>
      </c>
      <c r="N855" s="108">
        <v>43083</v>
      </c>
      <c r="O855" s="61"/>
      <c r="P855" s="61"/>
      <c r="Q855" s="7"/>
      <c r="R855" s="606" t="s">
        <v>2547</v>
      </c>
      <c r="S855" s="316"/>
      <c r="T855" s="921"/>
    </row>
    <row r="856" spans="1:20" ht="20.100000000000001" customHeight="1">
      <c r="A856" s="1274" t="s">
        <v>2976</v>
      </c>
      <c r="B856" s="1215" t="s">
        <v>3346</v>
      </c>
      <c r="C856" s="1215" t="s">
        <v>3679</v>
      </c>
      <c r="D856" s="1015">
        <f>D19+150+0</f>
        <v>1700</v>
      </c>
      <c r="E856" s="1015">
        <f>E19+300+0</f>
        <v>2100</v>
      </c>
      <c r="F856" s="1015">
        <f>F19+300+0</f>
        <v>2100</v>
      </c>
      <c r="G856" s="216" t="s">
        <v>51</v>
      </c>
      <c r="H856" s="56" t="s">
        <v>3668</v>
      </c>
      <c r="I856" s="37" t="s">
        <v>2127</v>
      </c>
      <c r="J856" s="37"/>
      <c r="K856" s="16">
        <v>27</v>
      </c>
      <c r="L856" s="607" t="s">
        <v>653</v>
      </c>
      <c r="M856" s="611">
        <v>43086</v>
      </c>
      <c r="N856" s="611">
        <v>43100</v>
      </c>
      <c r="O856" s="61" t="s">
        <v>3335</v>
      </c>
      <c r="P856" s="52"/>
      <c r="Q856" s="52"/>
      <c r="R856" s="606" t="s">
        <v>3667</v>
      </c>
      <c r="S856" s="315" t="s">
        <v>3290</v>
      </c>
      <c r="T856" s="749" t="s">
        <v>2837</v>
      </c>
    </row>
    <row r="857" spans="1:20" ht="20.100000000000001" customHeight="1">
      <c r="A857" s="1274" t="s">
        <v>2976</v>
      </c>
      <c r="B857" s="1215" t="s">
        <v>3346</v>
      </c>
      <c r="C857" s="1215" t="s">
        <v>3679</v>
      </c>
      <c r="D857" s="1006">
        <v>1750</v>
      </c>
      <c r="E857" s="1006">
        <v>2100</v>
      </c>
      <c r="F857" s="1006">
        <v>2100</v>
      </c>
      <c r="G857" s="629" t="s">
        <v>19</v>
      </c>
      <c r="H857" s="645" t="s">
        <v>3664</v>
      </c>
      <c r="I857" s="50" t="s">
        <v>2127</v>
      </c>
      <c r="J857" s="50"/>
      <c r="K857" s="19">
        <v>31</v>
      </c>
      <c r="L857" s="607" t="s">
        <v>653</v>
      </c>
      <c r="M857" s="156">
        <v>43084</v>
      </c>
      <c r="N857" s="156">
        <v>43093</v>
      </c>
      <c r="O857" s="153" t="s">
        <v>2131</v>
      </c>
      <c r="P857" s="59"/>
      <c r="Q857" s="7"/>
      <c r="R857" s="606" t="s">
        <v>3339</v>
      </c>
      <c r="S857" s="315" t="s">
        <v>3337</v>
      </c>
      <c r="T857" s="921"/>
    </row>
    <row r="858" spans="1:20" ht="20.100000000000001" customHeight="1">
      <c r="A858" s="1274" t="s">
        <v>2976</v>
      </c>
      <c r="B858" s="1215" t="s">
        <v>3346</v>
      </c>
      <c r="C858" s="1215" t="s">
        <v>3679</v>
      </c>
      <c r="D858" s="956">
        <v>1750</v>
      </c>
      <c r="E858" s="956">
        <v>2100</v>
      </c>
      <c r="F858" s="956">
        <v>2100</v>
      </c>
      <c r="G858" s="637" t="s">
        <v>5</v>
      </c>
      <c r="H858" s="4" t="s">
        <v>3666</v>
      </c>
      <c r="I858" s="37" t="s">
        <v>2127</v>
      </c>
      <c r="J858" s="37"/>
      <c r="K858" s="5" t="s">
        <v>829</v>
      </c>
      <c r="L858" s="607" t="s">
        <v>653</v>
      </c>
      <c r="M858" s="159">
        <v>43087</v>
      </c>
      <c r="N858" s="159">
        <v>43093</v>
      </c>
      <c r="O858" s="61" t="s">
        <v>1771</v>
      </c>
      <c r="P858" s="61"/>
      <c r="Q858" s="7"/>
      <c r="R858" s="606" t="s">
        <v>3665</v>
      </c>
      <c r="S858" s="622"/>
      <c r="T858" s="921"/>
    </row>
    <row r="859" spans="1:20" ht="20.100000000000001" customHeight="1">
      <c r="A859" s="1274" t="s">
        <v>2976</v>
      </c>
      <c r="B859" s="1215" t="s">
        <v>3346</v>
      </c>
      <c r="C859" s="1215" t="s">
        <v>3679</v>
      </c>
      <c r="D859" s="956">
        <v>1750</v>
      </c>
      <c r="E859" s="956">
        <v>2700</v>
      </c>
      <c r="F859" s="956">
        <v>2700</v>
      </c>
      <c r="G859" s="629" t="s">
        <v>22</v>
      </c>
      <c r="H859" s="56" t="s">
        <v>657</v>
      </c>
      <c r="I859" s="5" t="s">
        <v>2127</v>
      </c>
      <c r="J859" s="37"/>
      <c r="K859" s="19" t="s">
        <v>728</v>
      </c>
      <c r="L859" s="607" t="s">
        <v>653</v>
      </c>
      <c r="M859" s="108">
        <v>43087</v>
      </c>
      <c r="N859" s="108">
        <v>43094</v>
      </c>
      <c r="O859" s="61" t="s">
        <v>2444</v>
      </c>
      <c r="P859" s="61"/>
      <c r="Q859" s="7"/>
      <c r="R859" s="606" t="s">
        <v>2126</v>
      </c>
      <c r="S859" s="322" t="s">
        <v>1176</v>
      </c>
      <c r="T859" s="921"/>
    </row>
    <row r="860" spans="1:20" ht="20.100000000000001" customHeight="1">
      <c r="A860" s="1274" t="s">
        <v>2976</v>
      </c>
      <c r="B860" s="1215" t="s">
        <v>3346</v>
      </c>
      <c r="C860" s="1215" t="s">
        <v>3679</v>
      </c>
      <c r="D860" s="1008">
        <v>1425</v>
      </c>
      <c r="E860" s="1008">
        <v>1550</v>
      </c>
      <c r="F860" s="1008">
        <v>1550</v>
      </c>
      <c r="G860" s="227" t="s">
        <v>1689</v>
      </c>
      <c r="H860" s="160" t="s">
        <v>1311</v>
      </c>
      <c r="I860" s="37" t="s">
        <v>2526</v>
      </c>
      <c r="J860" s="37"/>
      <c r="K860" s="5">
        <v>30</v>
      </c>
      <c r="L860" s="607" t="s">
        <v>653</v>
      </c>
      <c r="M860" s="156">
        <v>43076</v>
      </c>
      <c r="N860" s="156">
        <v>43083</v>
      </c>
      <c r="O860" s="153" t="s">
        <v>2529</v>
      </c>
      <c r="P860" s="61"/>
      <c r="Q860" s="7"/>
      <c r="R860" s="606" t="s">
        <v>2528</v>
      </c>
      <c r="S860" s="316" t="s">
        <v>2943</v>
      </c>
      <c r="T860" s="858"/>
    </row>
    <row r="861" spans="1:20" ht="20.100000000000001" customHeight="1">
      <c r="A861" s="1274" t="s">
        <v>2976</v>
      </c>
      <c r="B861" s="1215" t="s">
        <v>3346</v>
      </c>
      <c r="C861" s="1215" t="s">
        <v>3679</v>
      </c>
      <c r="D861" s="1015">
        <v>1400</v>
      </c>
      <c r="E861" s="1015">
        <v>1650</v>
      </c>
      <c r="F861" s="1015">
        <v>1650</v>
      </c>
      <c r="G861" s="636" t="s">
        <v>31</v>
      </c>
      <c r="H861" s="168" t="s">
        <v>681</v>
      </c>
      <c r="I861" s="37" t="s">
        <v>2548</v>
      </c>
      <c r="J861" s="37"/>
      <c r="K861" s="16">
        <v>27</v>
      </c>
      <c r="L861" s="607" t="s">
        <v>653</v>
      </c>
      <c r="M861" s="623">
        <v>43080</v>
      </c>
      <c r="N861" s="623">
        <v>43083</v>
      </c>
      <c r="O861" s="61"/>
      <c r="P861" s="61"/>
      <c r="Q861" s="52"/>
      <c r="R861" s="606" t="s">
        <v>3563</v>
      </c>
      <c r="S861" s="622" t="s">
        <v>1176</v>
      </c>
      <c r="T861" s="858"/>
    </row>
    <row r="862" spans="1:20" ht="20.100000000000001" customHeight="1">
      <c r="A862" s="1274" t="s">
        <v>2976</v>
      </c>
      <c r="B862" s="1215" t="s">
        <v>3346</v>
      </c>
      <c r="C862" s="1215" t="s">
        <v>3679</v>
      </c>
      <c r="D862" s="1015">
        <f>D841+150</f>
        <v>1800</v>
      </c>
      <c r="E862" s="1015">
        <f>E841+200</f>
        <v>2200</v>
      </c>
      <c r="F862" s="1015">
        <f>F841+200</f>
        <v>2200</v>
      </c>
      <c r="G862" s="618" t="s">
        <v>28</v>
      </c>
      <c r="H862" s="56" t="s">
        <v>2535</v>
      </c>
      <c r="I862" s="37" t="s">
        <v>2127</v>
      </c>
      <c r="J862" s="37"/>
      <c r="K862" s="16">
        <v>27</v>
      </c>
      <c r="L862" s="607" t="s">
        <v>653</v>
      </c>
      <c r="M862" s="620">
        <v>43086</v>
      </c>
      <c r="N862" s="620">
        <v>43100</v>
      </c>
      <c r="O862" s="153" t="s">
        <v>601</v>
      </c>
      <c r="P862" s="61"/>
      <c r="Q862" s="52"/>
      <c r="R862" s="610" t="s">
        <v>3558</v>
      </c>
      <c r="S862" s="622"/>
      <c r="T862" s="858"/>
    </row>
    <row r="863" spans="1:20" ht="20.100000000000001" customHeight="1">
      <c r="A863" s="1274" t="s">
        <v>2976</v>
      </c>
      <c r="B863" s="1215" t="s">
        <v>3346</v>
      </c>
      <c r="C863" s="1215" t="s">
        <v>3679</v>
      </c>
      <c r="D863" s="956">
        <v>1700</v>
      </c>
      <c r="E863" s="956">
        <v>2050</v>
      </c>
      <c r="F863" s="956">
        <v>2050</v>
      </c>
      <c r="G863" s="633" t="s">
        <v>33</v>
      </c>
      <c r="H863" s="56" t="s">
        <v>2535</v>
      </c>
      <c r="I863" s="37" t="s">
        <v>2127</v>
      </c>
      <c r="J863" s="37"/>
      <c r="K863" s="16">
        <v>27</v>
      </c>
      <c r="L863" s="607" t="s">
        <v>653</v>
      </c>
      <c r="M863" s="159">
        <v>43087</v>
      </c>
      <c r="N863" s="159">
        <v>43093</v>
      </c>
      <c r="O863" s="134" t="s">
        <v>1307</v>
      </c>
      <c r="P863" s="61"/>
      <c r="Q863" s="7"/>
      <c r="R863" s="606" t="s">
        <v>2542</v>
      </c>
      <c r="S863" s="316" t="s">
        <v>3333</v>
      </c>
      <c r="T863" s="921"/>
    </row>
    <row r="864" spans="1:20" ht="20.100000000000001" customHeight="1">
      <c r="A864" s="1274" t="s">
        <v>2976</v>
      </c>
      <c r="B864" s="1215" t="s">
        <v>3346</v>
      </c>
      <c r="C864" s="1215" t="s">
        <v>3350</v>
      </c>
      <c r="D864" s="1019">
        <f>D856+450</f>
        <v>2150</v>
      </c>
      <c r="E864" s="1019">
        <f>E856+450</f>
        <v>2550</v>
      </c>
      <c r="F864" s="1019">
        <f>F856+450</f>
        <v>2550</v>
      </c>
      <c r="G864" s="216" t="s">
        <v>51</v>
      </c>
      <c r="H864" s="56" t="s">
        <v>3668</v>
      </c>
      <c r="I864" s="37" t="s">
        <v>3677</v>
      </c>
      <c r="J864" s="37"/>
      <c r="K864" s="16" t="s">
        <v>1107</v>
      </c>
      <c r="L864" s="607" t="s">
        <v>653</v>
      </c>
      <c r="M864" s="611">
        <v>43086</v>
      </c>
      <c r="N864" s="611">
        <v>43100</v>
      </c>
      <c r="O864" s="61" t="s">
        <v>3335</v>
      </c>
      <c r="P864" s="52"/>
      <c r="Q864" s="14" t="s">
        <v>100</v>
      </c>
      <c r="R864" s="606" t="s">
        <v>3667</v>
      </c>
      <c r="S864" s="315" t="s">
        <v>3290</v>
      </c>
      <c r="T864" s="921"/>
    </row>
    <row r="865" spans="1:20" ht="20.100000000000001" customHeight="1">
      <c r="A865" s="1274" t="s">
        <v>2976</v>
      </c>
      <c r="B865" s="1215" t="s">
        <v>3346</v>
      </c>
      <c r="C865" s="1215" t="s">
        <v>3350</v>
      </c>
      <c r="D865" s="1015">
        <f>D858+350+25</f>
        <v>2125</v>
      </c>
      <c r="E865" s="1015">
        <f>E858+350+50</f>
        <v>2500</v>
      </c>
      <c r="F865" s="1015">
        <f>F858+350+50</f>
        <v>2500</v>
      </c>
      <c r="G865" s="216" t="s">
        <v>5</v>
      </c>
      <c r="H865" s="4" t="s">
        <v>3666</v>
      </c>
      <c r="I865" s="37" t="s">
        <v>2127</v>
      </c>
      <c r="J865" s="37"/>
      <c r="K865" s="5" t="s">
        <v>829</v>
      </c>
      <c r="L865" s="607" t="s">
        <v>653</v>
      </c>
      <c r="M865" s="159">
        <v>43087</v>
      </c>
      <c r="N865" s="159">
        <v>43093</v>
      </c>
      <c r="O865" s="61" t="s">
        <v>1771</v>
      </c>
      <c r="P865" s="61"/>
      <c r="Q865" s="72" t="s">
        <v>3347</v>
      </c>
      <c r="R865" s="606" t="s">
        <v>3665</v>
      </c>
      <c r="S865" s="622"/>
      <c r="T865" s="921"/>
    </row>
    <row r="866" spans="1:20" ht="20.100000000000001" customHeight="1">
      <c r="A866" s="1274" t="s">
        <v>2976</v>
      </c>
      <c r="B866" s="1215" t="s">
        <v>3346</v>
      </c>
      <c r="C866" s="1215" t="s">
        <v>3350</v>
      </c>
      <c r="D866" s="1015">
        <f>D857+372</f>
        <v>2122</v>
      </c>
      <c r="E866" s="1015">
        <f>E857+317</f>
        <v>2417</v>
      </c>
      <c r="F866" s="1015">
        <f>F857+317</f>
        <v>2417</v>
      </c>
      <c r="G866" s="216" t="s">
        <v>19</v>
      </c>
      <c r="H866" s="645" t="s">
        <v>3664</v>
      </c>
      <c r="I866" s="37" t="s">
        <v>3677</v>
      </c>
      <c r="J866" s="38"/>
      <c r="K866" s="19" t="s">
        <v>980</v>
      </c>
      <c r="L866" s="607" t="s">
        <v>653</v>
      </c>
      <c r="M866" s="156">
        <v>43084</v>
      </c>
      <c r="N866" s="156">
        <v>43093</v>
      </c>
      <c r="O866" s="153" t="s">
        <v>2131</v>
      </c>
      <c r="P866" s="59"/>
      <c r="Q866" s="72" t="s">
        <v>100</v>
      </c>
      <c r="R866" s="606" t="s">
        <v>3339</v>
      </c>
      <c r="S866" s="315" t="s">
        <v>3337</v>
      </c>
      <c r="T866" s="921"/>
    </row>
    <row r="867" spans="1:20" ht="20.100000000000001" customHeight="1">
      <c r="A867" s="1274" t="s">
        <v>2976</v>
      </c>
      <c r="B867" s="1215" t="s">
        <v>3346</v>
      </c>
      <c r="C867" s="1215" t="s">
        <v>3350</v>
      </c>
      <c r="D867" s="1019">
        <f>D860+445+25</f>
        <v>1895</v>
      </c>
      <c r="E867" s="1019">
        <f>E860+445+50</f>
        <v>2045</v>
      </c>
      <c r="F867" s="1019">
        <f>F860+445+50</f>
        <v>2045</v>
      </c>
      <c r="G867" s="609" t="s">
        <v>1689</v>
      </c>
      <c r="H867" s="160" t="s">
        <v>1311</v>
      </c>
      <c r="I867" s="37" t="s">
        <v>3677</v>
      </c>
      <c r="J867" s="37"/>
      <c r="K867" s="5">
        <v>31</v>
      </c>
      <c r="L867" s="607" t="s">
        <v>653</v>
      </c>
      <c r="M867" s="156">
        <v>43076</v>
      </c>
      <c r="N867" s="156">
        <v>43083</v>
      </c>
      <c r="O867" s="153" t="s">
        <v>2529</v>
      </c>
      <c r="P867" s="61"/>
      <c r="Q867" s="14" t="s">
        <v>24</v>
      </c>
      <c r="R867" s="606" t="s">
        <v>2528</v>
      </c>
      <c r="S867" s="316" t="s">
        <v>2943</v>
      </c>
      <c r="T867" s="921"/>
    </row>
    <row r="868" spans="1:20" ht="20.100000000000001" customHeight="1">
      <c r="A868" s="1274" t="s">
        <v>2976</v>
      </c>
      <c r="B868" s="1215" t="s">
        <v>3346</v>
      </c>
      <c r="C868" s="1215" t="s">
        <v>3350</v>
      </c>
      <c r="D868" s="1019">
        <f>D838+450</f>
        <v>1850</v>
      </c>
      <c r="E868" s="1019">
        <f>E838+450</f>
        <v>2100</v>
      </c>
      <c r="F868" s="1019">
        <f>F838+450</f>
        <v>2100</v>
      </c>
      <c r="G868" s="618" t="s">
        <v>31</v>
      </c>
      <c r="H868" s="168" t="s">
        <v>681</v>
      </c>
      <c r="I868" s="37" t="s">
        <v>3673</v>
      </c>
      <c r="J868" s="37"/>
      <c r="K868" s="5">
        <v>29</v>
      </c>
      <c r="L868" s="607" t="s">
        <v>653</v>
      </c>
      <c r="M868" s="623">
        <v>43080</v>
      </c>
      <c r="N868" s="623">
        <v>43083</v>
      </c>
      <c r="O868" s="61" t="s">
        <v>1307</v>
      </c>
      <c r="P868" s="61"/>
      <c r="Q868" s="52"/>
      <c r="R868" s="606" t="s">
        <v>3563</v>
      </c>
      <c r="S868" s="622" t="s">
        <v>1176</v>
      </c>
      <c r="T868" s="921"/>
    </row>
    <row r="869" spans="1:20" ht="20.100000000000001" customHeight="1">
      <c r="A869" s="1274" t="s">
        <v>2976</v>
      </c>
      <c r="B869" s="1215" t="s">
        <v>3346</v>
      </c>
      <c r="C869" s="1215" t="s">
        <v>3350</v>
      </c>
      <c r="D869" s="1021">
        <f>D843+450</f>
        <v>2150</v>
      </c>
      <c r="E869" s="1021">
        <f>E843+450</f>
        <v>2500</v>
      </c>
      <c r="F869" s="1021">
        <f>F843+450</f>
        <v>2500</v>
      </c>
      <c r="G869" s="613" t="s">
        <v>33</v>
      </c>
      <c r="H869" s="4" t="s">
        <v>2535</v>
      </c>
      <c r="I869" s="37" t="s">
        <v>3677</v>
      </c>
      <c r="J869" s="37"/>
      <c r="K869" s="16">
        <v>33</v>
      </c>
      <c r="L869" s="607" t="s">
        <v>653</v>
      </c>
      <c r="M869" s="159">
        <v>43087</v>
      </c>
      <c r="N869" s="159">
        <v>43093</v>
      </c>
      <c r="O869" s="134" t="s">
        <v>1307</v>
      </c>
      <c r="P869" s="61"/>
      <c r="Q869" s="7"/>
      <c r="R869" s="606" t="s">
        <v>2542</v>
      </c>
      <c r="S869" s="316" t="s">
        <v>3333</v>
      </c>
      <c r="T869" s="921"/>
    </row>
    <row r="870" spans="1:20" ht="20.100000000000001" customHeight="1">
      <c r="A870" s="1274" t="s">
        <v>3678</v>
      </c>
      <c r="B870" s="1215" t="s">
        <v>3346</v>
      </c>
      <c r="C870" s="1215" t="s">
        <v>3349</v>
      </c>
      <c r="D870" s="1015">
        <f>D858+350+25</f>
        <v>2125</v>
      </c>
      <c r="E870" s="1015">
        <f>E858+350+50</f>
        <v>2500</v>
      </c>
      <c r="F870" s="1015">
        <f>F858+350+50</f>
        <v>2500</v>
      </c>
      <c r="G870" s="216" t="s">
        <v>5</v>
      </c>
      <c r="H870" s="4" t="s">
        <v>3666</v>
      </c>
      <c r="I870" s="37" t="s">
        <v>2127</v>
      </c>
      <c r="J870" s="37"/>
      <c r="K870" s="5" t="s">
        <v>829</v>
      </c>
      <c r="L870" s="607" t="s">
        <v>653</v>
      </c>
      <c r="M870" s="159">
        <v>43087</v>
      </c>
      <c r="N870" s="159">
        <v>43093</v>
      </c>
      <c r="O870" s="61" t="s">
        <v>1771</v>
      </c>
      <c r="P870" s="61"/>
      <c r="Q870" s="72" t="s">
        <v>3347</v>
      </c>
      <c r="R870" s="606" t="s">
        <v>3665</v>
      </c>
      <c r="S870" s="316"/>
      <c r="T870" s="921"/>
    </row>
    <row r="871" spans="1:20" ht="20.100000000000001" customHeight="1">
      <c r="A871" s="1274" t="s">
        <v>3678</v>
      </c>
      <c r="B871" s="1215" t="s">
        <v>3346</v>
      </c>
      <c r="C871" s="1215" t="s">
        <v>3349</v>
      </c>
      <c r="D871" s="1021">
        <f>D857+372</f>
        <v>2122</v>
      </c>
      <c r="E871" s="1021">
        <f>E857+317</f>
        <v>2417</v>
      </c>
      <c r="F871" s="1021">
        <f>F857+317</f>
        <v>2417</v>
      </c>
      <c r="G871" s="216" t="s">
        <v>19</v>
      </c>
      <c r="H871" s="645" t="s">
        <v>3664</v>
      </c>
      <c r="I871" s="37" t="s">
        <v>3677</v>
      </c>
      <c r="J871" s="38"/>
      <c r="K871" s="19" t="s">
        <v>980</v>
      </c>
      <c r="L871" s="607" t="s">
        <v>653</v>
      </c>
      <c r="M871" s="156">
        <v>43084</v>
      </c>
      <c r="N871" s="156">
        <v>43093</v>
      </c>
      <c r="O871" s="153" t="s">
        <v>2131</v>
      </c>
      <c r="P871" s="59"/>
      <c r="Q871" s="72" t="s">
        <v>100</v>
      </c>
      <c r="R871" s="606" t="s">
        <v>3339</v>
      </c>
      <c r="S871" s="315" t="s">
        <v>3337</v>
      </c>
      <c r="T871" s="921"/>
    </row>
    <row r="872" spans="1:20" ht="20.100000000000001" customHeight="1">
      <c r="A872" s="1274" t="s">
        <v>3678</v>
      </c>
      <c r="B872" s="1215" t="s">
        <v>3346</v>
      </c>
      <c r="C872" s="1215" t="s">
        <v>3349</v>
      </c>
      <c r="D872" s="1008">
        <f>D860+485+25</f>
        <v>1935</v>
      </c>
      <c r="E872" s="1008">
        <f>E860+485+50</f>
        <v>2085</v>
      </c>
      <c r="F872" s="1008">
        <f>F860+485+50</f>
        <v>2085</v>
      </c>
      <c r="G872" s="609" t="s">
        <v>1689</v>
      </c>
      <c r="H872" s="160" t="s">
        <v>1311</v>
      </c>
      <c r="I872" s="37" t="s">
        <v>3677</v>
      </c>
      <c r="J872" s="37"/>
      <c r="K872" s="5">
        <v>30</v>
      </c>
      <c r="L872" s="607" t="s">
        <v>653</v>
      </c>
      <c r="M872" s="156">
        <v>43076</v>
      </c>
      <c r="N872" s="156">
        <v>43083</v>
      </c>
      <c r="O872" s="153" t="s">
        <v>2529</v>
      </c>
      <c r="P872" s="61"/>
      <c r="Q872" s="14" t="s">
        <v>24</v>
      </c>
      <c r="R872" s="606" t="s">
        <v>2528</v>
      </c>
      <c r="S872" s="316" t="s">
        <v>2943</v>
      </c>
      <c r="T872" s="921"/>
    </row>
    <row r="873" spans="1:20" ht="20.100000000000001" customHeight="1">
      <c r="A873" s="1274" t="s">
        <v>3678</v>
      </c>
      <c r="B873" s="1215" t="s">
        <v>3346</v>
      </c>
      <c r="C873" s="1215" t="s">
        <v>3348</v>
      </c>
      <c r="D873" s="1015">
        <f>D858+435+25</f>
        <v>2210</v>
      </c>
      <c r="E873" s="1015">
        <f>E858+435+50</f>
        <v>2585</v>
      </c>
      <c r="F873" s="1015">
        <f>F858+435+50</f>
        <v>2585</v>
      </c>
      <c r="G873" s="216" t="s">
        <v>5</v>
      </c>
      <c r="H873" s="4" t="s">
        <v>3666</v>
      </c>
      <c r="I873" s="37" t="s">
        <v>2127</v>
      </c>
      <c r="J873" s="37"/>
      <c r="K873" s="5" t="s">
        <v>829</v>
      </c>
      <c r="L873" s="607" t="s">
        <v>653</v>
      </c>
      <c r="M873" s="159">
        <v>43087</v>
      </c>
      <c r="N873" s="159">
        <v>43093</v>
      </c>
      <c r="O873" s="61" t="s">
        <v>1771</v>
      </c>
      <c r="P873" s="61"/>
      <c r="Q873" s="72" t="s">
        <v>3347</v>
      </c>
      <c r="R873" s="606" t="s">
        <v>3665</v>
      </c>
      <c r="S873" s="316"/>
      <c r="T873" s="921"/>
    </row>
    <row r="874" spans="1:20" ht="20.100000000000001" customHeight="1">
      <c r="A874" s="1274" t="s">
        <v>3678</v>
      </c>
      <c r="B874" s="1215" t="s">
        <v>3346</v>
      </c>
      <c r="C874" s="1215" t="s">
        <v>3348</v>
      </c>
      <c r="D874" s="1008">
        <f>D857+440</f>
        <v>2190</v>
      </c>
      <c r="E874" s="1008">
        <f>E857+371</f>
        <v>2471</v>
      </c>
      <c r="F874" s="1008">
        <f>F857+371</f>
        <v>2471</v>
      </c>
      <c r="G874" s="216" t="s">
        <v>19</v>
      </c>
      <c r="H874" s="645" t="s">
        <v>3664</v>
      </c>
      <c r="I874" s="37" t="s">
        <v>3677</v>
      </c>
      <c r="J874" s="38"/>
      <c r="K874" s="19" t="s">
        <v>980</v>
      </c>
      <c r="L874" s="607" t="s">
        <v>653</v>
      </c>
      <c r="M874" s="156">
        <v>43084</v>
      </c>
      <c r="N874" s="156">
        <v>43093</v>
      </c>
      <c r="O874" s="153" t="s">
        <v>2131</v>
      </c>
      <c r="P874" s="59"/>
      <c r="Q874" s="72" t="s">
        <v>100</v>
      </c>
      <c r="R874" s="606" t="s">
        <v>3339</v>
      </c>
      <c r="S874" s="315" t="s">
        <v>3337</v>
      </c>
      <c r="T874" s="921"/>
    </row>
    <row r="875" spans="1:20" ht="20.100000000000001" customHeight="1">
      <c r="A875" s="1274" t="s">
        <v>3678</v>
      </c>
      <c r="B875" s="1215" t="s">
        <v>3346</v>
      </c>
      <c r="C875" s="1215" t="s">
        <v>3348</v>
      </c>
      <c r="D875" s="1019">
        <f>D860+485+25</f>
        <v>1935</v>
      </c>
      <c r="E875" s="1019">
        <f>E860+485+50</f>
        <v>2085</v>
      </c>
      <c r="F875" s="1019">
        <f>F860+485+50</f>
        <v>2085</v>
      </c>
      <c r="G875" s="609" t="s">
        <v>1689</v>
      </c>
      <c r="H875" s="160" t="s">
        <v>1311</v>
      </c>
      <c r="I875" s="37" t="s">
        <v>3677</v>
      </c>
      <c r="J875" s="37"/>
      <c r="K875" s="5">
        <v>30</v>
      </c>
      <c r="L875" s="607" t="s">
        <v>653</v>
      </c>
      <c r="M875" s="156">
        <v>43076</v>
      </c>
      <c r="N875" s="156">
        <v>43083</v>
      </c>
      <c r="O875" s="153" t="s">
        <v>2529</v>
      </c>
      <c r="P875" s="61"/>
      <c r="Q875" s="14" t="s">
        <v>24</v>
      </c>
      <c r="R875" s="606" t="s">
        <v>2528</v>
      </c>
      <c r="S875" s="316" t="s">
        <v>2943</v>
      </c>
      <c r="T875" s="921"/>
    </row>
    <row r="876" spans="1:20" ht="20.100000000000001" customHeight="1">
      <c r="A876" s="1274" t="s">
        <v>2976</v>
      </c>
      <c r="B876" s="1215" t="s">
        <v>3346</v>
      </c>
      <c r="C876" s="1215" t="s">
        <v>3345</v>
      </c>
      <c r="D876" s="1015">
        <f>D858+400+25</f>
        <v>2175</v>
      </c>
      <c r="E876" s="1015">
        <f>E858+400+50</f>
        <v>2550</v>
      </c>
      <c r="F876" s="1015">
        <f>F858+400+50</f>
        <v>2550</v>
      </c>
      <c r="G876" s="216" t="s">
        <v>5</v>
      </c>
      <c r="H876" s="4" t="s">
        <v>3666</v>
      </c>
      <c r="I876" s="37" t="s">
        <v>2127</v>
      </c>
      <c r="J876" s="37"/>
      <c r="K876" s="5" t="s">
        <v>829</v>
      </c>
      <c r="L876" s="607" t="s">
        <v>653</v>
      </c>
      <c r="M876" s="159">
        <v>43087</v>
      </c>
      <c r="N876" s="159">
        <v>43093</v>
      </c>
      <c r="O876" s="61" t="s">
        <v>1771</v>
      </c>
      <c r="P876" s="61"/>
      <c r="Q876" s="72" t="s">
        <v>3347</v>
      </c>
      <c r="R876" s="606" t="s">
        <v>3665</v>
      </c>
      <c r="S876" s="316"/>
      <c r="T876" s="921"/>
    </row>
    <row r="877" spans="1:20" ht="20.100000000000001" customHeight="1">
      <c r="A877" s="1274" t="s">
        <v>2976</v>
      </c>
      <c r="B877" s="1215" t="s">
        <v>3346</v>
      </c>
      <c r="C877" s="1215" t="s">
        <v>3345</v>
      </c>
      <c r="D877" s="1019">
        <f>D857+372</f>
        <v>2122</v>
      </c>
      <c r="E877" s="1019">
        <f>E857+317</f>
        <v>2417</v>
      </c>
      <c r="F877" s="1019">
        <f>F857+317</f>
        <v>2417</v>
      </c>
      <c r="G877" s="216" t="s">
        <v>19</v>
      </c>
      <c r="H877" s="645" t="s">
        <v>3664</v>
      </c>
      <c r="I877" s="37" t="s">
        <v>3677</v>
      </c>
      <c r="J877" s="38"/>
      <c r="K877" s="19" t="s">
        <v>980</v>
      </c>
      <c r="L877" s="607" t="s">
        <v>653</v>
      </c>
      <c r="M877" s="156">
        <v>43084</v>
      </c>
      <c r="N877" s="156">
        <v>43093</v>
      </c>
      <c r="O877" s="153" t="s">
        <v>2131</v>
      </c>
      <c r="P877" s="59"/>
      <c r="Q877" s="72" t="s">
        <v>100</v>
      </c>
      <c r="R877" s="606" t="s">
        <v>3339</v>
      </c>
      <c r="S877" s="315" t="s">
        <v>3337</v>
      </c>
      <c r="T877" s="921"/>
    </row>
    <row r="878" spans="1:20" ht="20.100000000000001" customHeight="1">
      <c r="A878" s="1274" t="s">
        <v>2976</v>
      </c>
      <c r="B878" s="1215" t="s">
        <v>3346</v>
      </c>
      <c r="C878" s="1215" t="s">
        <v>3345</v>
      </c>
      <c r="D878" s="1008">
        <f>D837+445+25</f>
        <v>1895</v>
      </c>
      <c r="E878" s="1008">
        <f>E837+445+50</f>
        <v>2045</v>
      </c>
      <c r="F878" s="1008">
        <f>F837+445+50</f>
        <v>2045</v>
      </c>
      <c r="G878" s="609" t="s">
        <v>1689</v>
      </c>
      <c r="H878" s="160" t="s">
        <v>1311</v>
      </c>
      <c r="I878" s="37" t="s">
        <v>3673</v>
      </c>
      <c r="J878" s="37"/>
      <c r="K878" s="5">
        <v>29</v>
      </c>
      <c r="L878" s="607" t="s">
        <v>653</v>
      </c>
      <c r="M878" s="156">
        <v>43076</v>
      </c>
      <c r="N878" s="156">
        <v>43083</v>
      </c>
      <c r="O878" s="153" t="s">
        <v>2529</v>
      </c>
      <c r="P878" s="61"/>
      <c r="Q878" s="14" t="s">
        <v>24</v>
      </c>
      <c r="R878" s="606" t="s">
        <v>2528</v>
      </c>
      <c r="S878" s="316" t="s">
        <v>2943</v>
      </c>
      <c r="T878" s="921"/>
    </row>
    <row r="879" spans="1:20" ht="20.100000000000001" customHeight="1">
      <c r="A879" s="1274" t="s">
        <v>2976</v>
      </c>
      <c r="B879" s="1215" t="s">
        <v>3346</v>
      </c>
      <c r="C879" s="1215" t="s">
        <v>3345</v>
      </c>
      <c r="D879" s="1019">
        <f>D843+450</f>
        <v>2150</v>
      </c>
      <c r="E879" s="1019">
        <f>E843+450</f>
        <v>2500</v>
      </c>
      <c r="F879" s="1019">
        <f>F843+450</f>
        <v>2500</v>
      </c>
      <c r="G879" s="613" t="s">
        <v>33</v>
      </c>
      <c r="H879" s="4" t="s">
        <v>2535</v>
      </c>
      <c r="I879" s="37" t="s">
        <v>3677</v>
      </c>
      <c r="J879" s="37"/>
      <c r="K879" s="16">
        <v>33</v>
      </c>
      <c r="L879" s="607" t="s">
        <v>653</v>
      </c>
      <c r="M879" s="159">
        <v>43087</v>
      </c>
      <c r="N879" s="159">
        <v>43093</v>
      </c>
      <c r="O879" s="134" t="s">
        <v>1307</v>
      </c>
      <c r="P879" s="61"/>
      <c r="Q879" s="7"/>
      <c r="R879" s="606" t="s">
        <v>2542</v>
      </c>
      <c r="S879" s="316" t="s">
        <v>3333</v>
      </c>
      <c r="T879" s="921"/>
    </row>
    <row r="880" spans="1:20" ht="20.100000000000001" customHeight="1">
      <c r="A880" s="1274" t="s">
        <v>2976</v>
      </c>
      <c r="B880" s="1215" t="s">
        <v>2605</v>
      </c>
      <c r="C880" s="1215" t="s">
        <v>3675</v>
      </c>
      <c r="D880" s="1006">
        <v>1400</v>
      </c>
      <c r="E880" s="1006">
        <v>1625</v>
      </c>
      <c r="F880" s="1006">
        <v>1625</v>
      </c>
      <c r="G880" s="636" t="s">
        <v>18</v>
      </c>
      <c r="H880" s="160" t="s">
        <v>1102</v>
      </c>
      <c r="I880" s="37" t="s">
        <v>2526</v>
      </c>
      <c r="J880" s="50"/>
      <c r="K880" s="19" t="s">
        <v>660</v>
      </c>
      <c r="L880" s="607" t="s">
        <v>653</v>
      </c>
      <c r="M880" s="108">
        <v>43078</v>
      </c>
      <c r="N880" s="108">
        <v>43083</v>
      </c>
      <c r="O880" s="153" t="s">
        <v>2552</v>
      </c>
      <c r="P880" s="59"/>
      <c r="Q880" s="7"/>
      <c r="R880" s="606" t="s">
        <v>2547</v>
      </c>
      <c r="S880" s="316"/>
      <c r="T880" s="921"/>
    </row>
    <row r="881" spans="1:20" ht="20.100000000000001" customHeight="1">
      <c r="A881" s="1274" t="s">
        <v>2976</v>
      </c>
      <c r="B881" s="1215" t="s">
        <v>2605</v>
      </c>
      <c r="C881" s="1215" t="s">
        <v>3675</v>
      </c>
      <c r="D881" s="1019">
        <f>D19+100+0</f>
        <v>1650</v>
      </c>
      <c r="E881" s="1019">
        <f>E19+100+0</f>
        <v>1900</v>
      </c>
      <c r="F881" s="1019">
        <f>F19+100+0</f>
        <v>1900</v>
      </c>
      <c r="G881" s="216" t="s">
        <v>51</v>
      </c>
      <c r="H881" s="56" t="s">
        <v>3668</v>
      </c>
      <c r="I881" s="37" t="s">
        <v>2127</v>
      </c>
      <c r="J881" s="37"/>
      <c r="K881" s="16">
        <v>27</v>
      </c>
      <c r="L881" s="607" t="s">
        <v>653</v>
      </c>
      <c r="M881" s="611">
        <v>43086</v>
      </c>
      <c r="N881" s="611">
        <v>43100</v>
      </c>
      <c r="O881" s="61" t="s">
        <v>3335</v>
      </c>
      <c r="P881" s="52"/>
      <c r="Q881" s="52"/>
      <c r="R881" s="606" t="s">
        <v>3667</v>
      </c>
      <c r="S881" s="315" t="s">
        <v>3290</v>
      </c>
      <c r="T881" s="749" t="s">
        <v>2838</v>
      </c>
    </row>
    <row r="882" spans="1:20" ht="20.100000000000001" customHeight="1">
      <c r="A882" s="1274" t="s">
        <v>2976</v>
      </c>
      <c r="B882" s="1215" t="s">
        <v>2605</v>
      </c>
      <c r="C882" s="1215" t="s">
        <v>3675</v>
      </c>
      <c r="D882" s="1006">
        <v>1750</v>
      </c>
      <c r="E882" s="1006">
        <v>2100</v>
      </c>
      <c r="F882" s="1006">
        <v>2100</v>
      </c>
      <c r="G882" s="629" t="s">
        <v>19</v>
      </c>
      <c r="H882" s="645" t="s">
        <v>3664</v>
      </c>
      <c r="I882" s="50" t="s">
        <v>2127</v>
      </c>
      <c r="J882" s="50"/>
      <c r="K882" s="19">
        <v>32</v>
      </c>
      <c r="L882" s="607" t="s">
        <v>653</v>
      </c>
      <c r="M882" s="156">
        <v>43084</v>
      </c>
      <c r="N882" s="156">
        <v>43093</v>
      </c>
      <c r="O882" s="153" t="s">
        <v>2131</v>
      </c>
      <c r="P882" s="59"/>
      <c r="Q882" s="7"/>
      <c r="R882" s="606" t="s">
        <v>3339</v>
      </c>
      <c r="S882" s="315" t="s">
        <v>3337</v>
      </c>
      <c r="T882" s="921"/>
    </row>
    <row r="883" spans="1:20" ht="20.100000000000001" customHeight="1">
      <c r="A883" s="1274" t="s">
        <v>2976</v>
      </c>
      <c r="B883" s="1215" t="s">
        <v>2605</v>
      </c>
      <c r="C883" s="1215" t="s">
        <v>3675</v>
      </c>
      <c r="D883" s="956">
        <v>1750</v>
      </c>
      <c r="E883" s="956">
        <v>2100</v>
      </c>
      <c r="F883" s="956">
        <v>2100</v>
      </c>
      <c r="G883" s="637" t="s">
        <v>5</v>
      </c>
      <c r="H883" s="4" t="s">
        <v>1311</v>
      </c>
      <c r="I883" s="37" t="s">
        <v>3636</v>
      </c>
      <c r="J883" s="37"/>
      <c r="K883" s="5" t="s">
        <v>829</v>
      </c>
      <c r="L883" s="607" t="s">
        <v>653</v>
      </c>
      <c r="M883" s="159">
        <v>43087</v>
      </c>
      <c r="N883" s="159">
        <v>43093</v>
      </c>
      <c r="O883" s="61" t="s">
        <v>1771</v>
      </c>
      <c r="P883" s="61"/>
      <c r="Q883" s="7"/>
      <c r="R883" s="606" t="s">
        <v>3659</v>
      </c>
      <c r="S883" s="622"/>
      <c r="T883" s="858"/>
    </row>
    <row r="884" spans="1:20" ht="20.100000000000001" customHeight="1">
      <c r="A884" s="1274" t="s">
        <v>2976</v>
      </c>
      <c r="B884" s="1215" t="s">
        <v>2605</v>
      </c>
      <c r="C884" s="1215" t="s">
        <v>3675</v>
      </c>
      <c r="D884" s="1008">
        <v>1425</v>
      </c>
      <c r="E884" s="1008">
        <v>1550</v>
      </c>
      <c r="F884" s="1008">
        <v>1550</v>
      </c>
      <c r="G884" s="227" t="s">
        <v>1689</v>
      </c>
      <c r="H884" s="160" t="s">
        <v>1311</v>
      </c>
      <c r="I884" s="37" t="s">
        <v>2526</v>
      </c>
      <c r="J884" s="37"/>
      <c r="K884" s="5">
        <v>27</v>
      </c>
      <c r="L884" s="607" t="s">
        <v>653</v>
      </c>
      <c r="M884" s="156">
        <v>43076</v>
      </c>
      <c r="N884" s="156">
        <v>43083</v>
      </c>
      <c r="O884" s="153" t="s">
        <v>2529</v>
      </c>
      <c r="P884" s="61"/>
      <c r="Q884" s="7"/>
      <c r="R884" s="606" t="s">
        <v>2528</v>
      </c>
      <c r="S884" s="316" t="s">
        <v>2943</v>
      </c>
      <c r="T884" s="858"/>
    </row>
    <row r="885" spans="1:20" ht="20.100000000000001" customHeight="1">
      <c r="A885" s="1274" t="s">
        <v>2976</v>
      </c>
      <c r="B885" s="1215" t="s">
        <v>2605</v>
      </c>
      <c r="C885" s="1215" t="s">
        <v>3675</v>
      </c>
      <c r="D885" s="1015">
        <v>1400</v>
      </c>
      <c r="E885" s="1015">
        <v>1650</v>
      </c>
      <c r="F885" s="1015">
        <v>1650</v>
      </c>
      <c r="G885" s="636" t="s">
        <v>31</v>
      </c>
      <c r="H885" s="168" t="s">
        <v>681</v>
      </c>
      <c r="I885" s="37" t="s">
        <v>2127</v>
      </c>
      <c r="J885" s="37"/>
      <c r="K885" s="16">
        <v>32</v>
      </c>
      <c r="L885" s="607" t="s">
        <v>653</v>
      </c>
      <c r="M885" s="623">
        <v>43080</v>
      </c>
      <c r="N885" s="623">
        <v>43083</v>
      </c>
      <c r="O885" s="61" t="s">
        <v>3676</v>
      </c>
      <c r="P885" s="61"/>
      <c r="Q885" s="52"/>
      <c r="R885" s="606" t="s">
        <v>3563</v>
      </c>
      <c r="S885" s="622" t="s">
        <v>1176</v>
      </c>
      <c r="T885" s="858"/>
    </row>
    <row r="886" spans="1:20" ht="20.100000000000001" customHeight="1">
      <c r="A886" s="1274" t="s">
        <v>2976</v>
      </c>
      <c r="B886" s="1215" t="s">
        <v>2605</v>
      </c>
      <c r="C886" s="1215" t="s">
        <v>3675</v>
      </c>
      <c r="D886" s="956">
        <v>1700</v>
      </c>
      <c r="E886" s="956">
        <v>2050</v>
      </c>
      <c r="F886" s="956">
        <v>2050</v>
      </c>
      <c r="G886" s="633" t="s">
        <v>33</v>
      </c>
      <c r="H886" s="56" t="s">
        <v>2535</v>
      </c>
      <c r="I886" s="37" t="s">
        <v>2127</v>
      </c>
      <c r="J886" s="37"/>
      <c r="K886" s="16">
        <v>24</v>
      </c>
      <c r="L886" s="607" t="s">
        <v>653</v>
      </c>
      <c r="M886" s="159">
        <v>43087</v>
      </c>
      <c r="N886" s="159">
        <v>43093</v>
      </c>
      <c r="O886" s="134" t="s">
        <v>1307</v>
      </c>
      <c r="P886" s="61"/>
      <c r="Q886" s="7"/>
      <c r="R886" s="606" t="s">
        <v>2542</v>
      </c>
      <c r="S886" s="316" t="s">
        <v>3333</v>
      </c>
      <c r="T886" s="921"/>
    </row>
    <row r="887" spans="1:20" ht="20.100000000000001" customHeight="1">
      <c r="A887" s="1274" t="s">
        <v>2976</v>
      </c>
      <c r="B887" s="1215" t="s">
        <v>2605</v>
      </c>
      <c r="C887" s="1215" t="s">
        <v>2608</v>
      </c>
      <c r="D887" s="1015">
        <f>D881+300</f>
        <v>1950</v>
      </c>
      <c r="E887" s="1015">
        <f>E881+300</f>
        <v>2200</v>
      </c>
      <c r="F887" s="1015">
        <f>F881+300</f>
        <v>2200</v>
      </c>
      <c r="G887" s="216" t="s">
        <v>51</v>
      </c>
      <c r="H887" s="56" t="s">
        <v>3668</v>
      </c>
      <c r="I887" s="5" t="s">
        <v>3672</v>
      </c>
      <c r="J887" s="37"/>
      <c r="K887" s="16" t="s">
        <v>1107</v>
      </c>
      <c r="L887" s="607" t="s">
        <v>653</v>
      </c>
      <c r="M887" s="611">
        <v>43086</v>
      </c>
      <c r="N887" s="611">
        <v>43100</v>
      </c>
      <c r="O887" s="61" t="s">
        <v>3335</v>
      </c>
      <c r="P887" s="52"/>
      <c r="Q887" s="14" t="s">
        <v>100</v>
      </c>
      <c r="R887" s="606" t="s">
        <v>3667</v>
      </c>
      <c r="S887" s="315" t="s">
        <v>3290</v>
      </c>
      <c r="T887" s="921"/>
    </row>
    <row r="888" spans="1:20" ht="20.100000000000001" customHeight="1">
      <c r="A888" s="1274" t="s">
        <v>2976</v>
      </c>
      <c r="B888" s="1215" t="s">
        <v>2605</v>
      </c>
      <c r="C888" s="1215" t="s">
        <v>2608</v>
      </c>
      <c r="D888" s="1015">
        <f>D883+369+25</f>
        <v>2144</v>
      </c>
      <c r="E888" s="1015">
        <f>E883+423+50</f>
        <v>2573</v>
      </c>
      <c r="F888" s="1015">
        <f>F883+423+50</f>
        <v>2573</v>
      </c>
      <c r="G888" s="216" t="s">
        <v>5</v>
      </c>
      <c r="H888" s="4" t="s">
        <v>1311</v>
      </c>
      <c r="I888" s="37" t="s">
        <v>3636</v>
      </c>
      <c r="J888" s="37"/>
      <c r="K888" s="5" t="s">
        <v>829</v>
      </c>
      <c r="L888" s="607" t="s">
        <v>653</v>
      </c>
      <c r="M888" s="159">
        <v>43087</v>
      </c>
      <c r="N888" s="159">
        <v>43093</v>
      </c>
      <c r="O888" s="61" t="s">
        <v>1771</v>
      </c>
      <c r="P888" s="61"/>
      <c r="Q888" s="72" t="s">
        <v>3344</v>
      </c>
      <c r="R888" s="606" t="s">
        <v>3659</v>
      </c>
      <c r="S888" s="622"/>
      <c r="T888" s="858"/>
    </row>
    <row r="889" spans="1:20" ht="20.100000000000001" customHeight="1">
      <c r="A889" s="1274" t="s">
        <v>2976</v>
      </c>
      <c r="B889" s="1215" t="s">
        <v>2605</v>
      </c>
      <c r="C889" s="1215" t="s">
        <v>2608</v>
      </c>
      <c r="D889" s="1015">
        <f>D834+615</f>
        <v>2365</v>
      </c>
      <c r="E889" s="1015">
        <f>E834+615</f>
        <v>2715</v>
      </c>
      <c r="F889" s="1015">
        <f>F834+615</f>
        <v>2715</v>
      </c>
      <c r="G889" s="216" t="s">
        <v>19</v>
      </c>
      <c r="H889" s="645" t="s">
        <v>3664</v>
      </c>
      <c r="I889" s="37" t="s">
        <v>3673</v>
      </c>
      <c r="J889" s="38"/>
      <c r="K889" s="19" t="s">
        <v>835</v>
      </c>
      <c r="L889" s="607" t="s">
        <v>653</v>
      </c>
      <c r="M889" s="156">
        <v>43084</v>
      </c>
      <c r="N889" s="156">
        <v>43093</v>
      </c>
      <c r="O889" s="153" t="s">
        <v>2131</v>
      </c>
      <c r="P889" s="59"/>
      <c r="Q889" s="72" t="s">
        <v>100</v>
      </c>
      <c r="R889" s="606" t="s">
        <v>3339</v>
      </c>
      <c r="S889" s="315" t="s">
        <v>3337</v>
      </c>
      <c r="T889" s="921"/>
    </row>
    <row r="890" spans="1:20" ht="20.100000000000001" customHeight="1">
      <c r="A890" s="1274" t="s">
        <v>2976</v>
      </c>
      <c r="B890" s="1215" t="s">
        <v>2605</v>
      </c>
      <c r="C890" s="1215" t="s">
        <v>2608</v>
      </c>
      <c r="D890" s="1006">
        <f>D882+334</f>
        <v>2084</v>
      </c>
      <c r="E890" s="1006">
        <f>E882+247</f>
        <v>2347</v>
      </c>
      <c r="F890" s="1006">
        <f>F882+247</f>
        <v>2347</v>
      </c>
      <c r="G890" s="216" t="s">
        <v>19</v>
      </c>
      <c r="H890" s="645" t="s">
        <v>3664</v>
      </c>
      <c r="I890" s="5" t="s">
        <v>3674</v>
      </c>
      <c r="J890" s="5"/>
      <c r="K890" s="19" t="s">
        <v>683</v>
      </c>
      <c r="L890" s="607" t="s">
        <v>653</v>
      </c>
      <c r="M890" s="156">
        <v>43084</v>
      </c>
      <c r="N890" s="156">
        <v>43093</v>
      </c>
      <c r="O890" s="153" t="s">
        <v>2131</v>
      </c>
      <c r="P890" s="59"/>
      <c r="Q890" s="14" t="s">
        <v>100</v>
      </c>
      <c r="R890" s="606" t="s">
        <v>3339</v>
      </c>
      <c r="S890" s="315" t="s">
        <v>3337</v>
      </c>
      <c r="T890" s="921"/>
    </row>
    <row r="891" spans="1:20" ht="20.100000000000001" customHeight="1">
      <c r="A891" s="1274" t="s">
        <v>2976</v>
      </c>
      <c r="B891" s="1215" t="s">
        <v>2605</v>
      </c>
      <c r="C891" s="1215" t="s">
        <v>2608</v>
      </c>
      <c r="D891" s="1006">
        <f>D884+340+25</f>
        <v>1790</v>
      </c>
      <c r="E891" s="1006">
        <f>E884+340+50</f>
        <v>1940</v>
      </c>
      <c r="F891" s="1006">
        <f>F884+340+50</f>
        <v>1940</v>
      </c>
      <c r="G891" s="609" t="s">
        <v>1689</v>
      </c>
      <c r="H891" s="160" t="s">
        <v>1311</v>
      </c>
      <c r="I891" s="5" t="s">
        <v>3672</v>
      </c>
      <c r="J891" s="5"/>
      <c r="K891" s="5">
        <v>31</v>
      </c>
      <c r="L891" s="607" t="s">
        <v>653</v>
      </c>
      <c r="M891" s="156">
        <v>43076</v>
      </c>
      <c r="N891" s="156">
        <v>43083</v>
      </c>
      <c r="O891" s="153" t="s">
        <v>2529</v>
      </c>
      <c r="P891" s="61"/>
      <c r="Q891" s="14" t="s">
        <v>24</v>
      </c>
      <c r="R891" s="606" t="s">
        <v>2528</v>
      </c>
      <c r="S891" s="316" t="s">
        <v>2943</v>
      </c>
      <c r="T891" s="858"/>
    </row>
    <row r="892" spans="1:20" ht="20.100000000000001" customHeight="1">
      <c r="A892" s="1274" t="s">
        <v>2976</v>
      </c>
      <c r="B892" s="1215" t="s">
        <v>2605</v>
      </c>
      <c r="C892" s="1215" t="s">
        <v>2608</v>
      </c>
      <c r="D892" s="1006">
        <f>D838+330</f>
        <v>1730</v>
      </c>
      <c r="E892" s="1006">
        <f>E838+330</f>
        <v>1980</v>
      </c>
      <c r="F892" s="1006">
        <f>F838+330</f>
        <v>1980</v>
      </c>
      <c r="G892" s="618" t="s">
        <v>31</v>
      </c>
      <c r="H892" s="168" t="s">
        <v>681</v>
      </c>
      <c r="I892" s="37" t="s">
        <v>3673</v>
      </c>
      <c r="J892" s="37"/>
      <c r="K892" s="5">
        <v>35</v>
      </c>
      <c r="L892" s="607" t="s">
        <v>653</v>
      </c>
      <c r="M892" s="623">
        <v>43080</v>
      </c>
      <c r="N892" s="623">
        <v>43083</v>
      </c>
      <c r="O892" s="61" t="s">
        <v>1307</v>
      </c>
      <c r="P892" s="61"/>
      <c r="Q892" s="52"/>
      <c r="R892" s="606" t="s">
        <v>3563</v>
      </c>
      <c r="S892" s="622" t="s">
        <v>1176</v>
      </c>
      <c r="T892" s="858"/>
    </row>
    <row r="893" spans="1:20" ht="20.100000000000001" customHeight="1">
      <c r="A893" s="1274" t="s">
        <v>2976</v>
      </c>
      <c r="B893" s="1215" t="s">
        <v>2605</v>
      </c>
      <c r="C893" s="1215" t="s">
        <v>2608</v>
      </c>
      <c r="D893" s="1015">
        <f>D843+300</f>
        <v>2000</v>
      </c>
      <c r="E893" s="1015">
        <f>E843+300</f>
        <v>2350</v>
      </c>
      <c r="F893" s="1015">
        <f>F843+300</f>
        <v>2350</v>
      </c>
      <c r="G893" s="613" t="s">
        <v>33</v>
      </c>
      <c r="H893" s="4" t="s">
        <v>2535</v>
      </c>
      <c r="I893" s="37" t="s">
        <v>3673</v>
      </c>
      <c r="J893" s="37"/>
      <c r="K893" s="5">
        <v>29</v>
      </c>
      <c r="L893" s="607" t="s">
        <v>653</v>
      </c>
      <c r="M893" s="159">
        <v>43087</v>
      </c>
      <c r="N893" s="159">
        <v>43093</v>
      </c>
      <c r="O893" s="61"/>
      <c r="P893" s="61"/>
      <c r="Q893" s="7"/>
      <c r="R893" s="606" t="s">
        <v>2542</v>
      </c>
      <c r="S893" s="316" t="s">
        <v>3333</v>
      </c>
      <c r="T893" s="921"/>
    </row>
    <row r="894" spans="1:20" ht="20.100000000000001" customHeight="1">
      <c r="A894" s="1274" t="s">
        <v>2976</v>
      </c>
      <c r="B894" s="1215" t="s">
        <v>2605</v>
      </c>
      <c r="C894" s="1215" t="s">
        <v>2607</v>
      </c>
      <c r="D894" s="1015">
        <f>D882+342</f>
        <v>2092</v>
      </c>
      <c r="E894" s="1015">
        <f>E882+358</f>
        <v>2458</v>
      </c>
      <c r="F894" s="1015">
        <f>F882+358</f>
        <v>2458</v>
      </c>
      <c r="G894" s="216" t="s">
        <v>19</v>
      </c>
      <c r="H894" s="645" t="s">
        <v>3664</v>
      </c>
      <c r="I894" s="5" t="s">
        <v>3672</v>
      </c>
      <c r="J894" s="5"/>
      <c r="K894" s="19" t="s">
        <v>683</v>
      </c>
      <c r="L894" s="607" t="s">
        <v>653</v>
      </c>
      <c r="M894" s="156">
        <v>43084</v>
      </c>
      <c r="N894" s="156">
        <v>43093</v>
      </c>
      <c r="O894" s="153" t="s">
        <v>2131</v>
      </c>
      <c r="P894" s="59"/>
      <c r="Q894" s="14" t="s">
        <v>100</v>
      </c>
      <c r="R894" s="606" t="s">
        <v>3339</v>
      </c>
      <c r="S894" s="315" t="s">
        <v>3337</v>
      </c>
      <c r="T894" s="921"/>
    </row>
    <row r="895" spans="1:20" ht="20.100000000000001" customHeight="1">
      <c r="A895" s="1274" t="s">
        <v>2976</v>
      </c>
      <c r="B895" s="1215" t="s">
        <v>2605</v>
      </c>
      <c r="C895" s="1215" t="s">
        <v>2607</v>
      </c>
      <c r="D895" s="1006">
        <f>D884+420+25</f>
        <v>1870</v>
      </c>
      <c r="E895" s="1006">
        <f>E884+420+50</f>
        <v>2020</v>
      </c>
      <c r="F895" s="1006">
        <f>F884+420+50</f>
        <v>2020</v>
      </c>
      <c r="G895" s="609" t="s">
        <v>1689</v>
      </c>
      <c r="H895" s="160" t="s">
        <v>1311</v>
      </c>
      <c r="I895" s="5" t="s">
        <v>3672</v>
      </c>
      <c r="J895" s="5"/>
      <c r="K895" s="5">
        <v>31</v>
      </c>
      <c r="L895" s="607" t="s">
        <v>653</v>
      </c>
      <c r="M895" s="156">
        <v>43076</v>
      </c>
      <c r="N895" s="156">
        <v>43083</v>
      </c>
      <c r="O895" s="153" t="s">
        <v>2529</v>
      </c>
      <c r="P895" s="61"/>
      <c r="Q895" s="14" t="s">
        <v>24</v>
      </c>
      <c r="R895" s="606" t="s">
        <v>2528</v>
      </c>
      <c r="S895" s="316" t="s">
        <v>2943</v>
      </c>
      <c r="T895" s="921"/>
    </row>
    <row r="896" spans="1:20" ht="20.100000000000001" customHeight="1">
      <c r="A896" s="1274" t="s">
        <v>2976</v>
      </c>
      <c r="B896" s="1215" t="s">
        <v>2605</v>
      </c>
      <c r="C896" s="1215" t="s">
        <v>2606</v>
      </c>
      <c r="D896" s="1015">
        <f>D883+453+25</f>
        <v>2228</v>
      </c>
      <c r="E896" s="1015">
        <f>E883+502+50</f>
        <v>2652</v>
      </c>
      <c r="F896" s="1015">
        <f>F883+502+50</f>
        <v>2652</v>
      </c>
      <c r="G896" s="216" t="s">
        <v>5</v>
      </c>
      <c r="H896" s="4" t="s">
        <v>1311</v>
      </c>
      <c r="I896" s="37" t="s">
        <v>3636</v>
      </c>
      <c r="J896" s="37"/>
      <c r="K896" s="5" t="s">
        <v>829</v>
      </c>
      <c r="L896" s="607" t="s">
        <v>653</v>
      </c>
      <c r="M896" s="159">
        <v>43087</v>
      </c>
      <c r="N896" s="159">
        <v>43093</v>
      </c>
      <c r="O896" s="61" t="s">
        <v>1771</v>
      </c>
      <c r="P896" s="61"/>
      <c r="Q896" s="72" t="s">
        <v>3344</v>
      </c>
      <c r="R896" s="606" t="s">
        <v>3659</v>
      </c>
      <c r="S896" s="622"/>
      <c r="T896" s="921"/>
    </row>
    <row r="897" spans="1:20" ht="20.100000000000001" customHeight="1">
      <c r="A897" s="1274" t="s">
        <v>2976</v>
      </c>
      <c r="B897" s="1215" t="s">
        <v>2605</v>
      </c>
      <c r="C897" s="1215" t="s">
        <v>2606</v>
      </c>
      <c r="D897" s="1006">
        <f>D882+400</f>
        <v>2150</v>
      </c>
      <c r="E897" s="1006">
        <f>E882+318</f>
        <v>2418</v>
      </c>
      <c r="F897" s="1006">
        <f>F882+318</f>
        <v>2418</v>
      </c>
      <c r="G897" s="216" t="s">
        <v>19</v>
      </c>
      <c r="H897" s="645" t="s">
        <v>3664</v>
      </c>
      <c r="I897" s="5" t="s">
        <v>3672</v>
      </c>
      <c r="J897" s="5"/>
      <c r="K897" s="19" t="s">
        <v>683</v>
      </c>
      <c r="L897" s="607" t="s">
        <v>653</v>
      </c>
      <c r="M897" s="156">
        <v>43084</v>
      </c>
      <c r="N897" s="156">
        <v>43093</v>
      </c>
      <c r="O897" s="153" t="s">
        <v>2131</v>
      </c>
      <c r="P897" s="59"/>
      <c r="Q897" s="14" t="s">
        <v>100</v>
      </c>
      <c r="R897" s="606" t="s">
        <v>3339</v>
      </c>
      <c r="S897" s="315" t="s">
        <v>3337</v>
      </c>
      <c r="T897" s="921"/>
    </row>
    <row r="898" spans="1:20" ht="20.100000000000001" customHeight="1">
      <c r="A898" s="1274" t="s">
        <v>2976</v>
      </c>
      <c r="B898" s="1215" t="s">
        <v>2605</v>
      </c>
      <c r="C898" s="1215" t="s">
        <v>2606</v>
      </c>
      <c r="D898" s="1006">
        <f>D884+395+25</f>
        <v>1845</v>
      </c>
      <c r="E898" s="1006">
        <f>E884+395+50</f>
        <v>1995</v>
      </c>
      <c r="F898" s="1006">
        <f>F884+395+50</f>
        <v>1995</v>
      </c>
      <c r="G898" s="609" t="s">
        <v>1689</v>
      </c>
      <c r="H898" s="160" t="s">
        <v>1311</v>
      </c>
      <c r="I898" s="5" t="s">
        <v>3672</v>
      </c>
      <c r="J898" s="5"/>
      <c r="K898" s="5">
        <v>31</v>
      </c>
      <c r="L898" s="607" t="s">
        <v>653</v>
      </c>
      <c r="M898" s="156">
        <v>43076</v>
      </c>
      <c r="N898" s="156">
        <v>43083</v>
      </c>
      <c r="O898" s="153" t="s">
        <v>2529</v>
      </c>
      <c r="P898" s="61"/>
      <c r="Q898" s="14" t="s">
        <v>24</v>
      </c>
      <c r="R898" s="606" t="s">
        <v>2528</v>
      </c>
      <c r="S898" s="316" t="s">
        <v>2943</v>
      </c>
      <c r="T898" s="921"/>
    </row>
    <row r="899" spans="1:20" ht="20.100000000000001" customHeight="1">
      <c r="A899" s="1274" t="s">
        <v>2976</v>
      </c>
      <c r="B899" s="1215" t="s">
        <v>2605</v>
      </c>
      <c r="C899" s="1215" t="s">
        <v>2604</v>
      </c>
      <c r="D899" s="1015">
        <f>D883+442+25</f>
        <v>2217</v>
      </c>
      <c r="E899" s="1015">
        <f>E883+491+50</f>
        <v>2641</v>
      </c>
      <c r="F899" s="1015">
        <f>F883+491+50</f>
        <v>2641</v>
      </c>
      <c r="G899" s="216" t="s">
        <v>5</v>
      </c>
      <c r="H899" s="4" t="s">
        <v>1311</v>
      </c>
      <c r="I899" s="37" t="s">
        <v>3636</v>
      </c>
      <c r="J899" s="37"/>
      <c r="K899" s="5" t="s">
        <v>829</v>
      </c>
      <c r="L899" s="607" t="s">
        <v>653</v>
      </c>
      <c r="M899" s="159">
        <v>43087</v>
      </c>
      <c r="N899" s="159">
        <v>43093</v>
      </c>
      <c r="O899" s="61" t="s">
        <v>1771</v>
      </c>
      <c r="P899" s="61"/>
      <c r="Q899" s="72" t="s">
        <v>3344</v>
      </c>
      <c r="R899" s="606" t="s">
        <v>3659</v>
      </c>
      <c r="S899" s="316"/>
      <c r="T899" s="921"/>
    </row>
    <row r="900" spans="1:20" ht="20.100000000000001" customHeight="1">
      <c r="A900" s="1274" t="s">
        <v>2976</v>
      </c>
      <c r="B900" s="1215" t="s">
        <v>2605</v>
      </c>
      <c r="C900" s="1215" t="s">
        <v>2604</v>
      </c>
      <c r="D900" s="1006">
        <f>D882+385</f>
        <v>2135</v>
      </c>
      <c r="E900" s="1006">
        <f>E882+352</f>
        <v>2452</v>
      </c>
      <c r="F900" s="1006">
        <f>F882+352</f>
        <v>2452</v>
      </c>
      <c r="G900" s="216" t="s">
        <v>19</v>
      </c>
      <c r="H900" s="645" t="s">
        <v>3664</v>
      </c>
      <c r="I900" s="5" t="s">
        <v>3672</v>
      </c>
      <c r="J900" s="5"/>
      <c r="K900" s="19" t="s">
        <v>683</v>
      </c>
      <c r="L900" s="607" t="s">
        <v>653</v>
      </c>
      <c r="M900" s="156">
        <v>43084</v>
      </c>
      <c r="N900" s="156">
        <v>43093</v>
      </c>
      <c r="O900" s="153" t="s">
        <v>2131</v>
      </c>
      <c r="P900" s="59"/>
      <c r="Q900" s="14" t="s">
        <v>100</v>
      </c>
      <c r="R900" s="606" t="s">
        <v>3339</v>
      </c>
      <c r="S900" s="315" t="s">
        <v>3337</v>
      </c>
      <c r="T900" s="921"/>
    </row>
    <row r="901" spans="1:20" ht="20.100000000000001" customHeight="1">
      <c r="A901" s="1274" t="s">
        <v>2976</v>
      </c>
      <c r="B901" s="1215" t="s">
        <v>2605</v>
      </c>
      <c r="C901" s="1215" t="s">
        <v>2604</v>
      </c>
      <c r="D901" s="1006">
        <f>D884+340+25</f>
        <v>1790</v>
      </c>
      <c r="E901" s="1006">
        <f>E884+340+50</f>
        <v>1940</v>
      </c>
      <c r="F901" s="1006">
        <f>F884+340+50</f>
        <v>1940</v>
      </c>
      <c r="G901" s="609" t="s">
        <v>1689</v>
      </c>
      <c r="H901" s="160" t="s">
        <v>1311</v>
      </c>
      <c r="I901" s="5" t="s">
        <v>3672</v>
      </c>
      <c r="J901" s="5"/>
      <c r="K901" s="5">
        <v>31</v>
      </c>
      <c r="L901" s="607" t="s">
        <v>653</v>
      </c>
      <c r="M901" s="156">
        <v>43076</v>
      </c>
      <c r="N901" s="156">
        <v>43083</v>
      </c>
      <c r="O901" s="153" t="s">
        <v>2529</v>
      </c>
      <c r="P901" s="61"/>
      <c r="Q901" s="14" t="s">
        <v>24</v>
      </c>
      <c r="R901" s="606" t="s">
        <v>2528</v>
      </c>
      <c r="S901" s="316" t="s">
        <v>2943</v>
      </c>
      <c r="T901" s="858"/>
    </row>
    <row r="902" spans="1:20" ht="20.100000000000001" customHeight="1">
      <c r="A902" s="1274" t="s">
        <v>2976</v>
      </c>
      <c r="B902" s="1215" t="s">
        <v>3669</v>
      </c>
      <c r="C902" s="1215" t="s">
        <v>3670</v>
      </c>
      <c r="D902" s="1006">
        <v>1400</v>
      </c>
      <c r="E902" s="1006">
        <v>1625</v>
      </c>
      <c r="F902" s="1006">
        <v>1625</v>
      </c>
      <c r="G902" s="636" t="s">
        <v>18</v>
      </c>
      <c r="H902" s="56" t="s">
        <v>1102</v>
      </c>
      <c r="I902" s="50" t="s">
        <v>2548</v>
      </c>
      <c r="J902" s="50"/>
      <c r="K902" s="34" t="s">
        <v>775</v>
      </c>
      <c r="L902" s="607" t="s">
        <v>653</v>
      </c>
      <c r="M902" s="108">
        <v>43078</v>
      </c>
      <c r="N902" s="108">
        <v>43083</v>
      </c>
      <c r="O902" s="61"/>
      <c r="P902" s="61"/>
      <c r="Q902" s="7"/>
      <c r="R902" s="606" t="s">
        <v>2547</v>
      </c>
      <c r="S902" s="622"/>
      <c r="T902" s="858"/>
    </row>
    <row r="903" spans="1:20" ht="20.100000000000001" customHeight="1">
      <c r="A903" s="1274" t="s">
        <v>2976</v>
      </c>
      <c r="B903" s="1215" t="s">
        <v>3669</v>
      </c>
      <c r="C903" s="1215" t="s">
        <v>3670</v>
      </c>
      <c r="D903" s="1006">
        <f>D19+100+0</f>
        <v>1650</v>
      </c>
      <c r="E903" s="1006">
        <f>E19+100+0</f>
        <v>1900</v>
      </c>
      <c r="F903" s="1006">
        <f>F19+100+0</f>
        <v>1900</v>
      </c>
      <c r="G903" s="216" t="s">
        <v>51</v>
      </c>
      <c r="H903" s="56" t="s">
        <v>3668</v>
      </c>
      <c r="I903" s="37" t="s">
        <v>2127</v>
      </c>
      <c r="J903" s="37"/>
      <c r="K903" s="16">
        <v>27</v>
      </c>
      <c r="L903" s="607" t="s">
        <v>653</v>
      </c>
      <c r="M903" s="611">
        <v>43086</v>
      </c>
      <c r="N903" s="611">
        <v>43100</v>
      </c>
      <c r="O903" s="61" t="s">
        <v>3335</v>
      </c>
      <c r="P903" s="52"/>
      <c r="Q903" s="52"/>
      <c r="R903" s="606" t="s">
        <v>3667</v>
      </c>
      <c r="S903" s="315" t="s">
        <v>3290</v>
      </c>
      <c r="T903" s="749" t="s">
        <v>2838</v>
      </c>
    </row>
    <row r="904" spans="1:20" ht="20.100000000000001" customHeight="1">
      <c r="A904" s="1274" t="s">
        <v>2976</v>
      </c>
      <c r="B904" s="1215" t="s">
        <v>3669</v>
      </c>
      <c r="C904" s="1215" t="s">
        <v>3670</v>
      </c>
      <c r="D904" s="1006">
        <v>1750</v>
      </c>
      <c r="E904" s="1006">
        <v>2100</v>
      </c>
      <c r="F904" s="1006">
        <v>2100</v>
      </c>
      <c r="G904" s="629" t="s">
        <v>19</v>
      </c>
      <c r="H904" s="645" t="s">
        <v>3664</v>
      </c>
      <c r="I904" s="50" t="s">
        <v>2127</v>
      </c>
      <c r="J904" s="50"/>
      <c r="K904" s="19">
        <v>33</v>
      </c>
      <c r="L904" s="607" t="s">
        <v>653</v>
      </c>
      <c r="M904" s="156">
        <v>43084</v>
      </c>
      <c r="N904" s="156">
        <v>43093</v>
      </c>
      <c r="O904" s="153" t="s">
        <v>2131</v>
      </c>
      <c r="P904" s="59"/>
      <c r="Q904" s="7"/>
      <c r="R904" s="606" t="s">
        <v>3339</v>
      </c>
      <c r="S904" s="315" t="s">
        <v>3337</v>
      </c>
      <c r="T904" s="858"/>
    </row>
    <row r="905" spans="1:20" ht="20.100000000000001" customHeight="1">
      <c r="A905" s="1274" t="s">
        <v>2976</v>
      </c>
      <c r="B905" s="1215" t="s">
        <v>3669</v>
      </c>
      <c r="C905" s="1215" t="s">
        <v>3670</v>
      </c>
      <c r="D905" s="956">
        <v>1750</v>
      </c>
      <c r="E905" s="956">
        <v>2100</v>
      </c>
      <c r="F905" s="956">
        <v>2100</v>
      </c>
      <c r="G905" s="637" t="s">
        <v>5</v>
      </c>
      <c r="H905" s="4" t="s">
        <v>3666</v>
      </c>
      <c r="I905" s="37" t="s">
        <v>2127</v>
      </c>
      <c r="J905" s="37"/>
      <c r="K905" s="5" t="s">
        <v>829</v>
      </c>
      <c r="L905" s="607" t="s">
        <v>653</v>
      </c>
      <c r="M905" s="159">
        <v>43087</v>
      </c>
      <c r="N905" s="159">
        <v>43093</v>
      </c>
      <c r="O905" s="61" t="s">
        <v>1771</v>
      </c>
      <c r="P905" s="61"/>
      <c r="Q905" s="7"/>
      <c r="R905" s="606" t="s">
        <v>3665</v>
      </c>
      <c r="S905" s="622"/>
      <c r="T905" s="858"/>
    </row>
    <row r="906" spans="1:20" ht="20.100000000000001" customHeight="1">
      <c r="A906" s="1274" t="s">
        <v>2976</v>
      </c>
      <c r="B906" s="1215" t="s">
        <v>3669</v>
      </c>
      <c r="C906" s="1215" t="s">
        <v>3670</v>
      </c>
      <c r="D906" s="1008">
        <v>1425</v>
      </c>
      <c r="E906" s="1008">
        <v>1550</v>
      </c>
      <c r="F906" s="1008">
        <v>1550</v>
      </c>
      <c r="G906" s="227" t="s">
        <v>1689</v>
      </c>
      <c r="H906" s="160" t="s">
        <v>1311</v>
      </c>
      <c r="I906" s="37" t="s">
        <v>2526</v>
      </c>
      <c r="J906" s="37"/>
      <c r="K906" s="5">
        <v>29</v>
      </c>
      <c r="L906" s="607" t="s">
        <v>653</v>
      </c>
      <c r="M906" s="156">
        <v>43076</v>
      </c>
      <c r="N906" s="156">
        <v>43083</v>
      </c>
      <c r="O906" s="153" t="s">
        <v>2529</v>
      </c>
      <c r="P906" s="61"/>
      <c r="Q906" s="7"/>
      <c r="R906" s="606" t="s">
        <v>2528</v>
      </c>
      <c r="S906" s="316" t="s">
        <v>2943</v>
      </c>
      <c r="T906" s="858"/>
    </row>
    <row r="907" spans="1:20" ht="20.100000000000001" customHeight="1">
      <c r="A907" s="1274" t="s">
        <v>2976</v>
      </c>
      <c r="B907" s="1215" t="s">
        <v>3669</v>
      </c>
      <c r="C907" s="1215" t="s">
        <v>3670</v>
      </c>
      <c r="D907" s="1015">
        <v>1400</v>
      </c>
      <c r="E907" s="1015">
        <v>1650</v>
      </c>
      <c r="F907" s="1015">
        <v>1650</v>
      </c>
      <c r="G907" s="636" t="s">
        <v>31</v>
      </c>
      <c r="H907" s="168" t="s">
        <v>681</v>
      </c>
      <c r="I907" s="37" t="s">
        <v>2127</v>
      </c>
      <c r="J907" s="37"/>
      <c r="K907" s="16">
        <v>30</v>
      </c>
      <c r="L907" s="607" t="s">
        <v>653</v>
      </c>
      <c r="M907" s="623">
        <v>43080</v>
      </c>
      <c r="N907" s="623">
        <v>43083</v>
      </c>
      <c r="O907" s="61" t="s">
        <v>1307</v>
      </c>
      <c r="P907" s="61" t="s">
        <v>3671</v>
      </c>
      <c r="Q907" s="52"/>
      <c r="R907" s="606" t="s">
        <v>3563</v>
      </c>
      <c r="S907" s="622" t="s">
        <v>1176</v>
      </c>
      <c r="T907" s="858"/>
    </row>
    <row r="908" spans="1:20" ht="20.100000000000001" customHeight="1">
      <c r="A908" s="1274" t="s">
        <v>2976</v>
      </c>
      <c r="B908" s="1215" t="s">
        <v>3669</v>
      </c>
      <c r="C908" s="1215" t="s">
        <v>3670</v>
      </c>
      <c r="D908" s="956">
        <v>1700</v>
      </c>
      <c r="E908" s="956">
        <v>2050</v>
      </c>
      <c r="F908" s="956">
        <v>2050</v>
      </c>
      <c r="G908" s="633" t="s">
        <v>33</v>
      </c>
      <c r="H908" s="56" t="s">
        <v>2535</v>
      </c>
      <c r="I908" s="37" t="s">
        <v>2127</v>
      </c>
      <c r="J908" s="37"/>
      <c r="K908" s="16">
        <v>27</v>
      </c>
      <c r="L908" s="607" t="s">
        <v>653</v>
      </c>
      <c r="M908" s="159">
        <v>43087</v>
      </c>
      <c r="N908" s="159">
        <v>43093</v>
      </c>
      <c r="O908" s="134" t="s">
        <v>1307</v>
      </c>
      <c r="P908" s="61"/>
      <c r="Q908" s="7"/>
      <c r="R908" s="606" t="s">
        <v>2542</v>
      </c>
      <c r="S908" s="316" t="s">
        <v>3333</v>
      </c>
      <c r="T908" s="921"/>
    </row>
    <row r="909" spans="1:20" ht="20.100000000000001" customHeight="1">
      <c r="A909" s="1274" t="s">
        <v>2976</v>
      </c>
      <c r="B909" s="1215" t="s">
        <v>3669</v>
      </c>
      <c r="C909" s="1215" t="s">
        <v>4491</v>
      </c>
      <c r="D909" s="1015">
        <f>D903+500</f>
        <v>2150</v>
      </c>
      <c r="E909" s="1015">
        <f>E903+500</f>
        <v>2400</v>
      </c>
      <c r="F909" s="1015">
        <f>F903+500</f>
        <v>2400</v>
      </c>
      <c r="G909" s="216" t="s">
        <v>51</v>
      </c>
      <c r="H909" s="56" t="s">
        <v>3668</v>
      </c>
      <c r="I909" s="37" t="s">
        <v>4487</v>
      </c>
      <c r="J909" s="37"/>
      <c r="K909" s="16" t="s">
        <v>1107</v>
      </c>
      <c r="L909" s="607" t="s">
        <v>653</v>
      </c>
      <c r="M909" s="611">
        <v>43086</v>
      </c>
      <c r="N909" s="611">
        <v>43100</v>
      </c>
      <c r="O909" s="61" t="s">
        <v>3335</v>
      </c>
      <c r="P909" s="52"/>
      <c r="Q909" s="14" t="s">
        <v>4492</v>
      </c>
      <c r="R909" s="606" t="s">
        <v>3667</v>
      </c>
      <c r="S909" s="315" t="s">
        <v>3290</v>
      </c>
      <c r="T909" s="921"/>
    </row>
    <row r="910" spans="1:20" ht="20.100000000000001" customHeight="1">
      <c r="A910" s="1274" t="s">
        <v>2976</v>
      </c>
      <c r="B910" s="1215" t="s">
        <v>3669</v>
      </c>
      <c r="C910" s="1215" t="s">
        <v>4491</v>
      </c>
      <c r="D910" s="1015">
        <f>D905+432+25</f>
        <v>2207</v>
      </c>
      <c r="E910" s="1015">
        <f>E905+432+50</f>
        <v>2582</v>
      </c>
      <c r="F910" s="1015">
        <f>F905+432+50</f>
        <v>2582</v>
      </c>
      <c r="G910" s="216" t="s">
        <v>5</v>
      </c>
      <c r="H910" s="4" t="s">
        <v>3666</v>
      </c>
      <c r="I910" s="37" t="s">
        <v>2127</v>
      </c>
      <c r="J910" s="37"/>
      <c r="K910" s="5" t="s">
        <v>829</v>
      </c>
      <c r="L910" s="607" t="s">
        <v>653</v>
      </c>
      <c r="M910" s="159">
        <v>43087</v>
      </c>
      <c r="N910" s="159">
        <v>43093</v>
      </c>
      <c r="O910" s="61" t="s">
        <v>1771</v>
      </c>
      <c r="P910" s="61"/>
      <c r="Q910" s="72" t="s">
        <v>3344</v>
      </c>
      <c r="R910" s="606" t="s">
        <v>3665</v>
      </c>
      <c r="S910" s="622"/>
      <c r="T910" s="921"/>
    </row>
    <row r="911" spans="1:20" ht="20.100000000000001" customHeight="1">
      <c r="A911" s="1274" t="s">
        <v>2976</v>
      </c>
      <c r="B911" s="1215" t="s">
        <v>3669</v>
      </c>
      <c r="C911" s="1215" t="s">
        <v>4491</v>
      </c>
      <c r="D911" s="1019">
        <f>D904+403</f>
        <v>2153</v>
      </c>
      <c r="E911" s="1019">
        <f>E904+417</f>
        <v>2517</v>
      </c>
      <c r="F911" s="1019">
        <f>F904+417</f>
        <v>2517</v>
      </c>
      <c r="G911" s="614" t="s">
        <v>19</v>
      </c>
      <c r="H911" s="645" t="s">
        <v>3664</v>
      </c>
      <c r="I911" s="50" t="s">
        <v>4487</v>
      </c>
      <c r="J911" s="50"/>
      <c r="K911" s="19" t="s">
        <v>835</v>
      </c>
      <c r="L911" s="607" t="s">
        <v>653</v>
      </c>
      <c r="M911" s="156">
        <v>43084</v>
      </c>
      <c r="N911" s="156">
        <v>43093</v>
      </c>
      <c r="O911" s="153" t="s">
        <v>2131</v>
      </c>
      <c r="P911" s="59"/>
      <c r="Q911" s="14" t="s">
        <v>100</v>
      </c>
      <c r="R911" s="606" t="s">
        <v>3339</v>
      </c>
      <c r="S911" s="315" t="s">
        <v>3337</v>
      </c>
      <c r="T911" s="921"/>
    </row>
    <row r="912" spans="1:20" ht="20.100000000000001" customHeight="1">
      <c r="A912" s="1274" t="s">
        <v>2976</v>
      </c>
      <c r="B912" s="1215" t="s">
        <v>3669</v>
      </c>
      <c r="C912" s="1215" t="s">
        <v>4491</v>
      </c>
      <c r="D912" s="1019">
        <f>D860+470+25</f>
        <v>1920</v>
      </c>
      <c r="E912" s="1019">
        <f>E860+470+50</f>
        <v>2070</v>
      </c>
      <c r="F912" s="1019">
        <f>F860+470+50</f>
        <v>2070</v>
      </c>
      <c r="G912" s="609" t="s">
        <v>1689</v>
      </c>
      <c r="H912" s="160" t="s">
        <v>1311</v>
      </c>
      <c r="I912" s="37" t="s">
        <v>4487</v>
      </c>
      <c r="J912" s="37"/>
      <c r="K912" s="5">
        <v>35</v>
      </c>
      <c r="L912" s="607" t="s">
        <v>653</v>
      </c>
      <c r="M912" s="156">
        <v>43076</v>
      </c>
      <c r="N912" s="156">
        <v>43083</v>
      </c>
      <c r="O912" s="153" t="s">
        <v>2529</v>
      </c>
      <c r="P912" s="61"/>
      <c r="Q912" s="14" t="s">
        <v>24</v>
      </c>
      <c r="R912" s="606" t="s">
        <v>2528</v>
      </c>
      <c r="S912" s="316" t="s">
        <v>2943</v>
      </c>
      <c r="T912" s="921"/>
    </row>
    <row r="913" spans="1:20" ht="20.100000000000001" customHeight="1">
      <c r="A913" s="1274" t="s">
        <v>2976</v>
      </c>
      <c r="B913" s="1215" t="s">
        <v>3669</v>
      </c>
      <c r="C913" s="1215" t="s">
        <v>4491</v>
      </c>
      <c r="D913" s="1019">
        <f>D908+600</f>
        <v>2300</v>
      </c>
      <c r="E913" s="1019">
        <f>E908+600</f>
        <v>2650</v>
      </c>
      <c r="F913" s="1019">
        <f>F908+600</f>
        <v>2650</v>
      </c>
      <c r="G913" s="613" t="s">
        <v>33</v>
      </c>
      <c r="H913" s="4" t="s">
        <v>2535</v>
      </c>
      <c r="I913" s="37" t="s">
        <v>4487</v>
      </c>
      <c r="J913" s="37"/>
      <c r="K913" s="5">
        <v>31</v>
      </c>
      <c r="L913" s="607" t="s">
        <v>653</v>
      </c>
      <c r="M913" s="159">
        <v>43087</v>
      </c>
      <c r="N913" s="159">
        <v>43093</v>
      </c>
      <c r="O913" s="134" t="s">
        <v>1307</v>
      </c>
      <c r="P913" s="61"/>
      <c r="Q913" s="7"/>
      <c r="R913" s="606" t="s">
        <v>2542</v>
      </c>
      <c r="S913" s="316" t="s">
        <v>3333</v>
      </c>
      <c r="T913" s="921"/>
    </row>
    <row r="914" spans="1:20" ht="20.100000000000001" customHeight="1">
      <c r="A914" s="1274" t="s">
        <v>2976</v>
      </c>
      <c r="B914" s="1215" t="s">
        <v>3669</v>
      </c>
      <c r="C914" s="1215" t="s">
        <v>4490</v>
      </c>
      <c r="D914" s="1015">
        <f>D905+504+25</f>
        <v>2279</v>
      </c>
      <c r="E914" s="1015">
        <f>E905+504+50</f>
        <v>2654</v>
      </c>
      <c r="F914" s="1015">
        <f>F905+504+50</f>
        <v>2654</v>
      </c>
      <c r="G914" s="216" t="s">
        <v>5</v>
      </c>
      <c r="H914" s="4" t="s">
        <v>3666</v>
      </c>
      <c r="I914" s="37" t="s">
        <v>2127</v>
      </c>
      <c r="J914" s="37"/>
      <c r="K914" s="5" t="s">
        <v>829</v>
      </c>
      <c r="L914" s="607" t="s">
        <v>653</v>
      </c>
      <c r="M914" s="159">
        <v>43087</v>
      </c>
      <c r="N914" s="159">
        <v>43093</v>
      </c>
      <c r="O914" s="61" t="s">
        <v>1771</v>
      </c>
      <c r="P914" s="61"/>
      <c r="Q914" s="72" t="s">
        <v>3344</v>
      </c>
      <c r="R914" s="606" t="s">
        <v>3665</v>
      </c>
      <c r="S914" s="622"/>
      <c r="T914" s="921"/>
    </row>
    <row r="915" spans="1:20" ht="20.100000000000001" customHeight="1">
      <c r="A915" s="1274" t="s">
        <v>2976</v>
      </c>
      <c r="B915" s="1215" t="s">
        <v>3669</v>
      </c>
      <c r="C915" s="1215" t="s">
        <v>4490</v>
      </c>
      <c r="D915" s="1019">
        <f>D904+464</f>
        <v>2214</v>
      </c>
      <c r="E915" s="1019">
        <f>E904+464</f>
        <v>2564</v>
      </c>
      <c r="F915" s="1019">
        <f>F904+464</f>
        <v>2564</v>
      </c>
      <c r="G915" s="614" t="s">
        <v>19</v>
      </c>
      <c r="H915" s="645" t="s">
        <v>3664</v>
      </c>
      <c r="I915" s="50" t="s">
        <v>4487</v>
      </c>
      <c r="J915" s="50"/>
      <c r="K915" s="19" t="s">
        <v>835</v>
      </c>
      <c r="L915" s="607" t="s">
        <v>653</v>
      </c>
      <c r="M915" s="156">
        <v>43084</v>
      </c>
      <c r="N915" s="156">
        <v>43093</v>
      </c>
      <c r="O915" s="153" t="s">
        <v>2131</v>
      </c>
      <c r="P915" s="59"/>
      <c r="Q915" s="14" t="s">
        <v>100</v>
      </c>
      <c r="R915" s="606" t="s">
        <v>3339</v>
      </c>
      <c r="S915" s="315" t="s">
        <v>3337</v>
      </c>
      <c r="T915" s="921"/>
    </row>
    <row r="916" spans="1:20" ht="20.100000000000001" customHeight="1">
      <c r="A916" s="1274" t="s">
        <v>2976</v>
      </c>
      <c r="B916" s="1215" t="s">
        <v>3669</v>
      </c>
      <c r="C916" s="1215" t="s">
        <v>4490</v>
      </c>
      <c r="D916" s="1015">
        <f>D908+600</f>
        <v>2300</v>
      </c>
      <c r="E916" s="1015">
        <f>E908+600</f>
        <v>2650</v>
      </c>
      <c r="F916" s="1015">
        <f>F908+600</f>
        <v>2650</v>
      </c>
      <c r="G916" s="613" t="s">
        <v>33</v>
      </c>
      <c r="H916" s="56">
        <v>6</v>
      </c>
      <c r="I916" s="37" t="s">
        <v>4487</v>
      </c>
      <c r="J916" s="37"/>
      <c r="K916" s="16">
        <v>31</v>
      </c>
      <c r="L916" s="607" t="s">
        <v>653</v>
      </c>
      <c r="M916" s="159">
        <v>43087</v>
      </c>
      <c r="N916" s="159">
        <v>43093</v>
      </c>
      <c r="O916" s="134" t="s">
        <v>1307</v>
      </c>
      <c r="P916" s="61"/>
      <c r="Q916" s="7"/>
      <c r="R916" s="606" t="s">
        <v>3336</v>
      </c>
      <c r="S916" s="316" t="s">
        <v>3333</v>
      </c>
      <c r="T916" s="858"/>
    </row>
    <row r="917" spans="1:20" ht="20.100000000000001" customHeight="1">
      <c r="A917" s="930" t="s">
        <v>2976</v>
      </c>
      <c r="B917" s="919" t="s">
        <v>3669</v>
      </c>
      <c r="C917" s="919" t="s">
        <v>4489</v>
      </c>
      <c r="D917" s="1015">
        <f>D908+600</f>
        <v>2300</v>
      </c>
      <c r="E917" s="1015">
        <f>E908+600</f>
        <v>2650</v>
      </c>
      <c r="F917" s="1015">
        <f>F908+600</f>
        <v>2650</v>
      </c>
      <c r="G917" s="613" t="s">
        <v>33</v>
      </c>
      <c r="H917" s="56">
        <v>6</v>
      </c>
      <c r="I917" s="37" t="s">
        <v>4487</v>
      </c>
      <c r="J917" s="37"/>
      <c r="K917" s="16">
        <v>31</v>
      </c>
      <c r="L917" s="607" t="s">
        <v>653</v>
      </c>
      <c r="M917" s="159">
        <v>43087</v>
      </c>
      <c r="N917" s="159">
        <v>43093</v>
      </c>
      <c r="O917" s="134" t="s">
        <v>1307</v>
      </c>
      <c r="P917" s="61"/>
      <c r="Q917" s="7"/>
      <c r="R917" s="606" t="s">
        <v>3336</v>
      </c>
      <c r="S917" s="316" t="s">
        <v>3333</v>
      </c>
      <c r="T917" s="858"/>
    </row>
    <row r="918" spans="1:20" ht="20.100000000000001" customHeight="1">
      <c r="A918" s="1274" t="s">
        <v>2976</v>
      </c>
      <c r="B918" s="1215" t="s">
        <v>3669</v>
      </c>
      <c r="C918" s="1215" t="s">
        <v>4488</v>
      </c>
      <c r="D918" s="1015">
        <f>D905+539+25</f>
        <v>2314</v>
      </c>
      <c r="E918" s="1015">
        <f>E905+539+50</f>
        <v>2689</v>
      </c>
      <c r="F918" s="1015">
        <f>F905+539+50</f>
        <v>2689</v>
      </c>
      <c r="G918" s="216" t="s">
        <v>5</v>
      </c>
      <c r="H918" s="4" t="s">
        <v>3666</v>
      </c>
      <c r="I918" s="37" t="s">
        <v>2127</v>
      </c>
      <c r="J918" s="37"/>
      <c r="K918" s="5" t="s">
        <v>829</v>
      </c>
      <c r="L918" s="607" t="s">
        <v>653</v>
      </c>
      <c r="M918" s="159">
        <v>43087</v>
      </c>
      <c r="N918" s="159">
        <v>43093</v>
      </c>
      <c r="O918" s="61" t="s">
        <v>1771</v>
      </c>
      <c r="P918" s="61"/>
      <c r="Q918" s="72" t="s">
        <v>3344</v>
      </c>
      <c r="R918" s="606" t="s">
        <v>3665</v>
      </c>
      <c r="S918" s="622"/>
      <c r="T918" s="858"/>
    </row>
    <row r="919" spans="1:20" ht="20.100000000000001" customHeight="1">
      <c r="A919" s="1274" t="s">
        <v>2976</v>
      </c>
      <c r="B919" s="1215" t="s">
        <v>3669</v>
      </c>
      <c r="C919" s="1215" t="s">
        <v>4488</v>
      </c>
      <c r="D919" s="1015">
        <f>D904+451</f>
        <v>2201</v>
      </c>
      <c r="E919" s="1015">
        <f>E904+451</f>
        <v>2551</v>
      </c>
      <c r="F919" s="1015">
        <f>F904+451</f>
        <v>2551</v>
      </c>
      <c r="G919" s="614" t="s">
        <v>19</v>
      </c>
      <c r="H919" s="645" t="s">
        <v>3664</v>
      </c>
      <c r="I919" s="50" t="s">
        <v>4487</v>
      </c>
      <c r="J919" s="50"/>
      <c r="K919" s="19" t="s">
        <v>835</v>
      </c>
      <c r="L919" s="607" t="s">
        <v>653</v>
      </c>
      <c r="M919" s="156">
        <v>43084</v>
      </c>
      <c r="N919" s="156">
        <v>43093</v>
      </c>
      <c r="O919" s="153" t="s">
        <v>2131</v>
      </c>
      <c r="P919" s="59"/>
      <c r="Q919" s="14" t="s">
        <v>100</v>
      </c>
      <c r="R919" s="606" t="s">
        <v>3339</v>
      </c>
      <c r="S919" s="315" t="s">
        <v>3337</v>
      </c>
      <c r="T919" s="858"/>
    </row>
    <row r="920" spans="1:20" ht="20.100000000000001" customHeight="1">
      <c r="A920" s="1274" t="s">
        <v>2976</v>
      </c>
      <c r="B920" s="1215" t="s">
        <v>3669</v>
      </c>
      <c r="C920" s="1215" t="s">
        <v>4488</v>
      </c>
      <c r="D920" s="1015">
        <f>D908+600</f>
        <v>2300</v>
      </c>
      <c r="E920" s="1015">
        <f>E908+600</f>
        <v>2650</v>
      </c>
      <c r="F920" s="1015">
        <f>F908+600</f>
        <v>2650</v>
      </c>
      <c r="G920" s="613" t="s">
        <v>33</v>
      </c>
      <c r="H920" s="56" t="s">
        <v>2535</v>
      </c>
      <c r="I920" s="37" t="s">
        <v>4487</v>
      </c>
      <c r="J920" s="37"/>
      <c r="K920" s="16">
        <v>32</v>
      </c>
      <c r="L920" s="607" t="s">
        <v>653</v>
      </c>
      <c r="M920" s="159">
        <v>43087</v>
      </c>
      <c r="N920" s="159">
        <v>43093</v>
      </c>
      <c r="O920" s="134" t="s">
        <v>1307</v>
      </c>
      <c r="P920" s="61"/>
      <c r="Q920" s="7"/>
      <c r="R920" s="606" t="s">
        <v>2542</v>
      </c>
      <c r="S920" s="316" t="s">
        <v>3333</v>
      </c>
      <c r="T920" s="858"/>
    </row>
    <row r="921" spans="1:20" ht="20.100000000000001" customHeight="1">
      <c r="A921" s="1274" t="s">
        <v>3663</v>
      </c>
      <c r="B921" s="1215" t="s">
        <v>2601</v>
      </c>
      <c r="C921" s="1215" t="s">
        <v>5412</v>
      </c>
      <c r="D921" s="1015">
        <f>D19+100+0</f>
        <v>1650</v>
      </c>
      <c r="E921" s="1015">
        <f>E19+100+0</f>
        <v>1900</v>
      </c>
      <c r="F921" s="1015">
        <f>F19+100+0</f>
        <v>1900</v>
      </c>
      <c r="G921" s="216" t="s">
        <v>51</v>
      </c>
      <c r="H921" s="56" t="s">
        <v>3668</v>
      </c>
      <c r="I921" s="37" t="s">
        <v>2127</v>
      </c>
      <c r="J921" s="37"/>
      <c r="K921" s="16">
        <v>27</v>
      </c>
      <c r="L921" s="607" t="s">
        <v>653</v>
      </c>
      <c r="M921" s="611">
        <v>43086</v>
      </c>
      <c r="N921" s="611">
        <v>43100</v>
      </c>
      <c r="O921" s="61" t="s">
        <v>3335</v>
      </c>
      <c r="P921" s="52"/>
      <c r="Q921" s="52"/>
      <c r="R921" s="606" t="s">
        <v>3667</v>
      </c>
      <c r="S921" s="315" t="s">
        <v>3290</v>
      </c>
      <c r="T921" s="749" t="s">
        <v>5413</v>
      </c>
    </row>
    <row r="922" spans="1:20" ht="20.100000000000001" customHeight="1">
      <c r="A922" s="1274" t="s">
        <v>3663</v>
      </c>
      <c r="B922" s="1215" t="s">
        <v>2601</v>
      </c>
      <c r="C922" s="1215" t="s">
        <v>5412</v>
      </c>
      <c r="D922" s="956">
        <v>1750</v>
      </c>
      <c r="E922" s="956">
        <v>2100</v>
      </c>
      <c r="F922" s="956">
        <v>2100</v>
      </c>
      <c r="G922" s="637" t="s">
        <v>5</v>
      </c>
      <c r="H922" s="4" t="s">
        <v>3666</v>
      </c>
      <c r="I922" s="37" t="s">
        <v>2127</v>
      </c>
      <c r="J922" s="37"/>
      <c r="K922" s="5" t="s">
        <v>829</v>
      </c>
      <c r="L922" s="607" t="s">
        <v>653</v>
      </c>
      <c r="M922" s="159">
        <v>43087</v>
      </c>
      <c r="N922" s="159">
        <v>43093</v>
      </c>
      <c r="O922" s="61" t="s">
        <v>1771</v>
      </c>
      <c r="P922" s="61"/>
      <c r="Q922" s="7"/>
      <c r="R922" s="606" t="s">
        <v>3665</v>
      </c>
      <c r="S922" s="622"/>
      <c r="T922" s="858"/>
    </row>
    <row r="923" spans="1:20" ht="20.100000000000001" customHeight="1">
      <c r="A923" s="1274" t="s">
        <v>2976</v>
      </c>
      <c r="B923" s="1215" t="s">
        <v>2601</v>
      </c>
      <c r="C923" s="1215" t="s">
        <v>5412</v>
      </c>
      <c r="D923" s="1006">
        <v>1750</v>
      </c>
      <c r="E923" s="1006">
        <v>2100</v>
      </c>
      <c r="F923" s="1006">
        <v>2100</v>
      </c>
      <c r="G923" s="629" t="s">
        <v>19</v>
      </c>
      <c r="H923" s="645" t="s">
        <v>3664</v>
      </c>
      <c r="I923" s="37" t="s">
        <v>2127</v>
      </c>
      <c r="J923" s="37"/>
      <c r="K923" s="5">
        <v>30</v>
      </c>
      <c r="L923" s="607" t="s">
        <v>653</v>
      </c>
      <c r="M923" s="156">
        <v>43084</v>
      </c>
      <c r="N923" s="156">
        <v>43093</v>
      </c>
      <c r="O923" s="153" t="s">
        <v>2131</v>
      </c>
      <c r="P923" s="61"/>
      <c r="Q923" s="7"/>
      <c r="R923" s="606" t="s">
        <v>3339</v>
      </c>
      <c r="S923" s="315" t="s">
        <v>3337</v>
      </c>
      <c r="T923" s="858"/>
    </row>
    <row r="924" spans="1:20" ht="20.100000000000001" customHeight="1">
      <c r="A924" s="1274" t="s">
        <v>2976</v>
      </c>
      <c r="B924" s="1215" t="s">
        <v>2601</v>
      </c>
      <c r="C924" s="1215" t="s">
        <v>5412</v>
      </c>
      <c r="D924" s="1008">
        <v>1425</v>
      </c>
      <c r="E924" s="1008">
        <v>1550</v>
      </c>
      <c r="F924" s="1008">
        <v>1550</v>
      </c>
      <c r="G924" s="227" t="s">
        <v>1689</v>
      </c>
      <c r="H924" s="160" t="s">
        <v>1311</v>
      </c>
      <c r="I924" s="37" t="s">
        <v>2526</v>
      </c>
      <c r="J924" s="37"/>
      <c r="K924" s="5">
        <v>29</v>
      </c>
      <c r="L924" s="607" t="s">
        <v>653</v>
      </c>
      <c r="M924" s="156">
        <v>43076</v>
      </c>
      <c r="N924" s="156">
        <v>43083</v>
      </c>
      <c r="O924" s="153" t="s">
        <v>2529</v>
      </c>
      <c r="P924" s="61"/>
      <c r="Q924" s="7"/>
      <c r="R924" s="606" t="s">
        <v>2528</v>
      </c>
      <c r="S924" s="316" t="s">
        <v>2943</v>
      </c>
      <c r="T924" s="858"/>
    </row>
    <row r="925" spans="1:20" ht="20.100000000000001" customHeight="1">
      <c r="A925" s="1274" t="s">
        <v>2976</v>
      </c>
      <c r="B925" s="1215" t="s">
        <v>2601</v>
      </c>
      <c r="C925" s="1215" t="s">
        <v>5412</v>
      </c>
      <c r="D925" s="956">
        <v>1700</v>
      </c>
      <c r="E925" s="956">
        <v>2050</v>
      </c>
      <c r="F925" s="956">
        <v>2050</v>
      </c>
      <c r="G925" s="630" t="s">
        <v>33</v>
      </c>
      <c r="H925" s="4" t="s">
        <v>2535</v>
      </c>
      <c r="I925" s="37" t="s">
        <v>2127</v>
      </c>
      <c r="J925" s="37"/>
      <c r="K925" s="5">
        <v>26</v>
      </c>
      <c r="L925" s="607" t="s">
        <v>653</v>
      </c>
      <c r="M925" s="159">
        <v>43087</v>
      </c>
      <c r="N925" s="159">
        <v>43093</v>
      </c>
      <c r="O925" s="134" t="s">
        <v>1307</v>
      </c>
      <c r="P925" s="61"/>
      <c r="Q925" s="7"/>
      <c r="R925" s="606" t="s">
        <v>2542</v>
      </c>
      <c r="S925" s="316" t="s">
        <v>3333</v>
      </c>
      <c r="T925" s="858"/>
    </row>
    <row r="926" spans="1:20" ht="20.100000000000001" customHeight="1">
      <c r="A926" s="1274" t="s">
        <v>3663</v>
      </c>
      <c r="B926" s="1215" t="s">
        <v>2601</v>
      </c>
      <c r="C926" s="1215" t="s">
        <v>2603</v>
      </c>
      <c r="D926" s="1015">
        <f>D921+1150</f>
        <v>2800</v>
      </c>
      <c r="E926" s="1015">
        <f>E921+1150</f>
        <v>3050</v>
      </c>
      <c r="F926" s="1015">
        <f>F921+1150</f>
        <v>3050</v>
      </c>
      <c r="G926" s="216" t="s">
        <v>51</v>
      </c>
      <c r="H926" s="56" t="s">
        <v>3668</v>
      </c>
      <c r="I926" s="37" t="s">
        <v>3662</v>
      </c>
      <c r="J926" s="37"/>
      <c r="K926" s="16" t="s">
        <v>1107</v>
      </c>
      <c r="L926" s="607" t="s">
        <v>653</v>
      </c>
      <c r="M926" s="611">
        <v>43086</v>
      </c>
      <c r="N926" s="611">
        <v>43100</v>
      </c>
      <c r="O926" s="61" t="s">
        <v>3335</v>
      </c>
      <c r="P926" s="52"/>
      <c r="Q926" s="14" t="s">
        <v>100</v>
      </c>
      <c r="R926" s="606" t="s">
        <v>3667</v>
      </c>
      <c r="S926" s="315" t="s">
        <v>3290</v>
      </c>
      <c r="T926" s="858"/>
    </row>
    <row r="927" spans="1:20" ht="20.100000000000001" customHeight="1">
      <c r="A927" s="1274" t="s">
        <v>3663</v>
      </c>
      <c r="B927" s="1215" t="s">
        <v>2601</v>
      </c>
      <c r="C927" s="1215" t="s">
        <v>2603</v>
      </c>
      <c r="D927" s="1015">
        <f>D883+1365+25</f>
        <v>3140</v>
      </c>
      <c r="E927" s="1015">
        <f>E883+1365+50</f>
        <v>3515</v>
      </c>
      <c r="F927" s="1015">
        <f>F883+1365+50</f>
        <v>3515</v>
      </c>
      <c r="G927" s="216" t="s">
        <v>5</v>
      </c>
      <c r="H927" s="4" t="s">
        <v>3666</v>
      </c>
      <c r="I927" s="37" t="s">
        <v>2127</v>
      </c>
      <c r="J927" s="37"/>
      <c r="K927" s="5" t="s">
        <v>829</v>
      </c>
      <c r="L927" s="607" t="s">
        <v>653</v>
      </c>
      <c r="M927" s="159">
        <v>43087</v>
      </c>
      <c r="N927" s="159">
        <v>43093</v>
      </c>
      <c r="O927" s="61" t="s">
        <v>1771</v>
      </c>
      <c r="P927" s="61"/>
      <c r="Q927" s="72" t="s">
        <v>3342</v>
      </c>
      <c r="R927" s="606" t="s">
        <v>3665</v>
      </c>
      <c r="S927" s="622"/>
      <c r="T927" s="858"/>
    </row>
    <row r="928" spans="1:20" ht="20.100000000000001" customHeight="1">
      <c r="A928" s="1274" t="s">
        <v>3663</v>
      </c>
      <c r="B928" s="1215" t="s">
        <v>2601</v>
      </c>
      <c r="C928" s="1215" t="s">
        <v>2603</v>
      </c>
      <c r="D928" s="1019">
        <f>D923+1035</f>
        <v>2785</v>
      </c>
      <c r="E928" s="1019">
        <f>E923+953</f>
        <v>3053</v>
      </c>
      <c r="F928" s="1019">
        <f>F923+1009</f>
        <v>3109</v>
      </c>
      <c r="G928" s="216" t="s">
        <v>19</v>
      </c>
      <c r="H928" s="645" t="s">
        <v>3664</v>
      </c>
      <c r="I928" s="37" t="s">
        <v>3662</v>
      </c>
      <c r="J928" s="38"/>
      <c r="K928" s="19" t="s">
        <v>835</v>
      </c>
      <c r="L928" s="607" t="s">
        <v>653</v>
      </c>
      <c r="M928" s="156">
        <v>43084</v>
      </c>
      <c r="N928" s="156">
        <v>43093</v>
      </c>
      <c r="O928" s="153" t="s">
        <v>2131</v>
      </c>
      <c r="P928" s="59"/>
      <c r="Q928" s="72" t="s">
        <v>100</v>
      </c>
      <c r="R928" s="606" t="s">
        <v>3339</v>
      </c>
      <c r="S928" s="315" t="s">
        <v>3337</v>
      </c>
      <c r="T928" s="858"/>
    </row>
    <row r="929" spans="1:20" ht="20.100000000000001" customHeight="1">
      <c r="A929" s="1274" t="s">
        <v>3663</v>
      </c>
      <c r="B929" s="1215" t="s">
        <v>2601</v>
      </c>
      <c r="C929" s="1215" t="s">
        <v>2603</v>
      </c>
      <c r="D929" s="1019">
        <f>D924+900+25</f>
        <v>2350</v>
      </c>
      <c r="E929" s="1019">
        <f>E924+900+50</f>
        <v>2500</v>
      </c>
      <c r="F929" s="1019">
        <f>F924+900+50</f>
        <v>2500</v>
      </c>
      <c r="G929" s="609" t="s">
        <v>1689</v>
      </c>
      <c r="H929" s="160" t="s">
        <v>1311</v>
      </c>
      <c r="I929" s="5" t="s">
        <v>3662</v>
      </c>
      <c r="J929" s="5"/>
      <c r="K929" s="5">
        <v>35</v>
      </c>
      <c r="L929" s="607" t="s">
        <v>653</v>
      </c>
      <c r="M929" s="156">
        <v>43076</v>
      </c>
      <c r="N929" s="156">
        <v>43083</v>
      </c>
      <c r="O929" s="153" t="s">
        <v>2529</v>
      </c>
      <c r="P929" s="61"/>
      <c r="Q929" s="14" t="s">
        <v>24</v>
      </c>
      <c r="R929" s="606" t="s">
        <v>2528</v>
      </c>
      <c r="S929" s="316" t="s">
        <v>2943</v>
      </c>
      <c r="T929" s="858"/>
    </row>
    <row r="930" spans="1:20" ht="20.100000000000001" customHeight="1">
      <c r="A930" s="930" t="s">
        <v>3663</v>
      </c>
      <c r="B930" s="919" t="s">
        <v>2601</v>
      </c>
      <c r="C930" s="919" t="s">
        <v>2602</v>
      </c>
      <c r="D930" s="1020"/>
      <c r="E930" s="1020"/>
      <c r="F930" s="1020"/>
      <c r="G930" s="216" t="s">
        <v>19</v>
      </c>
      <c r="H930" s="645" t="s">
        <v>3664</v>
      </c>
      <c r="I930" s="37" t="s">
        <v>3662</v>
      </c>
      <c r="J930" s="38"/>
      <c r="K930" s="19" t="s">
        <v>835</v>
      </c>
      <c r="L930" s="607" t="s">
        <v>653</v>
      </c>
      <c r="M930" s="156">
        <v>43084</v>
      </c>
      <c r="N930" s="156">
        <v>43093</v>
      </c>
      <c r="O930" s="153" t="s">
        <v>2131</v>
      </c>
      <c r="P930" s="59"/>
      <c r="Q930" s="72" t="s">
        <v>100</v>
      </c>
      <c r="R930" s="606" t="s">
        <v>3339</v>
      </c>
      <c r="S930" s="315" t="s">
        <v>3337</v>
      </c>
      <c r="T930" s="858"/>
    </row>
    <row r="931" spans="1:20" ht="20.100000000000001" customHeight="1">
      <c r="A931" s="1274" t="s">
        <v>3663</v>
      </c>
      <c r="B931" s="1215" t="s">
        <v>2601</v>
      </c>
      <c r="C931" s="1215" t="s">
        <v>2600</v>
      </c>
      <c r="D931" s="1020">
        <f>D921+500</f>
        <v>2150</v>
      </c>
      <c r="E931" s="1020">
        <f>E921+500</f>
        <v>2400</v>
      </c>
      <c r="F931" s="1020">
        <f>F921+500</f>
        <v>2400</v>
      </c>
      <c r="G931" s="216" t="s">
        <v>51</v>
      </c>
      <c r="H931" s="56" t="s">
        <v>3668</v>
      </c>
      <c r="I931" s="37" t="s">
        <v>3662</v>
      </c>
      <c r="J931" s="37"/>
      <c r="K931" s="16" t="s">
        <v>1107</v>
      </c>
      <c r="L931" s="607" t="s">
        <v>653</v>
      </c>
      <c r="M931" s="611">
        <v>43086</v>
      </c>
      <c r="N931" s="611">
        <v>43100</v>
      </c>
      <c r="O931" s="61" t="s">
        <v>3335</v>
      </c>
      <c r="P931" s="52"/>
      <c r="Q931" s="14" t="s">
        <v>100</v>
      </c>
      <c r="R931" s="606" t="s">
        <v>3667</v>
      </c>
      <c r="S931" s="315" t="s">
        <v>3290</v>
      </c>
      <c r="T931" s="858"/>
    </row>
    <row r="932" spans="1:20" ht="20.100000000000001" customHeight="1">
      <c r="A932" s="1274" t="s">
        <v>3663</v>
      </c>
      <c r="B932" s="1215" t="s">
        <v>2601</v>
      </c>
      <c r="C932" s="1215" t="s">
        <v>2600</v>
      </c>
      <c r="D932" s="1015">
        <f>D922+581+25</f>
        <v>2356</v>
      </c>
      <c r="E932" s="1015">
        <f>E922+581+50</f>
        <v>2731</v>
      </c>
      <c r="F932" s="1015">
        <f>F922+581+50</f>
        <v>2731</v>
      </c>
      <c r="G932" s="216" t="s">
        <v>5</v>
      </c>
      <c r="H932" s="4" t="s">
        <v>3666</v>
      </c>
      <c r="I932" s="37" t="s">
        <v>2127</v>
      </c>
      <c r="J932" s="37"/>
      <c r="K932" s="5" t="s">
        <v>829</v>
      </c>
      <c r="L932" s="607" t="s">
        <v>653</v>
      </c>
      <c r="M932" s="159">
        <v>43087</v>
      </c>
      <c r="N932" s="159">
        <v>43093</v>
      </c>
      <c r="O932" s="61" t="s">
        <v>1771</v>
      </c>
      <c r="P932" s="61"/>
      <c r="Q932" s="72" t="s">
        <v>3342</v>
      </c>
      <c r="R932" s="606" t="s">
        <v>3665</v>
      </c>
      <c r="S932" s="622"/>
      <c r="T932" s="858"/>
    </row>
    <row r="933" spans="1:20" ht="20.100000000000001" customHeight="1">
      <c r="A933" s="1274" t="s">
        <v>3663</v>
      </c>
      <c r="B933" s="1215" t="s">
        <v>2601</v>
      </c>
      <c r="C933" s="1215" t="s">
        <v>2600</v>
      </c>
      <c r="D933" s="1015">
        <f>D923+534</f>
        <v>2284</v>
      </c>
      <c r="E933" s="1015">
        <f>E923+534</f>
        <v>2634</v>
      </c>
      <c r="F933" s="1015">
        <f>F923+534</f>
        <v>2634</v>
      </c>
      <c r="G933" s="216" t="s">
        <v>19</v>
      </c>
      <c r="H933" s="645" t="s">
        <v>3664</v>
      </c>
      <c r="I933" s="37" t="s">
        <v>3662</v>
      </c>
      <c r="J933" s="38"/>
      <c r="K933" s="19" t="s">
        <v>835</v>
      </c>
      <c r="L933" s="607" t="s">
        <v>653</v>
      </c>
      <c r="M933" s="156">
        <v>43084</v>
      </c>
      <c r="N933" s="156">
        <v>43093</v>
      </c>
      <c r="O933" s="153" t="s">
        <v>2131</v>
      </c>
      <c r="P933" s="59"/>
      <c r="Q933" s="72" t="s">
        <v>100</v>
      </c>
      <c r="R933" s="606" t="s">
        <v>3339</v>
      </c>
      <c r="S933" s="315" t="s">
        <v>3337</v>
      </c>
      <c r="T933" s="858"/>
    </row>
    <row r="934" spans="1:20" ht="20.100000000000001" customHeight="1">
      <c r="A934" s="1274" t="s">
        <v>3663</v>
      </c>
      <c r="B934" s="1215" t="s">
        <v>2601</v>
      </c>
      <c r="C934" s="1215" t="s">
        <v>2600</v>
      </c>
      <c r="D934" s="1019">
        <f>D924+500+25</f>
        <v>1950</v>
      </c>
      <c r="E934" s="1019">
        <f>E924+500+50</f>
        <v>2100</v>
      </c>
      <c r="F934" s="1019">
        <f>F924+500+50</f>
        <v>2100</v>
      </c>
      <c r="G934" s="609" t="s">
        <v>1689</v>
      </c>
      <c r="H934" s="160" t="s">
        <v>1311</v>
      </c>
      <c r="I934" s="5" t="s">
        <v>3662</v>
      </c>
      <c r="J934" s="5"/>
      <c r="K934" s="5">
        <v>33</v>
      </c>
      <c r="L934" s="607" t="s">
        <v>653</v>
      </c>
      <c r="M934" s="156">
        <v>43076</v>
      </c>
      <c r="N934" s="156">
        <v>43083</v>
      </c>
      <c r="O934" s="153" t="s">
        <v>2529</v>
      </c>
      <c r="P934" s="61"/>
      <c r="Q934" s="14" t="s">
        <v>24</v>
      </c>
      <c r="R934" s="606" t="s">
        <v>2528</v>
      </c>
      <c r="S934" s="316" t="s">
        <v>2943</v>
      </c>
      <c r="T934" s="858"/>
    </row>
    <row r="935" spans="1:20" ht="20.100000000000001" customHeight="1">
      <c r="A935" s="1274" t="s">
        <v>3663</v>
      </c>
      <c r="B935" s="1215" t="s">
        <v>2601</v>
      </c>
      <c r="C935" s="1215" t="s">
        <v>2600</v>
      </c>
      <c r="D935" s="1015">
        <f>D925+450</f>
        <v>2150</v>
      </c>
      <c r="E935" s="1015">
        <f>E925+450</f>
        <v>2500</v>
      </c>
      <c r="F935" s="1015">
        <f>F925+450</f>
        <v>2500</v>
      </c>
      <c r="G935" s="618" t="s">
        <v>33</v>
      </c>
      <c r="H935" s="56" t="s">
        <v>2535</v>
      </c>
      <c r="I935" s="37" t="s">
        <v>3662</v>
      </c>
      <c r="J935" s="37"/>
      <c r="K935" s="5">
        <v>31</v>
      </c>
      <c r="L935" s="607" t="s">
        <v>653</v>
      </c>
      <c r="M935" s="159">
        <v>43087</v>
      </c>
      <c r="N935" s="159">
        <v>43093</v>
      </c>
      <c r="O935" s="134" t="s">
        <v>1307</v>
      </c>
      <c r="P935" s="61"/>
      <c r="Q935" s="7"/>
      <c r="R935" s="606" t="s">
        <v>2542</v>
      </c>
      <c r="S935" s="316" t="s">
        <v>3333</v>
      </c>
      <c r="T935" s="858"/>
    </row>
    <row r="936" spans="1:20" ht="20.100000000000001" customHeight="1">
      <c r="A936" s="1255" t="s">
        <v>3578</v>
      </c>
      <c r="B936" s="1232" t="s">
        <v>2549</v>
      </c>
      <c r="C936" s="1232" t="s">
        <v>3660</v>
      </c>
      <c r="D936" s="1006">
        <v>1550</v>
      </c>
      <c r="E936" s="1006">
        <v>1800</v>
      </c>
      <c r="F936" s="1006">
        <v>1800</v>
      </c>
      <c r="G936" s="629" t="s">
        <v>19</v>
      </c>
      <c r="H936" s="4" t="s">
        <v>1102</v>
      </c>
      <c r="I936" s="5" t="s">
        <v>17</v>
      </c>
      <c r="J936" s="37"/>
      <c r="K936" s="16" t="s">
        <v>829</v>
      </c>
      <c r="L936" s="607" t="s">
        <v>653</v>
      </c>
      <c r="M936" s="156">
        <v>43084</v>
      </c>
      <c r="N936" s="156">
        <v>43093</v>
      </c>
      <c r="O936" s="153" t="s">
        <v>611</v>
      </c>
      <c r="P936" s="59"/>
      <c r="Q936" s="7"/>
      <c r="R936" s="606" t="s">
        <v>2547</v>
      </c>
      <c r="S936" s="315" t="s">
        <v>3337</v>
      </c>
      <c r="T936" s="904"/>
    </row>
    <row r="937" spans="1:20" ht="20.100000000000001" customHeight="1">
      <c r="A937" s="1255" t="s">
        <v>3578</v>
      </c>
      <c r="B937" s="1232" t="s">
        <v>2549</v>
      </c>
      <c r="C937" s="1232" t="s">
        <v>3660</v>
      </c>
      <c r="D937" s="1015">
        <v>1225</v>
      </c>
      <c r="E937" s="1015">
        <v>1400</v>
      </c>
      <c r="F937" s="1015">
        <v>1400</v>
      </c>
      <c r="G937" s="644" t="s">
        <v>18</v>
      </c>
      <c r="H937" s="4" t="s">
        <v>1102</v>
      </c>
      <c r="I937" s="5" t="s">
        <v>17</v>
      </c>
      <c r="J937" s="37"/>
      <c r="K937" s="16" t="s">
        <v>829</v>
      </c>
      <c r="L937" s="607" t="s">
        <v>653</v>
      </c>
      <c r="M937" s="108">
        <v>43078</v>
      </c>
      <c r="N937" s="108">
        <v>43083</v>
      </c>
      <c r="O937" s="61"/>
      <c r="P937" s="7"/>
      <c r="Q937" s="7"/>
      <c r="R937" s="606" t="s">
        <v>2547</v>
      </c>
      <c r="S937" s="316"/>
      <c r="T937" s="858"/>
    </row>
    <row r="938" spans="1:20" ht="20.100000000000001" customHeight="1">
      <c r="A938" s="1255" t="s">
        <v>3578</v>
      </c>
      <c r="B938" s="1232" t="s">
        <v>2549</v>
      </c>
      <c r="C938" s="1232" t="s">
        <v>3660</v>
      </c>
      <c r="D938" s="1067">
        <v>1550</v>
      </c>
      <c r="E938" s="1067">
        <v>1800</v>
      </c>
      <c r="F938" s="1067">
        <v>1800</v>
      </c>
      <c r="G938" s="629" t="s">
        <v>22</v>
      </c>
      <c r="H938" s="4" t="s">
        <v>1102</v>
      </c>
      <c r="I938" s="5" t="s">
        <v>17</v>
      </c>
      <c r="J938" s="37"/>
      <c r="K938" s="16" t="s">
        <v>829</v>
      </c>
      <c r="L938" s="607" t="s">
        <v>653</v>
      </c>
      <c r="M938" s="108">
        <v>43087</v>
      </c>
      <c r="N938" s="108">
        <v>43094</v>
      </c>
      <c r="O938" s="61" t="s">
        <v>2545</v>
      </c>
      <c r="P938" s="61"/>
      <c r="Q938" s="7"/>
      <c r="R938" s="606" t="s">
        <v>2524</v>
      </c>
      <c r="S938" s="322" t="s">
        <v>1176</v>
      </c>
      <c r="T938" s="858"/>
    </row>
    <row r="939" spans="1:20" ht="20.100000000000001" customHeight="1">
      <c r="A939" s="1255" t="s">
        <v>3578</v>
      </c>
      <c r="B939" s="1232" t="s">
        <v>2549</v>
      </c>
      <c r="C939" s="1232" t="s">
        <v>3660</v>
      </c>
      <c r="D939" s="956">
        <v>1550</v>
      </c>
      <c r="E939" s="956">
        <v>1800</v>
      </c>
      <c r="F939" s="956">
        <v>1800</v>
      </c>
      <c r="G939" s="637" t="s">
        <v>5</v>
      </c>
      <c r="H939" s="168" t="s">
        <v>659</v>
      </c>
      <c r="I939" s="50" t="s">
        <v>17</v>
      </c>
      <c r="J939" s="50"/>
      <c r="K939" s="34" t="s">
        <v>835</v>
      </c>
      <c r="L939" s="607" t="s">
        <v>653</v>
      </c>
      <c r="M939" s="159">
        <v>43087</v>
      </c>
      <c r="N939" s="159">
        <v>43093</v>
      </c>
      <c r="O939" s="61" t="s">
        <v>1771</v>
      </c>
      <c r="P939" s="61"/>
      <c r="Q939" s="7"/>
      <c r="R939" s="606" t="s">
        <v>3579</v>
      </c>
      <c r="S939" s="622"/>
      <c r="T939" s="857"/>
    </row>
    <row r="940" spans="1:20" ht="20.100000000000001" customHeight="1">
      <c r="A940" s="1255" t="s">
        <v>3578</v>
      </c>
      <c r="B940" s="1232" t="s">
        <v>2549</v>
      </c>
      <c r="C940" s="1232" t="s">
        <v>3660</v>
      </c>
      <c r="D940" s="1008">
        <v>1550</v>
      </c>
      <c r="E940" s="1008">
        <v>1800</v>
      </c>
      <c r="F940" s="1008">
        <v>1800</v>
      </c>
      <c r="G940" s="629" t="s">
        <v>51</v>
      </c>
      <c r="H940" s="643" t="s">
        <v>659</v>
      </c>
      <c r="I940" s="50" t="s">
        <v>17</v>
      </c>
      <c r="J940" s="50"/>
      <c r="K940" s="34" t="s">
        <v>835</v>
      </c>
      <c r="L940" s="607" t="s">
        <v>653</v>
      </c>
      <c r="M940" s="611">
        <v>43086</v>
      </c>
      <c r="N940" s="611">
        <v>43100</v>
      </c>
      <c r="O940" s="61" t="s">
        <v>601</v>
      </c>
      <c r="P940" s="52"/>
      <c r="Q940" s="7"/>
      <c r="R940" s="606" t="s">
        <v>3618</v>
      </c>
      <c r="S940" s="315" t="s">
        <v>3290</v>
      </c>
      <c r="T940" s="749" t="s">
        <v>2838</v>
      </c>
    </row>
    <row r="941" spans="1:20" ht="20.100000000000001" customHeight="1">
      <c r="A941" s="1255" t="s">
        <v>3578</v>
      </c>
      <c r="B941" s="1232" t="s">
        <v>2549</v>
      </c>
      <c r="C941" s="1232" t="s">
        <v>3660</v>
      </c>
      <c r="D941" s="1006">
        <v>1550</v>
      </c>
      <c r="E941" s="1006">
        <v>1800</v>
      </c>
      <c r="F941" s="1006">
        <v>1800</v>
      </c>
      <c r="G941" s="637" t="s">
        <v>19</v>
      </c>
      <c r="H941" s="151" t="s">
        <v>659</v>
      </c>
      <c r="I941" s="37" t="s">
        <v>17</v>
      </c>
      <c r="J941" s="37"/>
      <c r="K941" s="34" t="s">
        <v>835</v>
      </c>
      <c r="L941" s="607" t="s">
        <v>653</v>
      </c>
      <c r="M941" s="156">
        <v>43084</v>
      </c>
      <c r="N941" s="156">
        <v>43093</v>
      </c>
      <c r="O941" s="59" t="s">
        <v>611</v>
      </c>
      <c r="P941" s="61"/>
      <c r="Q941" s="7"/>
      <c r="R941" s="606" t="s">
        <v>3596</v>
      </c>
      <c r="S941" s="315" t="s">
        <v>3337</v>
      </c>
      <c r="T941" s="857"/>
    </row>
    <row r="942" spans="1:20" ht="20.100000000000001" customHeight="1">
      <c r="A942" s="1255" t="s">
        <v>3578</v>
      </c>
      <c r="B942" s="1232" t="s">
        <v>2549</v>
      </c>
      <c r="C942" s="1232" t="s">
        <v>3660</v>
      </c>
      <c r="D942" s="1016">
        <v>1150</v>
      </c>
      <c r="E942" s="1016">
        <v>1200</v>
      </c>
      <c r="F942" s="1016">
        <v>1200</v>
      </c>
      <c r="G942" s="631" t="s">
        <v>233</v>
      </c>
      <c r="H942" s="168" t="s">
        <v>659</v>
      </c>
      <c r="I942" s="37" t="s">
        <v>17</v>
      </c>
      <c r="J942" s="37"/>
      <c r="K942" s="34" t="s">
        <v>835</v>
      </c>
      <c r="L942" s="607" t="s">
        <v>653</v>
      </c>
      <c r="M942" s="620">
        <v>43081</v>
      </c>
      <c r="N942" s="620">
        <v>43085</v>
      </c>
      <c r="O942" s="59" t="s">
        <v>601</v>
      </c>
      <c r="P942" s="61"/>
      <c r="Q942" s="7"/>
      <c r="R942" s="606" t="s">
        <v>3617</v>
      </c>
      <c r="S942" s="316" t="s">
        <v>3573</v>
      </c>
      <c r="T942" s="857"/>
    </row>
    <row r="943" spans="1:20" ht="20.100000000000001" customHeight="1">
      <c r="A943" s="1255" t="s">
        <v>3578</v>
      </c>
      <c r="B943" s="1232" t="s">
        <v>2549</v>
      </c>
      <c r="C943" s="1232" t="s">
        <v>3660</v>
      </c>
      <c r="D943" s="1008">
        <v>1125</v>
      </c>
      <c r="E943" s="1008">
        <v>1250</v>
      </c>
      <c r="F943" s="1008">
        <v>1250</v>
      </c>
      <c r="G943" s="227" t="s">
        <v>1689</v>
      </c>
      <c r="H943" s="168" t="s">
        <v>659</v>
      </c>
      <c r="I943" s="50" t="s">
        <v>17</v>
      </c>
      <c r="J943" s="50"/>
      <c r="K943" s="34" t="s">
        <v>835</v>
      </c>
      <c r="L943" s="607" t="s">
        <v>653</v>
      </c>
      <c r="M943" s="156">
        <v>43076</v>
      </c>
      <c r="N943" s="156">
        <v>43083</v>
      </c>
      <c r="O943" s="61" t="s">
        <v>1771</v>
      </c>
      <c r="P943" s="61"/>
      <c r="Q943" s="7"/>
      <c r="R943" s="606" t="s">
        <v>3590</v>
      </c>
      <c r="S943" s="316" t="s">
        <v>2943</v>
      </c>
      <c r="T943" s="857"/>
    </row>
    <row r="944" spans="1:20" ht="20.100000000000001" customHeight="1">
      <c r="A944" s="1255" t="s">
        <v>3578</v>
      </c>
      <c r="B944" s="1232" t="s">
        <v>2549</v>
      </c>
      <c r="C944" s="1232" t="s">
        <v>3660</v>
      </c>
      <c r="D944" s="1008">
        <v>1550</v>
      </c>
      <c r="E944" s="1008">
        <v>1800</v>
      </c>
      <c r="F944" s="1008">
        <v>1800</v>
      </c>
      <c r="G944" s="629" t="s">
        <v>51</v>
      </c>
      <c r="H944" s="641">
        <v>5</v>
      </c>
      <c r="I944" s="37" t="s">
        <v>17</v>
      </c>
      <c r="J944" s="37"/>
      <c r="K944" s="19" t="s">
        <v>829</v>
      </c>
      <c r="L944" s="607" t="s">
        <v>653</v>
      </c>
      <c r="M944" s="611">
        <v>43086</v>
      </c>
      <c r="N944" s="611">
        <v>43100</v>
      </c>
      <c r="O944" s="61" t="s">
        <v>601</v>
      </c>
      <c r="P944" s="52"/>
      <c r="Q944" s="7"/>
      <c r="R944" s="606" t="s">
        <v>2538</v>
      </c>
      <c r="S944" s="315" t="s">
        <v>3290</v>
      </c>
      <c r="T944" s="749" t="s">
        <v>2838</v>
      </c>
    </row>
    <row r="945" spans="1:20" ht="20.100000000000001" customHeight="1">
      <c r="A945" s="1255" t="s">
        <v>3578</v>
      </c>
      <c r="B945" s="1232" t="s">
        <v>2549</v>
      </c>
      <c r="C945" s="1232" t="s">
        <v>3660</v>
      </c>
      <c r="D945" s="956">
        <v>1500</v>
      </c>
      <c r="E945" s="956">
        <v>1750</v>
      </c>
      <c r="F945" s="956">
        <v>1750</v>
      </c>
      <c r="G945" s="634" t="s">
        <v>33</v>
      </c>
      <c r="H945" s="4">
        <v>5</v>
      </c>
      <c r="I945" s="37" t="s">
        <v>17</v>
      </c>
      <c r="J945" s="37"/>
      <c r="K945" s="19" t="s">
        <v>829</v>
      </c>
      <c r="L945" s="607" t="s">
        <v>653</v>
      </c>
      <c r="M945" s="159">
        <v>43087</v>
      </c>
      <c r="N945" s="159">
        <v>43093</v>
      </c>
      <c r="O945" s="61"/>
      <c r="P945" s="61"/>
      <c r="Q945" s="7"/>
      <c r="R945" s="606" t="s">
        <v>2538</v>
      </c>
      <c r="S945" s="316" t="s">
        <v>3333</v>
      </c>
      <c r="T945" s="858"/>
    </row>
    <row r="946" spans="1:20" ht="20.100000000000001" customHeight="1">
      <c r="A946" s="1255" t="s">
        <v>3578</v>
      </c>
      <c r="B946" s="1232" t="s">
        <v>2549</v>
      </c>
      <c r="C946" s="1232" t="s">
        <v>3660</v>
      </c>
      <c r="D946" s="1017">
        <v>1250</v>
      </c>
      <c r="E946" s="1017">
        <v>1400</v>
      </c>
      <c r="F946" s="1017">
        <v>1400</v>
      </c>
      <c r="G946" s="633" t="s">
        <v>13</v>
      </c>
      <c r="H946" s="4">
        <v>5</v>
      </c>
      <c r="I946" s="37" t="s">
        <v>17</v>
      </c>
      <c r="J946" s="37"/>
      <c r="K946" s="19" t="s">
        <v>829</v>
      </c>
      <c r="L946" s="607" t="s">
        <v>653</v>
      </c>
      <c r="M946" s="156">
        <v>43073</v>
      </c>
      <c r="N946" s="156">
        <v>43083</v>
      </c>
      <c r="O946" s="59" t="s">
        <v>601</v>
      </c>
      <c r="P946" s="59"/>
      <c r="Q946" s="7"/>
      <c r="R946" s="606" t="s">
        <v>2536</v>
      </c>
      <c r="S946" s="316" t="s">
        <v>3334</v>
      </c>
      <c r="T946" s="858"/>
    </row>
    <row r="947" spans="1:20" ht="20.100000000000001" customHeight="1">
      <c r="A947" s="1255" t="s">
        <v>3578</v>
      </c>
      <c r="B947" s="1232" t="s">
        <v>2549</v>
      </c>
      <c r="C947" s="1232" t="s">
        <v>3660</v>
      </c>
      <c r="D947" s="1014">
        <v>1500</v>
      </c>
      <c r="E947" s="1014">
        <v>1700</v>
      </c>
      <c r="F947" s="1014">
        <v>1700</v>
      </c>
      <c r="G947" s="633" t="s">
        <v>28</v>
      </c>
      <c r="H947" s="4">
        <v>5</v>
      </c>
      <c r="I947" s="37" t="s">
        <v>17</v>
      </c>
      <c r="J947" s="37"/>
      <c r="K947" s="19" t="s">
        <v>2427</v>
      </c>
      <c r="L947" s="607" t="s">
        <v>653</v>
      </c>
      <c r="M947" s="620">
        <v>43086</v>
      </c>
      <c r="N947" s="620">
        <v>43100</v>
      </c>
      <c r="O947" s="153" t="s">
        <v>601</v>
      </c>
      <c r="P947" s="61"/>
      <c r="Q947" s="7"/>
      <c r="R947" s="610" t="s">
        <v>3649</v>
      </c>
      <c r="S947" s="619"/>
      <c r="T947" s="858"/>
    </row>
    <row r="948" spans="1:20" ht="20.100000000000001" customHeight="1">
      <c r="A948" s="1255" t="s">
        <v>3578</v>
      </c>
      <c r="B948" s="1232" t="s">
        <v>2549</v>
      </c>
      <c r="C948" s="1232" t="s">
        <v>3660</v>
      </c>
      <c r="D948" s="1015">
        <v>1075</v>
      </c>
      <c r="E948" s="1015">
        <v>1250</v>
      </c>
      <c r="F948" s="1015">
        <v>1250</v>
      </c>
      <c r="G948" s="633" t="s">
        <v>29</v>
      </c>
      <c r="H948" s="4">
        <v>5</v>
      </c>
      <c r="I948" s="37" t="s">
        <v>17</v>
      </c>
      <c r="J948" s="37"/>
      <c r="K948" s="19" t="s">
        <v>829</v>
      </c>
      <c r="L948" s="607" t="s">
        <v>653</v>
      </c>
      <c r="M948" s="620">
        <v>43084</v>
      </c>
      <c r="N948" s="620">
        <v>43086</v>
      </c>
      <c r="O948" s="59" t="s">
        <v>601</v>
      </c>
      <c r="P948" s="59"/>
      <c r="Q948" s="7"/>
      <c r="R948" s="606" t="s">
        <v>3562</v>
      </c>
      <c r="S948" s="316" t="s">
        <v>3561</v>
      </c>
      <c r="T948" s="858"/>
    </row>
    <row r="949" spans="1:20" ht="20.100000000000001" customHeight="1">
      <c r="A949" s="1255" t="s">
        <v>3578</v>
      </c>
      <c r="B949" s="1232" t="s">
        <v>2549</v>
      </c>
      <c r="C949" s="1232" t="s">
        <v>3660</v>
      </c>
      <c r="D949" s="956">
        <v>1550</v>
      </c>
      <c r="E949" s="956">
        <v>1800</v>
      </c>
      <c r="F949" s="956">
        <v>1800</v>
      </c>
      <c r="G949" s="637" t="s">
        <v>5</v>
      </c>
      <c r="H949" s="56" t="s">
        <v>681</v>
      </c>
      <c r="I949" s="50" t="s">
        <v>17</v>
      </c>
      <c r="J949" s="50"/>
      <c r="K949" s="34" t="s">
        <v>764</v>
      </c>
      <c r="L949" s="607" t="s">
        <v>653</v>
      </c>
      <c r="M949" s="159">
        <v>43087</v>
      </c>
      <c r="N949" s="159">
        <v>43093</v>
      </c>
      <c r="O949" s="61" t="s">
        <v>1771</v>
      </c>
      <c r="P949" s="61"/>
      <c r="Q949" s="7"/>
      <c r="R949" s="610" t="s">
        <v>3652</v>
      </c>
      <c r="S949" s="619"/>
      <c r="T949" s="857"/>
    </row>
    <row r="950" spans="1:20" ht="20.100000000000001" customHeight="1">
      <c r="A950" s="1255" t="s">
        <v>3578</v>
      </c>
      <c r="B950" s="1232" t="s">
        <v>2549</v>
      </c>
      <c r="C950" s="1232" t="s">
        <v>3660</v>
      </c>
      <c r="D950" s="1008">
        <v>1550</v>
      </c>
      <c r="E950" s="1008">
        <v>1800</v>
      </c>
      <c r="F950" s="1008">
        <v>1800</v>
      </c>
      <c r="G950" s="639" t="s">
        <v>51</v>
      </c>
      <c r="H950" s="56" t="s">
        <v>681</v>
      </c>
      <c r="I950" s="50" t="s">
        <v>17</v>
      </c>
      <c r="J950" s="50"/>
      <c r="K950" s="34" t="s">
        <v>764</v>
      </c>
      <c r="L950" s="607" t="s">
        <v>653</v>
      </c>
      <c r="M950" s="611">
        <v>43086</v>
      </c>
      <c r="N950" s="611">
        <v>43100</v>
      </c>
      <c r="O950" s="61" t="s">
        <v>601</v>
      </c>
      <c r="P950" s="52"/>
      <c r="Q950" s="52"/>
      <c r="R950" s="610" t="s">
        <v>3657</v>
      </c>
      <c r="S950" s="315" t="s">
        <v>3290</v>
      </c>
      <c r="T950" s="749" t="s">
        <v>2838</v>
      </c>
    </row>
    <row r="951" spans="1:20" ht="20.100000000000001" customHeight="1">
      <c r="A951" s="1255" t="s">
        <v>3578</v>
      </c>
      <c r="B951" s="1232" t="s">
        <v>2549</v>
      </c>
      <c r="C951" s="1232" t="s">
        <v>3660</v>
      </c>
      <c r="D951" s="1006">
        <v>1550</v>
      </c>
      <c r="E951" s="1006">
        <v>1800</v>
      </c>
      <c r="F951" s="1006">
        <v>1800</v>
      </c>
      <c r="G951" s="629" t="s">
        <v>19</v>
      </c>
      <c r="H951" s="56" t="s">
        <v>681</v>
      </c>
      <c r="I951" s="50" t="s">
        <v>17</v>
      </c>
      <c r="J951" s="50"/>
      <c r="K951" s="34" t="s">
        <v>764</v>
      </c>
      <c r="L951" s="607" t="s">
        <v>653</v>
      </c>
      <c r="M951" s="156">
        <v>43084</v>
      </c>
      <c r="N951" s="156">
        <v>43093</v>
      </c>
      <c r="O951" s="153" t="s">
        <v>611</v>
      </c>
      <c r="P951" s="61"/>
      <c r="Q951" s="52"/>
      <c r="R951" s="610" t="s">
        <v>3637</v>
      </c>
      <c r="S951" s="315" t="s">
        <v>3337</v>
      </c>
      <c r="T951" s="857"/>
    </row>
    <row r="952" spans="1:20" ht="20.100000000000001" customHeight="1">
      <c r="A952" s="1255" t="s">
        <v>3578</v>
      </c>
      <c r="B952" s="1232" t="s">
        <v>2549</v>
      </c>
      <c r="C952" s="1232" t="s">
        <v>3660</v>
      </c>
      <c r="D952" s="1008">
        <v>1125</v>
      </c>
      <c r="E952" s="1008">
        <v>1250</v>
      </c>
      <c r="F952" s="1008">
        <v>1250</v>
      </c>
      <c r="G952" s="227" t="s">
        <v>1689</v>
      </c>
      <c r="H952" s="56" t="s">
        <v>681</v>
      </c>
      <c r="I952" s="50" t="s">
        <v>17</v>
      </c>
      <c r="J952" s="50"/>
      <c r="K952" s="34" t="s">
        <v>764</v>
      </c>
      <c r="L952" s="607" t="s">
        <v>653</v>
      </c>
      <c r="M952" s="156">
        <v>43076</v>
      </c>
      <c r="N952" s="156">
        <v>43083</v>
      </c>
      <c r="O952" s="61" t="s">
        <v>1771</v>
      </c>
      <c r="P952" s="61"/>
      <c r="Q952" s="52"/>
      <c r="R952" s="606" t="s">
        <v>3634</v>
      </c>
      <c r="S952" s="316" t="s">
        <v>2943</v>
      </c>
      <c r="T952" s="857"/>
    </row>
    <row r="953" spans="1:20" ht="20.100000000000001" customHeight="1">
      <c r="A953" s="1255" t="s">
        <v>3578</v>
      </c>
      <c r="B953" s="1232" t="s">
        <v>2549</v>
      </c>
      <c r="C953" s="1232" t="s">
        <v>3660</v>
      </c>
      <c r="D953" s="1016">
        <v>1150</v>
      </c>
      <c r="E953" s="1016">
        <v>1200</v>
      </c>
      <c r="F953" s="1016">
        <v>1200</v>
      </c>
      <c r="G953" s="640" t="s">
        <v>233</v>
      </c>
      <c r="H953" s="56" t="s">
        <v>681</v>
      </c>
      <c r="I953" s="50" t="s">
        <v>17</v>
      </c>
      <c r="J953" s="50"/>
      <c r="K953" s="34" t="s">
        <v>764</v>
      </c>
      <c r="L953" s="607" t="s">
        <v>653</v>
      </c>
      <c r="M953" s="620">
        <v>43081</v>
      </c>
      <c r="N953" s="620">
        <v>43085</v>
      </c>
      <c r="O953" s="59" t="s">
        <v>601</v>
      </c>
      <c r="P953" s="61"/>
      <c r="Q953" s="52"/>
      <c r="R953" s="606" t="s">
        <v>3656</v>
      </c>
      <c r="S953" s="316" t="s">
        <v>3573</v>
      </c>
      <c r="T953" s="857"/>
    </row>
    <row r="954" spans="1:20" ht="20.100000000000001" customHeight="1">
      <c r="A954" s="1255" t="s">
        <v>3578</v>
      </c>
      <c r="B954" s="1232" t="s">
        <v>2549</v>
      </c>
      <c r="C954" s="1232" t="s">
        <v>3660</v>
      </c>
      <c r="D954" s="1006">
        <v>1125</v>
      </c>
      <c r="E954" s="1006">
        <v>1200</v>
      </c>
      <c r="F954" s="1006">
        <v>1200</v>
      </c>
      <c r="G954" s="633" t="s">
        <v>30</v>
      </c>
      <c r="H954" s="56" t="s">
        <v>681</v>
      </c>
      <c r="I954" s="50" t="s">
        <v>17</v>
      </c>
      <c r="J954" s="50"/>
      <c r="K954" s="34" t="s">
        <v>764</v>
      </c>
      <c r="L954" s="607" t="s">
        <v>653</v>
      </c>
      <c r="M954" s="15">
        <v>43078</v>
      </c>
      <c r="N954" s="159">
        <v>43084</v>
      </c>
      <c r="O954" s="59"/>
      <c r="P954" s="59"/>
      <c r="Q954" s="7"/>
      <c r="R954" s="606" t="s">
        <v>3661</v>
      </c>
      <c r="S954" s="316" t="s">
        <v>3567</v>
      </c>
      <c r="T954" s="626" t="s">
        <v>1018</v>
      </c>
    </row>
    <row r="955" spans="1:20" ht="20.100000000000001" customHeight="1">
      <c r="A955" s="1255" t="s">
        <v>3578</v>
      </c>
      <c r="B955" s="1232" t="s">
        <v>2549</v>
      </c>
      <c r="C955" s="1232" t="s">
        <v>3660</v>
      </c>
      <c r="D955" s="1015">
        <v>1250</v>
      </c>
      <c r="E955" s="1015">
        <v>1500</v>
      </c>
      <c r="F955" s="1015">
        <v>1500</v>
      </c>
      <c r="G955" s="640" t="s">
        <v>31</v>
      </c>
      <c r="H955" s="56" t="s">
        <v>681</v>
      </c>
      <c r="I955" s="50" t="s">
        <v>17</v>
      </c>
      <c r="J955" s="50"/>
      <c r="K955" s="34" t="s">
        <v>764</v>
      </c>
      <c r="L955" s="607" t="s">
        <v>653</v>
      </c>
      <c r="M955" s="623">
        <v>43080</v>
      </c>
      <c r="N955" s="623">
        <v>43083</v>
      </c>
      <c r="O955" s="61" t="s">
        <v>1771</v>
      </c>
      <c r="P955" s="61"/>
      <c r="Q955" s="52"/>
      <c r="R955" s="606" t="s">
        <v>3563</v>
      </c>
      <c r="S955" s="622" t="s">
        <v>1176</v>
      </c>
      <c r="T955" s="857"/>
    </row>
    <row r="956" spans="1:20" ht="20.100000000000001" customHeight="1">
      <c r="A956" s="1255" t="s">
        <v>3578</v>
      </c>
      <c r="B956" s="1232" t="s">
        <v>2549</v>
      </c>
      <c r="C956" s="1232" t="s">
        <v>3660</v>
      </c>
      <c r="D956" s="1008">
        <v>1550</v>
      </c>
      <c r="E956" s="1008">
        <v>1800</v>
      </c>
      <c r="F956" s="1008">
        <v>1800</v>
      </c>
      <c r="G956" s="639" t="s">
        <v>51</v>
      </c>
      <c r="H956" s="4">
        <v>6</v>
      </c>
      <c r="I956" s="37" t="s">
        <v>17</v>
      </c>
      <c r="J956" s="37"/>
      <c r="K956" s="34" t="s">
        <v>968</v>
      </c>
      <c r="L956" s="607" t="s">
        <v>653</v>
      </c>
      <c r="M956" s="611">
        <v>43086</v>
      </c>
      <c r="N956" s="611">
        <v>43100</v>
      </c>
      <c r="O956" s="61" t="s">
        <v>601</v>
      </c>
      <c r="P956" s="52"/>
      <c r="Q956" s="7"/>
      <c r="R956" s="606" t="s">
        <v>3336</v>
      </c>
      <c r="S956" s="315" t="s">
        <v>3290</v>
      </c>
      <c r="T956" s="749" t="s">
        <v>2838</v>
      </c>
    </row>
    <row r="957" spans="1:20" ht="20.100000000000001" customHeight="1">
      <c r="A957" s="1255" t="s">
        <v>3578</v>
      </c>
      <c r="B957" s="1232" t="s">
        <v>2549</v>
      </c>
      <c r="C957" s="1232" t="s">
        <v>3660</v>
      </c>
      <c r="D957" s="956">
        <v>1500</v>
      </c>
      <c r="E957" s="956">
        <v>1750</v>
      </c>
      <c r="F957" s="956">
        <v>1750</v>
      </c>
      <c r="G957" s="634" t="s">
        <v>33</v>
      </c>
      <c r="H957" s="4">
        <v>6</v>
      </c>
      <c r="I957" s="37" t="s">
        <v>17</v>
      </c>
      <c r="J957" s="37"/>
      <c r="K957" s="34" t="s">
        <v>968</v>
      </c>
      <c r="L957" s="607" t="s">
        <v>653</v>
      </c>
      <c r="M957" s="159">
        <v>43087</v>
      </c>
      <c r="N957" s="159">
        <v>43093</v>
      </c>
      <c r="O957" s="61"/>
      <c r="P957" s="61"/>
      <c r="Q957" s="7"/>
      <c r="R957" s="606" t="s">
        <v>3336</v>
      </c>
      <c r="S957" s="316" t="s">
        <v>3333</v>
      </c>
      <c r="T957" s="858"/>
    </row>
    <row r="958" spans="1:20" ht="20.100000000000001" customHeight="1">
      <c r="A958" s="1255" t="s">
        <v>3578</v>
      </c>
      <c r="B958" s="1232" t="s">
        <v>2549</v>
      </c>
      <c r="C958" s="1232" t="s">
        <v>3660</v>
      </c>
      <c r="D958" s="1017">
        <v>1250</v>
      </c>
      <c r="E958" s="1017">
        <v>1400</v>
      </c>
      <c r="F958" s="1017">
        <v>1400</v>
      </c>
      <c r="G958" s="633" t="s">
        <v>13</v>
      </c>
      <c r="H958" s="4">
        <v>6</v>
      </c>
      <c r="I958" s="37" t="s">
        <v>17</v>
      </c>
      <c r="J958" s="37"/>
      <c r="K958" s="34" t="s">
        <v>968</v>
      </c>
      <c r="L958" s="607" t="s">
        <v>653</v>
      </c>
      <c r="M958" s="156">
        <v>43073</v>
      </c>
      <c r="N958" s="156">
        <v>43083</v>
      </c>
      <c r="O958" s="59" t="s">
        <v>601</v>
      </c>
      <c r="P958" s="59"/>
      <c r="Q958" s="7"/>
      <c r="R958" s="606" t="s">
        <v>3336</v>
      </c>
      <c r="S958" s="316" t="s">
        <v>3334</v>
      </c>
      <c r="T958" s="858"/>
    </row>
    <row r="959" spans="1:20" ht="20.100000000000001" customHeight="1">
      <c r="A959" s="1255" t="s">
        <v>3578</v>
      </c>
      <c r="B959" s="1232" t="s">
        <v>2549</v>
      </c>
      <c r="C959" s="1232" t="s">
        <v>3660</v>
      </c>
      <c r="D959" s="1014">
        <v>1500</v>
      </c>
      <c r="E959" s="1014">
        <v>1700</v>
      </c>
      <c r="F959" s="1014">
        <v>1700</v>
      </c>
      <c r="G959" s="633" t="s">
        <v>28</v>
      </c>
      <c r="H959" s="4">
        <v>6</v>
      </c>
      <c r="I959" s="37" t="s">
        <v>17</v>
      </c>
      <c r="J959" s="37"/>
      <c r="K959" s="34" t="s">
        <v>968</v>
      </c>
      <c r="L959" s="607" t="s">
        <v>653</v>
      </c>
      <c r="M959" s="620">
        <v>43086</v>
      </c>
      <c r="N959" s="620">
        <v>43100</v>
      </c>
      <c r="O959" s="153" t="s">
        <v>601</v>
      </c>
      <c r="P959" s="59"/>
      <c r="Q959" s="7"/>
      <c r="R959" s="610" t="s">
        <v>3616</v>
      </c>
      <c r="S959" s="619"/>
      <c r="T959" s="858"/>
    </row>
    <row r="960" spans="1:20" ht="20.100000000000001" customHeight="1">
      <c r="A960" s="1255" t="s">
        <v>3578</v>
      </c>
      <c r="B960" s="1232" t="s">
        <v>2549</v>
      </c>
      <c r="C960" s="1232" t="s">
        <v>3660</v>
      </c>
      <c r="D960" s="1015">
        <v>1075</v>
      </c>
      <c r="E960" s="1015">
        <v>1250</v>
      </c>
      <c r="F960" s="1015">
        <v>1250</v>
      </c>
      <c r="G960" s="633" t="s">
        <v>29</v>
      </c>
      <c r="H960" s="4">
        <v>6</v>
      </c>
      <c r="I960" s="37" t="s">
        <v>17</v>
      </c>
      <c r="J960" s="37"/>
      <c r="K960" s="34" t="s">
        <v>968</v>
      </c>
      <c r="L960" s="607" t="s">
        <v>653</v>
      </c>
      <c r="M960" s="620">
        <v>43084</v>
      </c>
      <c r="N960" s="620">
        <v>43086</v>
      </c>
      <c r="O960" s="59" t="s">
        <v>601</v>
      </c>
      <c r="P960" s="59"/>
      <c r="Q960" s="7"/>
      <c r="R960" s="606" t="s">
        <v>3336</v>
      </c>
      <c r="S960" s="316" t="s">
        <v>3561</v>
      </c>
      <c r="T960" s="858"/>
    </row>
    <row r="961" spans="1:20" ht="20.100000000000001" customHeight="1">
      <c r="A961" s="1255" t="s">
        <v>3578</v>
      </c>
      <c r="B961" s="1232" t="s">
        <v>2549</v>
      </c>
      <c r="C961" s="1232" t="s">
        <v>3660</v>
      </c>
      <c r="D961" s="1008">
        <v>1125</v>
      </c>
      <c r="E961" s="1008">
        <v>1250</v>
      </c>
      <c r="F961" s="1008">
        <v>1250</v>
      </c>
      <c r="G961" s="227" t="s">
        <v>1689</v>
      </c>
      <c r="H961" s="4" t="s">
        <v>1233</v>
      </c>
      <c r="I961" s="50" t="s">
        <v>17</v>
      </c>
      <c r="J961" s="37"/>
      <c r="K961" s="34" t="s">
        <v>985</v>
      </c>
      <c r="L961" s="607" t="s">
        <v>653</v>
      </c>
      <c r="M961" s="156">
        <v>43076</v>
      </c>
      <c r="N961" s="156">
        <v>43083</v>
      </c>
      <c r="O961" s="61" t="s">
        <v>1771</v>
      </c>
      <c r="P961" s="59"/>
      <c r="Q961" s="52"/>
      <c r="R961" s="606" t="s">
        <v>3607</v>
      </c>
      <c r="S961" s="316" t="s">
        <v>2943</v>
      </c>
      <c r="T961" s="858"/>
    </row>
    <row r="962" spans="1:20" ht="20.100000000000001" customHeight="1">
      <c r="A962" s="931" t="s">
        <v>3578</v>
      </c>
      <c r="B962" s="910" t="s">
        <v>2549</v>
      </c>
      <c r="C962" s="910" t="s">
        <v>2551</v>
      </c>
      <c r="D962" s="1014">
        <f>D939+1277+25</f>
        <v>2852</v>
      </c>
      <c r="E962" s="1014">
        <f>E939+1716+50</f>
        <v>3566</v>
      </c>
      <c r="F962" s="1014">
        <f>F939+1716+50</f>
        <v>3566</v>
      </c>
      <c r="G962" s="216" t="s">
        <v>5</v>
      </c>
      <c r="H962" s="168" t="s">
        <v>1311</v>
      </c>
      <c r="I962" s="37" t="s">
        <v>3636</v>
      </c>
      <c r="J962" s="37"/>
      <c r="K962" s="34" t="s">
        <v>722</v>
      </c>
      <c r="L962" s="607" t="s">
        <v>653</v>
      </c>
      <c r="M962" s="159">
        <v>43087</v>
      </c>
      <c r="N962" s="159">
        <v>43093</v>
      </c>
      <c r="O962" s="61" t="s">
        <v>1771</v>
      </c>
      <c r="P962" s="61"/>
      <c r="Q962" s="72" t="s">
        <v>3343</v>
      </c>
      <c r="R962" s="606" t="s">
        <v>3659</v>
      </c>
      <c r="S962" s="322"/>
      <c r="T962" s="904"/>
    </row>
    <row r="963" spans="1:20" ht="20.100000000000001" customHeight="1">
      <c r="A963" s="1255" t="s">
        <v>3578</v>
      </c>
      <c r="B963" s="1232" t="s">
        <v>2549</v>
      </c>
      <c r="C963" s="1232" t="s">
        <v>2550</v>
      </c>
      <c r="D963" s="1014">
        <f>D939+580+25</f>
        <v>2155</v>
      </c>
      <c r="E963" s="1014">
        <f>E939+677+50</f>
        <v>2527</v>
      </c>
      <c r="F963" s="1014">
        <f>F939+677+50</f>
        <v>2527</v>
      </c>
      <c r="G963" s="216" t="s">
        <v>5</v>
      </c>
      <c r="H963" s="168" t="s">
        <v>1311</v>
      </c>
      <c r="I963" s="37" t="s">
        <v>3636</v>
      </c>
      <c r="J963" s="37"/>
      <c r="K963" s="34" t="s">
        <v>722</v>
      </c>
      <c r="L963" s="607" t="s">
        <v>653</v>
      </c>
      <c r="M963" s="159">
        <v>43087</v>
      </c>
      <c r="N963" s="159">
        <v>43093</v>
      </c>
      <c r="O963" s="61" t="s">
        <v>1771</v>
      </c>
      <c r="P963" s="61"/>
      <c r="Q963" s="72" t="s">
        <v>3343</v>
      </c>
      <c r="R963" s="606" t="s">
        <v>3659</v>
      </c>
      <c r="S963" s="322"/>
      <c r="T963" s="904"/>
    </row>
    <row r="964" spans="1:20" ht="20.100000000000001" customHeight="1">
      <c r="A964" s="1255" t="s">
        <v>3578</v>
      </c>
      <c r="B964" s="1232" t="s">
        <v>2549</v>
      </c>
      <c r="C964" s="1232" t="s">
        <v>2550</v>
      </c>
      <c r="D964" s="1008">
        <f>D955+391</f>
        <v>1641</v>
      </c>
      <c r="E964" s="1008">
        <f>E955+587</f>
        <v>2087</v>
      </c>
      <c r="F964" s="1008">
        <f>F955+587</f>
        <v>2087</v>
      </c>
      <c r="G964" s="618" t="s">
        <v>31</v>
      </c>
      <c r="H964" s="56" t="s">
        <v>681</v>
      </c>
      <c r="I964" s="37" t="s">
        <v>3636</v>
      </c>
      <c r="J964" s="37"/>
      <c r="K964" s="16">
        <v>32</v>
      </c>
      <c r="L964" s="607" t="s">
        <v>653</v>
      </c>
      <c r="M964" s="623">
        <v>43080</v>
      </c>
      <c r="N964" s="623">
        <v>43083</v>
      </c>
      <c r="O964" s="61" t="s">
        <v>1771</v>
      </c>
      <c r="P964" s="61"/>
      <c r="Q964" s="52"/>
      <c r="R964" s="606" t="s">
        <v>3563</v>
      </c>
      <c r="S964" s="622" t="s">
        <v>1176</v>
      </c>
      <c r="T964" s="921"/>
    </row>
    <row r="965" spans="1:20" ht="20.100000000000001" customHeight="1">
      <c r="A965" s="1255" t="s">
        <v>3578</v>
      </c>
      <c r="B965" s="1232" t="s">
        <v>2549</v>
      </c>
      <c r="C965" s="1232" t="s">
        <v>3658</v>
      </c>
      <c r="D965" s="1008">
        <f>D939+1277+25</f>
        <v>2852</v>
      </c>
      <c r="E965" s="1008">
        <f>E939+1647+50</f>
        <v>3497</v>
      </c>
      <c r="F965" s="1008">
        <f>F939+1647+50</f>
        <v>3497</v>
      </c>
      <c r="G965" s="216" t="s">
        <v>5</v>
      </c>
      <c r="H965" s="168" t="s">
        <v>1311</v>
      </c>
      <c r="I965" s="37" t="s">
        <v>3636</v>
      </c>
      <c r="J965" s="37"/>
      <c r="K965" s="34" t="s">
        <v>722</v>
      </c>
      <c r="L965" s="607" t="s">
        <v>653</v>
      </c>
      <c r="M965" s="159">
        <v>43087</v>
      </c>
      <c r="N965" s="159">
        <v>43093</v>
      </c>
      <c r="O965" s="61" t="s">
        <v>1771</v>
      </c>
      <c r="P965" s="61"/>
      <c r="Q965" s="72" t="s">
        <v>3343</v>
      </c>
      <c r="R965" s="606" t="s">
        <v>3659</v>
      </c>
      <c r="S965" s="622"/>
      <c r="T965" s="921"/>
    </row>
    <row r="966" spans="1:20" ht="20.100000000000001" customHeight="1">
      <c r="A966" s="1255" t="s">
        <v>3578</v>
      </c>
      <c r="B966" s="1232" t="s">
        <v>2549</v>
      </c>
      <c r="C966" s="1232" t="s">
        <v>3658</v>
      </c>
      <c r="D966" s="1008">
        <f>D955+1796</f>
        <v>3046</v>
      </c>
      <c r="E966" s="1008">
        <f>E955+2701</f>
        <v>4201</v>
      </c>
      <c r="F966" s="1008">
        <f>F955+2701</f>
        <v>4201</v>
      </c>
      <c r="G966" s="618" t="s">
        <v>31</v>
      </c>
      <c r="H966" s="56" t="s">
        <v>681</v>
      </c>
      <c r="I966" s="37" t="s">
        <v>3636</v>
      </c>
      <c r="J966" s="37"/>
      <c r="K966" s="16">
        <v>34</v>
      </c>
      <c r="L966" s="607" t="s">
        <v>653</v>
      </c>
      <c r="M966" s="623">
        <v>43080</v>
      </c>
      <c r="N966" s="623">
        <v>43083</v>
      </c>
      <c r="O966" s="61" t="s">
        <v>1771</v>
      </c>
      <c r="P966" s="61"/>
      <c r="Q966" s="52"/>
      <c r="R966" s="606" t="s">
        <v>3563</v>
      </c>
      <c r="S966" s="622" t="s">
        <v>1176</v>
      </c>
      <c r="T966" s="921"/>
    </row>
    <row r="967" spans="1:20" ht="20.100000000000001" customHeight="1">
      <c r="A967" s="1255" t="s">
        <v>3578</v>
      </c>
      <c r="B967" s="1232" t="s">
        <v>3651</v>
      </c>
      <c r="C967" s="1232" t="s">
        <v>3655</v>
      </c>
      <c r="D967" s="1015">
        <v>1200</v>
      </c>
      <c r="E967" s="1015">
        <v>1375</v>
      </c>
      <c r="F967" s="1015">
        <v>1375</v>
      </c>
      <c r="G967" s="636" t="s">
        <v>18</v>
      </c>
      <c r="H967" s="56" t="s">
        <v>1102</v>
      </c>
      <c r="I967" s="37" t="s">
        <v>2548</v>
      </c>
      <c r="J967" s="37"/>
      <c r="K967" s="16" t="s">
        <v>975</v>
      </c>
      <c r="L967" s="607" t="s">
        <v>653</v>
      </c>
      <c r="M967" s="108">
        <v>43078</v>
      </c>
      <c r="N967" s="108">
        <v>43083</v>
      </c>
      <c r="O967" s="59"/>
      <c r="P967" s="61"/>
      <c r="Q967" s="7"/>
      <c r="R967" s="606" t="s">
        <v>2547</v>
      </c>
      <c r="S967" s="622"/>
      <c r="T967" s="921"/>
    </row>
    <row r="968" spans="1:20" ht="20.100000000000001" customHeight="1">
      <c r="A968" s="1255" t="s">
        <v>3578</v>
      </c>
      <c r="B968" s="1232" t="s">
        <v>3651</v>
      </c>
      <c r="C968" s="1232" t="s">
        <v>3655</v>
      </c>
      <c r="D968" s="1067">
        <v>1650</v>
      </c>
      <c r="E968" s="1067">
        <v>2000</v>
      </c>
      <c r="F968" s="1067">
        <v>2000</v>
      </c>
      <c r="G968" s="629" t="s">
        <v>22</v>
      </c>
      <c r="H968" s="4">
        <v>4</v>
      </c>
      <c r="I968" s="37" t="s">
        <v>3577</v>
      </c>
      <c r="J968" s="37"/>
      <c r="K968" s="16" t="s">
        <v>722</v>
      </c>
      <c r="L968" s="607" t="s">
        <v>653</v>
      </c>
      <c r="M968" s="108">
        <v>43087</v>
      </c>
      <c r="N968" s="108">
        <v>43094</v>
      </c>
      <c r="O968" s="61" t="s">
        <v>2545</v>
      </c>
      <c r="P968" s="7"/>
      <c r="Q968" s="7"/>
      <c r="R968" s="606" t="s">
        <v>3593</v>
      </c>
      <c r="S968" s="322" t="s">
        <v>1176</v>
      </c>
      <c r="T968" s="859"/>
    </row>
    <row r="969" spans="1:20" ht="20.100000000000001" customHeight="1">
      <c r="A969" s="1255" t="s">
        <v>3578</v>
      </c>
      <c r="B969" s="1232" t="s">
        <v>3651</v>
      </c>
      <c r="C969" s="1232" t="s">
        <v>3655</v>
      </c>
      <c r="D969" s="1006">
        <v>1125</v>
      </c>
      <c r="E969" s="1006">
        <v>1200</v>
      </c>
      <c r="F969" s="1006">
        <v>1200</v>
      </c>
      <c r="G969" s="633" t="s">
        <v>30</v>
      </c>
      <c r="H969" s="4">
        <v>4</v>
      </c>
      <c r="I969" s="37" t="s">
        <v>3577</v>
      </c>
      <c r="J969" s="37"/>
      <c r="K969" s="16">
        <v>36</v>
      </c>
      <c r="L969" s="607" t="s">
        <v>653</v>
      </c>
      <c r="M969" s="15">
        <v>43078</v>
      </c>
      <c r="N969" s="159">
        <v>43084</v>
      </c>
      <c r="O969" s="134"/>
      <c r="P969" s="61"/>
      <c r="Q969" s="7"/>
      <c r="R969" s="606" t="s">
        <v>3568</v>
      </c>
      <c r="S969" s="316" t="s">
        <v>3567</v>
      </c>
      <c r="T969" s="626" t="s">
        <v>1018</v>
      </c>
    </row>
    <row r="970" spans="1:20" ht="20.100000000000001" customHeight="1">
      <c r="A970" s="1255" t="s">
        <v>3578</v>
      </c>
      <c r="B970" s="1232" t="s">
        <v>3651</v>
      </c>
      <c r="C970" s="1232" t="s">
        <v>3655</v>
      </c>
      <c r="D970" s="1008">
        <v>1550</v>
      </c>
      <c r="E970" s="1008">
        <v>1800</v>
      </c>
      <c r="F970" s="1008">
        <v>1800</v>
      </c>
      <c r="G970" s="629" t="s">
        <v>51</v>
      </c>
      <c r="H970" s="4">
        <v>5</v>
      </c>
      <c r="I970" s="37" t="s">
        <v>17</v>
      </c>
      <c r="J970" s="37"/>
      <c r="K970" s="34" t="s">
        <v>970</v>
      </c>
      <c r="L970" s="607" t="s">
        <v>653</v>
      </c>
      <c r="M970" s="611">
        <v>43086</v>
      </c>
      <c r="N970" s="611">
        <v>43100</v>
      </c>
      <c r="O970" s="61" t="s">
        <v>601</v>
      </c>
      <c r="P970" s="52"/>
      <c r="Q970" s="7"/>
      <c r="R970" s="606" t="s">
        <v>2538</v>
      </c>
      <c r="S970" s="315" t="s">
        <v>3290</v>
      </c>
      <c r="T970" s="749" t="s">
        <v>3611</v>
      </c>
    </row>
    <row r="971" spans="1:20" ht="20.100000000000001" customHeight="1">
      <c r="A971" s="1255" t="s">
        <v>3578</v>
      </c>
      <c r="B971" s="1232" t="s">
        <v>3651</v>
      </c>
      <c r="C971" s="1232" t="s">
        <v>3655</v>
      </c>
      <c r="D971" s="956">
        <v>1500</v>
      </c>
      <c r="E971" s="956">
        <v>1750</v>
      </c>
      <c r="F971" s="956">
        <v>1750</v>
      </c>
      <c r="G971" s="642" t="s">
        <v>33</v>
      </c>
      <c r="H971" s="4">
        <v>5</v>
      </c>
      <c r="I971" s="37" t="s">
        <v>17</v>
      </c>
      <c r="J971" s="37"/>
      <c r="K971" s="34" t="s">
        <v>970</v>
      </c>
      <c r="L971" s="607" t="s">
        <v>653</v>
      </c>
      <c r="M971" s="159">
        <v>43087</v>
      </c>
      <c r="N971" s="159">
        <v>43093</v>
      </c>
      <c r="O971" s="61"/>
      <c r="P971" s="61"/>
      <c r="Q971" s="7"/>
      <c r="R971" s="606" t="s">
        <v>2538</v>
      </c>
      <c r="S971" s="316" t="s">
        <v>3333</v>
      </c>
      <c r="T971" s="858"/>
    </row>
    <row r="972" spans="1:20" ht="20.100000000000001" customHeight="1">
      <c r="A972" s="1255" t="s">
        <v>3578</v>
      </c>
      <c r="B972" s="1232" t="s">
        <v>3651</v>
      </c>
      <c r="C972" s="1232" t="s">
        <v>3655</v>
      </c>
      <c r="D972" s="1017">
        <v>1250</v>
      </c>
      <c r="E972" s="1017">
        <v>1400</v>
      </c>
      <c r="F972" s="1017">
        <v>1400</v>
      </c>
      <c r="G972" s="633" t="s">
        <v>13</v>
      </c>
      <c r="H972" s="4">
        <v>5</v>
      </c>
      <c r="I972" s="37" t="s">
        <v>17</v>
      </c>
      <c r="J972" s="37"/>
      <c r="K972" s="34" t="s">
        <v>970</v>
      </c>
      <c r="L972" s="607" t="s">
        <v>653</v>
      </c>
      <c r="M972" s="156">
        <v>43073</v>
      </c>
      <c r="N972" s="156">
        <v>43083</v>
      </c>
      <c r="O972" s="59" t="s">
        <v>601</v>
      </c>
      <c r="P972" s="59"/>
      <c r="Q972" s="7"/>
      <c r="R972" s="606" t="s">
        <v>2536</v>
      </c>
      <c r="S972" s="316" t="s">
        <v>3334</v>
      </c>
      <c r="T972" s="858"/>
    </row>
    <row r="973" spans="1:20" ht="20.100000000000001" customHeight="1">
      <c r="A973" s="1255" t="s">
        <v>3578</v>
      </c>
      <c r="B973" s="1232" t="s">
        <v>3651</v>
      </c>
      <c r="C973" s="1232" t="s">
        <v>3655</v>
      </c>
      <c r="D973" s="1014">
        <v>1500</v>
      </c>
      <c r="E973" s="1014">
        <v>1700</v>
      </c>
      <c r="F973" s="1014">
        <v>1700</v>
      </c>
      <c r="G973" s="633" t="s">
        <v>28</v>
      </c>
      <c r="H973" s="4">
        <v>5</v>
      </c>
      <c r="I973" s="37" t="s">
        <v>17</v>
      </c>
      <c r="J973" s="37"/>
      <c r="K973" s="34" t="s">
        <v>970</v>
      </c>
      <c r="L973" s="607" t="s">
        <v>653</v>
      </c>
      <c r="M973" s="620">
        <v>43086</v>
      </c>
      <c r="N973" s="620">
        <v>43100</v>
      </c>
      <c r="O973" s="153" t="s">
        <v>601</v>
      </c>
      <c r="P973" s="61"/>
      <c r="Q973" s="7"/>
      <c r="R973" s="610" t="s">
        <v>3649</v>
      </c>
      <c r="S973" s="619"/>
      <c r="T973" s="858"/>
    </row>
    <row r="974" spans="1:20" ht="20.100000000000001" customHeight="1">
      <c r="A974" s="1255" t="s">
        <v>3578</v>
      </c>
      <c r="B974" s="1232" t="s">
        <v>3651</v>
      </c>
      <c r="C974" s="1232" t="s">
        <v>3655</v>
      </c>
      <c r="D974" s="1015">
        <v>1075</v>
      </c>
      <c r="E974" s="1015">
        <v>1250</v>
      </c>
      <c r="F974" s="1015">
        <v>1250</v>
      </c>
      <c r="G974" s="633" t="s">
        <v>29</v>
      </c>
      <c r="H974" s="4">
        <v>5</v>
      </c>
      <c r="I974" s="37" t="s">
        <v>17</v>
      </c>
      <c r="J974" s="37"/>
      <c r="K974" s="34" t="s">
        <v>970</v>
      </c>
      <c r="L974" s="607" t="s">
        <v>653</v>
      </c>
      <c r="M974" s="620">
        <v>43084</v>
      </c>
      <c r="N974" s="620">
        <v>43086</v>
      </c>
      <c r="O974" s="59" t="s">
        <v>601</v>
      </c>
      <c r="P974" s="59"/>
      <c r="Q974" s="7"/>
      <c r="R974" s="606" t="s">
        <v>3562</v>
      </c>
      <c r="S974" s="316" t="s">
        <v>3561</v>
      </c>
      <c r="T974" s="858"/>
    </row>
    <row r="975" spans="1:20" ht="20.100000000000001" customHeight="1">
      <c r="A975" s="1255" t="s">
        <v>3578</v>
      </c>
      <c r="B975" s="1232" t="s">
        <v>3651</v>
      </c>
      <c r="C975" s="1232" t="s">
        <v>3655</v>
      </c>
      <c r="D975" s="956">
        <v>1550</v>
      </c>
      <c r="E975" s="956">
        <v>1800</v>
      </c>
      <c r="F975" s="956">
        <v>1800</v>
      </c>
      <c r="G975" s="629" t="s">
        <v>5</v>
      </c>
      <c r="H975" s="56" t="s">
        <v>681</v>
      </c>
      <c r="I975" s="50" t="s">
        <v>17</v>
      </c>
      <c r="J975" s="50"/>
      <c r="K975" s="34" t="s">
        <v>970</v>
      </c>
      <c r="L975" s="607" t="s">
        <v>653</v>
      </c>
      <c r="M975" s="159">
        <v>43087</v>
      </c>
      <c r="N975" s="159">
        <v>43093</v>
      </c>
      <c r="O975" s="61" t="s">
        <v>1771</v>
      </c>
      <c r="P975" s="61"/>
      <c r="Q975" s="7"/>
      <c r="R975" s="610" t="s">
        <v>3652</v>
      </c>
      <c r="S975" s="619"/>
      <c r="T975" s="857"/>
    </row>
    <row r="976" spans="1:20" ht="20.100000000000001" customHeight="1">
      <c r="A976" s="1255" t="s">
        <v>3578</v>
      </c>
      <c r="B976" s="1232" t="s">
        <v>3651</v>
      </c>
      <c r="C976" s="1232" t="s">
        <v>3655</v>
      </c>
      <c r="D976" s="1008">
        <v>1550</v>
      </c>
      <c r="E976" s="1008">
        <v>1800</v>
      </c>
      <c r="F976" s="1008">
        <v>1800</v>
      </c>
      <c r="G976" s="629" t="s">
        <v>51</v>
      </c>
      <c r="H976" s="56" t="s">
        <v>681</v>
      </c>
      <c r="I976" s="50" t="s">
        <v>17</v>
      </c>
      <c r="J976" s="50"/>
      <c r="K976" s="34" t="s">
        <v>970</v>
      </c>
      <c r="L976" s="607" t="s">
        <v>653</v>
      </c>
      <c r="M976" s="611">
        <v>43086</v>
      </c>
      <c r="N976" s="611">
        <v>43100</v>
      </c>
      <c r="O976" s="61" t="s">
        <v>601</v>
      </c>
      <c r="P976" s="52"/>
      <c r="Q976" s="52"/>
      <c r="R976" s="610" t="s">
        <v>3657</v>
      </c>
      <c r="S976" s="315" t="s">
        <v>3290</v>
      </c>
      <c r="T976" s="749" t="s">
        <v>3611</v>
      </c>
    </row>
    <row r="977" spans="1:20" ht="20.100000000000001" customHeight="1">
      <c r="A977" s="1255" t="s">
        <v>3578</v>
      </c>
      <c r="B977" s="1232" t="s">
        <v>3651</v>
      </c>
      <c r="C977" s="1232" t="s">
        <v>3655</v>
      </c>
      <c r="D977" s="1006">
        <v>1550</v>
      </c>
      <c r="E977" s="1006">
        <v>1800</v>
      </c>
      <c r="F977" s="1006">
        <v>1800</v>
      </c>
      <c r="G977" s="215" t="s">
        <v>19</v>
      </c>
      <c r="H977" s="56" t="s">
        <v>681</v>
      </c>
      <c r="I977" s="37" t="s">
        <v>17</v>
      </c>
      <c r="J977" s="37"/>
      <c r="K977" s="34" t="s">
        <v>970</v>
      </c>
      <c r="L977" s="607" t="s">
        <v>653</v>
      </c>
      <c r="M977" s="156">
        <v>43084</v>
      </c>
      <c r="N977" s="156">
        <v>43093</v>
      </c>
      <c r="O977" s="153" t="s">
        <v>611</v>
      </c>
      <c r="P977" s="61"/>
      <c r="Q977" s="52"/>
      <c r="R977" s="606" t="s">
        <v>3637</v>
      </c>
      <c r="S977" s="315" t="s">
        <v>3337</v>
      </c>
      <c r="T977" s="857"/>
    </row>
    <row r="978" spans="1:20" ht="20.100000000000001" customHeight="1">
      <c r="A978" s="1255" t="s">
        <v>3578</v>
      </c>
      <c r="B978" s="1232" t="s">
        <v>3651</v>
      </c>
      <c r="C978" s="1232" t="s">
        <v>3655</v>
      </c>
      <c r="D978" s="1008">
        <v>1125</v>
      </c>
      <c r="E978" s="1008">
        <v>1250</v>
      </c>
      <c r="F978" s="1008">
        <v>1250</v>
      </c>
      <c r="G978" s="227" t="s">
        <v>1689</v>
      </c>
      <c r="H978" s="56" t="s">
        <v>681</v>
      </c>
      <c r="I978" s="50" t="s">
        <v>17</v>
      </c>
      <c r="J978" s="50"/>
      <c r="K978" s="34" t="s">
        <v>970</v>
      </c>
      <c r="L978" s="607" t="s">
        <v>653</v>
      </c>
      <c r="M978" s="156">
        <v>43076</v>
      </c>
      <c r="N978" s="156">
        <v>43083</v>
      </c>
      <c r="O978" s="61" t="s">
        <v>1771</v>
      </c>
      <c r="P978" s="61"/>
      <c r="Q978" s="52"/>
      <c r="R978" s="606" t="s">
        <v>3634</v>
      </c>
      <c r="S978" s="316" t="s">
        <v>2943</v>
      </c>
      <c r="T978" s="857"/>
    </row>
    <row r="979" spans="1:20" ht="20.100000000000001" customHeight="1">
      <c r="A979" s="1255" t="s">
        <v>3578</v>
      </c>
      <c r="B979" s="1232" t="s">
        <v>3651</v>
      </c>
      <c r="C979" s="1232" t="s">
        <v>3655</v>
      </c>
      <c r="D979" s="1016">
        <v>1150</v>
      </c>
      <c r="E979" s="1016">
        <v>1200</v>
      </c>
      <c r="F979" s="1016">
        <v>1200</v>
      </c>
      <c r="G979" s="640" t="s">
        <v>233</v>
      </c>
      <c r="H979" s="56" t="s">
        <v>681</v>
      </c>
      <c r="I979" s="50" t="s">
        <v>17</v>
      </c>
      <c r="J979" s="50"/>
      <c r="K979" s="34" t="s">
        <v>970</v>
      </c>
      <c r="L979" s="607" t="s">
        <v>653</v>
      </c>
      <c r="M979" s="620">
        <v>43081</v>
      </c>
      <c r="N979" s="620">
        <v>43085</v>
      </c>
      <c r="O979" s="59" t="s">
        <v>601</v>
      </c>
      <c r="P979" s="61"/>
      <c r="Q979" s="52"/>
      <c r="R979" s="606" t="s">
        <v>3656</v>
      </c>
      <c r="S979" s="316" t="s">
        <v>3573</v>
      </c>
      <c r="T979" s="857"/>
    </row>
    <row r="980" spans="1:20" ht="20.100000000000001" customHeight="1">
      <c r="A980" s="1255" t="s">
        <v>3578</v>
      </c>
      <c r="B980" s="1232" t="s">
        <v>3651</v>
      </c>
      <c r="C980" s="1232" t="s">
        <v>3655</v>
      </c>
      <c r="D980" s="1015">
        <v>1250</v>
      </c>
      <c r="E980" s="1015">
        <v>1500</v>
      </c>
      <c r="F980" s="1015">
        <v>1500</v>
      </c>
      <c r="G980" s="636" t="s">
        <v>31</v>
      </c>
      <c r="H980" s="56" t="s">
        <v>681</v>
      </c>
      <c r="I980" s="50" t="s">
        <v>17</v>
      </c>
      <c r="J980" s="50"/>
      <c r="K980" s="34" t="s">
        <v>970</v>
      </c>
      <c r="L980" s="607" t="s">
        <v>653</v>
      </c>
      <c r="M980" s="623">
        <v>43080</v>
      </c>
      <c r="N980" s="623">
        <v>43083</v>
      </c>
      <c r="O980" s="61"/>
      <c r="P980" s="61"/>
      <c r="Q980" s="52"/>
      <c r="R980" s="606" t="s">
        <v>3563</v>
      </c>
      <c r="S980" s="622" t="s">
        <v>1176</v>
      </c>
      <c r="T980" s="857"/>
    </row>
    <row r="981" spans="1:20" ht="20.100000000000001" customHeight="1">
      <c r="A981" s="1255" t="s">
        <v>3578</v>
      </c>
      <c r="B981" s="1232" t="s">
        <v>3651</v>
      </c>
      <c r="C981" s="1232" t="s">
        <v>3654</v>
      </c>
      <c r="D981" s="1015">
        <v>1400</v>
      </c>
      <c r="E981" s="1015">
        <v>1675</v>
      </c>
      <c r="F981" s="1015">
        <v>1675</v>
      </c>
      <c r="G981" s="636" t="s">
        <v>18</v>
      </c>
      <c r="H981" s="56" t="s">
        <v>1102</v>
      </c>
      <c r="I981" s="37" t="s">
        <v>2548</v>
      </c>
      <c r="J981" s="37"/>
      <c r="K981" s="16" t="s">
        <v>687</v>
      </c>
      <c r="L981" s="607" t="s">
        <v>653</v>
      </c>
      <c r="M981" s="108">
        <v>43078</v>
      </c>
      <c r="N981" s="108">
        <v>43083</v>
      </c>
      <c r="O981" s="59"/>
      <c r="P981" s="61"/>
      <c r="Q981" s="7"/>
      <c r="R981" s="606" t="s">
        <v>2547</v>
      </c>
      <c r="S981" s="316"/>
      <c r="T981" s="857"/>
    </row>
    <row r="982" spans="1:20" ht="20.100000000000001" customHeight="1">
      <c r="A982" s="1255" t="s">
        <v>3578</v>
      </c>
      <c r="B982" s="1232" t="s">
        <v>3651</v>
      </c>
      <c r="C982" s="1232" t="s">
        <v>3654</v>
      </c>
      <c r="D982" s="1015">
        <f>D975+945+25</f>
        <v>2520</v>
      </c>
      <c r="E982" s="1015">
        <f>E975+945+50</f>
        <v>2795</v>
      </c>
      <c r="F982" s="1015">
        <f>F975+945+50</f>
        <v>2795</v>
      </c>
      <c r="G982" s="216" t="s">
        <v>5</v>
      </c>
      <c r="H982" s="56" t="s">
        <v>681</v>
      </c>
      <c r="I982" s="50" t="s">
        <v>3635</v>
      </c>
      <c r="J982" s="50"/>
      <c r="K982" s="34" t="s">
        <v>775</v>
      </c>
      <c r="L982" s="607" t="s">
        <v>653</v>
      </c>
      <c r="M982" s="159">
        <v>43087</v>
      </c>
      <c r="N982" s="159">
        <v>43093</v>
      </c>
      <c r="O982" s="61" t="s">
        <v>1771</v>
      </c>
      <c r="P982" s="61"/>
      <c r="Q982" s="72" t="s">
        <v>3342</v>
      </c>
      <c r="R982" s="610" t="s">
        <v>3652</v>
      </c>
      <c r="S982" s="619"/>
      <c r="T982" s="857"/>
    </row>
    <row r="983" spans="1:20" ht="20.100000000000001" customHeight="1">
      <c r="A983" s="1255" t="s">
        <v>3578</v>
      </c>
      <c r="B983" s="1232" t="s">
        <v>3651</v>
      </c>
      <c r="C983" s="1232" t="s">
        <v>3654</v>
      </c>
      <c r="D983" s="1015">
        <f>D977+990</f>
        <v>2540</v>
      </c>
      <c r="E983" s="1015">
        <f>E977+990</f>
        <v>2790</v>
      </c>
      <c r="F983" s="1015">
        <f>F977+990</f>
        <v>2790</v>
      </c>
      <c r="G983" s="216" t="s">
        <v>19</v>
      </c>
      <c r="H983" s="56" t="s">
        <v>681</v>
      </c>
      <c r="I983" s="37" t="s">
        <v>3635</v>
      </c>
      <c r="J983" s="37"/>
      <c r="K983" s="34" t="s">
        <v>687</v>
      </c>
      <c r="L983" s="607" t="s">
        <v>653</v>
      </c>
      <c r="M983" s="156">
        <v>43084</v>
      </c>
      <c r="N983" s="156">
        <v>43093</v>
      </c>
      <c r="O983" s="153" t="s">
        <v>611</v>
      </c>
      <c r="P983" s="61"/>
      <c r="Q983" s="14" t="s">
        <v>100</v>
      </c>
      <c r="R983" s="606" t="s">
        <v>3637</v>
      </c>
      <c r="S983" s="315" t="s">
        <v>3337</v>
      </c>
      <c r="T983" s="857"/>
    </row>
    <row r="984" spans="1:20" ht="20.100000000000001" customHeight="1">
      <c r="A984" s="1255" t="s">
        <v>3578</v>
      </c>
      <c r="B984" s="1232" t="s">
        <v>3651</v>
      </c>
      <c r="C984" s="1232" t="s">
        <v>3654</v>
      </c>
      <c r="D984" s="1007">
        <f>D978+1000+25</f>
        <v>2150</v>
      </c>
      <c r="E984" s="1007">
        <f>E978+1000+50</f>
        <v>2300</v>
      </c>
      <c r="F984" s="1007">
        <f>F978+1000+50</f>
        <v>2300</v>
      </c>
      <c r="G984" s="609" t="s">
        <v>1689</v>
      </c>
      <c r="H984" s="56" t="s">
        <v>681</v>
      </c>
      <c r="I984" s="37" t="s">
        <v>3635</v>
      </c>
      <c r="J984" s="37"/>
      <c r="K984" s="5">
        <v>45</v>
      </c>
      <c r="L984" s="607" t="s">
        <v>653</v>
      </c>
      <c r="M984" s="156">
        <v>43076</v>
      </c>
      <c r="N984" s="156">
        <v>43083</v>
      </c>
      <c r="O984" s="61" t="s">
        <v>1771</v>
      </c>
      <c r="P984" s="61"/>
      <c r="Q984" s="14" t="s">
        <v>24</v>
      </c>
      <c r="R984" s="606" t="s">
        <v>3634</v>
      </c>
      <c r="S984" s="316" t="s">
        <v>2943</v>
      </c>
      <c r="T984" s="858"/>
    </row>
    <row r="985" spans="1:20" ht="20.100000000000001" customHeight="1">
      <c r="A985" s="1255" t="s">
        <v>3578</v>
      </c>
      <c r="B985" s="1232" t="s">
        <v>3651</v>
      </c>
      <c r="C985" s="1232" t="s">
        <v>3653</v>
      </c>
      <c r="D985" s="1008">
        <f>D980+550</f>
        <v>1800</v>
      </c>
      <c r="E985" s="1008">
        <f>E980+550</f>
        <v>2050</v>
      </c>
      <c r="F985" s="1008">
        <f>F980+550</f>
        <v>2050</v>
      </c>
      <c r="G985" s="618" t="s">
        <v>31</v>
      </c>
      <c r="H985" s="56" t="s">
        <v>681</v>
      </c>
      <c r="I985" s="37" t="s">
        <v>2548</v>
      </c>
      <c r="J985" s="37"/>
      <c r="K985" s="16">
        <v>35</v>
      </c>
      <c r="L985" s="607" t="s">
        <v>653</v>
      </c>
      <c r="M985" s="623">
        <v>43080</v>
      </c>
      <c r="N985" s="623">
        <v>43083</v>
      </c>
      <c r="O985" s="61"/>
      <c r="P985" s="61"/>
      <c r="Q985" s="52"/>
      <c r="R985" s="606" t="s">
        <v>3563</v>
      </c>
      <c r="S985" s="622" t="s">
        <v>1176</v>
      </c>
      <c r="T985" s="858"/>
    </row>
    <row r="986" spans="1:20" ht="20.100000000000001" customHeight="1">
      <c r="A986" s="1255" t="s">
        <v>3578</v>
      </c>
      <c r="B986" s="1232" t="s">
        <v>3651</v>
      </c>
      <c r="C986" s="1232" t="s">
        <v>3653</v>
      </c>
      <c r="D986" s="1008">
        <f>D975+483+25</f>
        <v>2058</v>
      </c>
      <c r="E986" s="1008">
        <f>E975+483+50</f>
        <v>2333</v>
      </c>
      <c r="F986" s="1008">
        <f>F975+483+50</f>
        <v>2333</v>
      </c>
      <c r="G986" s="216" t="s">
        <v>5</v>
      </c>
      <c r="H986" s="56" t="s">
        <v>681</v>
      </c>
      <c r="I986" s="50" t="s">
        <v>3635</v>
      </c>
      <c r="J986" s="50"/>
      <c r="K986" s="34" t="s">
        <v>775</v>
      </c>
      <c r="L986" s="607" t="s">
        <v>653</v>
      </c>
      <c r="M986" s="159">
        <v>43087</v>
      </c>
      <c r="N986" s="159">
        <v>43093</v>
      </c>
      <c r="O986" s="61" t="s">
        <v>1771</v>
      </c>
      <c r="P986" s="61"/>
      <c r="Q986" s="72" t="s">
        <v>3342</v>
      </c>
      <c r="R986" s="610" t="s">
        <v>3652</v>
      </c>
      <c r="S986" s="619"/>
      <c r="T986" s="858"/>
    </row>
    <row r="987" spans="1:20" ht="20.100000000000001" customHeight="1">
      <c r="A987" s="1255" t="s">
        <v>3578</v>
      </c>
      <c r="B987" s="1232" t="s">
        <v>3651</v>
      </c>
      <c r="C987" s="1232" t="s">
        <v>3653</v>
      </c>
      <c r="D987" s="1008">
        <f>D977+506</f>
        <v>2056</v>
      </c>
      <c r="E987" s="1008">
        <f>E977+506</f>
        <v>2306</v>
      </c>
      <c r="F987" s="1008"/>
      <c r="G987" s="216" t="s">
        <v>19</v>
      </c>
      <c r="H987" s="56" t="s">
        <v>681</v>
      </c>
      <c r="I987" s="37" t="s">
        <v>3635</v>
      </c>
      <c r="J987" s="37"/>
      <c r="K987" s="34" t="s">
        <v>687</v>
      </c>
      <c r="L987" s="607" t="s">
        <v>653</v>
      </c>
      <c r="M987" s="156">
        <v>43084</v>
      </c>
      <c r="N987" s="156">
        <v>43093</v>
      </c>
      <c r="O987" s="153" t="s">
        <v>611</v>
      </c>
      <c r="P987" s="61"/>
      <c r="Q987" s="14" t="s">
        <v>100</v>
      </c>
      <c r="R987" s="606" t="s">
        <v>3637</v>
      </c>
      <c r="S987" s="315" t="s">
        <v>3337</v>
      </c>
      <c r="T987" s="858"/>
    </row>
    <row r="988" spans="1:20" ht="20.100000000000001" customHeight="1">
      <c r="A988" s="1255" t="s">
        <v>3578</v>
      </c>
      <c r="B988" s="1232" t="s">
        <v>3651</v>
      </c>
      <c r="C988" s="1232" t="s">
        <v>3653</v>
      </c>
      <c r="D988" s="1008">
        <f>D978+1000+25</f>
        <v>2150</v>
      </c>
      <c r="E988" s="1008">
        <f>E978+1000+50</f>
        <v>2300</v>
      </c>
      <c r="F988" s="1008">
        <f>F978+1000+50</f>
        <v>2300</v>
      </c>
      <c r="G988" s="609" t="s">
        <v>1689</v>
      </c>
      <c r="H988" s="56" t="s">
        <v>681</v>
      </c>
      <c r="I988" s="37" t="s">
        <v>3635</v>
      </c>
      <c r="J988" s="37"/>
      <c r="K988" s="5">
        <v>45</v>
      </c>
      <c r="L988" s="607" t="s">
        <v>653</v>
      </c>
      <c r="M988" s="156">
        <v>43076</v>
      </c>
      <c r="N988" s="156">
        <v>43083</v>
      </c>
      <c r="O988" s="61" t="s">
        <v>1771</v>
      </c>
      <c r="P988" s="61"/>
      <c r="Q988" s="14" t="s">
        <v>24</v>
      </c>
      <c r="R988" s="606" t="s">
        <v>3634</v>
      </c>
      <c r="S988" s="316" t="s">
        <v>2943</v>
      </c>
      <c r="T988" s="858"/>
    </row>
    <row r="989" spans="1:20" ht="20.100000000000001" customHeight="1">
      <c r="A989" s="1255" t="s">
        <v>3578</v>
      </c>
      <c r="B989" s="1232" t="s">
        <v>3651</v>
      </c>
      <c r="C989" s="1232" t="s">
        <v>3650</v>
      </c>
      <c r="D989" s="1008">
        <f>D980+970</f>
        <v>2220</v>
      </c>
      <c r="E989" s="1008">
        <f>E980+970</f>
        <v>2470</v>
      </c>
      <c r="F989" s="1008">
        <f>F980+970</f>
        <v>2470</v>
      </c>
      <c r="G989" s="618" t="s">
        <v>31</v>
      </c>
      <c r="H989" s="56" t="s">
        <v>681</v>
      </c>
      <c r="I989" s="37" t="s">
        <v>2548</v>
      </c>
      <c r="J989" s="37"/>
      <c r="K989" s="16">
        <v>37</v>
      </c>
      <c r="L989" s="607" t="s">
        <v>653</v>
      </c>
      <c r="M989" s="623">
        <v>43080</v>
      </c>
      <c r="N989" s="623">
        <v>43083</v>
      </c>
      <c r="O989" s="61"/>
      <c r="P989" s="61"/>
      <c r="Q989" s="52"/>
      <c r="R989" s="606" t="s">
        <v>3563</v>
      </c>
      <c r="S989" s="622" t="s">
        <v>1176</v>
      </c>
      <c r="T989" s="858"/>
    </row>
    <row r="990" spans="1:20" ht="20.100000000000001" customHeight="1">
      <c r="A990" s="1255" t="s">
        <v>3578</v>
      </c>
      <c r="B990" s="1232" t="s">
        <v>3651</v>
      </c>
      <c r="C990" s="1232" t="s">
        <v>3650</v>
      </c>
      <c r="D990" s="1008">
        <f>D975+893+25</f>
        <v>2468</v>
      </c>
      <c r="E990" s="1008">
        <f>E975+893+50</f>
        <v>2743</v>
      </c>
      <c r="F990" s="1008">
        <f>F975+893+50</f>
        <v>2743</v>
      </c>
      <c r="G990" s="216" t="s">
        <v>5</v>
      </c>
      <c r="H990" s="56" t="s">
        <v>681</v>
      </c>
      <c r="I990" s="50" t="s">
        <v>3635</v>
      </c>
      <c r="J990" s="50"/>
      <c r="K990" s="34" t="s">
        <v>775</v>
      </c>
      <c r="L990" s="607" t="s">
        <v>653</v>
      </c>
      <c r="M990" s="159">
        <v>43087</v>
      </c>
      <c r="N990" s="159">
        <v>43093</v>
      </c>
      <c r="O990" s="61" t="s">
        <v>1771</v>
      </c>
      <c r="P990" s="61"/>
      <c r="Q990" s="72" t="s">
        <v>3342</v>
      </c>
      <c r="R990" s="610" t="s">
        <v>3652</v>
      </c>
      <c r="S990" s="619"/>
      <c r="T990" s="858"/>
    </row>
    <row r="991" spans="1:20" ht="20.100000000000001" customHeight="1">
      <c r="A991" s="1255" t="s">
        <v>3578</v>
      </c>
      <c r="B991" s="1232" t="s">
        <v>3651</v>
      </c>
      <c r="C991" s="1232" t="s">
        <v>3650</v>
      </c>
      <c r="D991" s="1008">
        <f>D977+885</f>
        <v>2435</v>
      </c>
      <c r="E991" s="1008">
        <f>E977+885</f>
        <v>2685</v>
      </c>
      <c r="F991" s="1008"/>
      <c r="G991" s="216" t="s">
        <v>19</v>
      </c>
      <c r="H991" s="56" t="s">
        <v>681</v>
      </c>
      <c r="I991" s="37" t="s">
        <v>3635</v>
      </c>
      <c r="J991" s="37"/>
      <c r="K991" s="34" t="s">
        <v>687</v>
      </c>
      <c r="L991" s="607" t="s">
        <v>653</v>
      </c>
      <c r="M991" s="156">
        <v>43084</v>
      </c>
      <c r="N991" s="156">
        <v>43093</v>
      </c>
      <c r="O991" s="153" t="s">
        <v>611</v>
      </c>
      <c r="P991" s="61"/>
      <c r="Q991" s="14" t="s">
        <v>100</v>
      </c>
      <c r="R991" s="606" t="s">
        <v>3637</v>
      </c>
      <c r="S991" s="315" t="s">
        <v>3337</v>
      </c>
      <c r="T991" s="858"/>
    </row>
    <row r="992" spans="1:20" ht="20.100000000000001" customHeight="1">
      <c r="A992" s="1255" t="s">
        <v>3578</v>
      </c>
      <c r="B992" s="1232" t="s">
        <v>3651</v>
      </c>
      <c r="C992" s="1232" t="s">
        <v>3650</v>
      </c>
      <c r="D992" s="1008">
        <f>D978+1000+25</f>
        <v>2150</v>
      </c>
      <c r="E992" s="1008">
        <f>E978+1000+50</f>
        <v>2300</v>
      </c>
      <c r="F992" s="1008">
        <f>F978+1000+50</f>
        <v>2300</v>
      </c>
      <c r="G992" s="609" t="s">
        <v>1689</v>
      </c>
      <c r="H992" s="56" t="s">
        <v>681</v>
      </c>
      <c r="I992" s="37" t="s">
        <v>3635</v>
      </c>
      <c r="J992" s="37"/>
      <c r="K992" s="5">
        <v>45</v>
      </c>
      <c r="L992" s="607" t="s">
        <v>653</v>
      </c>
      <c r="M992" s="156">
        <v>43076</v>
      </c>
      <c r="N992" s="156">
        <v>43083</v>
      </c>
      <c r="O992" s="61" t="s">
        <v>1771</v>
      </c>
      <c r="P992" s="61"/>
      <c r="Q992" s="14" t="s">
        <v>24</v>
      </c>
      <c r="R992" s="606" t="s">
        <v>3634</v>
      </c>
      <c r="S992" s="316" t="s">
        <v>2943</v>
      </c>
      <c r="T992" s="858"/>
    </row>
    <row r="993" spans="1:20" ht="20.100000000000001" customHeight="1">
      <c r="A993" s="1255" t="s">
        <v>3578</v>
      </c>
      <c r="B993" s="1232" t="s">
        <v>3630</v>
      </c>
      <c r="C993" s="1232" t="s">
        <v>3648</v>
      </c>
      <c r="D993" s="1008">
        <v>1125</v>
      </c>
      <c r="E993" s="1008">
        <v>1250</v>
      </c>
      <c r="F993" s="1008">
        <v>1250</v>
      </c>
      <c r="G993" s="227" t="s">
        <v>1689</v>
      </c>
      <c r="H993" s="160">
        <v>2</v>
      </c>
      <c r="I993" s="50" t="s">
        <v>17</v>
      </c>
      <c r="J993" s="50"/>
      <c r="K993" s="34" t="s">
        <v>764</v>
      </c>
      <c r="L993" s="607" t="s">
        <v>653</v>
      </c>
      <c r="M993" s="156">
        <v>43076</v>
      </c>
      <c r="N993" s="156">
        <v>43083</v>
      </c>
      <c r="O993" s="61" t="s">
        <v>1771</v>
      </c>
      <c r="P993" s="61"/>
      <c r="Q993" s="7"/>
      <c r="R993" s="606" t="s">
        <v>3576</v>
      </c>
      <c r="S993" s="316" t="s">
        <v>2943</v>
      </c>
      <c r="T993" s="923"/>
    </row>
    <row r="994" spans="1:20" ht="20.100000000000001" customHeight="1">
      <c r="A994" s="1255" t="s">
        <v>3578</v>
      </c>
      <c r="B994" s="1232" t="s">
        <v>3630</v>
      </c>
      <c r="C994" s="1232" t="s">
        <v>3648</v>
      </c>
      <c r="D994" s="1008">
        <v>1550</v>
      </c>
      <c r="E994" s="1008">
        <v>1800</v>
      </c>
      <c r="F994" s="1008">
        <v>1800</v>
      </c>
      <c r="G994" s="638" t="s">
        <v>51</v>
      </c>
      <c r="H994" s="56">
        <v>2</v>
      </c>
      <c r="I994" s="37" t="s">
        <v>17</v>
      </c>
      <c r="J994" s="37"/>
      <c r="K994" s="34" t="s">
        <v>764</v>
      </c>
      <c r="L994" s="607" t="s">
        <v>653</v>
      </c>
      <c r="M994" s="611">
        <v>43086</v>
      </c>
      <c r="N994" s="611">
        <v>43100</v>
      </c>
      <c r="O994" s="61" t="s">
        <v>601</v>
      </c>
      <c r="P994" s="52"/>
      <c r="Q994" s="52"/>
      <c r="R994" s="606" t="s">
        <v>3612</v>
      </c>
      <c r="S994" s="315" t="s">
        <v>3290</v>
      </c>
      <c r="T994" s="749" t="s">
        <v>3611</v>
      </c>
    </row>
    <row r="995" spans="1:20" ht="20.100000000000001" customHeight="1">
      <c r="A995" s="1255" t="s">
        <v>3578</v>
      </c>
      <c r="B995" s="1232" t="s">
        <v>3630</v>
      </c>
      <c r="C995" s="1232" t="s">
        <v>3648</v>
      </c>
      <c r="D995" s="1006">
        <v>1550</v>
      </c>
      <c r="E995" s="1006">
        <v>1800</v>
      </c>
      <c r="F995" s="1006">
        <v>1800</v>
      </c>
      <c r="G995" s="637" t="s">
        <v>19</v>
      </c>
      <c r="H995" s="628">
        <v>2</v>
      </c>
      <c r="I995" s="37" t="s">
        <v>17</v>
      </c>
      <c r="J995" s="37"/>
      <c r="K995" s="34" t="s">
        <v>764</v>
      </c>
      <c r="L995" s="607" t="s">
        <v>653</v>
      </c>
      <c r="M995" s="156">
        <v>43084</v>
      </c>
      <c r="N995" s="156">
        <v>43093</v>
      </c>
      <c r="O995" s="59" t="s">
        <v>611</v>
      </c>
      <c r="P995" s="61"/>
      <c r="Q995" s="52"/>
      <c r="R995" s="606" t="s">
        <v>3584</v>
      </c>
      <c r="S995" s="315" t="s">
        <v>3337</v>
      </c>
      <c r="T995" s="923"/>
    </row>
    <row r="996" spans="1:20" ht="20.100000000000001" customHeight="1">
      <c r="A996" s="1255" t="s">
        <v>3578</v>
      </c>
      <c r="B996" s="1232" t="s">
        <v>3630</v>
      </c>
      <c r="C996" s="1232" t="s">
        <v>3648</v>
      </c>
      <c r="D996" s="1016">
        <v>1150</v>
      </c>
      <c r="E996" s="1016">
        <v>1200</v>
      </c>
      <c r="F996" s="1016">
        <v>1200</v>
      </c>
      <c r="G996" s="631" t="s">
        <v>233</v>
      </c>
      <c r="H996" s="56">
        <v>2</v>
      </c>
      <c r="I996" s="37" t="s">
        <v>17</v>
      </c>
      <c r="J996" s="37"/>
      <c r="K996" s="34" t="s">
        <v>764</v>
      </c>
      <c r="L996" s="607" t="s">
        <v>653</v>
      </c>
      <c r="M996" s="620">
        <v>43081</v>
      </c>
      <c r="N996" s="620">
        <v>43085</v>
      </c>
      <c r="O996" s="59" t="s">
        <v>601</v>
      </c>
      <c r="P996" s="61"/>
      <c r="Q996" s="52"/>
      <c r="R996" s="606" t="s">
        <v>3609</v>
      </c>
      <c r="S996" s="316" t="s">
        <v>3573</v>
      </c>
      <c r="T996" s="923"/>
    </row>
    <row r="997" spans="1:20" ht="20.100000000000001" customHeight="1">
      <c r="A997" s="1255" t="s">
        <v>3578</v>
      </c>
      <c r="B997" s="1232" t="s">
        <v>3630</v>
      </c>
      <c r="C997" s="1232" t="s">
        <v>3648</v>
      </c>
      <c r="D997" s="956">
        <v>1550</v>
      </c>
      <c r="E997" s="956">
        <v>1800</v>
      </c>
      <c r="F997" s="956">
        <v>1800</v>
      </c>
      <c r="G997" s="637" t="s">
        <v>5</v>
      </c>
      <c r="H997" s="4">
        <v>2</v>
      </c>
      <c r="I997" s="50" t="s">
        <v>17</v>
      </c>
      <c r="J997" s="50"/>
      <c r="K997" s="34" t="s">
        <v>764</v>
      </c>
      <c r="L997" s="607" t="s">
        <v>653</v>
      </c>
      <c r="M997" s="159">
        <v>43087</v>
      </c>
      <c r="N997" s="159">
        <v>43093</v>
      </c>
      <c r="O997" s="61" t="s">
        <v>1771</v>
      </c>
      <c r="P997" s="61"/>
      <c r="Q997" s="7"/>
      <c r="R997" s="606" t="s">
        <v>3595</v>
      </c>
      <c r="S997" s="622"/>
      <c r="T997" s="923"/>
    </row>
    <row r="998" spans="1:20" ht="20.100000000000001" customHeight="1">
      <c r="A998" s="1255" t="s">
        <v>3578</v>
      </c>
      <c r="B998" s="1232" t="s">
        <v>3630</v>
      </c>
      <c r="C998" s="1232" t="s">
        <v>3648</v>
      </c>
      <c r="D998" s="1015">
        <v>1250</v>
      </c>
      <c r="E998" s="1015">
        <v>1500</v>
      </c>
      <c r="F998" s="1015">
        <v>1500</v>
      </c>
      <c r="G998" s="631" t="s">
        <v>31</v>
      </c>
      <c r="H998" s="160">
        <v>2</v>
      </c>
      <c r="I998" s="50" t="s">
        <v>17</v>
      </c>
      <c r="J998" s="50"/>
      <c r="K998" s="34" t="s">
        <v>764</v>
      </c>
      <c r="L998" s="607" t="s">
        <v>653</v>
      </c>
      <c r="M998" s="623">
        <v>43080</v>
      </c>
      <c r="N998" s="623">
        <v>43083</v>
      </c>
      <c r="O998" s="61"/>
      <c r="P998" s="61"/>
      <c r="Q998" s="7"/>
      <c r="R998" s="606" t="s">
        <v>3606</v>
      </c>
      <c r="S998" s="622" t="s">
        <v>1176</v>
      </c>
      <c r="T998" s="923"/>
    </row>
    <row r="999" spans="1:20" ht="20.100000000000001" customHeight="1">
      <c r="A999" s="1255" t="s">
        <v>3578</v>
      </c>
      <c r="B999" s="1232" t="s">
        <v>3630</v>
      </c>
      <c r="C999" s="1232" t="s">
        <v>3648</v>
      </c>
      <c r="D999" s="956">
        <v>1550</v>
      </c>
      <c r="E999" s="956">
        <v>1800</v>
      </c>
      <c r="F999" s="956">
        <v>1800</v>
      </c>
      <c r="G999" s="637" t="s">
        <v>5</v>
      </c>
      <c r="H999" s="168" t="s">
        <v>659</v>
      </c>
      <c r="I999" s="50" t="s">
        <v>17</v>
      </c>
      <c r="J999" s="50"/>
      <c r="K999" s="34" t="s">
        <v>662</v>
      </c>
      <c r="L999" s="607" t="s">
        <v>653</v>
      </c>
      <c r="M999" s="159">
        <v>43087</v>
      </c>
      <c r="N999" s="159">
        <v>43093</v>
      </c>
      <c r="O999" s="61" t="s">
        <v>1771</v>
      </c>
      <c r="P999" s="61"/>
      <c r="Q999" s="7"/>
      <c r="R999" s="606" t="s">
        <v>3579</v>
      </c>
      <c r="S999" s="622"/>
      <c r="T999" s="904"/>
    </row>
    <row r="1000" spans="1:20" ht="20.100000000000001" customHeight="1">
      <c r="A1000" s="1255" t="s">
        <v>3578</v>
      </c>
      <c r="B1000" s="1232" t="s">
        <v>3630</v>
      </c>
      <c r="C1000" s="1232" t="s">
        <v>3648</v>
      </c>
      <c r="D1000" s="1008">
        <v>1550</v>
      </c>
      <c r="E1000" s="1008">
        <v>1800</v>
      </c>
      <c r="F1000" s="1008">
        <v>1800</v>
      </c>
      <c r="G1000" s="638" t="s">
        <v>51</v>
      </c>
      <c r="H1000" s="168" t="s">
        <v>659</v>
      </c>
      <c r="I1000" s="50" t="s">
        <v>17</v>
      </c>
      <c r="J1000" s="50"/>
      <c r="K1000" s="34" t="s">
        <v>662</v>
      </c>
      <c r="L1000" s="607" t="s">
        <v>653</v>
      </c>
      <c r="M1000" s="611">
        <v>43086</v>
      </c>
      <c r="N1000" s="611">
        <v>43100</v>
      </c>
      <c r="O1000" s="61" t="s">
        <v>601</v>
      </c>
      <c r="P1000" s="52"/>
      <c r="Q1000" s="7"/>
      <c r="R1000" s="606" t="s">
        <v>3618</v>
      </c>
      <c r="S1000" s="315" t="s">
        <v>3290</v>
      </c>
      <c r="T1000" s="749" t="s">
        <v>3611</v>
      </c>
    </row>
    <row r="1001" spans="1:20" ht="20.100000000000001" customHeight="1">
      <c r="A1001" s="1255" t="s">
        <v>3578</v>
      </c>
      <c r="B1001" s="1232" t="s">
        <v>3630</v>
      </c>
      <c r="C1001" s="1232" t="s">
        <v>3648</v>
      </c>
      <c r="D1001" s="1006">
        <v>1550</v>
      </c>
      <c r="E1001" s="1006">
        <v>1800</v>
      </c>
      <c r="F1001" s="1006">
        <v>1800</v>
      </c>
      <c r="G1001" s="637" t="s">
        <v>19</v>
      </c>
      <c r="H1001" s="627" t="s">
        <v>659</v>
      </c>
      <c r="I1001" s="50" t="s">
        <v>17</v>
      </c>
      <c r="J1001" s="50"/>
      <c r="K1001" s="34" t="s">
        <v>662</v>
      </c>
      <c r="L1001" s="607" t="s">
        <v>653</v>
      </c>
      <c r="M1001" s="156">
        <v>43084</v>
      </c>
      <c r="N1001" s="156">
        <v>43093</v>
      </c>
      <c r="O1001" s="59" t="s">
        <v>611</v>
      </c>
      <c r="P1001" s="61"/>
      <c r="Q1001" s="7"/>
      <c r="R1001" s="606" t="s">
        <v>3596</v>
      </c>
      <c r="S1001" s="315" t="s">
        <v>3337</v>
      </c>
      <c r="T1001" s="904"/>
    </row>
    <row r="1002" spans="1:20" ht="20.100000000000001" customHeight="1">
      <c r="A1002" s="1255" t="s">
        <v>3578</v>
      </c>
      <c r="B1002" s="1232" t="s">
        <v>3630</v>
      </c>
      <c r="C1002" s="1232" t="s">
        <v>3648</v>
      </c>
      <c r="D1002" s="1016">
        <v>1150</v>
      </c>
      <c r="E1002" s="1016">
        <v>1200</v>
      </c>
      <c r="F1002" s="1016">
        <v>1200</v>
      </c>
      <c r="G1002" s="630" t="s">
        <v>233</v>
      </c>
      <c r="H1002" s="168" t="s">
        <v>659</v>
      </c>
      <c r="I1002" s="50" t="s">
        <v>17</v>
      </c>
      <c r="J1002" s="50"/>
      <c r="K1002" s="34" t="s">
        <v>662</v>
      </c>
      <c r="L1002" s="607" t="s">
        <v>653</v>
      </c>
      <c r="M1002" s="620">
        <v>43081</v>
      </c>
      <c r="N1002" s="620">
        <v>43085</v>
      </c>
      <c r="O1002" s="59" t="s">
        <v>601</v>
      </c>
      <c r="P1002" s="61"/>
      <c r="Q1002" s="7"/>
      <c r="R1002" s="606" t="s">
        <v>3617</v>
      </c>
      <c r="S1002" s="316" t="s">
        <v>3573</v>
      </c>
      <c r="T1002" s="904"/>
    </row>
    <row r="1003" spans="1:20" ht="20.100000000000001" customHeight="1">
      <c r="A1003" s="1255" t="s">
        <v>3578</v>
      </c>
      <c r="B1003" s="1232" t="s">
        <v>3630</v>
      </c>
      <c r="C1003" s="1232" t="s">
        <v>3648</v>
      </c>
      <c r="D1003" s="1008">
        <v>1125</v>
      </c>
      <c r="E1003" s="1008">
        <v>1250</v>
      </c>
      <c r="F1003" s="1008">
        <v>1250</v>
      </c>
      <c r="G1003" s="227" t="s">
        <v>1689</v>
      </c>
      <c r="H1003" s="168" t="s">
        <v>659</v>
      </c>
      <c r="I1003" s="50" t="s">
        <v>17</v>
      </c>
      <c r="J1003" s="50"/>
      <c r="K1003" s="34" t="s">
        <v>662</v>
      </c>
      <c r="L1003" s="607" t="s">
        <v>653</v>
      </c>
      <c r="M1003" s="156">
        <v>43076</v>
      </c>
      <c r="N1003" s="156">
        <v>43083</v>
      </c>
      <c r="O1003" s="61" t="s">
        <v>1771</v>
      </c>
      <c r="P1003" s="61"/>
      <c r="Q1003" s="7"/>
      <c r="R1003" s="606" t="s">
        <v>3590</v>
      </c>
      <c r="S1003" s="316" t="s">
        <v>2943</v>
      </c>
      <c r="T1003" s="904"/>
    </row>
    <row r="1004" spans="1:20" ht="20.100000000000001" customHeight="1">
      <c r="A1004" s="1255" t="s">
        <v>3578</v>
      </c>
      <c r="B1004" s="1232" t="s">
        <v>3630</v>
      </c>
      <c r="C1004" s="1232" t="s">
        <v>3648</v>
      </c>
      <c r="D1004" s="1006">
        <v>1125</v>
      </c>
      <c r="E1004" s="1006">
        <v>1200</v>
      </c>
      <c r="F1004" s="1006">
        <v>1200</v>
      </c>
      <c r="G1004" s="630" t="s">
        <v>30</v>
      </c>
      <c r="H1004" s="4">
        <v>4</v>
      </c>
      <c r="I1004" s="37" t="s">
        <v>17</v>
      </c>
      <c r="J1004" s="37"/>
      <c r="K1004" s="34" t="s">
        <v>970</v>
      </c>
      <c r="L1004" s="607" t="s">
        <v>653</v>
      </c>
      <c r="M1004" s="15">
        <v>43078</v>
      </c>
      <c r="N1004" s="159">
        <v>43084</v>
      </c>
      <c r="O1004" s="61"/>
      <c r="P1004" s="61"/>
      <c r="Q1004" s="7"/>
      <c r="R1004" s="606" t="s">
        <v>3568</v>
      </c>
      <c r="S1004" s="316" t="s">
        <v>3567</v>
      </c>
      <c r="T1004" s="626" t="s">
        <v>1018</v>
      </c>
    </row>
    <row r="1005" spans="1:20" ht="20.100000000000001" customHeight="1">
      <c r="A1005" s="1255" t="s">
        <v>3578</v>
      </c>
      <c r="B1005" s="1232" t="s">
        <v>3630</v>
      </c>
      <c r="C1005" s="1232" t="s">
        <v>3648</v>
      </c>
      <c r="D1005" s="1067">
        <v>1550</v>
      </c>
      <c r="E1005" s="1067">
        <v>1800</v>
      </c>
      <c r="F1005" s="1067">
        <v>1800</v>
      </c>
      <c r="G1005" s="629" t="s">
        <v>22</v>
      </c>
      <c r="H1005" s="4">
        <v>4</v>
      </c>
      <c r="I1005" s="37" t="s">
        <v>17</v>
      </c>
      <c r="J1005" s="37"/>
      <c r="K1005" s="34" t="s">
        <v>970</v>
      </c>
      <c r="L1005" s="607" t="s">
        <v>653</v>
      </c>
      <c r="M1005" s="108">
        <v>43087</v>
      </c>
      <c r="N1005" s="108">
        <v>43094</v>
      </c>
      <c r="O1005" s="61" t="s">
        <v>2545</v>
      </c>
      <c r="P1005" s="7"/>
      <c r="Q1005" s="7"/>
      <c r="R1005" s="606" t="s">
        <v>3593</v>
      </c>
      <c r="S1005" s="322" t="s">
        <v>1176</v>
      </c>
      <c r="T1005" s="858"/>
    </row>
    <row r="1006" spans="1:20" ht="20.100000000000001" customHeight="1">
      <c r="A1006" s="1255" t="s">
        <v>3578</v>
      </c>
      <c r="B1006" s="1232" t="s">
        <v>3630</v>
      </c>
      <c r="C1006" s="1232" t="s">
        <v>3648</v>
      </c>
      <c r="D1006" s="1008">
        <v>1550</v>
      </c>
      <c r="E1006" s="1008">
        <v>1800</v>
      </c>
      <c r="F1006" s="1008">
        <v>1800</v>
      </c>
      <c r="G1006" s="637" t="s">
        <v>51</v>
      </c>
      <c r="H1006" s="641">
        <v>5</v>
      </c>
      <c r="I1006" s="37" t="s">
        <v>17</v>
      </c>
      <c r="J1006" s="37"/>
      <c r="K1006" s="19" t="s">
        <v>835</v>
      </c>
      <c r="L1006" s="607" t="s">
        <v>653</v>
      </c>
      <c r="M1006" s="611">
        <v>43086</v>
      </c>
      <c r="N1006" s="611">
        <v>43100</v>
      </c>
      <c r="O1006" s="61" t="s">
        <v>601</v>
      </c>
      <c r="P1006" s="52"/>
      <c r="Q1006" s="52"/>
      <c r="R1006" s="606" t="s">
        <v>2538</v>
      </c>
      <c r="S1006" s="315" t="s">
        <v>3290</v>
      </c>
      <c r="T1006" s="749" t="s">
        <v>3611</v>
      </c>
    </row>
    <row r="1007" spans="1:20" ht="20.100000000000001" customHeight="1">
      <c r="A1007" s="1255" t="s">
        <v>3578</v>
      </c>
      <c r="B1007" s="1232" t="s">
        <v>3630</v>
      </c>
      <c r="C1007" s="1232" t="s">
        <v>3648</v>
      </c>
      <c r="D1007" s="956">
        <v>1500</v>
      </c>
      <c r="E1007" s="956">
        <v>1750</v>
      </c>
      <c r="F1007" s="956">
        <v>1750</v>
      </c>
      <c r="G1007" s="630" t="s">
        <v>33</v>
      </c>
      <c r="H1007" s="4">
        <v>5</v>
      </c>
      <c r="I1007" s="37" t="s">
        <v>17</v>
      </c>
      <c r="J1007" s="37"/>
      <c r="K1007" s="19" t="s">
        <v>835</v>
      </c>
      <c r="L1007" s="607" t="s">
        <v>653</v>
      </c>
      <c r="M1007" s="159">
        <v>43087</v>
      </c>
      <c r="N1007" s="159">
        <v>43093</v>
      </c>
      <c r="O1007" s="61"/>
      <c r="P1007" s="61"/>
      <c r="Q1007" s="7"/>
      <c r="R1007" s="606" t="s">
        <v>2538</v>
      </c>
      <c r="S1007" s="316" t="s">
        <v>3333</v>
      </c>
      <c r="T1007" s="858"/>
    </row>
    <row r="1008" spans="1:20" ht="20.100000000000001" customHeight="1">
      <c r="A1008" s="1255" t="s">
        <v>3578</v>
      </c>
      <c r="B1008" s="1232" t="s">
        <v>3630</v>
      </c>
      <c r="C1008" s="1232" t="s">
        <v>3648</v>
      </c>
      <c r="D1008" s="1017">
        <v>1250</v>
      </c>
      <c r="E1008" s="1017">
        <v>1400</v>
      </c>
      <c r="F1008" s="1017">
        <v>1400</v>
      </c>
      <c r="G1008" s="630" t="s">
        <v>13</v>
      </c>
      <c r="H1008" s="4">
        <v>5</v>
      </c>
      <c r="I1008" s="37" t="s">
        <v>17</v>
      </c>
      <c r="J1008" s="37"/>
      <c r="K1008" s="19" t="s">
        <v>835</v>
      </c>
      <c r="L1008" s="607" t="s">
        <v>653</v>
      </c>
      <c r="M1008" s="156">
        <v>43073</v>
      </c>
      <c r="N1008" s="156">
        <v>43083</v>
      </c>
      <c r="O1008" s="59" t="s">
        <v>601</v>
      </c>
      <c r="P1008" s="59"/>
      <c r="Q1008" s="7"/>
      <c r="R1008" s="606" t="s">
        <v>2536</v>
      </c>
      <c r="S1008" s="316" t="s">
        <v>3334</v>
      </c>
      <c r="T1008" s="858"/>
    </row>
    <row r="1009" spans="1:20" ht="20.100000000000001" customHeight="1">
      <c r="A1009" s="1255" t="s">
        <v>3578</v>
      </c>
      <c r="B1009" s="1232" t="s">
        <v>3630</v>
      </c>
      <c r="C1009" s="1232" t="s">
        <v>3648</v>
      </c>
      <c r="D1009" s="1014">
        <v>1500</v>
      </c>
      <c r="E1009" s="1014">
        <v>1700</v>
      </c>
      <c r="F1009" s="1014">
        <v>1700</v>
      </c>
      <c r="G1009" s="633" t="s">
        <v>28</v>
      </c>
      <c r="H1009" s="4">
        <v>5</v>
      </c>
      <c r="I1009" s="37" t="s">
        <v>17</v>
      </c>
      <c r="J1009" s="37"/>
      <c r="K1009" s="19" t="s">
        <v>835</v>
      </c>
      <c r="L1009" s="607" t="s">
        <v>653</v>
      </c>
      <c r="M1009" s="620">
        <v>43086</v>
      </c>
      <c r="N1009" s="620">
        <v>43100</v>
      </c>
      <c r="O1009" s="153" t="s">
        <v>601</v>
      </c>
      <c r="P1009" s="61"/>
      <c r="Q1009" s="7"/>
      <c r="R1009" s="610" t="s">
        <v>3649</v>
      </c>
      <c r="S1009" s="619"/>
      <c r="T1009" s="858"/>
    </row>
    <row r="1010" spans="1:20" ht="20.100000000000001" customHeight="1">
      <c r="A1010" s="1255" t="s">
        <v>3578</v>
      </c>
      <c r="B1010" s="1232" t="s">
        <v>3630</v>
      </c>
      <c r="C1010" s="1232" t="s">
        <v>3648</v>
      </c>
      <c r="D1010" s="1015">
        <v>1075</v>
      </c>
      <c r="E1010" s="1015">
        <v>1250</v>
      </c>
      <c r="F1010" s="1015">
        <v>1250</v>
      </c>
      <c r="G1010" s="630" t="s">
        <v>29</v>
      </c>
      <c r="H1010" s="4">
        <v>5</v>
      </c>
      <c r="I1010" s="37" t="s">
        <v>17</v>
      </c>
      <c r="J1010" s="37"/>
      <c r="K1010" s="19" t="s">
        <v>835</v>
      </c>
      <c r="L1010" s="607" t="s">
        <v>653</v>
      </c>
      <c r="M1010" s="620">
        <v>43084</v>
      </c>
      <c r="N1010" s="620">
        <v>43086</v>
      </c>
      <c r="O1010" s="59" t="s">
        <v>601</v>
      </c>
      <c r="P1010" s="59"/>
      <c r="Q1010" s="7"/>
      <c r="R1010" s="606" t="s">
        <v>3562</v>
      </c>
      <c r="S1010" s="316" t="s">
        <v>3561</v>
      </c>
      <c r="T1010" s="858"/>
    </row>
    <row r="1011" spans="1:20" ht="20.100000000000001" customHeight="1">
      <c r="A1011" s="1255" t="s">
        <v>3578</v>
      </c>
      <c r="B1011" s="1232" t="s">
        <v>3630</v>
      </c>
      <c r="C1011" s="1232" t="s">
        <v>3648</v>
      </c>
      <c r="D1011" s="956">
        <v>1500</v>
      </c>
      <c r="E1011" s="956">
        <v>1750</v>
      </c>
      <c r="F1011" s="956">
        <v>1750</v>
      </c>
      <c r="G1011" s="630" t="s">
        <v>33</v>
      </c>
      <c r="H1011" s="4">
        <v>6</v>
      </c>
      <c r="I1011" s="37" t="s">
        <v>17</v>
      </c>
      <c r="J1011" s="37"/>
      <c r="K1011" s="34" t="s">
        <v>728</v>
      </c>
      <c r="L1011" s="607" t="s">
        <v>653</v>
      </c>
      <c r="M1011" s="159">
        <v>43087</v>
      </c>
      <c r="N1011" s="159">
        <v>43093</v>
      </c>
      <c r="O1011" s="61"/>
      <c r="P1011" s="61"/>
      <c r="Q1011" s="7"/>
      <c r="R1011" s="606" t="s">
        <v>3336</v>
      </c>
      <c r="S1011" s="316" t="s">
        <v>3333</v>
      </c>
      <c r="T1011" s="858"/>
    </row>
    <row r="1012" spans="1:20" ht="20.100000000000001" customHeight="1">
      <c r="A1012" s="1255" t="s">
        <v>3578</v>
      </c>
      <c r="B1012" s="1232" t="s">
        <v>3630</v>
      </c>
      <c r="C1012" s="1232" t="s">
        <v>3648</v>
      </c>
      <c r="D1012" s="1008">
        <v>1550</v>
      </c>
      <c r="E1012" s="1008">
        <v>1800</v>
      </c>
      <c r="F1012" s="1008">
        <v>1800</v>
      </c>
      <c r="G1012" s="637" t="s">
        <v>51</v>
      </c>
      <c r="H1012" s="4">
        <v>6</v>
      </c>
      <c r="I1012" s="37" t="s">
        <v>17</v>
      </c>
      <c r="J1012" s="37"/>
      <c r="K1012" s="34" t="s">
        <v>728</v>
      </c>
      <c r="L1012" s="607" t="s">
        <v>653</v>
      </c>
      <c r="M1012" s="611">
        <v>43086</v>
      </c>
      <c r="N1012" s="611">
        <v>43100</v>
      </c>
      <c r="O1012" s="61" t="s">
        <v>601</v>
      </c>
      <c r="P1012" s="52"/>
      <c r="Q1012" s="7"/>
      <c r="R1012" s="606" t="s">
        <v>3336</v>
      </c>
      <c r="S1012" s="315" t="s">
        <v>3290</v>
      </c>
      <c r="T1012" s="749" t="s">
        <v>3611</v>
      </c>
    </row>
    <row r="1013" spans="1:20" ht="20.100000000000001" customHeight="1">
      <c r="A1013" s="1255" t="s">
        <v>3578</v>
      </c>
      <c r="B1013" s="1232" t="s">
        <v>3630</v>
      </c>
      <c r="C1013" s="1232" t="s">
        <v>3648</v>
      </c>
      <c r="D1013" s="1017">
        <v>1250</v>
      </c>
      <c r="E1013" s="1017">
        <v>1400</v>
      </c>
      <c r="F1013" s="1017">
        <v>1400</v>
      </c>
      <c r="G1013" s="630" t="s">
        <v>13</v>
      </c>
      <c r="H1013" s="4">
        <v>6</v>
      </c>
      <c r="I1013" s="37" t="s">
        <v>17</v>
      </c>
      <c r="J1013" s="37"/>
      <c r="K1013" s="34" t="s">
        <v>728</v>
      </c>
      <c r="L1013" s="607" t="s">
        <v>653</v>
      </c>
      <c r="M1013" s="156">
        <v>43073</v>
      </c>
      <c r="N1013" s="156">
        <v>43083</v>
      </c>
      <c r="O1013" s="59" t="s">
        <v>601</v>
      </c>
      <c r="P1013" s="61"/>
      <c r="Q1013" s="7"/>
      <c r="R1013" s="606" t="s">
        <v>3336</v>
      </c>
      <c r="S1013" s="316" t="s">
        <v>3334</v>
      </c>
      <c r="T1013" s="858"/>
    </row>
    <row r="1014" spans="1:20" ht="20.100000000000001" customHeight="1">
      <c r="A1014" s="1255" t="s">
        <v>3578</v>
      </c>
      <c r="B1014" s="1232" t="s">
        <v>3630</v>
      </c>
      <c r="C1014" s="1232" t="s">
        <v>3648</v>
      </c>
      <c r="D1014" s="1014">
        <v>1500</v>
      </c>
      <c r="E1014" s="1014">
        <v>1700</v>
      </c>
      <c r="F1014" s="1014">
        <v>1700</v>
      </c>
      <c r="G1014" s="633" t="s">
        <v>28</v>
      </c>
      <c r="H1014" s="4">
        <v>6</v>
      </c>
      <c r="I1014" s="37" t="s">
        <v>17</v>
      </c>
      <c r="J1014" s="37"/>
      <c r="K1014" s="34" t="s">
        <v>728</v>
      </c>
      <c r="L1014" s="607" t="s">
        <v>653</v>
      </c>
      <c r="M1014" s="620">
        <v>43086</v>
      </c>
      <c r="N1014" s="620">
        <v>43100</v>
      </c>
      <c r="O1014" s="153" t="s">
        <v>601</v>
      </c>
      <c r="P1014" s="59"/>
      <c r="Q1014" s="7"/>
      <c r="R1014" s="610" t="s">
        <v>3616</v>
      </c>
      <c r="S1014" s="619"/>
      <c r="T1014" s="858"/>
    </row>
    <row r="1015" spans="1:20" ht="20.100000000000001" customHeight="1">
      <c r="A1015" s="1255" t="s">
        <v>3578</v>
      </c>
      <c r="B1015" s="1232" t="s">
        <v>3630</v>
      </c>
      <c r="C1015" s="1232" t="s">
        <v>3648</v>
      </c>
      <c r="D1015" s="1015">
        <v>1075</v>
      </c>
      <c r="E1015" s="1015">
        <v>1250</v>
      </c>
      <c r="F1015" s="1015">
        <v>1250</v>
      </c>
      <c r="G1015" s="633" t="s">
        <v>29</v>
      </c>
      <c r="H1015" s="4">
        <v>6</v>
      </c>
      <c r="I1015" s="37" t="s">
        <v>17</v>
      </c>
      <c r="J1015" s="37"/>
      <c r="K1015" s="34" t="s">
        <v>728</v>
      </c>
      <c r="L1015" s="607" t="s">
        <v>653</v>
      </c>
      <c r="M1015" s="620">
        <v>43084</v>
      </c>
      <c r="N1015" s="620">
        <v>43086</v>
      </c>
      <c r="O1015" s="59" t="s">
        <v>601</v>
      </c>
      <c r="P1015" s="61"/>
      <c r="Q1015" s="7"/>
      <c r="R1015" s="606" t="s">
        <v>3336</v>
      </c>
      <c r="S1015" s="316" t="s">
        <v>3561</v>
      </c>
      <c r="T1015" s="858"/>
    </row>
    <row r="1016" spans="1:20" ht="20.100000000000001" customHeight="1">
      <c r="A1016" s="1255" t="s">
        <v>3578</v>
      </c>
      <c r="B1016" s="1232" t="s">
        <v>3630</v>
      </c>
      <c r="C1016" s="1232" t="s">
        <v>3648</v>
      </c>
      <c r="D1016" s="1008">
        <v>1125</v>
      </c>
      <c r="E1016" s="1008">
        <v>1250</v>
      </c>
      <c r="F1016" s="1008">
        <v>1250</v>
      </c>
      <c r="G1016" s="227" t="s">
        <v>1689</v>
      </c>
      <c r="H1016" s="160" t="s">
        <v>1233</v>
      </c>
      <c r="I1016" s="50" t="s">
        <v>17</v>
      </c>
      <c r="J1016" s="50"/>
      <c r="K1016" s="34" t="s">
        <v>984</v>
      </c>
      <c r="L1016" s="607" t="s">
        <v>653</v>
      </c>
      <c r="M1016" s="156">
        <v>43076</v>
      </c>
      <c r="N1016" s="156">
        <v>43083</v>
      </c>
      <c r="O1016" s="61" t="s">
        <v>1771</v>
      </c>
      <c r="P1016" s="61"/>
      <c r="Q1016" s="52"/>
      <c r="R1016" s="606" t="s">
        <v>3607</v>
      </c>
      <c r="S1016" s="316" t="s">
        <v>2943</v>
      </c>
      <c r="T1016" s="858"/>
    </row>
    <row r="1017" spans="1:20" ht="20.100000000000001" customHeight="1">
      <c r="A1017" s="1255" t="s">
        <v>3578</v>
      </c>
      <c r="B1017" s="1232" t="s">
        <v>3630</v>
      </c>
      <c r="C1017" s="1232" t="s">
        <v>3648</v>
      </c>
      <c r="D1017" s="1015">
        <v>1200</v>
      </c>
      <c r="E1017" s="1015">
        <v>1375</v>
      </c>
      <c r="F1017" s="1015">
        <v>1375</v>
      </c>
      <c r="G1017" s="631" t="s">
        <v>18</v>
      </c>
      <c r="H1017" s="160" t="s">
        <v>1233</v>
      </c>
      <c r="I1017" s="50" t="s">
        <v>17</v>
      </c>
      <c r="J1017" s="50"/>
      <c r="K1017" s="34" t="s">
        <v>984</v>
      </c>
      <c r="L1017" s="607" t="s">
        <v>653</v>
      </c>
      <c r="M1017" s="108">
        <v>43078</v>
      </c>
      <c r="N1017" s="108">
        <v>43083</v>
      </c>
      <c r="O1017" s="61"/>
      <c r="P1017" s="61"/>
      <c r="Q1017" s="52"/>
      <c r="R1017" s="606" t="s">
        <v>1366</v>
      </c>
      <c r="S1017" s="622"/>
      <c r="T1017" s="858"/>
    </row>
    <row r="1018" spans="1:20" ht="20.100000000000001" customHeight="1">
      <c r="A1018" s="1255" t="s">
        <v>3578</v>
      </c>
      <c r="B1018" s="1232" t="s">
        <v>3630</v>
      </c>
      <c r="C1018" s="1232" t="s">
        <v>3647</v>
      </c>
      <c r="D1018" s="1007">
        <f>D993+2800+25</f>
        <v>3950</v>
      </c>
      <c r="E1018" s="1007">
        <f>E993+2800+50</f>
        <v>4100</v>
      </c>
      <c r="F1018" s="1007">
        <f>F993+2800+50</f>
        <v>4100</v>
      </c>
      <c r="G1018" s="609" t="s">
        <v>1689</v>
      </c>
      <c r="H1018" s="160">
        <v>2</v>
      </c>
      <c r="I1018" s="37" t="s">
        <v>3577</v>
      </c>
      <c r="J1018" s="37"/>
      <c r="K1018" s="5">
        <v>28</v>
      </c>
      <c r="L1018" s="607" t="s">
        <v>653</v>
      </c>
      <c r="M1018" s="156">
        <v>43076</v>
      </c>
      <c r="N1018" s="156">
        <v>43083</v>
      </c>
      <c r="O1018" s="61" t="s">
        <v>1771</v>
      </c>
      <c r="P1018" s="61"/>
      <c r="Q1018" s="14" t="s">
        <v>24</v>
      </c>
      <c r="R1018" s="606" t="s">
        <v>3576</v>
      </c>
      <c r="S1018" s="316" t="s">
        <v>2943</v>
      </c>
      <c r="T1018" s="921"/>
    </row>
    <row r="1019" spans="1:20" ht="20.100000000000001" customHeight="1">
      <c r="A1019" s="1255" t="s">
        <v>3578</v>
      </c>
      <c r="B1019" s="1232" t="s">
        <v>3630</v>
      </c>
      <c r="C1019" s="1232" t="s">
        <v>3647</v>
      </c>
      <c r="D1019" s="1007">
        <f>D997+3292+25</f>
        <v>4867</v>
      </c>
      <c r="E1019" s="1007">
        <f>E997+3292+50</f>
        <v>5142</v>
      </c>
      <c r="F1019" s="1007">
        <f>F997+3292+50</f>
        <v>5142</v>
      </c>
      <c r="G1019" s="615" t="s">
        <v>5</v>
      </c>
      <c r="H1019" s="160" t="s">
        <v>3397</v>
      </c>
      <c r="I1019" s="37" t="s">
        <v>3577</v>
      </c>
      <c r="J1019" s="37"/>
      <c r="K1019" s="5"/>
      <c r="L1019" s="607" t="s">
        <v>653</v>
      </c>
      <c r="M1019" s="159">
        <v>43087</v>
      </c>
      <c r="N1019" s="159">
        <v>43093</v>
      </c>
      <c r="O1019" s="61" t="s">
        <v>1771</v>
      </c>
      <c r="P1019" s="61"/>
      <c r="Q1019" s="72" t="s">
        <v>3628</v>
      </c>
      <c r="R1019" s="606" t="s">
        <v>3627</v>
      </c>
      <c r="S1019" s="316"/>
      <c r="T1019" s="921"/>
    </row>
    <row r="1020" spans="1:20" ht="20.100000000000001" customHeight="1">
      <c r="A1020" s="1255" t="s">
        <v>3578</v>
      </c>
      <c r="B1020" s="1232" t="s">
        <v>3630</v>
      </c>
      <c r="C1020" s="1232" t="s">
        <v>3646</v>
      </c>
      <c r="D1020" s="1007">
        <f>D993+850+25</f>
        <v>2000</v>
      </c>
      <c r="E1020" s="1007">
        <f>E993+850+50</f>
        <v>2150</v>
      </c>
      <c r="F1020" s="1007">
        <f>F993+850+50</f>
        <v>2150</v>
      </c>
      <c r="G1020" s="609" t="s">
        <v>1689</v>
      </c>
      <c r="H1020" s="160">
        <v>2</v>
      </c>
      <c r="I1020" s="37" t="s">
        <v>3577</v>
      </c>
      <c r="J1020" s="37"/>
      <c r="K1020" s="5">
        <v>36</v>
      </c>
      <c r="L1020" s="607" t="s">
        <v>653</v>
      </c>
      <c r="M1020" s="156">
        <v>43076</v>
      </c>
      <c r="N1020" s="156">
        <v>43083</v>
      </c>
      <c r="O1020" s="61" t="s">
        <v>1771</v>
      </c>
      <c r="P1020" s="61"/>
      <c r="Q1020" s="14" t="s">
        <v>24</v>
      </c>
      <c r="R1020" s="606" t="s">
        <v>3576</v>
      </c>
      <c r="S1020" s="316" t="s">
        <v>2943</v>
      </c>
      <c r="T1020" s="921"/>
    </row>
    <row r="1021" spans="1:20" ht="20.100000000000001" customHeight="1">
      <c r="A1021" s="1255" t="s">
        <v>3578</v>
      </c>
      <c r="B1021" s="1232" t="s">
        <v>3630</v>
      </c>
      <c r="C1021" s="1232" t="s">
        <v>3646</v>
      </c>
      <c r="D1021" s="1007">
        <f>D997+858+25</f>
        <v>2433</v>
      </c>
      <c r="E1021" s="1007">
        <f>E997+858+50</f>
        <v>2708</v>
      </c>
      <c r="F1021" s="1007">
        <f>F997+858+50</f>
        <v>2708</v>
      </c>
      <c r="G1021" s="615" t="s">
        <v>5</v>
      </c>
      <c r="H1021" s="160" t="s">
        <v>3397</v>
      </c>
      <c r="I1021" s="37" t="s">
        <v>3577</v>
      </c>
      <c r="J1021" s="37"/>
      <c r="K1021" s="5"/>
      <c r="L1021" s="607" t="s">
        <v>653</v>
      </c>
      <c r="M1021" s="159">
        <v>43087</v>
      </c>
      <c r="N1021" s="159">
        <v>43093</v>
      </c>
      <c r="O1021" s="61" t="s">
        <v>1771</v>
      </c>
      <c r="P1021" s="61"/>
      <c r="Q1021" s="72" t="s">
        <v>3628</v>
      </c>
      <c r="R1021" s="606" t="s">
        <v>3627</v>
      </c>
      <c r="S1021" s="316"/>
      <c r="T1021" s="921"/>
    </row>
    <row r="1022" spans="1:20" ht="20.100000000000001" customHeight="1">
      <c r="A1022" s="931" t="s">
        <v>3578</v>
      </c>
      <c r="B1022" s="910" t="s">
        <v>3630</v>
      </c>
      <c r="C1022" s="910" t="s">
        <v>3645</v>
      </c>
      <c r="D1022" s="1007">
        <f>D993+750+25</f>
        <v>1900</v>
      </c>
      <c r="E1022" s="1007">
        <f>E993+750+50</f>
        <v>2050</v>
      </c>
      <c r="F1022" s="1007">
        <f>F993+750+50</f>
        <v>2050</v>
      </c>
      <c r="G1022" s="609" t="s">
        <v>1689</v>
      </c>
      <c r="H1022" s="160">
        <v>2</v>
      </c>
      <c r="I1022" s="37" t="s">
        <v>3577</v>
      </c>
      <c r="J1022" s="37"/>
      <c r="K1022" s="5">
        <v>36</v>
      </c>
      <c r="L1022" s="607" t="s">
        <v>653</v>
      </c>
      <c r="M1022" s="156">
        <v>43076</v>
      </c>
      <c r="N1022" s="156">
        <v>43083</v>
      </c>
      <c r="O1022" s="61" t="s">
        <v>1771</v>
      </c>
      <c r="P1022" s="61"/>
      <c r="Q1022" s="14" t="s">
        <v>24</v>
      </c>
      <c r="R1022" s="606" t="s">
        <v>3576</v>
      </c>
      <c r="S1022" s="316" t="s">
        <v>2943</v>
      </c>
      <c r="T1022" s="921"/>
    </row>
    <row r="1023" spans="1:20" ht="20.100000000000001" customHeight="1">
      <c r="A1023" s="1255" t="s">
        <v>3578</v>
      </c>
      <c r="B1023" s="1232" t="s">
        <v>3630</v>
      </c>
      <c r="C1023" s="1232" t="s">
        <v>3644</v>
      </c>
      <c r="D1023" s="1007">
        <f>D993+1300+25</f>
        <v>2450</v>
      </c>
      <c r="E1023" s="1007">
        <f>E993+1300+50</f>
        <v>2600</v>
      </c>
      <c r="F1023" s="1007">
        <f>F993+1300+50</f>
        <v>2600</v>
      </c>
      <c r="G1023" s="609" t="s">
        <v>1689</v>
      </c>
      <c r="H1023" s="160">
        <v>2</v>
      </c>
      <c r="I1023" s="37" t="s">
        <v>3577</v>
      </c>
      <c r="J1023" s="37"/>
      <c r="K1023" s="5">
        <v>36</v>
      </c>
      <c r="L1023" s="607" t="s">
        <v>653</v>
      </c>
      <c r="M1023" s="156">
        <v>43076</v>
      </c>
      <c r="N1023" s="156">
        <v>43083</v>
      </c>
      <c r="O1023" s="61" t="s">
        <v>1771</v>
      </c>
      <c r="P1023" s="61"/>
      <c r="Q1023" s="14" t="s">
        <v>24</v>
      </c>
      <c r="R1023" s="606" t="s">
        <v>3576</v>
      </c>
      <c r="S1023" s="316" t="s">
        <v>2943</v>
      </c>
      <c r="T1023" s="921"/>
    </row>
    <row r="1024" spans="1:20" ht="20.100000000000001" customHeight="1">
      <c r="A1024" s="1255" t="s">
        <v>3578</v>
      </c>
      <c r="B1024" s="1232" t="s">
        <v>3630</v>
      </c>
      <c r="C1024" s="1232" t="s">
        <v>3644</v>
      </c>
      <c r="D1024" s="1007">
        <f>D997+1503+25</f>
        <v>3078</v>
      </c>
      <c r="E1024" s="1007">
        <f>E997+1503+50</f>
        <v>3353</v>
      </c>
      <c r="F1024" s="1007">
        <f>F997+1503+50</f>
        <v>3353</v>
      </c>
      <c r="G1024" s="615" t="s">
        <v>5</v>
      </c>
      <c r="H1024" s="160" t="s">
        <v>3397</v>
      </c>
      <c r="I1024" s="37" t="s">
        <v>3577</v>
      </c>
      <c r="J1024" s="37"/>
      <c r="K1024" s="5"/>
      <c r="L1024" s="607" t="s">
        <v>653</v>
      </c>
      <c r="M1024" s="159">
        <v>43087</v>
      </c>
      <c r="N1024" s="159">
        <v>43093</v>
      </c>
      <c r="O1024" s="61" t="s">
        <v>1771</v>
      </c>
      <c r="P1024" s="61"/>
      <c r="Q1024" s="72" t="s">
        <v>3628</v>
      </c>
      <c r="R1024" s="606" t="s">
        <v>3627</v>
      </c>
      <c r="S1024" s="316"/>
      <c r="T1024" s="921"/>
    </row>
    <row r="1025" spans="1:20" ht="20.100000000000001" customHeight="1">
      <c r="A1025" s="1255" t="s">
        <v>3578</v>
      </c>
      <c r="B1025" s="1232" t="s">
        <v>3630</v>
      </c>
      <c r="C1025" s="1232" t="s">
        <v>3643</v>
      </c>
      <c r="D1025" s="1007">
        <f>D993+580+25</f>
        <v>1730</v>
      </c>
      <c r="E1025" s="1007">
        <f>E993+580+50</f>
        <v>1880</v>
      </c>
      <c r="F1025" s="1007">
        <f>F993+580+50</f>
        <v>1880</v>
      </c>
      <c r="G1025" s="609" t="s">
        <v>1689</v>
      </c>
      <c r="H1025" s="160">
        <v>2</v>
      </c>
      <c r="I1025" s="37" t="s">
        <v>3577</v>
      </c>
      <c r="J1025" s="37"/>
      <c r="K1025" s="5">
        <v>28</v>
      </c>
      <c r="L1025" s="607" t="s">
        <v>653</v>
      </c>
      <c r="M1025" s="156">
        <v>43076</v>
      </c>
      <c r="N1025" s="156">
        <v>43083</v>
      </c>
      <c r="O1025" s="61" t="s">
        <v>1771</v>
      </c>
      <c r="P1025" s="61"/>
      <c r="Q1025" s="14" t="s">
        <v>24</v>
      </c>
      <c r="R1025" s="606" t="s">
        <v>3576</v>
      </c>
      <c r="S1025" s="316" t="s">
        <v>2943</v>
      </c>
      <c r="T1025" s="921"/>
    </row>
    <row r="1026" spans="1:20" ht="20.100000000000001" customHeight="1">
      <c r="A1026" s="1255" t="s">
        <v>3578</v>
      </c>
      <c r="B1026" s="1232" t="s">
        <v>3630</v>
      </c>
      <c r="C1026" s="1232" t="s">
        <v>3643</v>
      </c>
      <c r="D1026" s="1007">
        <f>D997+502+25</f>
        <v>2077</v>
      </c>
      <c r="E1026" s="1007">
        <f>E997+502+50</f>
        <v>2352</v>
      </c>
      <c r="F1026" s="1007">
        <f>F997+502+50</f>
        <v>2352</v>
      </c>
      <c r="G1026" s="615" t="s">
        <v>5</v>
      </c>
      <c r="H1026" s="160" t="s">
        <v>3397</v>
      </c>
      <c r="I1026" s="37" t="s">
        <v>3577</v>
      </c>
      <c r="J1026" s="37"/>
      <c r="K1026" s="5"/>
      <c r="L1026" s="607" t="s">
        <v>653</v>
      </c>
      <c r="M1026" s="159">
        <v>43087</v>
      </c>
      <c r="N1026" s="159">
        <v>43093</v>
      </c>
      <c r="O1026" s="61" t="s">
        <v>1771</v>
      </c>
      <c r="P1026" s="61"/>
      <c r="Q1026" s="72" t="s">
        <v>3628</v>
      </c>
      <c r="R1026" s="606" t="s">
        <v>3627</v>
      </c>
      <c r="S1026" s="316"/>
      <c r="T1026" s="921"/>
    </row>
    <row r="1027" spans="1:20" ht="20.100000000000001" customHeight="1">
      <c r="A1027" s="1255" t="s">
        <v>3578</v>
      </c>
      <c r="B1027" s="1232" t="s">
        <v>3630</v>
      </c>
      <c r="C1027" s="1232" t="s">
        <v>3642</v>
      </c>
      <c r="D1027" s="1008">
        <f>D993+1500+25</f>
        <v>2650</v>
      </c>
      <c r="E1027" s="1008">
        <f>E993+1500+50</f>
        <v>2800</v>
      </c>
      <c r="F1027" s="1008">
        <f>F993+1500+50</f>
        <v>2800</v>
      </c>
      <c r="G1027" s="609" t="s">
        <v>1689</v>
      </c>
      <c r="H1027" s="160">
        <v>2</v>
      </c>
      <c r="I1027" s="37" t="s">
        <v>3577</v>
      </c>
      <c r="J1027" s="37"/>
      <c r="K1027" s="5">
        <v>28</v>
      </c>
      <c r="L1027" s="607" t="s">
        <v>653</v>
      </c>
      <c r="M1027" s="156">
        <v>43076</v>
      </c>
      <c r="N1027" s="156">
        <v>43083</v>
      </c>
      <c r="O1027" s="61" t="s">
        <v>1771</v>
      </c>
      <c r="P1027" s="61"/>
      <c r="Q1027" s="14" t="s">
        <v>24</v>
      </c>
      <c r="R1027" s="606" t="s">
        <v>3576</v>
      </c>
      <c r="S1027" s="316" t="s">
        <v>2943</v>
      </c>
      <c r="T1027" s="858"/>
    </row>
    <row r="1028" spans="1:20" ht="20.100000000000001" customHeight="1">
      <c r="A1028" s="1255" t="s">
        <v>3578</v>
      </c>
      <c r="B1028" s="1232" t="s">
        <v>3630</v>
      </c>
      <c r="C1028" s="1232" t="s">
        <v>3642</v>
      </c>
      <c r="D1028" s="1008">
        <f>D997+1635+25</f>
        <v>3210</v>
      </c>
      <c r="E1028" s="1008">
        <f>E997+1635+50</f>
        <v>3485</v>
      </c>
      <c r="F1028" s="1008">
        <f>F997+1635+50</f>
        <v>3485</v>
      </c>
      <c r="G1028" s="615" t="s">
        <v>5</v>
      </c>
      <c r="H1028" s="160" t="s">
        <v>3397</v>
      </c>
      <c r="I1028" s="37" t="s">
        <v>3577</v>
      </c>
      <c r="J1028" s="37"/>
      <c r="K1028" s="5"/>
      <c r="L1028" s="607" t="s">
        <v>653</v>
      </c>
      <c r="M1028" s="159">
        <v>43087</v>
      </c>
      <c r="N1028" s="159">
        <v>43093</v>
      </c>
      <c r="O1028" s="61" t="s">
        <v>1771</v>
      </c>
      <c r="P1028" s="61"/>
      <c r="Q1028" s="72" t="s">
        <v>3628</v>
      </c>
      <c r="R1028" s="606" t="s">
        <v>3627</v>
      </c>
      <c r="S1028" s="316"/>
      <c r="T1028" s="858"/>
    </row>
    <row r="1029" spans="1:20" ht="20.100000000000001" customHeight="1">
      <c r="A1029" s="1255" t="s">
        <v>3578</v>
      </c>
      <c r="B1029" s="1232" t="s">
        <v>3630</v>
      </c>
      <c r="C1029" s="1232" t="s">
        <v>3641</v>
      </c>
      <c r="D1029" s="1007">
        <f>D993+2600+25</f>
        <v>3750</v>
      </c>
      <c r="E1029" s="1007">
        <f>E993+2600+50</f>
        <v>3900</v>
      </c>
      <c r="F1029" s="1007">
        <f>F993+2600+50</f>
        <v>3900</v>
      </c>
      <c r="G1029" s="609" t="s">
        <v>1689</v>
      </c>
      <c r="H1029" s="160">
        <v>2</v>
      </c>
      <c r="I1029" s="37" t="s">
        <v>3577</v>
      </c>
      <c r="J1029" s="37"/>
      <c r="K1029" s="5">
        <v>28</v>
      </c>
      <c r="L1029" s="607" t="s">
        <v>653</v>
      </c>
      <c r="M1029" s="156">
        <v>43076</v>
      </c>
      <c r="N1029" s="156">
        <v>43083</v>
      </c>
      <c r="O1029" s="61" t="s">
        <v>1771</v>
      </c>
      <c r="P1029" s="61"/>
      <c r="Q1029" s="14" t="s">
        <v>24</v>
      </c>
      <c r="R1029" s="606" t="s">
        <v>3576</v>
      </c>
      <c r="S1029" s="316" t="s">
        <v>2943</v>
      </c>
      <c r="T1029" s="921"/>
    </row>
    <row r="1030" spans="1:20" ht="20.100000000000001" customHeight="1">
      <c r="A1030" s="1255" t="s">
        <v>3578</v>
      </c>
      <c r="B1030" s="1232" t="s">
        <v>3630</v>
      </c>
      <c r="C1030" s="1232" t="s">
        <v>3641</v>
      </c>
      <c r="D1030" s="1007">
        <f>D997+2696+25</f>
        <v>4271</v>
      </c>
      <c r="E1030" s="1007">
        <f>E997+2696+50</f>
        <v>4546</v>
      </c>
      <c r="F1030" s="1007">
        <f>F997+2696+50</f>
        <v>4546</v>
      </c>
      <c r="G1030" s="615" t="s">
        <v>5</v>
      </c>
      <c r="H1030" s="160" t="s">
        <v>3397</v>
      </c>
      <c r="I1030" s="37" t="s">
        <v>3577</v>
      </c>
      <c r="J1030" s="37"/>
      <c r="K1030" s="5"/>
      <c r="L1030" s="607" t="s">
        <v>653</v>
      </c>
      <c r="M1030" s="159">
        <v>43087</v>
      </c>
      <c r="N1030" s="159">
        <v>43093</v>
      </c>
      <c r="O1030" s="61" t="s">
        <v>1771</v>
      </c>
      <c r="P1030" s="61"/>
      <c r="Q1030" s="72" t="s">
        <v>3628</v>
      </c>
      <c r="R1030" s="606" t="s">
        <v>3627</v>
      </c>
      <c r="S1030" s="316"/>
      <c r="T1030" s="921"/>
    </row>
    <row r="1031" spans="1:20" ht="20.100000000000001" customHeight="1">
      <c r="A1031" s="1255" t="s">
        <v>3578</v>
      </c>
      <c r="B1031" s="1232" t="s">
        <v>3630</v>
      </c>
      <c r="C1031" s="1232" t="s">
        <v>3640</v>
      </c>
      <c r="D1031" s="1007">
        <f>D993+850+25</f>
        <v>2000</v>
      </c>
      <c r="E1031" s="1007">
        <f>E993+850+50</f>
        <v>2150</v>
      </c>
      <c r="F1031" s="1007">
        <f>F993+850+50</f>
        <v>2150</v>
      </c>
      <c r="G1031" s="609" t="s">
        <v>1689</v>
      </c>
      <c r="H1031" s="160">
        <v>2</v>
      </c>
      <c r="I1031" s="37" t="s">
        <v>3577</v>
      </c>
      <c r="J1031" s="37"/>
      <c r="K1031" s="5">
        <v>36</v>
      </c>
      <c r="L1031" s="607" t="s">
        <v>653</v>
      </c>
      <c r="M1031" s="156">
        <v>43076</v>
      </c>
      <c r="N1031" s="156">
        <v>43083</v>
      </c>
      <c r="O1031" s="61" t="s">
        <v>1771</v>
      </c>
      <c r="P1031" s="61"/>
      <c r="Q1031" s="14" t="s">
        <v>24</v>
      </c>
      <c r="R1031" s="606" t="s">
        <v>3576</v>
      </c>
      <c r="S1031" s="316" t="s">
        <v>2943</v>
      </c>
      <c r="T1031" s="921"/>
    </row>
    <row r="1032" spans="1:20" ht="20.100000000000001" customHeight="1">
      <c r="A1032" s="1255" t="s">
        <v>3578</v>
      </c>
      <c r="B1032" s="1232" t="s">
        <v>3630</v>
      </c>
      <c r="C1032" s="1232" t="s">
        <v>3640</v>
      </c>
      <c r="D1032" s="1007">
        <f>D997+872+25</f>
        <v>2447</v>
      </c>
      <c r="E1032" s="1007">
        <f>E997+872+50</f>
        <v>2722</v>
      </c>
      <c r="F1032" s="1007">
        <f>F997+872+50</f>
        <v>2722</v>
      </c>
      <c r="G1032" s="615" t="s">
        <v>5</v>
      </c>
      <c r="H1032" s="160" t="s">
        <v>3397</v>
      </c>
      <c r="I1032" s="37" t="s">
        <v>3577</v>
      </c>
      <c r="J1032" s="37"/>
      <c r="K1032" s="5"/>
      <c r="L1032" s="607" t="s">
        <v>653</v>
      </c>
      <c r="M1032" s="159">
        <v>43087</v>
      </c>
      <c r="N1032" s="159">
        <v>43093</v>
      </c>
      <c r="O1032" s="61" t="s">
        <v>1771</v>
      </c>
      <c r="P1032" s="61"/>
      <c r="Q1032" s="72" t="s">
        <v>3628</v>
      </c>
      <c r="R1032" s="606" t="s">
        <v>3627</v>
      </c>
      <c r="S1032" s="316"/>
      <c r="T1032" s="921"/>
    </row>
    <row r="1033" spans="1:20" ht="20.100000000000001" customHeight="1">
      <c r="A1033" s="1255" t="s">
        <v>3578</v>
      </c>
      <c r="B1033" s="1232" t="s">
        <v>3630</v>
      </c>
      <c r="C1033" s="1232" t="s">
        <v>3639</v>
      </c>
      <c r="D1033" s="1007">
        <f>D997+765+25</f>
        <v>2340</v>
      </c>
      <c r="E1033" s="1007">
        <f>E997+765+50</f>
        <v>2615</v>
      </c>
      <c r="F1033" s="1007">
        <f>F997+765+50</f>
        <v>2615</v>
      </c>
      <c r="G1033" s="615" t="s">
        <v>5</v>
      </c>
      <c r="H1033" s="160" t="s">
        <v>3397</v>
      </c>
      <c r="I1033" s="37" t="s">
        <v>3577</v>
      </c>
      <c r="J1033" s="37"/>
      <c r="K1033" s="5"/>
      <c r="L1033" s="607" t="s">
        <v>653</v>
      </c>
      <c r="M1033" s="159">
        <v>43087</v>
      </c>
      <c r="N1033" s="159">
        <v>43093</v>
      </c>
      <c r="O1033" s="61" t="s">
        <v>1771</v>
      </c>
      <c r="P1033" s="61"/>
      <c r="Q1033" s="72" t="s">
        <v>3628</v>
      </c>
      <c r="R1033" s="606" t="s">
        <v>3627</v>
      </c>
      <c r="S1033" s="316"/>
      <c r="T1033" s="921"/>
    </row>
    <row r="1034" spans="1:20" ht="20.100000000000001" customHeight="1">
      <c r="A1034" s="1255" t="s">
        <v>3578</v>
      </c>
      <c r="B1034" s="1232" t="s">
        <v>3630</v>
      </c>
      <c r="C1034" s="1232" t="s">
        <v>3639</v>
      </c>
      <c r="D1034" s="1007">
        <f>D993+750+25</f>
        <v>1900</v>
      </c>
      <c r="E1034" s="1007">
        <f>E993+750+50</f>
        <v>2050</v>
      </c>
      <c r="F1034" s="1007">
        <f>F993+750+50</f>
        <v>2050</v>
      </c>
      <c r="G1034" s="609" t="s">
        <v>1689</v>
      </c>
      <c r="H1034" s="160">
        <v>2</v>
      </c>
      <c r="I1034" s="37" t="s">
        <v>3577</v>
      </c>
      <c r="J1034" s="37"/>
      <c r="K1034" s="5">
        <v>28</v>
      </c>
      <c r="L1034" s="607" t="s">
        <v>653</v>
      </c>
      <c r="M1034" s="156">
        <v>43076</v>
      </c>
      <c r="N1034" s="156">
        <v>43083</v>
      </c>
      <c r="O1034" s="61" t="s">
        <v>1771</v>
      </c>
      <c r="P1034" s="61"/>
      <c r="Q1034" s="14" t="s">
        <v>24</v>
      </c>
      <c r="R1034" s="606" t="s">
        <v>3576</v>
      </c>
      <c r="S1034" s="316" t="s">
        <v>2943</v>
      </c>
      <c r="T1034" s="921"/>
    </row>
    <row r="1035" spans="1:20" ht="20.100000000000001" customHeight="1">
      <c r="A1035" s="1255" t="s">
        <v>3578</v>
      </c>
      <c r="B1035" s="1232" t="s">
        <v>3630</v>
      </c>
      <c r="C1035" s="1232" t="s">
        <v>3638</v>
      </c>
      <c r="D1035" s="1007">
        <f>D993+600+25</f>
        <v>1750</v>
      </c>
      <c r="E1035" s="1007">
        <f>E993+600+50</f>
        <v>1900</v>
      </c>
      <c r="F1035" s="1007">
        <f>F993+600+50</f>
        <v>1900</v>
      </c>
      <c r="G1035" s="609" t="s">
        <v>1689</v>
      </c>
      <c r="H1035" s="160">
        <v>2</v>
      </c>
      <c r="I1035" s="37" t="s">
        <v>3577</v>
      </c>
      <c r="J1035" s="37"/>
      <c r="K1035" s="5">
        <v>36</v>
      </c>
      <c r="L1035" s="607" t="s">
        <v>653</v>
      </c>
      <c r="M1035" s="156">
        <v>43076</v>
      </c>
      <c r="N1035" s="156">
        <v>43083</v>
      </c>
      <c r="O1035" s="61" t="s">
        <v>1771</v>
      </c>
      <c r="P1035" s="61"/>
      <c r="Q1035" s="14" t="s">
        <v>24</v>
      </c>
      <c r="R1035" s="606" t="s">
        <v>3576</v>
      </c>
      <c r="S1035" s="316" t="s">
        <v>2943</v>
      </c>
      <c r="T1035" s="921"/>
    </row>
    <row r="1036" spans="1:20" ht="20.100000000000001" customHeight="1">
      <c r="A1036" s="1255" t="s">
        <v>3578</v>
      </c>
      <c r="B1036" s="1232" t="s">
        <v>3630</v>
      </c>
      <c r="C1036" s="1232" t="s">
        <v>3638</v>
      </c>
      <c r="D1036" s="1007">
        <f>D997+502+25</f>
        <v>2077</v>
      </c>
      <c r="E1036" s="1007">
        <f>E997+502+50</f>
        <v>2352</v>
      </c>
      <c r="F1036" s="1007">
        <f>F997+502+50</f>
        <v>2352</v>
      </c>
      <c r="G1036" s="615" t="s">
        <v>5</v>
      </c>
      <c r="H1036" s="160" t="s">
        <v>3397</v>
      </c>
      <c r="I1036" s="37" t="s">
        <v>3577</v>
      </c>
      <c r="J1036" s="37"/>
      <c r="K1036" s="5"/>
      <c r="L1036" s="607" t="s">
        <v>653</v>
      </c>
      <c r="M1036" s="159">
        <v>43087</v>
      </c>
      <c r="N1036" s="159">
        <v>43093</v>
      </c>
      <c r="O1036" s="61" t="s">
        <v>1771</v>
      </c>
      <c r="P1036" s="61"/>
      <c r="Q1036" s="72" t="s">
        <v>3628</v>
      </c>
      <c r="R1036" s="606" t="s">
        <v>3627</v>
      </c>
      <c r="S1036" s="316"/>
      <c r="T1036" s="921"/>
    </row>
    <row r="1037" spans="1:20" ht="20.100000000000001" customHeight="1">
      <c r="A1037" s="1255" t="s">
        <v>3578</v>
      </c>
      <c r="B1037" s="1232" t="s">
        <v>3630</v>
      </c>
      <c r="C1037" s="1232" t="s">
        <v>4215</v>
      </c>
      <c r="D1037" s="1007">
        <f>D993+1000+25</f>
        <v>2150</v>
      </c>
      <c r="E1037" s="1007">
        <f>E993+1000+50</f>
        <v>2300</v>
      </c>
      <c r="F1037" s="1007">
        <f>F993+1000+50</f>
        <v>2300</v>
      </c>
      <c r="G1037" s="609" t="s">
        <v>1689</v>
      </c>
      <c r="H1037" s="160">
        <v>2</v>
      </c>
      <c r="I1037" s="37" t="s">
        <v>3577</v>
      </c>
      <c r="J1037" s="37"/>
      <c r="K1037" s="5">
        <v>36</v>
      </c>
      <c r="L1037" s="607" t="s">
        <v>653</v>
      </c>
      <c r="M1037" s="156">
        <v>43076</v>
      </c>
      <c r="N1037" s="156">
        <v>43083</v>
      </c>
      <c r="O1037" s="61" t="s">
        <v>1771</v>
      </c>
      <c r="P1037" s="61"/>
      <c r="Q1037" s="14" t="s">
        <v>24</v>
      </c>
      <c r="R1037" s="606" t="s">
        <v>3576</v>
      </c>
      <c r="S1037" s="316" t="s">
        <v>2943</v>
      </c>
      <c r="T1037" s="921"/>
    </row>
    <row r="1038" spans="1:20" ht="20.100000000000001" customHeight="1">
      <c r="A1038" s="1255" t="s">
        <v>3578</v>
      </c>
      <c r="B1038" s="1232" t="s">
        <v>3630</v>
      </c>
      <c r="C1038" s="1232" t="s">
        <v>4215</v>
      </c>
      <c r="D1038" s="1007">
        <f>D997+1108+25</f>
        <v>2683</v>
      </c>
      <c r="E1038" s="1007">
        <f>E997+1108+50</f>
        <v>2958</v>
      </c>
      <c r="F1038" s="1007">
        <f>F997+1108+50</f>
        <v>2958</v>
      </c>
      <c r="G1038" s="615" t="s">
        <v>5</v>
      </c>
      <c r="H1038" s="160" t="s">
        <v>3397</v>
      </c>
      <c r="I1038" s="37" t="s">
        <v>3577</v>
      </c>
      <c r="J1038" s="37"/>
      <c r="K1038" s="5"/>
      <c r="L1038" s="607" t="s">
        <v>653</v>
      </c>
      <c r="M1038" s="159">
        <v>43087</v>
      </c>
      <c r="N1038" s="159">
        <v>43093</v>
      </c>
      <c r="O1038" s="61" t="s">
        <v>1771</v>
      </c>
      <c r="P1038" s="61"/>
      <c r="Q1038" s="72" t="s">
        <v>3628</v>
      </c>
      <c r="R1038" s="606" t="s">
        <v>3627</v>
      </c>
      <c r="S1038" s="316"/>
      <c r="T1038" s="921"/>
    </row>
    <row r="1039" spans="1:20" ht="20.100000000000001" customHeight="1">
      <c r="A1039" s="1255" t="s">
        <v>3578</v>
      </c>
      <c r="B1039" s="1232" t="s">
        <v>3630</v>
      </c>
      <c r="C1039" s="1232" t="s">
        <v>4214</v>
      </c>
      <c r="D1039" s="1008">
        <f>D993+200+25</f>
        <v>1350</v>
      </c>
      <c r="E1039" s="1008">
        <f>E993+400+50</f>
        <v>1700</v>
      </c>
      <c r="F1039" s="1008">
        <f>F993+400+50</f>
        <v>1700</v>
      </c>
      <c r="G1039" s="609" t="s">
        <v>1689</v>
      </c>
      <c r="H1039" s="160">
        <v>2</v>
      </c>
      <c r="I1039" s="37" t="s">
        <v>3577</v>
      </c>
      <c r="J1039" s="37"/>
      <c r="K1039" s="5">
        <v>28</v>
      </c>
      <c r="L1039" s="607" t="s">
        <v>653</v>
      </c>
      <c r="M1039" s="156">
        <v>43076</v>
      </c>
      <c r="N1039" s="156">
        <v>43083</v>
      </c>
      <c r="O1039" s="61" t="s">
        <v>1771</v>
      </c>
      <c r="P1039" s="61"/>
      <c r="Q1039" s="7"/>
      <c r="R1039" s="606" t="s">
        <v>3576</v>
      </c>
      <c r="S1039" s="316" t="s">
        <v>2943</v>
      </c>
      <c r="T1039" s="858"/>
    </row>
    <row r="1040" spans="1:20" ht="20.100000000000001" customHeight="1">
      <c r="A1040" s="1255" t="s">
        <v>3578</v>
      </c>
      <c r="B1040" s="1232" t="s">
        <v>3630</v>
      </c>
      <c r="C1040" s="1232" t="s">
        <v>4214</v>
      </c>
      <c r="D1040" s="1008">
        <f>D997+4089+25</f>
        <v>5664</v>
      </c>
      <c r="E1040" s="1008">
        <f>E997+4089+50</f>
        <v>5939</v>
      </c>
      <c r="F1040" s="1008">
        <f>F997+4089+50</f>
        <v>5939</v>
      </c>
      <c r="G1040" s="615" t="s">
        <v>5</v>
      </c>
      <c r="H1040" s="160" t="s">
        <v>3397</v>
      </c>
      <c r="I1040" s="37" t="s">
        <v>3577</v>
      </c>
      <c r="J1040" s="37"/>
      <c r="K1040" s="5"/>
      <c r="L1040" s="607" t="s">
        <v>653</v>
      </c>
      <c r="M1040" s="159">
        <v>43087</v>
      </c>
      <c r="N1040" s="159">
        <v>43093</v>
      </c>
      <c r="O1040" s="61" t="s">
        <v>1771</v>
      </c>
      <c r="P1040" s="61"/>
      <c r="Q1040" s="72" t="s">
        <v>3628</v>
      </c>
      <c r="R1040" s="606" t="s">
        <v>3627</v>
      </c>
      <c r="S1040" s="316"/>
      <c r="T1040" s="858"/>
    </row>
    <row r="1041" spans="1:20" ht="20.100000000000001" customHeight="1">
      <c r="A1041" s="1255" t="s">
        <v>3578</v>
      </c>
      <c r="B1041" s="1232" t="s">
        <v>3630</v>
      </c>
      <c r="C1041" s="1232" t="s">
        <v>4214</v>
      </c>
      <c r="D1041" s="1008">
        <f>D995+600</f>
        <v>2150</v>
      </c>
      <c r="E1041" s="1008">
        <f>E995+1000</f>
        <v>2800</v>
      </c>
      <c r="F1041" s="1008">
        <f>F995+1000</f>
        <v>2800</v>
      </c>
      <c r="G1041" s="615" t="s">
        <v>19</v>
      </c>
      <c r="H1041" s="628" t="s">
        <v>3397</v>
      </c>
      <c r="I1041" s="50" t="s">
        <v>3577</v>
      </c>
      <c r="J1041" s="37"/>
      <c r="K1041" s="19" t="s">
        <v>775</v>
      </c>
      <c r="L1041" s="607" t="s">
        <v>653</v>
      </c>
      <c r="M1041" s="156">
        <v>43084</v>
      </c>
      <c r="N1041" s="156">
        <v>43093</v>
      </c>
      <c r="O1041" s="59" t="s">
        <v>611</v>
      </c>
      <c r="P1041" s="61"/>
      <c r="Q1041" s="72"/>
      <c r="R1041" s="606" t="s">
        <v>4213</v>
      </c>
      <c r="S1041" s="315" t="s">
        <v>3337</v>
      </c>
      <c r="T1041" s="858"/>
    </row>
    <row r="1042" spans="1:20" ht="20.100000000000001" customHeight="1">
      <c r="A1042" s="1255" t="s">
        <v>3578</v>
      </c>
      <c r="B1042" s="1232" t="s">
        <v>3630</v>
      </c>
      <c r="C1042" s="1232" t="s">
        <v>4212</v>
      </c>
      <c r="D1042" s="1008">
        <f>D993+400+25</f>
        <v>1550</v>
      </c>
      <c r="E1042" s="1008">
        <f>E993+500+50</f>
        <v>1800</v>
      </c>
      <c r="F1042" s="1008">
        <f>F993+500+50</f>
        <v>1800</v>
      </c>
      <c r="G1042" s="609" t="s">
        <v>1689</v>
      </c>
      <c r="H1042" s="160">
        <v>2</v>
      </c>
      <c r="I1042" s="37" t="s">
        <v>3577</v>
      </c>
      <c r="J1042" s="37"/>
      <c r="K1042" s="5">
        <v>36</v>
      </c>
      <c r="L1042" s="607" t="s">
        <v>653</v>
      </c>
      <c r="M1042" s="156">
        <v>43076</v>
      </c>
      <c r="N1042" s="156">
        <v>43083</v>
      </c>
      <c r="O1042" s="61" t="s">
        <v>1771</v>
      </c>
      <c r="P1042" s="61"/>
      <c r="Q1042" s="7"/>
      <c r="R1042" s="606" t="s">
        <v>3576</v>
      </c>
      <c r="S1042" s="316" t="s">
        <v>2943</v>
      </c>
      <c r="T1042" s="858"/>
    </row>
    <row r="1043" spans="1:20" ht="20.100000000000001" customHeight="1">
      <c r="A1043" s="1255" t="s">
        <v>3578</v>
      </c>
      <c r="B1043" s="1232" t="s">
        <v>3630</v>
      </c>
      <c r="C1043" s="1232" t="s">
        <v>4212</v>
      </c>
      <c r="D1043" s="1007">
        <f>D997+400</f>
        <v>1950</v>
      </c>
      <c r="E1043" s="1007">
        <f>E997+400</f>
        <v>2200</v>
      </c>
      <c r="F1043" s="1007">
        <f>F997+400</f>
        <v>2200</v>
      </c>
      <c r="G1043" s="216" t="s">
        <v>5</v>
      </c>
      <c r="H1043" s="4">
        <v>2</v>
      </c>
      <c r="I1043" s="50" t="s">
        <v>3577</v>
      </c>
      <c r="J1043" s="50"/>
      <c r="K1043" s="19">
        <v>30</v>
      </c>
      <c r="L1043" s="607" t="s">
        <v>653</v>
      </c>
      <c r="M1043" s="159">
        <v>43087</v>
      </c>
      <c r="N1043" s="159">
        <v>43093</v>
      </c>
      <c r="O1043" s="61" t="s">
        <v>1771</v>
      </c>
      <c r="P1043" s="61"/>
      <c r="Q1043" s="7"/>
      <c r="R1043" s="606" t="s">
        <v>3595</v>
      </c>
      <c r="S1043" s="622"/>
      <c r="T1043" s="858"/>
    </row>
    <row r="1044" spans="1:20" ht="20.100000000000001" customHeight="1">
      <c r="A1044" s="1255" t="s">
        <v>3578</v>
      </c>
      <c r="B1044" s="1232" t="s">
        <v>3630</v>
      </c>
      <c r="C1044" s="1232" t="s">
        <v>4212</v>
      </c>
      <c r="D1044" s="1007">
        <f>D995+308+50</f>
        <v>1908</v>
      </c>
      <c r="E1044" s="1007">
        <f>E995+308+100</f>
        <v>2208</v>
      </c>
      <c r="F1044" s="1007">
        <f>F995+308+100</f>
        <v>2208</v>
      </c>
      <c r="G1044" s="216" t="s">
        <v>19</v>
      </c>
      <c r="H1044" s="628">
        <v>2</v>
      </c>
      <c r="I1044" s="50" t="s">
        <v>3577</v>
      </c>
      <c r="J1044" s="50"/>
      <c r="K1044" s="19" t="s">
        <v>775</v>
      </c>
      <c r="L1044" s="607" t="s">
        <v>653</v>
      </c>
      <c r="M1044" s="156">
        <v>43084</v>
      </c>
      <c r="N1044" s="156">
        <v>43093</v>
      </c>
      <c r="O1044" s="59" t="s">
        <v>611</v>
      </c>
      <c r="P1044" s="61"/>
      <c r="Q1044" s="14" t="s">
        <v>100</v>
      </c>
      <c r="R1044" s="606" t="s">
        <v>3584</v>
      </c>
      <c r="S1044" s="315" t="s">
        <v>3337</v>
      </c>
      <c r="T1044" s="858"/>
    </row>
    <row r="1045" spans="1:20" ht="20.100000000000001" customHeight="1">
      <c r="A1045" s="1255" t="s">
        <v>3578</v>
      </c>
      <c r="B1045" s="1232" t="s">
        <v>3630</v>
      </c>
      <c r="C1045" s="1232" t="s">
        <v>4486</v>
      </c>
      <c r="D1045" s="1008">
        <f>D993+3400+25</f>
        <v>4550</v>
      </c>
      <c r="E1045" s="1008">
        <f>E993+3400+50</f>
        <v>4700</v>
      </c>
      <c r="F1045" s="1008">
        <f>F993+3400+50</f>
        <v>4700</v>
      </c>
      <c r="G1045" s="609" t="s">
        <v>1689</v>
      </c>
      <c r="H1045" s="160">
        <v>2</v>
      </c>
      <c r="I1045" s="37" t="s">
        <v>3577</v>
      </c>
      <c r="J1045" s="37"/>
      <c r="K1045" s="5">
        <v>28</v>
      </c>
      <c r="L1045" s="607" t="s">
        <v>653</v>
      </c>
      <c r="M1045" s="156">
        <v>43076</v>
      </c>
      <c r="N1045" s="156">
        <v>43083</v>
      </c>
      <c r="O1045" s="61" t="s">
        <v>1771</v>
      </c>
      <c r="P1045" s="61"/>
      <c r="Q1045" s="14" t="s">
        <v>24</v>
      </c>
      <c r="R1045" s="606" t="s">
        <v>3576</v>
      </c>
      <c r="S1045" s="316" t="s">
        <v>2943</v>
      </c>
      <c r="T1045" s="858"/>
    </row>
    <row r="1046" spans="1:20" ht="20.100000000000001" customHeight="1">
      <c r="A1046" s="1255" t="s">
        <v>3578</v>
      </c>
      <c r="B1046" s="1232" t="s">
        <v>3630</v>
      </c>
      <c r="C1046" s="1232" t="s">
        <v>4486</v>
      </c>
      <c r="D1046" s="1008">
        <f>D997+3492+25</f>
        <v>5067</v>
      </c>
      <c r="E1046" s="1008">
        <f>E997+3492+50</f>
        <v>5342</v>
      </c>
      <c r="F1046" s="1008">
        <f>F997+3492+50</f>
        <v>5342</v>
      </c>
      <c r="G1046" s="615" t="s">
        <v>5</v>
      </c>
      <c r="H1046" s="160" t="s">
        <v>3397</v>
      </c>
      <c r="I1046" s="37" t="s">
        <v>3577</v>
      </c>
      <c r="J1046" s="37"/>
      <c r="K1046" s="5"/>
      <c r="L1046" s="607" t="s">
        <v>653</v>
      </c>
      <c r="M1046" s="159">
        <v>43087</v>
      </c>
      <c r="N1046" s="159">
        <v>43093</v>
      </c>
      <c r="O1046" s="61" t="s">
        <v>1771</v>
      </c>
      <c r="P1046" s="61"/>
      <c r="Q1046" s="72" t="s">
        <v>3628</v>
      </c>
      <c r="R1046" s="606" t="s">
        <v>3627</v>
      </c>
      <c r="S1046" s="316"/>
      <c r="T1046" s="858"/>
    </row>
    <row r="1047" spans="1:20" ht="20.100000000000001" customHeight="1">
      <c r="A1047" s="1255" t="s">
        <v>3578</v>
      </c>
      <c r="B1047" s="1232" t="s">
        <v>3630</v>
      </c>
      <c r="C1047" s="1232" t="s">
        <v>4486</v>
      </c>
      <c r="D1047" s="1008">
        <f>D977+600</f>
        <v>2150</v>
      </c>
      <c r="E1047" s="1008">
        <f>E977+1000</f>
        <v>2800</v>
      </c>
      <c r="F1047" s="1008">
        <f>F977+1000</f>
        <v>2800</v>
      </c>
      <c r="G1047" s="615" t="s">
        <v>19</v>
      </c>
      <c r="H1047" s="628" t="s">
        <v>681</v>
      </c>
      <c r="I1047" s="37" t="s">
        <v>3635</v>
      </c>
      <c r="J1047" s="37"/>
      <c r="K1047" s="34" t="s">
        <v>683</v>
      </c>
      <c r="L1047" s="607" t="s">
        <v>653</v>
      </c>
      <c r="M1047" s="156">
        <v>43084</v>
      </c>
      <c r="N1047" s="156">
        <v>43093</v>
      </c>
      <c r="O1047" s="153" t="s">
        <v>611</v>
      </c>
      <c r="P1047" s="61"/>
      <c r="Q1047" s="52"/>
      <c r="R1047" s="606" t="s">
        <v>3637</v>
      </c>
      <c r="S1047" s="315" t="s">
        <v>3337</v>
      </c>
      <c r="T1047" s="858"/>
    </row>
    <row r="1048" spans="1:20" ht="20.100000000000001" customHeight="1">
      <c r="A1048" s="1255" t="s">
        <v>3578</v>
      </c>
      <c r="B1048" s="1232" t="s">
        <v>3630</v>
      </c>
      <c r="C1048" s="1232" t="s">
        <v>4486</v>
      </c>
      <c r="D1048" s="1015">
        <f>D957+400</f>
        <v>1900</v>
      </c>
      <c r="E1048" s="1015">
        <f>E957+400</f>
        <v>2150</v>
      </c>
      <c r="F1048" s="1015">
        <f>F957+400</f>
        <v>2150</v>
      </c>
      <c r="G1048" s="613" t="s">
        <v>33</v>
      </c>
      <c r="H1048" s="4" t="s">
        <v>2535</v>
      </c>
      <c r="I1048" s="37" t="s">
        <v>3636</v>
      </c>
      <c r="J1048" s="37"/>
      <c r="K1048" s="16">
        <v>36</v>
      </c>
      <c r="L1048" s="607" t="s">
        <v>653</v>
      </c>
      <c r="M1048" s="159">
        <v>43087</v>
      </c>
      <c r="N1048" s="159">
        <v>43093</v>
      </c>
      <c r="O1048" s="61"/>
      <c r="P1048" s="61"/>
      <c r="Q1048" s="7"/>
      <c r="R1048" s="606" t="s">
        <v>2542</v>
      </c>
      <c r="S1048" s="316" t="s">
        <v>3333</v>
      </c>
      <c r="T1048" s="921"/>
    </row>
    <row r="1049" spans="1:20" ht="20.100000000000001" customHeight="1">
      <c r="A1049" s="1255" t="s">
        <v>3578</v>
      </c>
      <c r="B1049" s="1232" t="s">
        <v>3630</v>
      </c>
      <c r="C1049" s="1232" t="s">
        <v>5411</v>
      </c>
      <c r="D1049" s="1008">
        <v>1125</v>
      </c>
      <c r="E1049" s="1008">
        <v>1250</v>
      </c>
      <c r="F1049" s="1008">
        <v>1250</v>
      </c>
      <c r="G1049" s="227" t="s">
        <v>1689</v>
      </c>
      <c r="H1049" s="160">
        <v>2</v>
      </c>
      <c r="I1049" s="50" t="s">
        <v>17</v>
      </c>
      <c r="J1049" s="50"/>
      <c r="K1049" s="19" t="s">
        <v>775</v>
      </c>
      <c r="L1049" s="607" t="s">
        <v>653</v>
      </c>
      <c r="M1049" s="156">
        <v>43076</v>
      </c>
      <c r="N1049" s="156">
        <v>43083</v>
      </c>
      <c r="O1049" s="61" t="s">
        <v>1771</v>
      </c>
      <c r="P1049" s="61"/>
      <c r="Q1049" s="7"/>
      <c r="R1049" s="606" t="s">
        <v>3576</v>
      </c>
      <c r="S1049" s="316" t="s">
        <v>2943</v>
      </c>
      <c r="T1049" s="923"/>
    </row>
    <row r="1050" spans="1:20" ht="20.100000000000001" customHeight="1">
      <c r="A1050" s="1255" t="s">
        <v>3578</v>
      </c>
      <c r="B1050" s="1232" t="s">
        <v>3630</v>
      </c>
      <c r="C1050" s="1232" t="s">
        <v>5411</v>
      </c>
      <c r="D1050" s="1006">
        <v>1550</v>
      </c>
      <c r="E1050" s="1006">
        <v>1800</v>
      </c>
      <c r="F1050" s="1006">
        <v>1800</v>
      </c>
      <c r="G1050" s="215" t="s">
        <v>19</v>
      </c>
      <c r="H1050" s="627">
        <v>2</v>
      </c>
      <c r="I1050" s="50" t="s">
        <v>17</v>
      </c>
      <c r="J1050" s="50"/>
      <c r="K1050" s="19" t="s">
        <v>775</v>
      </c>
      <c r="L1050" s="607" t="s">
        <v>653</v>
      </c>
      <c r="M1050" s="156">
        <v>43084</v>
      </c>
      <c r="N1050" s="156">
        <v>43093</v>
      </c>
      <c r="O1050" s="59" t="s">
        <v>611</v>
      </c>
      <c r="P1050" s="61"/>
      <c r="Q1050" s="52"/>
      <c r="R1050" s="606" t="s">
        <v>3584</v>
      </c>
      <c r="S1050" s="315" t="s">
        <v>3337</v>
      </c>
      <c r="T1050" s="923"/>
    </row>
    <row r="1051" spans="1:20" ht="20.100000000000001" customHeight="1">
      <c r="A1051" s="1255" t="s">
        <v>3578</v>
      </c>
      <c r="B1051" s="1232" t="s">
        <v>3630</v>
      </c>
      <c r="C1051" s="1232" t="s">
        <v>5411</v>
      </c>
      <c r="D1051" s="1015">
        <v>1250</v>
      </c>
      <c r="E1051" s="1015">
        <v>1500</v>
      </c>
      <c r="F1051" s="1015">
        <v>1500</v>
      </c>
      <c r="G1051" s="631" t="s">
        <v>31</v>
      </c>
      <c r="H1051" s="168" t="s">
        <v>1102</v>
      </c>
      <c r="I1051" s="50" t="s">
        <v>17</v>
      </c>
      <c r="J1051" s="50"/>
      <c r="K1051" s="19" t="s">
        <v>775</v>
      </c>
      <c r="L1051" s="607" t="s">
        <v>653</v>
      </c>
      <c r="M1051" s="623">
        <v>43080</v>
      </c>
      <c r="N1051" s="623">
        <v>43083</v>
      </c>
      <c r="O1051" s="61"/>
      <c r="P1051" s="61"/>
      <c r="Q1051" s="7"/>
      <c r="R1051" s="606" t="s">
        <v>3606</v>
      </c>
      <c r="S1051" s="622" t="s">
        <v>1176</v>
      </c>
      <c r="T1051" s="923"/>
    </row>
    <row r="1052" spans="1:20" ht="20.100000000000001" customHeight="1">
      <c r="A1052" s="1255" t="s">
        <v>3578</v>
      </c>
      <c r="B1052" s="1232" t="s">
        <v>3630</v>
      </c>
      <c r="C1052" s="1232" t="s">
        <v>5411</v>
      </c>
      <c r="D1052" s="1008">
        <v>1125</v>
      </c>
      <c r="E1052" s="1008">
        <v>1250</v>
      </c>
      <c r="F1052" s="1008">
        <v>1250</v>
      </c>
      <c r="G1052" s="227" t="s">
        <v>1689</v>
      </c>
      <c r="H1052" s="168" t="s">
        <v>659</v>
      </c>
      <c r="I1052" s="50" t="s">
        <v>17</v>
      </c>
      <c r="J1052" s="50"/>
      <c r="K1052" s="34" t="s">
        <v>985</v>
      </c>
      <c r="L1052" s="607" t="s">
        <v>653</v>
      </c>
      <c r="M1052" s="156">
        <v>43076</v>
      </c>
      <c r="N1052" s="156">
        <v>43083</v>
      </c>
      <c r="O1052" s="61" t="s">
        <v>1771</v>
      </c>
      <c r="P1052" s="61"/>
      <c r="Q1052" s="7"/>
      <c r="R1052" s="606" t="s">
        <v>3590</v>
      </c>
      <c r="S1052" s="316" t="s">
        <v>2943</v>
      </c>
      <c r="T1052" s="923"/>
    </row>
    <row r="1053" spans="1:20" ht="20.100000000000001" customHeight="1">
      <c r="A1053" s="1255" t="s">
        <v>3578</v>
      </c>
      <c r="B1053" s="1232" t="s">
        <v>3630</v>
      </c>
      <c r="C1053" s="1232" t="s">
        <v>5411</v>
      </c>
      <c r="D1053" s="1016">
        <v>1150</v>
      </c>
      <c r="E1053" s="1016">
        <v>1200</v>
      </c>
      <c r="F1053" s="1016">
        <v>1200</v>
      </c>
      <c r="G1053" s="640" t="s">
        <v>233</v>
      </c>
      <c r="H1053" s="168" t="s">
        <v>659</v>
      </c>
      <c r="I1053" s="50" t="s">
        <v>17</v>
      </c>
      <c r="J1053" s="50"/>
      <c r="K1053" s="34" t="s">
        <v>985</v>
      </c>
      <c r="L1053" s="607" t="s">
        <v>653</v>
      </c>
      <c r="M1053" s="620">
        <v>43081</v>
      </c>
      <c r="N1053" s="620">
        <v>43085</v>
      </c>
      <c r="O1053" s="59" t="s">
        <v>601</v>
      </c>
      <c r="P1053" s="61"/>
      <c r="Q1053" s="7"/>
      <c r="R1053" s="606" t="s">
        <v>3617</v>
      </c>
      <c r="S1053" s="316" t="s">
        <v>3573</v>
      </c>
      <c r="T1053" s="923"/>
    </row>
    <row r="1054" spans="1:20" ht="20.100000000000001" customHeight="1">
      <c r="A1054" s="1255" t="s">
        <v>3578</v>
      </c>
      <c r="B1054" s="1232" t="s">
        <v>3630</v>
      </c>
      <c r="C1054" s="1232" t="s">
        <v>5411</v>
      </c>
      <c r="D1054" s="1006">
        <v>1550</v>
      </c>
      <c r="E1054" s="1006">
        <v>1800</v>
      </c>
      <c r="F1054" s="1006">
        <v>1800</v>
      </c>
      <c r="G1054" s="215" t="s">
        <v>19</v>
      </c>
      <c r="H1054" s="627" t="s">
        <v>659</v>
      </c>
      <c r="I1054" s="50" t="s">
        <v>17</v>
      </c>
      <c r="J1054" s="50"/>
      <c r="K1054" s="34" t="s">
        <v>985</v>
      </c>
      <c r="L1054" s="607" t="s">
        <v>653</v>
      </c>
      <c r="M1054" s="156">
        <v>43084</v>
      </c>
      <c r="N1054" s="156">
        <v>43093</v>
      </c>
      <c r="O1054" s="59" t="s">
        <v>611</v>
      </c>
      <c r="P1054" s="61"/>
      <c r="Q1054" s="7"/>
      <c r="R1054" s="606" t="s">
        <v>3596</v>
      </c>
      <c r="S1054" s="315" t="s">
        <v>3337</v>
      </c>
      <c r="T1054" s="923"/>
    </row>
    <row r="1055" spans="1:20" ht="20.100000000000001" customHeight="1">
      <c r="A1055" s="1255" t="s">
        <v>3578</v>
      </c>
      <c r="B1055" s="1232" t="s">
        <v>3630</v>
      </c>
      <c r="C1055" s="1232" t="s">
        <v>5410</v>
      </c>
      <c r="D1055" s="1006">
        <v>1550</v>
      </c>
      <c r="E1055" s="1006">
        <v>1800</v>
      </c>
      <c r="F1055" s="1006">
        <v>1800</v>
      </c>
      <c r="G1055" s="215" t="s">
        <v>19</v>
      </c>
      <c r="H1055" s="628" t="s">
        <v>1102</v>
      </c>
      <c r="I1055" s="37" t="s">
        <v>3577</v>
      </c>
      <c r="J1055" s="37"/>
      <c r="K1055" s="16" t="s">
        <v>985</v>
      </c>
      <c r="L1055" s="607" t="s">
        <v>653</v>
      </c>
      <c r="M1055" s="156">
        <v>43084</v>
      </c>
      <c r="N1055" s="156">
        <v>43093</v>
      </c>
      <c r="O1055" s="59" t="s">
        <v>611</v>
      </c>
      <c r="P1055" s="61"/>
      <c r="Q1055" s="52"/>
      <c r="R1055" s="606" t="s">
        <v>3584</v>
      </c>
      <c r="S1055" s="315" t="s">
        <v>3337</v>
      </c>
      <c r="T1055" s="923"/>
    </row>
    <row r="1056" spans="1:20" ht="20.100000000000001" customHeight="1">
      <c r="A1056" s="1255" t="s">
        <v>3578</v>
      </c>
      <c r="B1056" s="1232" t="s">
        <v>3630</v>
      </c>
      <c r="C1056" s="1232" t="s">
        <v>5410</v>
      </c>
      <c r="D1056" s="1015">
        <v>1300</v>
      </c>
      <c r="E1056" s="1015">
        <v>1575</v>
      </c>
      <c r="F1056" s="1015">
        <v>1575</v>
      </c>
      <c r="G1056" s="631" t="s">
        <v>18</v>
      </c>
      <c r="H1056" s="56" t="s">
        <v>1102</v>
      </c>
      <c r="I1056" s="37" t="s">
        <v>2548</v>
      </c>
      <c r="J1056" s="37"/>
      <c r="K1056" s="16" t="s">
        <v>835</v>
      </c>
      <c r="L1056" s="607" t="s">
        <v>653</v>
      </c>
      <c r="M1056" s="108">
        <v>43078</v>
      </c>
      <c r="N1056" s="108">
        <v>43083</v>
      </c>
      <c r="O1056" s="59"/>
      <c r="P1056" s="61"/>
      <c r="Q1056" s="7"/>
      <c r="R1056" s="606" t="s">
        <v>2547</v>
      </c>
      <c r="S1056" s="316"/>
      <c r="T1056" s="923"/>
    </row>
    <row r="1057" spans="1:20" ht="20.100000000000001" customHeight="1">
      <c r="A1057" s="1255" t="s">
        <v>3578</v>
      </c>
      <c r="B1057" s="1232" t="s">
        <v>3630</v>
      </c>
      <c r="C1057" s="1232" t="s">
        <v>5410</v>
      </c>
      <c r="D1057" s="1007">
        <f>D1085+400</f>
        <v>1650</v>
      </c>
      <c r="E1057" s="1007">
        <f>E1085+500</f>
        <v>2000</v>
      </c>
      <c r="F1057" s="1007">
        <f>F1085+500</f>
        <v>2000</v>
      </c>
      <c r="G1057" s="618" t="s">
        <v>31</v>
      </c>
      <c r="H1057" s="168" t="s">
        <v>681</v>
      </c>
      <c r="I1057" s="37" t="s">
        <v>2548</v>
      </c>
      <c r="J1057" s="37"/>
      <c r="K1057" s="5">
        <v>34</v>
      </c>
      <c r="L1057" s="607" t="s">
        <v>653</v>
      </c>
      <c r="M1057" s="623">
        <v>43080</v>
      </c>
      <c r="N1057" s="623">
        <v>43083</v>
      </c>
      <c r="O1057" s="61"/>
      <c r="P1057" s="61"/>
      <c r="Q1057" s="52"/>
      <c r="R1057" s="606" t="s">
        <v>3563</v>
      </c>
      <c r="S1057" s="622" t="s">
        <v>1176</v>
      </c>
      <c r="T1057" s="858"/>
    </row>
    <row r="1058" spans="1:20" ht="20.100000000000001" customHeight="1">
      <c r="A1058" s="1255" t="s">
        <v>3578</v>
      </c>
      <c r="B1058" s="1232" t="s">
        <v>3630</v>
      </c>
      <c r="C1058" s="1232" t="s">
        <v>5410</v>
      </c>
      <c r="D1058" s="1008">
        <f>D978+100+25</f>
        <v>1250</v>
      </c>
      <c r="E1058" s="1008">
        <f>E978+100+50</f>
        <v>1400</v>
      </c>
      <c r="F1058" s="1008">
        <f>F978+100+50</f>
        <v>1400</v>
      </c>
      <c r="G1058" s="609" t="s">
        <v>1689</v>
      </c>
      <c r="H1058" s="56" t="s">
        <v>681</v>
      </c>
      <c r="I1058" s="37" t="s">
        <v>3635</v>
      </c>
      <c r="J1058" s="37"/>
      <c r="K1058" s="5">
        <v>45</v>
      </c>
      <c r="L1058" s="607" t="s">
        <v>653</v>
      </c>
      <c r="M1058" s="156">
        <v>43076</v>
      </c>
      <c r="N1058" s="156">
        <v>43083</v>
      </c>
      <c r="O1058" s="61" t="s">
        <v>1771</v>
      </c>
      <c r="P1058" s="61"/>
      <c r="Q1058" s="14" t="s">
        <v>24</v>
      </c>
      <c r="R1058" s="606" t="s">
        <v>3634</v>
      </c>
      <c r="S1058" s="316" t="s">
        <v>2943</v>
      </c>
      <c r="T1058" s="858"/>
    </row>
    <row r="1059" spans="1:20" ht="20.100000000000001" customHeight="1">
      <c r="A1059" s="1255" t="s">
        <v>3578</v>
      </c>
      <c r="B1059" s="1232" t="s">
        <v>3630</v>
      </c>
      <c r="C1059" s="1232" t="s">
        <v>3633</v>
      </c>
      <c r="D1059" s="1008">
        <f>D997+955+25</f>
        <v>2530</v>
      </c>
      <c r="E1059" s="1008">
        <f>E997+955+50</f>
        <v>2805</v>
      </c>
      <c r="F1059" s="1008">
        <f>F997+955+50</f>
        <v>2805</v>
      </c>
      <c r="G1059" s="615" t="s">
        <v>5</v>
      </c>
      <c r="H1059" s="160" t="s">
        <v>3397</v>
      </c>
      <c r="I1059" s="37" t="s">
        <v>3577</v>
      </c>
      <c r="J1059" s="37"/>
      <c r="K1059" s="5"/>
      <c r="L1059" s="607" t="s">
        <v>653</v>
      </c>
      <c r="M1059" s="159">
        <v>43087</v>
      </c>
      <c r="N1059" s="159">
        <v>43093</v>
      </c>
      <c r="O1059" s="61" t="s">
        <v>1771</v>
      </c>
      <c r="P1059" s="61"/>
      <c r="Q1059" s="72" t="s">
        <v>3628</v>
      </c>
      <c r="R1059" s="606" t="s">
        <v>3627</v>
      </c>
      <c r="S1059" s="316"/>
      <c r="T1059" s="858"/>
    </row>
    <row r="1060" spans="1:20" ht="20.100000000000001" customHeight="1">
      <c r="A1060" s="1255" t="s">
        <v>3578</v>
      </c>
      <c r="B1060" s="1232" t="s">
        <v>3630</v>
      </c>
      <c r="C1060" s="1232" t="s">
        <v>3633</v>
      </c>
      <c r="D1060" s="1007">
        <f>D993+900+25</f>
        <v>2050</v>
      </c>
      <c r="E1060" s="1007">
        <f>E993+900+50</f>
        <v>2200</v>
      </c>
      <c r="F1060" s="1007">
        <f>F993+900+50</f>
        <v>2200</v>
      </c>
      <c r="G1060" s="609" t="s">
        <v>1689</v>
      </c>
      <c r="H1060" s="160">
        <v>2</v>
      </c>
      <c r="I1060" s="37" t="s">
        <v>3577</v>
      </c>
      <c r="J1060" s="37"/>
      <c r="K1060" s="5">
        <v>28</v>
      </c>
      <c r="L1060" s="607" t="s">
        <v>653</v>
      </c>
      <c r="M1060" s="156">
        <v>43076</v>
      </c>
      <c r="N1060" s="156">
        <v>43083</v>
      </c>
      <c r="O1060" s="61" t="s">
        <v>1771</v>
      </c>
      <c r="P1060" s="61"/>
      <c r="Q1060" s="14" t="s">
        <v>24</v>
      </c>
      <c r="R1060" s="606" t="s">
        <v>3576</v>
      </c>
      <c r="S1060" s="316" t="s">
        <v>2943</v>
      </c>
      <c r="T1060" s="921"/>
    </row>
    <row r="1061" spans="1:20" ht="20.100000000000001" customHeight="1">
      <c r="A1061" s="1255" t="s">
        <v>3578</v>
      </c>
      <c r="B1061" s="1232" t="s">
        <v>3630</v>
      </c>
      <c r="C1061" s="1232" t="s">
        <v>3632</v>
      </c>
      <c r="D1061" s="1007">
        <f>D993+3200+25</f>
        <v>4350</v>
      </c>
      <c r="E1061" s="1007">
        <f>E993+3200+50</f>
        <v>4500</v>
      </c>
      <c r="F1061" s="1007">
        <f>F993+3200+50</f>
        <v>4500</v>
      </c>
      <c r="G1061" s="609" t="s">
        <v>1689</v>
      </c>
      <c r="H1061" s="160">
        <v>2</v>
      </c>
      <c r="I1061" s="37" t="s">
        <v>3577</v>
      </c>
      <c r="J1061" s="37"/>
      <c r="K1061" s="5">
        <v>28</v>
      </c>
      <c r="L1061" s="607" t="s">
        <v>653</v>
      </c>
      <c r="M1061" s="156">
        <v>43076</v>
      </c>
      <c r="N1061" s="156">
        <v>43083</v>
      </c>
      <c r="O1061" s="61" t="s">
        <v>1771</v>
      </c>
      <c r="P1061" s="61"/>
      <c r="Q1061" s="14" t="s">
        <v>24</v>
      </c>
      <c r="R1061" s="606" t="s">
        <v>3576</v>
      </c>
      <c r="S1061" s="316" t="s">
        <v>2943</v>
      </c>
      <c r="T1061" s="921"/>
    </row>
    <row r="1062" spans="1:20" ht="20.100000000000001" customHeight="1">
      <c r="A1062" s="1255" t="s">
        <v>3578</v>
      </c>
      <c r="B1062" s="1232" t="s">
        <v>3630</v>
      </c>
      <c r="C1062" s="1232" t="s">
        <v>3632</v>
      </c>
      <c r="D1062" s="1007">
        <f>D997+3558+25</f>
        <v>5133</v>
      </c>
      <c r="E1062" s="1007">
        <f>E997+3558+50</f>
        <v>5408</v>
      </c>
      <c r="F1062" s="1007">
        <f>F997+3558+50</f>
        <v>5408</v>
      </c>
      <c r="G1062" s="615" t="s">
        <v>5</v>
      </c>
      <c r="H1062" s="160" t="s">
        <v>3397</v>
      </c>
      <c r="I1062" s="37" t="s">
        <v>3577</v>
      </c>
      <c r="J1062" s="37"/>
      <c r="K1062" s="5"/>
      <c r="L1062" s="607" t="s">
        <v>653</v>
      </c>
      <c r="M1062" s="159">
        <v>43087</v>
      </c>
      <c r="N1062" s="159">
        <v>43093</v>
      </c>
      <c r="O1062" s="61" t="s">
        <v>1771</v>
      </c>
      <c r="P1062" s="61"/>
      <c r="Q1062" s="72" t="s">
        <v>3628</v>
      </c>
      <c r="R1062" s="606" t="s">
        <v>3627</v>
      </c>
      <c r="S1062" s="316"/>
      <c r="T1062" s="921"/>
    </row>
    <row r="1063" spans="1:20" ht="20.100000000000001" customHeight="1">
      <c r="A1063" s="1255" t="s">
        <v>3578</v>
      </c>
      <c r="B1063" s="1232" t="s">
        <v>3630</v>
      </c>
      <c r="C1063" s="1232" t="s">
        <v>3631</v>
      </c>
      <c r="D1063" s="1007">
        <f>D997+709+25</f>
        <v>2284</v>
      </c>
      <c r="E1063" s="1007">
        <f>E997+709+50</f>
        <v>2559</v>
      </c>
      <c r="F1063" s="1007">
        <f>F997+709+50</f>
        <v>2559</v>
      </c>
      <c r="G1063" s="615" t="s">
        <v>5</v>
      </c>
      <c r="H1063" s="160" t="s">
        <v>3397</v>
      </c>
      <c r="I1063" s="37" t="s">
        <v>3577</v>
      </c>
      <c r="J1063" s="37"/>
      <c r="K1063" s="5"/>
      <c r="L1063" s="607" t="s">
        <v>653</v>
      </c>
      <c r="M1063" s="159">
        <v>43087</v>
      </c>
      <c r="N1063" s="159">
        <v>43093</v>
      </c>
      <c r="O1063" s="61" t="s">
        <v>1771</v>
      </c>
      <c r="P1063" s="61"/>
      <c r="Q1063" s="72" t="s">
        <v>3628</v>
      </c>
      <c r="R1063" s="606" t="s">
        <v>3627</v>
      </c>
      <c r="S1063" s="316"/>
      <c r="T1063" s="921"/>
    </row>
    <row r="1064" spans="1:20" ht="20.100000000000001" customHeight="1">
      <c r="A1064" s="1255" t="s">
        <v>3578</v>
      </c>
      <c r="B1064" s="1232" t="s">
        <v>3630</v>
      </c>
      <c r="C1064" s="1232" t="s">
        <v>3631</v>
      </c>
      <c r="D1064" s="1008">
        <f>D993+850+25</f>
        <v>2000</v>
      </c>
      <c r="E1064" s="1008">
        <f>E993+850+50</f>
        <v>2150</v>
      </c>
      <c r="F1064" s="1008">
        <f>F993+850+50</f>
        <v>2150</v>
      </c>
      <c r="G1064" s="609" t="s">
        <v>1689</v>
      </c>
      <c r="H1064" s="160">
        <v>2</v>
      </c>
      <c r="I1064" s="37" t="s">
        <v>3577</v>
      </c>
      <c r="J1064" s="37"/>
      <c r="K1064" s="5">
        <v>28</v>
      </c>
      <c r="L1064" s="607" t="s">
        <v>653</v>
      </c>
      <c r="M1064" s="156">
        <v>43076</v>
      </c>
      <c r="N1064" s="156">
        <v>43083</v>
      </c>
      <c r="O1064" s="61" t="s">
        <v>1771</v>
      </c>
      <c r="P1064" s="61"/>
      <c r="Q1064" s="14" t="s">
        <v>24</v>
      </c>
      <c r="R1064" s="606" t="s">
        <v>3576</v>
      </c>
      <c r="S1064" s="316" t="s">
        <v>2943</v>
      </c>
      <c r="T1064" s="921"/>
    </row>
    <row r="1065" spans="1:20" ht="20.100000000000001" customHeight="1">
      <c r="A1065" s="1255" t="s">
        <v>3578</v>
      </c>
      <c r="B1065" s="1232" t="s">
        <v>3630</v>
      </c>
      <c r="C1065" s="1232" t="s">
        <v>3629</v>
      </c>
      <c r="D1065" s="1008">
        <f>D993+2000+25</f>
        <v>3150</v>
      </c>
      <c r="E1065" s="1008">
        <f>E993+2000+50</f>
        <v>3300</v>
      </c>
      <c r="F1065" s="1008">
        <f>F993+2000+50</f>
        <v>3300</v>
      </c>
      <c r="G1065" s="609" t="s">
        <v>1689</v>
      </c>
      <c r="H1065" s="160">
        <v>2</v>
      </c>
      <c r="I1065" s="37" t="s">
        <v>3577</v>
      </c>
      <c r="J1065" s="37"/>
      <c r="K1065" s="5">
        <v>28</v>
      </c>
      <c r="L1065" s="607" t="s">
        <v>653</v>
      </c>
      <c r="M1065" s="156">
        <v>43076</v>
      </c>
      <c r="N1065" s="156">
        <v>43083</v>
      </c>
      <c r="O1065" s="61" t="s">
        <v>1771</v>
      </c>
      <c r="P1065" s="61"/>
      <c r="Q1065" s="14" t="s">
        <v>24</v>
      </c>
      <c r="R1065" s="606" t="s">
        <v>3576</v>
      </c>
      <c r="S1065" s="316" t="s">
        <v>2943</v>
      </c>
      <c r="T1065" s="921"/>
    </row>
    <row r="1066" spans="1:20" ht="20.100000000000001" customHeight="1">
      <c r="A1066" s="1255" t="s">
        <v>3578</v>
      </c>
      <c r="B1066" s="1232" t="s">
        <v>3630</v>
      </c>
      <c r="C1066" s="1232" t="s">
        <v>3629</v>
      </c>
      <c r="D1066" s="1008">
        <f>D997+1874+25</f>
        <v>3449</v>
      </c>
      <c r="E1066" s="1008">
        <f>E997+1874+50</f>
        <v>3724</v>
      </c>
      <c r="F1066" s="1008">
        <f>F997+1874+50</f>
        <v>3724</v>
      </c>
      <c r="G1066" s="615" t="s">
        <v>5</v>
      </c>
      <c r="H1066" s="160" t="s">
        <v>3397</v>
      </c>
      <c r="I1066" s="37" t="s">
        <v>3577</v>
      </c>
      <c r="J1066" s="37"/>
      <c r="K1066" s="5"/>
      <c r="L1066" s="607" t="s">
        <v>653</v>
      </c>
      <c r="M1066" s="159">
        <v>43087</v>
      </c>
      <c r="N1066" s="159">
        <v>43093</v>
      </c>
      <c r="O1066" s="61" t="s">
        <v>1771</v>
      </c>
      <c r="P1066" s="61"/>
      <c r="Q1066" s="72" t="s">
        <v>3628</v>
      </c>
      <c r="R1066" s="606" t="s">
        <v>3627</v>
      </c>
      <c r="S1066" s="316"/>
      <c r="T1066" s="921"/>
    </row>
    <row r="1067" spans="1:20" ht="20.100000000000001" customHeight="1">
      <c r="A1067" s="1255" t="s">
        <v>3578</v>
      </c>
      <c r="B1067" s="1232" t="s">
        <v>3588</v>
      </c>
      <c r="C1067" s="1232" t="s">
        <v>3623</v>
      </c>
      <c r="D1067" s="1006">
        <v>1550</v>
      </c>
      <c r="E1067" s="1006">
        <v>1800</v>
      </c>
      <c r="F1067" s="1006">
        <v>1800</v>
      </c>
      <c r="G1067" s="637" t="s">
        <v>19</v>
      </c>
      <c r="H1067" s="628" t="s">
        <v>1102</v>
      </c>
      <c r="I1067" s="37" t="s">
        <v>3577</v>
      </c>
      <c r="J1067" s="37"/>
      <c r="K1067" s="16" t="s">
        <v>687</v>
      </c>
      <c r="L1067" s="607" t="s">
        <v>653</v>
      </c>
      <c r="M1067" s="156">
        <v>43084</v>
      </c>
      <c r="N1067" s="156">
        <v>43093</v>
      </c>
      <c r="O1067" s="59" t="s">
        <v>611</v>
      </c>
      <c r="P1067" s="61"/>
      <c r="Q1067" s="52"/>
      <c r="R1067" s="606" t="s">
        <v>3584</v>
      </c>
      <c r="S1067" s="315" t="s">
        <v>3337</v>
      </c>
      <c r="T1067" s="921"/>
    </row>
    <row r="1068" spans="1:20" ht="20.100000000000001" customHeight="1">
      <c r="A1068" s="1255" t="s">
        <v>3578</v>
      </c>
      <c r="B1068" s="1232" t="s">
        <v>3588</v>
      </c>
      <c r="C1068" s="1232" t="s">
        <v>3623</v>
      </c>
      <c r="D1068" s="1015">
        <v>1425</v>
      </c>
      <c r="E1068" s="1015">
        <v>1600</v>
      </c>
      <c r="F1068" s="1015">
        <v>1600</v>
      </c>
      <c r="G1068" s="631" t="s">
        <v>18</v>
      </c>
      <c r="H1068" s="56" t="s">
        <v>1102</v>
      </c>
      <c r="I1068" s="37" t="s">
        <v>2548</v>
      </c>
      <c r="J1068" s="37"/>
      <c r="K1068" s="16" t="s">
        <v>683</v>
      </c>
      <c r="L1068" s="607" t="s">
        <v>653</v>
      </c>
      <c r="M1068" s="108">
        <v>43078</v>
      </c>
      <c r="N1068" s="108">
        <v>43083</v>
      </c>
      <c r="O1068" s="59"/>
      <c r="P1068" s="61"/>
      <c r="Q1068" s="7"/>
      <c r="R1068" s="606" t="s">
        <v>2547</v>
      </c>
      <c r="S1068" s="316"/>
      <c r="T1068" s="921"/>
    </row>
    <row r="1069" spans="1:20" ht="20.100000000000001" customHeight="1">
      <c r="A1069" s="1255" t="s">
        <v>3578</v>
      </c>
      <c r="B1069" s="1232" t="s">
        <v>3588</v>
      </c>
      <c r="C1069" s="1232" t="s">
        <v>3623</v>
      </c>
      <c r="D1069" s="1008">
        <v>1600</v>
      </c>
      <c r="E1069" s="1008">
        <v>1900</v>
      </c>
      <c r="F1069" s="1008">
        <v>1900</v>
      </c>
      <c r="G1069" s="637" t="s">
        <v>51</v>
      </c>
      <c r="H1069" s="56" t="s">
        <v>3626</v>
      </c>
      <c r="I1069" s="37" t="s">
        <v>3577</v>
      </c>
      <c r="J1069" s="37"/>
      <c r="K1069" s="16"/>
      <c r="L1069" s="607" t="s">
        <v>653</v>
      </c>
      <c r="M1069" s="611">
        <v>43086</v>
      </c>
      <c r="N1069" s="611">
        <v>43100</v>
      </c>
      <c r="O1069" s="61" t="s">
        <v>601</v>
      </c>
      <c r="P1069" s="52" t="s">
        <v>3621</v>
      </c>
      <c r="Q1069" s="52"/>
      <c r="R1069" s="606" t="s">
        <v>3625</v>
      </c>
      <c r="S1069" s="315" t="s">
        <v>3290</v>
      </c>
      <c r="T1069" s="749" t="s">
        <v>3611</v>
      </c>
    </row>
    <row r="1070" spans="1:20" ht="20.100000000000001" customHeight="1">
      <c r="A1070" s="1255" t="s">
        <v>3578</v>
      </c>
      <c r="B1070" s="1232" t="s">
        <v>3588</v>
      </c>
      <c r="C1070" s="1232" t="s">
        <v>3623</v>
      </c>
      <c r="D1070" s="1008">
        <f>D993+100</f>
        <v>1225</v>
      </c>
      <c r="E1070" s="1008">
        <f>E993+200</f>
        <v>1450</v>
      </c>
      <c r="F1070" s="1008">
        <f>F993+200</f>
        <v>1450</v>
      </c>
      <c r="G1070" s="609" t="s">
        <v>1689</v>
      </c>
      <c r="H1070" s="160" t="s">
        <v>3397</v>
      </c>
      <c r="I1070" s="37" t="s">
        <v>3577</v>
      </c>
      <c r="J1070" s="37"/>
      <c r="K1070" s="5">
        <v>35</v>
      </c>
      <c r="L1070" s="607" t="s">
        <v>653</v>
      </c>
      <c r="M1070" s="156">
        <v>43076</v>
      </c>
      <c r="N1070" s="156">
        <v>43083</v>
      </c>
      <c r="O1070" s="61" t="s">
        <v>1771</v>
      </c>
      <c r="P1070" s="61"/>
      <c r="Q1070" s="52"/>
      <c r="R1070" s="606" t="s">
        <v>3624</v>
      </c>
      <c r="S1070" s="316" t="s">
        <v>2943</v>
      </c>
      <c r="T1070" s="858"/>
    </row>
    <row r="1071" spans="1:20" ht="20.100000000000001" customHeight="1">
      <c r="A1071" s="1255" t="s">
        <v>3578</v>
      </c>
      <c r="B1071" s="1232" t="s">
        <v>3588</v>
      </c>
      <c r="C1071" s="1232" t="s">
        <v>3623</v>
      </c>
      <c r="D1071" s="956">
        <v>1550</v>
      </c>
      <c r="E1071" s="956">
        <v>1800</v>
      </c>
      <c r="F1071" s="956">
        <v>1800</v>
      </c>
      <c r="G1071" s="629" t="s">
        <v>5</v>
      </c>
      <c r="H1071" s="168" t="s">
        <v>659</v>
      </c>
      <c r="I1071" s="50" t="s">
        <v>3577</v>
      </c>
      <c r="J1071" s="50"/>
      <c r="K1071" s="19" t="s">
        <v>985</v>
      </c>
      <c r="L1071" s="607" t="s">
        <v>653</v>
      </c>
      <c r="M1071" s="159">
        <v>43087</v>
      </c>
      <c r="N1071" s="159">
        <v>43093</v>
      </c>
      <c r="O1071" s="61" t="s">
        <v>1771</v>
      </c>
      <c r="P1071" s="61"/>
      <c r="Q1071" s="7"/>
      <c r="R1071" s="606" t="s">
        <v>3579</v>
      </c>
      <c r="S1071" s="622"/>
      <c r="T1071" s="858"/>
    </row>
    <row r="1072" spans="1:20" ht="20.100000000000001" customHeight="1">
      <c r="A1072" s="1255" t="s">
        <v>3578</v>
      </c>
      <c r="B1072" s="1232" t="s">
        <v>3588</v>
      </c>
      <c r="C1072" s="1232" t="s">
        <v>3623</v>
      </c>
      <c r="D1072" s="1015">
        <f>D998+250</f>
        <v>1500</v>
      </c>
      <c r="E1072" s="1015">
        <f>E998+350</f>
        <v>1850</v>
      </c>
      <c r="F1072" s="1015">
        <f>F998+350</f>
        <v>1850</v>
      </c>
      <c r="G1072" s="618" t="s">
        <v>31</v>
      </c>
      <c r="H1072" s="168" t="s">
        <v>659</v>
      </c>
      <c r="I1072" s="37" t="s">
        <v>3577</v>
      </c>
      <c r="J1072" s="37"/>
      <c r="K1072" s="16">
        <v>35</v>
      </c>
      <c r="L1072" s="607" t="s">
        <v>653</v>
      </c>
      <c r="M1072" s="623">
        <v>43080</v>
      </c>
      <c r="N1072" s="623">
        <v>43083</v>
      </c>
      <c r="O1072" s="61"/>
      <c r="P1072" s="61"/>
      <c r="Q1072" s="7"/>
      <c r="R1072" s="606" t="s">
        <v>3568</v>
      </c>
      <c r="S1072" s="622" t="s">
        <v>1176</v>
      </c>
      <c r="T1072" s="858"/>
    </row>
    <row r="1073" spans="1:20" ht="20.100000000000001" customHeight="1">
      <c r="A1073" s="1255" t="s">
        <v>3578</v>
      </c>
      <c r="B1073" s="1232" t="s">
        <v>3588</v>
      </c>
      <c r="C1073" s="1232" t="s">
        <v>3623</v>
      </c>
      <c r="D1073" s="1018">
        <f>D1124+1255+25</f>
        <v>2830</v>
      </c>
      <c r="E1073" s="1018">
        <f>E1124+1255+50</f>
        <v>3105</v>
      </c>
      <c r="F1073" s="1018">
        <f>F1124+1255+50</f>
        <v>3105</v>
      </c>
      <c r="G1073" s="216" t="s">
        <v>22</v>
      </c>
      <c r="H1073" s="56">
        <v>4</v>
      </c>
      <c r="I1073" s="37" t="s">
        <v>3598</v>
      </c>
      <c r="J1073" s="37"/>
      <c r="K1073" s="16">
        <v>35</v>
      </c>
      <c r="L1073" s="607" t="s">
        <v>653</v>
      </c>
      <c r="M1073" s="108">
        <v>43087</v>
      </c>
      <c r="N1073" s="108">
        <v>43094</v>
      </c>
      <c r="O1073" s="61" t="s">
        <v>2545</v>
      </c>
      <c r="P1073" s="7"/>
      <c r="Q1073" s="14" t="s">
        <v>24</v>
      </c>
      <c r="R1073" s="606" t="s">
        <v>3593</v>
      </c>
      <c r="S1073" s="322" t="s">
        <v>1176</v>
      </c>
      <c r="T1073" s="858"/>
    </row>
    <row r="1074" spans="1:20" ht="20.100000000000001" customHeight="1">
      <c r="A1074" s="1255" t="s">
        <v>3578</v>
      </c>
      <c r="B1074" s="1232" t="s">
        <v>3588</v>
      </c>
      <c r="C1074" s="1232" t="s">
        <v>3623</v>
      </c>
      <c r="D1074" s="1018">
        <f>D1011+200</f>
        <v>1700</v>
      </c>
      <c r="E1074" s="1018">
        <f>E1011+400</f>
        <v>2150</v>
      </c>
      <c r="F1074" s="1018">
        <f>F1011+400</f>
        <v>2150</v>
      </c>
      <c r="G1074" s="613" t="s">
        <v>33</v>
      </c>
      <c r="H1074" s="56" t="s">
        <v>721</v>
      </c>
      <c r="I1074" s="37" t="s">
        <v>3577</v>
      </c>
      <c r="J1074" s="37"/>
      <c r="K1074" s="34" t="s">
        <v>775</v>
      </c>
      <c r="L1074" s="607" t="s">
        <v>653</v>
      </c>
      <c r="M1074" s="159">
        <v>43087</v>
      </c>
      <c r="N1074" s="159">
        <v>43093</v>
      </c>
      <c r="O1074" s="61"/>
      <c r="P1074" s="61"/>
      <c r="Q1074" s="7"/>
      <c r="R1074" s="606" t="s">
        <v>3336</v>
      </c>
      <c r="S1074" s="316" t="s">
        <v>3333</v>
      </c>
      <c r="T1074" s="858"/>
    </row>
    <row r="1075" spans="1:20" ht="20.100000000000001" customHeight="1">
      <c r="A1075" s="1255" t="s">
        <v>3578</v>
      </c>
      <c r="B1075" s="1232" t="s">
        <v>3588</v>
      </c>
      <c r="C1075" s="1232" t="s">
        <v>3622</v>
      </c>
      <c r="D1075" s="956">
        <v>1550</v>
      </c>
      <c r="E1075" s="956">
        <v>1800</v>
      </c>
      <c r="F1075" s="956">
        <v>1800</v>
      </c>
      <c r="G1075" s="639" t="s">
        <v>5</v>
      </c>
      <c r="H1075" s="168" t="s">
        <v>659</v>
      </c>
      <c r="I1075" s="37" t="s">
        <v>17</v>
      </c>
      <c r="J1075" s="37"/>
      <c r="K1075" s="34" t="s">
        <v>986</v>
      </c>
      <c r="L1075" s="607" t="s">
        <v>653</v>
      </c>
      <c r="M1075" s="159">
        <v>43087</v>
      </c>
      <c r="N1075" s="159">
        <v>43093</v>
      </c>
      <c r="O1075" s="61" t="s">
        <v>1771</v>
      </c>
      <c r="P1075" s="7"/>
      <c r="Q1075" s="7"/>
      <c r="R1075" s="606" t="s">
        <v>3579</v>
      </c>
      <c r="S1075" s="622"/>
      <c r="T1075" s="904"/>
    </row>
    <row r="1076" spans="1:20" ht="20.100000000000001" customHeight="1">
      <c r="A1076" s="1255" t="s">
        <v>3578</v>
      </c>
      <c r="B1076" s="1232" t="s">
        <v>3588</v>
      </c>
      <c r="C1076" s="1232" t="s">
        <v>3622</v>
      </c>
      <c r="D1076" s="1008">
        <v>1125</v>
      </c>
      <c r="E1076" s="1008">
        <v>1250</v>
      </c>
      <c r="F1076" s="1008">
        <v>1250</v>
      </c>
      <c r="G1076" s="227" t="s">
        <v>1689</v>
      </c>
      <c r="H1076" s="168" t="s">
        <v>659</v>
      </c>
      <c r="I1076" s="37" t="s">
        <v>17</v>
      </c>
      <c r="J1076" s="37"/>
      <c r="K1076" s="34" t="s">
        <v>986</v>
      </c>
      <c r="L1076" s="607" t="s">
        <v>653</v>
      </c>
      <c r="M1076" s="156">
        <v>43076</v>
      </c>
      <c r="N1076" s="156">
        <v>43083</v>
      </c>
      <c r="O1076" s="61" t="s">
        <v>1771</v>
      </c>
      <c r="P1076" s="7"/>
      <c r="Q1076" s="7"/>
      <c r="R1076" s="606" t="s">
        <v>3590</v>
      </c>
      <c r="S1076" s="316" t="s">
        <v>2943</v>
      </c>
      <c r="T1076" s="904"/>
    </row>
    <row r="1077" spans="1:20" ht="20.100000000000001" customHeight="1">
      <c r="A1077" s="1255" t="s">
        <v>3578</v>
      </c>
      <c r="B1077" s="1232" t="s">
        <v>3588</v>
      </c>
      <c r="C1077" s="1232" t="s">
        <v>3622</v>
      </c>
      <c r="D1077" s="1016">
        <v>1150</v>
      </c>
      <c r="E1077" s="1016">
        <v>1200</v>
      </c>
      <c r="F1077" s="1016">
        <v>1200</v>
      </c>
      <c r="G1077" s="631" t="s">
        <v>233</v>
      </c>
      <c r="H1077" s="168" t="s">
        <v>659</v>
      </c>
      <c r="I1077" s="37" t="s">
        <v>17</v>
      </c>
      <c r="J1077" s="37"/>
      <c r="K1077" s="34" t="s">
        <v>986</v>
      </c>
      <c r="L1077" s="607" t="s">
        <v>653</v>
      </c>
      <c r="M1077" s="620">
        <v>43081</v>
      </c>
      <c r="N1077" s="620">
        <v>43085</v>
      </c>
      <c r="O1077" s="59" t="s">
        <v>601</v>
      </c>
      <c r="P1077" s="7"/>
      <c r="Q1077" s="7"/>
      <c r="R1077" s="606" t="s">
        <v>3617</v>
      </c>
      <c r="S1077" s="316" t="s">
        <v>3573</v>
      </c>
      <c r="T1077" s="904"/>
    </row>
    <row r="1078" spans="1:20" ht="20.100000000000001" customHeight="1">
      <c r="A1078" s="1255" t="s">
        <v>3578</v>
      </c>
      <c r="B1078" s="1232" t="s">
        <v>3588</v>
      </c>
      <c r="C1078" s="1232" t="s">
        <v>3622</v>
      </c>
      <c r="D1078" s="1006">
        <v>1550</v>
      </c>
      <c r="E1078" s="1006">
        <v>1800</v>
      </c>
      <c r="F1078" s="1006">
        <v>1800</v>
      </c>
      <c r="G1078" s="637" t="s">
        <v>19</v>
      </c>
      <c r="H1078" s="627" t="s">
        <v>659</v>
      </c>
      <c r="I1078" s="37" t="s">
        <v>17</v>
      </c>
      <c r="J1078" s="37"/>
      <c r="K1078" s="34" t="s">
        <v>986</v>
      </c>
      <c r="L1078" s="607" t="s">
        <v>653</v>
      </c>
      <c r="M1078" s="156">
        <v>43084</v>
      </c>
      <c r="N1078" s="156">
        <v>43093</v>
      </c>
      <c r="O1078" s="59" t="s">
        <v>611</v>
      </c>
      <c r="P1078" s="61"/>
      <c r="Q1078" s="7"/>
      <c r="R1078" s="606" t="s">
        <v>3596</v>
      </c>
      <c r="S1078" s="315" t="s">
        <v>3337</v>
      </c>
      <c r="T1078" s="904"/>
    </row>
    <row r="1079" spans="1:20" ht="20.100000000000001" customHeight="1">
      <c r="A1079" s="1255" t="s">
        <v>3578</v>
      </c>
      <c r="B1079" s="1232" t="s">
        <v>3588</v>
      </c>
      <c r="C1079" s="1232" t="s">
        <v>3622</v>
      </c>
      <c r="D1079" s="1015">
        <v>1250</v>
      </c>
      <c r="E1079" s="1015">
        <v>1500</v>
      </c>
      <c r="F1079" s="1015">
        <v>1500</v>
      </c>
      <c r="G1079" s="631" t="s">
        <v>31</v>
      </c>
      <c r="H1079" s="168" t="s">
        <v>659</v>
      </c>
      <c r="I1079" s="37" t="s">
        <v>17</v>
      </c>
      <c r="J1079" s="37"/>
      <c r="K1079" s="34" t="s">
        <v>986</v>
      </c>
      <c r="L1079" s="607" t="s">
        <v>653</v>
      </c>
      <c r="M1079" s="623">
        <v>43080</v>
      </c>
      <c r="N1079" s="623">
        <v>43083</v>
      </c>
      <c r="O1079" s="61"/>
      <c r="P1079" s="61"/>
      <c r="Q1079" s="7"/>
      <c r="R1079" s="606" t="s">
        <v>3568</v>
      </c>
      <c r="S1079" s="622" t="s">
        <v>1176</v>
      </c>
      <c r="T1079" s="904"/>
    </row>
    <row r="1080" spans="1:20" ht="20.100000000000001" customHeight="1">
      <c r="A1080" s="1255" t="s">
        <v>3578</v>
      </c>
      <c r="B1080" s="1232" t="s">
        <v>3588</v>
      </c>
      <c r="C1080" s="1232" t="s">
        <v>3620</v>
      </c>
      <c r="D1080" s="956">
        <v>1550</v>
      </c>
      <c r="E1080" s="956">
        <v>1800</v>
      </c>
      <c r="F1080" s="956">
        <v>1800</v>
      </c>
      <c r="G1080" s="629" t="s">
        <v>5</v>
      </c>
      <c r="H1080" s="56">
        <v>2</v>
      </c>
      <c r="I1080" s="50" t="s">
        <v>17</v>
      </c>
      <c r="J1080" s="50"/>
      <c r="K1080" s="34" t="s">
        <v>970</v>
      </c>
      <c r="L1080" s="607" t="s">
        <v>653</v>
      </c>
      <c r="M1080" s="159">
        <v>43087</v>
      </c>
      <c r="N1080" s="159">
        <v>43093</v>
      </c>
      <c r="O1080" s="61" t="s">
        <v>1771</v>
      </c>
      <c r="P1080" s="61"/>
      <c r="Q1080" s="7"/>
      <c r="R1080" s="606" t="s">
        <v>3595</v>
      </c>
      <c r="S1080" s="622"/>
      <c r="T1080" s="904"/>
    </row>
    <row r="1081" spans="1:20" ht="20.100000000000001" customHeight="1">
      <c r="A1081" s="1255" t="s">
        <v>3578</v>
      </c>
      <c r="B1081" s="1232" t="s">
        <v>3588</v>
      </c>
      <c r="C1081" s="1232" t="s">
        <v>3620</v>
      </c>
      <c r="D1081" s="1008">
        <v>1125</v>
      </c>
      <c r="E1081" s="1008">
        <v>1250</v>
      </c>
      <c r="F1081" s="1008">
        <v>1250</v>
      </c>
      <c r="G1081" s="227" t="s">
        <v>1689</v>
      </c>
      <c r="H1081" s="160">
        <v>2</v>
      </c>
      <c r="I1081" s="50" t="s">
        <v>17</v>
      </c>
      <c r="J1081" s="50"/>
      <c r="K1081" s="34" t="s">
        <v>970</v>
      </c>
      <c r="L1081" s="607" t="s">
        <v>653</v>
      </c>
      <c r="M1081" s="156">
        <v>43076</v>
      </c>
      <c r="N1081" s="156">
        <v>43083</v>
      </c>
      <c r="O1081" s="61" t="s">
        <v>1771</v>
      </c>
      <c r="P1081" s="61"/>
      <c r="Q1081" s="7"/>
      <c r="R1081" s="606" t="s">
        <v>3576</v>
      </c>
      <c r="S1081" s="316" t="s">
        <v>2943</v>
      </c>
      <c r="T1081" s="904"/>
    </row>
    <row r="1082" spans="1:20" ht="20.100000000000001" customHeight="1">
      <c r="A1082" s="1255" t="s">
        <v>3578</v>
      </c>
      <c r="B1082" s="1232" t="s">
        <v>3588</v>
      </c>
      <c r="C1082" s="1232" t="s">
        <v>3620</v>
      </c>
      <c r="D1082" s="1008">
        <v>1600</v>
      </c>
      <c r="E1082" s="1008">
        <v>1900</v>
      </c>
      <c r="F1082" s="1008">
        <v>1900</v>
      </c>
      <c r="G1082" s="638" t="s">
        <v>51</v>
      </c>
      <c r="H1082" s="160">
        <v>2</v>
      </c>
      <c r="I1082" s="50" t="s">
        <v>17</v>
      </c>
      <c r="J1082" s="50"/>
      <c r="K1082" s="34" t="s">
        <v>970</v>
      </c>
      <c r="L1082" s="607" t="s">
        <v>653</v>
      </c>
      <c r="M1082" s="611">
        <v>43086</v>
      </c>
      <c r="N1082" s="611">
        <v>43100</v>
      </c>
      <c r="O1082" s="61" t="s">
        <v>601</v>
      </c>
      <c r="P1082" s="52" t="s">
        <v>3621</v>
      </c>
      <c r="Q1082" s="52"/>
      <c r="R1082" s="606" t="s">
        <v>3612</v>
      </c>
      <c r="S1082" s="315" t="s">
        <v>3290</v>
      </c>
      <c r="T1082" s="749" t="s">
        <v>3611</v>
      </c>
    </row>
    <row r="1083" spans="1:20" ht="20.100000000000001" customHeight="1">
      <c r="A1083" s="1255" t="s">
        <v>3578</v>
      </c>
      <c r="B1083" s="1232" t="s">
        <v>3588</v>
      </c>
      <c r="C1083" s="1232" t="s">
        <v>3620</v>
      </c>
      <c r="D1083" s="1006">
        <v>1550</v>
      </c>
      <c r="E1083" s="1006">
        <v>1800</v>
      </c>
      <c r="F1083" s="1006">
        <v>1800</v>
      </c>
      <c r="G1083" s="637" t="s">
        <v>19</v>
      </c>
      <c r="H1083" s="628">
        <v>2</v>
      </c>
      <c r="I1083" s="37" t="s">
        <v>17</v>
      </c>
      <c r="J1083" s="37"/>
      <c r="K1083" s="34" t="s">
        <v>970</v>
      </c>
      <c r="L1083" s="607" t="s">
        <v>653</v>
      </c>
      <c r="M1083" s="156">
        <v>43084</v>
      </c>
      <c r="N1083" s="156">
        <v>43093</v>
      </c>
      <c r="O1083" s="59" t="s">
        <v>611</v>
      </c>
      <c r="P1083" s="61"/>
      <c r="Q1083" s="52"/>
      <c r="R1083" s="606" t="s">
        <v>3584</v>
      </c>
      <c r="S1083" s="315" t="s">
        <v>3337</v>
      </c>
      <c r="T1083" s="904"/>
    </row>
    <row r="1084" spans="1:20" ht="20.100000000000001" customHeight="1">
      <c r="A1084" s="1255" t="s">
        <v>3578</v>
      </c>
      <c r="B1084" s="1232" t="s">
        <v>3588</v>
      </c>
      <c r="C1084" s="1232" t="s">
        <v>3620</v>
      </c>
      <c r="D1084" s="1016">
        <v>1150</v>
      </c>
      <c r="E1084" s="1016">
        <v>1200</v>
      </c>
      <c r="F1084" s="1016">
        <v>1200</v>
      </c>
      <c r="G1084" s="631" t="s">
        <v>233</v>
      </c>
      <c r="H1084" s="56">
        <v>2</v>
      </c>
      <c r="I1084" s="37" t="s">
        <v>17</v>
      </c>
      <c r="J1084" s="37"/>
      <c r="K1084" s="34" t="s">
        <v>970</v>
      </c>
      <c r="L1084" s="607" t="s">
        <v>653</v>
      </c>
      <c r="M1084" s="620">
        <v>43081</v>
      </c>
      <c r="N1084" s="620">
        <v>43085</v>
      </c>
      <c r="O1084" s="59" t="s">
        <v>601</v>
      </c>
      <c r="P1084" s="61"/>
      <c r="Q1084" s="52"/>
      <c r="R1084" s="606" t="s">
        <v>3609</v>
      </c>
      <c r="S1084" s="316" t="s">
        <v>3573</v>
      </c>
      <c r="T1084" s="904"/>
    </row>
    <row r="1085" spans="1:20" ht="20.100000000000001" customHeight="1">
      <c r="A1085" s="1255" t="s">
        <v>3578</v>
      </c>
      <c r="B1085" s="1232" t="s">
        <v>3588</v>
      </c>
      <c r="C1085" s="1232" t="s">
        <v>3620</v>
      </c>
      <c r="D1085" s="1015">
        <v>1250</v>
      </c>
      <c r="E1085" s="1015">
        <v>1500</v>
      </c>
      <c r="F1085" s="1015">
        <v>1500</v>
      </c>
      <c r="G1085" s="631" t="s">
        <v>31</v>
      </c>
      <c r="H1085" s="168" t="s">
        <v>1102</v>
      </c>
      <c r="I1085" s="37" t="s">
        <v>17</v>
      </c>
      <c r="J1085" s="37"/>
      <c r="K1085" s="34" t="s">
        <v>970</v>
      </c>
      <c r="L1085" s="607" t="s">
        <v>653</v>
      </c>
      <c r="M1085" s="623">
        <v>43080</v>
      </c>
      <c r="N1085" s="623">
        <v>43083</v>
      </c>
      <c r="O1085" s="61"/>
      <c r="P1085" s="61"/>
      <c r="Q1085" s="7"/>
      <c r="R1085" s="606" t="s">
        <v>3606</v>
      </c>
      <c r="S1085" s="622" t="s">
        <v>1176</v>
      </c>
      <c r="T1085" s="904"/>
    </row>
    <row r="1086" spans="1:20" ht="20.100000000000001" customHeight="1">
      <c r="A1086" s="1255" t="s">
        <v>3578</v>
      </c>
      <c r="B1086" s="1232" t="s">
        <v>3588</v>
      </c>
      <c r="C1086" s="1232" t="s">
        <v>3620</v>
      </c>
      <c r="D1086" s="1015">
        <v>1175</v>
      </c>
      <c r="E1086" s="1015">
        <v>1350</v>
      </c>
      <c r="F1086" s="1015">
        <v>1350</v>
      </c>
      <c r="G1086" s="631" t="s">
        <v>18</v>
      </c>
      <c r="H1086" s="56" t="s">
        <v>1102</v>
      </c>
      <c r="I1086" s="37" t="s">
        <v>2548</v>
      </c>
      <c r="J1086" s="37"/>
      <c r="K1086" s="16" t="s">
        <v>722</v>
      </c>
      <c r="L1086" s="607" t="s">
        <v>653</v>
      </c>
      <c r="M1086" s="108">
        <v>43078</v>
      </c>
      <c r="N1086" s="108">
        <v>43083</v>
      </c>
      <c r="O1086" s="59"/>
      <c r="P1086" s="61"/>
      <c r="Q1086" s="7"/>
      <c r="R1086" s="606" t="s">
        <v>2547</v>
      </c>
      <c r="S1086" s="622"/>
      <c r="T1086" s="904"/>
    </row>
    <row r="1087" spans="1:20" ht="20.100000000000001" customHeight="1">
      <c r="A1087" s="1255" t="s">
        <v>3578</v>
      </c>
      <c r="B1087" s="1232" t="s">
        <v>3588</v>
      </c>
      <c r="C1087" s="1232" t="s">
        <v>3620</v>
      </c>
      <c r="D1087" s="1006">
        <f>D1004+100</f>
        <v>1225</v>
      </c>
      <c r="E1087" s="1006">
        <f>E1004+200</f>
        <v>1400</v>
      </c>
      <c r="F1087" s="1006">
        <f>F1004+200</f>
        <v>1400</v>
      </c>
      <c r="G1087" s="613" t="s">
        <v>30</v>
      </c>
      <c r="H1087" s="56">
        <v>4</v>
      </c>
      <c r="I1087" s="37" t="s">
        <v>17</v>
      </c>
      <c r="J1087" s="37"/>
      <c r="K1087" s="16">
        <v>31</v>
      </c>
      <c r="L1087" s="607" t="s">
        <v>653</v>
      </c>
      <c r="M1087" s="15">
        <v>43078</v>
      </c>
      <c r="N1087" s="159">
        <v>43084</v>
      </c>
      <c r="O1087" s="61"/>
      <c r="P1087" s="61"/>
      <c r="Q1087" s="7"/>
      <c r="R1087" s="606" t="s">
        <v>3568</v>
      </c>
      <c r="S1087" s="316" t="s">
        <v>3567</v>
      </c>
      <c r="T1087" s="626" t="s">
        <v>1018</v>
      </c>
    </row>
    <row r="1088" spans="1:20" ht="20.100000000000001" customHeight="1">
      <c r="A1088" s="1255" t="s">
        <v>3578</v>
      </c>
      <c r="B1088" s="1232" t="s">
        <v>3588</v>
      </c>
      <c r="C1088" s="1232" t="s">
        <v>3620</v>
      </c>
      <c r="D1088" s="1067">
        <v>1600</v>
      </c>
      <c r="E1088" s="1067">
        <v>1900</v>
      </c>
      <c r="F1088" s="1067">
        <v>1900</v>
      </c>
      <c r="G1088" s="629" t="s">
        <v>22</v>
      </c>
      <c r="H1088" s="4">
        <v>4</v>
      </c>
      <c r="I1088" s="37" t="s">
        <v>17</v>
      </c>
      <c r="J1088" s="37"/>
      <c r="K1088" s="16">
        <v>31</v>
      </c>
      <c r="L1088" s="607" t="s">
        <v>653</v>
      </c>
      <c r="M1088" s="108">
        <v>43087</v>
      </c>
      <c r="N1088" s="108">
        <v>43094</v>
      </c>
      <c r="O1088" s="61" t="s">
        <v>2545</v>
      </c>
      <c r="P1088" s="7"/>
      <c r="Q1088" s="7"/>
      <c r="R1088" s="606" t="s">
        <v>3593</v>
      </c>
      <c r="S1088" s="322" t="s">
        <v>1176</v>
      </c>
      <c r="T1088" s="858"/>
    </row>
    <row r="1089" spans="1:20" ht="20.100000000000001" customHeight="1">
      <c r="A1089" s="1255" t="s">
        <v>3578</v>
      </c>
      <c r="B1089" s="1232" t="s">
        <v>3588</v>
      </c>
      <c r="C1089" s="1232" t="s">
        <v>3620</v>
      </c>
      <c r="D1089" s="956">
        <v>1500</v>
      </c>
      <c r="E1089" s="956">
        <v>1750</v>
      </c>
      <c r="F1089" s="956">
        <v>1750</v>
      </c>
      <c r="G1089" s="634" t="s">
        <v>33</v>
      </c>
      <c r="H1089" s="56" t="s">
        <v>721</v>
      </c>
      <c r="I1089" s="37" t="s">
        <v>3577</v>
      </c>
      <c r="J1089" s="37"/>
      <c r="K1089" s="34" t="s">
        <v>775</v>
      </c>
      <c r="L1089" s="607" t="s">
        <v>653</v>
      </c>
      <c r="M1089" s="159">
        <v>43087</v>
      </c>
      <c r="N1089" s="159">
        <v>43093</v>
      </c>
      <c r="O1089" s="61"/>
      <c r="P1089" s="61"/>
      <c r="Q1089" s="7"/>
      <c r="R1089" s="606" t="s">
        <v>3336</v>
      </c>
      <c r="S1089" s="316" t="s">
        <v>3333</v>
      </c>
      <c r="T1089" s="858"/>
    </row>
    <row r="1090" spans="1:20" ht="20.100000000000001" customHeight="1">
      <c r="A1090" s="1255" t="s">
        <v>3578</v>
      </c>
      <c r="B1090" s="1232" t="s">
        <v>3588</v>
      </c>
      <c r="C1090" s="1232" t="s">
        <v>3619</v>
      </c>
      <c r="D1090" s="1008">
        <v>1125</v>
      </c>
      <c r="E1090" s="1008">
        <v>1250</v>
      </c>
      <c r="F1090" s="1008">
        <v>1250</v>
      </c>
      <c r="G1090" s="227" t="s">
        <v>1689</v>
      </c>
      <c r="H1090" s="168" t="s">
        <v>659</v>
      </c>
      <c r="I1090" s="50" t="s">
        <v>17</v>
      </c>
      <c r="J1090" s="37"/>
      <c r="K1090" s="19" t="s">
        <v>1265</v>
      </c>
      <c r="L1090" s="607" t="s">
        <v>653</v>
      </c>
      <c r="M1090" s="156">
        <v>43076</v>
      </c>
      <c r="N1090" s="156">
        <v>43083</v>
      </c>
      <c r="O1090" s="61" t="s">
        <v>1771</v>
      </c>
      <c r="P1090" s="61"/>
      <c r="Q1090" s="7"/>
      <c r="R1090" s="606" t="s">
        <v>3590</v>
      </c>
      <c r="S1090" s="316" t="s">
        <v>2943</v>
      </c>
      <c r="T1090" s="904"/>
    </row>
    <row r="1091" spans="1:20" ht="20.100000000000001" customHeight="1">
      <c r="A1091" s="1255" t="s">
        <v>3578</v>
      </c>
      <c r="B1091" s="1232" t="s">
        <v>3588</v>
      </c>
      <c r="C1091" s="1232" t="s">
        <v>3619</v>
      </c>
      <c r="D1091" s="1006">
        <v>1550</v>
      </c>
      <c r="E1091" s="1006">
        <v>1800</v>
      </c>
      <c r="F1091" s="1006">
        <v>1800</v>
      </c>
      <c r="G1091" s="215" t="s">
        <v>19</v>
      </c>
      <c r="H1091" s="627" t="s">
        <v>659</v>
      </c>
      <c r="I1091" s="50" t="s">
        <v>17</v>
      </c>
      <c r="J1091" s="37"/>
      <c r="K1091" s="19" t="s">
        <v>1265</v>
      </c>
      <c r="L1091" s="607" t="s">
        <v>653</v>
      </c>
      <c r="M1091" s="156">
        <v>43084</v>
      </c>
      <c r="N1091" s="156">
        <v>43093</v>
      </c>
      <c r="O1091" s="59" t="s">
        <v>611</v>
      </c>
      <c r="P1091" s="61"/>
      <c r="Q1091" s="7"/>
      <c r="R1091" s="606" t="s">
        <v>3596</v>
      </c>
      <c r="S1091" s="315" t="s">
        <v>3337</v>
      </c>
      <c r="T1091" s="904"/>
    </row>
    <row r="1092" spans="1:20" ht="20.100000000000001" customHeight="1">
      <c r="A1092" s="1255" t="s">
        <v>3578</v>
      </c>
      <c r="B1092" s="1232" t="s">
        <v>3588</v>
      </c>
      <c r="C1092" s="1232" t="s">
        <v>3619</v>
      </c>
      <c r="D1092" s="1008">
        <v>1550</v>
      </c>
      <c r="E1092" s="1008">
        <v>1800</v>
      </c>
      <c r="F1092" s="1008">
        <v>1800</v>
      </c>
      <c r="G1092" s="629" t="s">
        <v>51</v>
      </c>
      <c r="H1092" s="168" t="s">
        <v>659</v>
      </c>
      <c r="I1092" s="50" t="s">
        <v>17</v>
      </c>
      <c r="J1092" s="37"/>
      <c r="K1092" s="19" t="s">
        <v>1265</v>
      </c>
      <c r="L1092" s="607" t="s">
        <v>653</v>
      </c>
      <c r="M1092" s="611">
        <v>43086</v>
      </c>
      <c r="N1092" s="611">
        <v>43100</v>
      </c>
      <c r="O1092" s="61" t="s">
        <v>601</v>
      </c>
      <c r="P1092" s="52"/>
      <c r="Q1092" s="7"/>
      <c r="R1092" s="606" t="s">
        <v>3618</v>
      </c>
      <c r="S1092" s="315" t="s">
        <v>3290</v>
      </c>
      <c r="T1092" s="749" t="s">
        <v>3611</v>
      </c>
    </row>
    <row r="1093" spans="1:20" ht="20.100000000000001" customHeight="1">
      <c r="A1093" s="1255" t="s">
        <v>3578</v>
      </c>
      <c r="B1093" s="1232" t="s">
        <v>3588</v>
      </c>
      <c r="C1093" s="1232" t="s">
        <v>3619</v>
      </c>
      <c r="D1093" s="956">
        <v>1550</v>
      </c>
      <c r="E1093" s="956">
        <v>1800</v>
      </c>
      <c r="F1093" s="956">
        <v>1800</v>
      </c>
      <c r="G1093" s="629" t="s">
        <v>5</v>
      </c>
      <c r="H1093" s="168" t="s">
        <v>659</v>
      </c>
      <c r="I1093" s="50" t="s">
        <v>17</v>
      </c>
      <c r="J1093" s="37"/>
      <c r="K1093" s="19" t="s">
        <v>1265</v>
      </c>
      <c r="L1093" s="607" t="s">
        <v>653</v>
      </c>
      <c r="M1093" s="159">
        <v>43087</v>
      </c>
      <c r="N1093" s="159">
        <v>43093</v>
      </c>
      <c r="O1093" s="61" t="s">
        <v>1771</v>
      </c>
      <c r="P1093" s="61"/>
      <c r="Q1093" s="7"/>
      <c r="R1093" s="606" t="s">
        <v>3579</v>
      </c>
      <c r="S1093" s="622"/>
      <c r="T1093" s="904"/>
    </row>
    <row r="1094" spans="1:20" ht="20.100000000000001" customHeight="1">
      <c r="A1094" s="1255" t="s">
        <v>3578</v>
      </c>
      <c r="B1094" s="1232" t="s">
        <v>3588</v>
      </c>
      <c r="C1094" s="1232" t="s">
        <v>3619</v>
      </c>
      <c r="D1094" s="1015">
        <v>1250</v>
      </c>
      <c r="E1094" s="1015">
        <v>1500</v>
      </c>
      <c r="F1094" s="1015">
        <v>1500</v>
      </c>
      <c r="G1094" s="636" t="s">
        <v>31</v>
      </c>
      <c r="H1094" s="168" t="s">
        <v>659</v>
      </c>
      <c r="I1094" s="50" t="s">
        <v>17</v>
      </c>
      <c r="J1094" s="37"/>
      <c r="K1094" s="19" t="s">
        <v>1265</v>
      </c>
      <c r="L1094" s="607" t="s">
        <v>653</v>
      </c>
      <c r="M1094" s="623">
        <v>43080</v>
      </c>
      <c r="N1094" s="623">
        <v>43083</v>
      </c>
      <c r="O1094" s="61"/>
      <c r="P1094" s="61"/>
      <c r="Q1094" s="7"/>
      <c r="R1094" s="606" t="s">
        <v>3568</v>
      </c>
      <c r="S1094" s="622" t="s">
        <v>1176</v>
      </c>
      <c r="T1094" s="904"/>
    </row>
    <row r="1095" spans="1:20" ht="20.100000000000001" customHeight="1">
      <c r="A1095" s="1255" t="s">
        <v>3578</v>
      </c>
      <c r="B1095" s="1232" t="s">
        <v>3588</v>
      </c>
      <c r="C1095" s="1232" t="s">
        <v>3619</v>
      </c>
      <c r="D1095" s="1016">
        <v>1150</v>
      </c>
      <c r="E1095" s="1016">
        <v>1200</v>
      </c>
      <c r="F1095" s="1016">
        <v>1200</v>
      </c>
      <c r="G1095" s="635" t="s">
        <v>233</v>
      </c>
      <c r="H1095" s="168" t="s">
        <v>659</v>
      </c>
      <c r="I1095" s="50" t="s">
        <v>17</v>
      </c>
      <c r="J1095" s="37"/>
      <c r="K1095" s="19" t="s">
        <v>1265</v>
      </c>
      <c r="L1095" s="607" t="s">
        <v>653</v>
      </c>
      <c r="M1095" s="620">
        <v>43081</v>
      </c>
      <c r="N1095" s="620">
        <v>43085</v>
      </c>
      <c r="O1095" s="59" t="s">
        <v>601</v>
      </c>
      <c r="P1095" s="61"/>
      <c r="Q1095" s="7"/>
      <c r="R1095" s="606" t="s">
        <v>3617</v>
      </c>
      <c r="S1095" s="316" t="s">
        <v>3573</v>
      </c>
      <c r="T1095" s="904"/>
    </row>
    <row r="1096" spans="1:20" ht="20.100000000000001" customHeight="1">
      <c r="A1096" s="1255" t="s">
        <v>3578</v>
      </c>
      <c r="B1096" s="1232" t="s">
        <v>3588</v>
      </c>
      <c r="C1096" s="1232" t="s">
        <v>3619</v>
      </c>
      <c r="D1096" s="1006">
        <v>1125</v>
      </c>
      <c r="E1096" s="1006">
        <v>1200</v>
      </c>
      <c r="F1096" s="1006">
        <v>1200</v>
      </c>
      <c r="G1096" s="633" t="s">
        <v>30</v>
      </c>
      <c r="H1096" s="4">
        <v>4</v>
      </c>
      <c r="I1096" s="37" t="s">
        <v>17</v>
      </c>
      <c r="J1096" s="37"/>
      <c r="K1096" s="5">
        <v>35</v>
      </c>
      <c r="L1096" s="607" t="s">
        <v>653</v>
      </c>
      <c r="M1096" s="15">
        <v>43078</v>
      </c>
      <c r="N1096" s="159">
        <v>43084</v>
      </c>
      <c r="O1096" s="61"/>
      <c r="P1096" s="61"/>
      <c r="Q1096" s="7"/>
      <c r="R1096" s="606" t="s">
        <v>3568</v>
      </c>
      <c r="S1096" s="316" t="s">
        <v>3567</v>
      </c>
      <c r="T1096" s="626" t="s">
        <v>1018</v>
      </c>
    </row>
    <row r="1097" spans="1:20" ht="20.100000000000001" customHeight="1">
      <c r="A1097" s="1255" t="s">
        <v>3578</v>
      </c>
      <c r="B1097" s="1232" t="s">
        <v>3588</v>
      </c>
      <c r="C1097" s="1232" t="s">
        <v>3619</v>
      </c>
      <c r="D1097" s="1067">
        <v>1550</v>
      </c>
      <c r="E1097" s="1067">
        <v>1800</v>
      </c>
      <c r="F1097" s="1067">
        <v>1800</v>
      </c>
      <c r="G1097" s="629" t="s">
        <v>22</v>
      </c>
      <c r="H1097" s="4">
        <v>4</v>
      </c>
      <c r="I1097" s="37" t="s">
        <v>17</v>
      </c>
      <c r="J1097" s="37"/>
      <c r="K1097" s="5" t="s">
        <v>722</v>
      </c>
      <c r="L1097" s="607" t="s">
        <v>653</v>
      </c>
      <c r="M1097" s="108">
        <v>43087</v>
      </c>
      <c r="N1097" s="108">
        <v>43094</v>
      </c>
      <c r="O1097" s="61" t="s">
        <v>2545</v>
      </c>
      <c r="P1097" s="7"/>
      <c r="Q1097" s="7"/>
      <c r="R1097" s="606" t="s">
        <v>3593</v>
      </c>
      <c r="S1097" s="322" t="s">
        <v>1176</v>
      </c>
      <c r="T1097" s="859"/>
    </row>
    <row r="1098" spans="1:20" ht="20.100000000000001" customHeight="1">
      <c r="A1098" s="1255" t="s">
        <v>3578</v>
      </c>
      <c r="B1098" s="1232" t="s">
        <v>3588</v>
      </c>
      <c r="C1098" s="1232" t="s">
        <v>3615</v>
      </c>
      <c r="D1098" s="1015">
        <v>1175</v>
      </c>
      <c r="E1098" s="1015">
        <v>1350</v>
      </c>
      <c r="F1098" s="1015">
        <v>1350</v>
      </c>
      <c r="G1098" s="631" t="s">
        <v>18</v>
      </c>
      <c r="H1098" s="56" t="s">
        <v>1102</v>
      </c>
      <c r="I1098" s="37" t="s">
        <v>2548</v>
      </c>
      <c r="J1098" s="37"/>
      <c r="K1098" s="16" t="s">
        <v>731</v>
      </c>
      <c r="L1098" s="607" t="s">
        <v>653</v>
      </c>
      <c r="M1098" s="108">
        <v>43078</v>
      </c>
      <c r="N1098" s="108">
        <v>43083</v>
      </c>
      <c r="O1098" s="59"/>
      <c r="P1098" s="61"/>
      <c r="Q1098" s="7"/>
      <c r="R1098" s="606" t="s">
        <v>2547</v>
      </c>
      <c r="S1098" s="322"/>
      <c r="T1098" s="859"/>
    </row>
    <row r="1099" spans="1:20" ht="20.100000000000001" customHeight="1">
      <c r="A1099" s="1255" t="s">
        <v>3578</v>
      </c>
      <c r="B1099" s="1232" t="s">
        <v>3588</v>
      </c>
      <c r="C1099" s="1232" t="s">
        <v>3615</v>
      </c>
      <c r="D1099" s="1008">
        <v>1125</v>
      </c>
      <c r="E1099" s="1008">
        <v>1250</v>
      </c>
      <c r="F1099" s="1008">
        <v>1250</v>
      </c>
      <c r="G1099" s="227" t="s">
        <v>1689</v>
      </c>
      <c r="H1099" s="168" t="s">
        <v>659</v>
      </c>
      <c r="I1099" s="50" t="s">
        <v>17</v>
      </c>
      <c r="J1099" s="37"/>
      <c r="K1099" s="19" t="s">
        <v>1264</v>
      </c>
      <c r="L1099" s="607" t="s">
        <v>653</v>
      </c>
      <c r="M1099" s="156">
        <v>43076</v>
      </c>
      <c r="N1099" s="156">
        <v>43083</v>
      </c>
      <c r="O1099" s="61" t="s">
        <v>1771</v>
      </c>
      <c r="P1099" s="61"/>
      <c r="Q1099" s="7"/>
      <c r="R1099" s="606" t="s">
        <v>3590</v>
      </c>
      <c r="S1099" s="316" t="s">
        <v>2943</v>
      </c>
      <c r="T1099" s="904"/>
    </row>
    <row r="1100" spans="1:20" ht="20.100000000000001" customHeight="1">
      <c r="A1100" s="1255" t="s">
        <v>3578</v>
      </c>
      <c r="B1100" s="1232" t="s">
        <v>3588</v>
      </c>
      <c r="C1100" s="1232" t="s">
        <v>3615</v>
      </c>
      <c r="D1100" s="1008">
        <v>1550</v>
      </c>
      <c r="E1100" s="1008">
        <v>1800</v>
      </c>
      <c r="F1100" s="1008">
        <v>1800</v>
      </c>
      <c r="G1100" s="629" t="s">
        <v>51</v>
      </c>
      <c r="H1100" s="168" t="s">
        <v>659</v>
      </c>
      <c r="I1100" s="50" t="s">
        <v>17</v>
      </c>
      <c r="J1100" s="37"/>
      <c r="K1100" s="19" t="s">
        <v>1264</v>
      </c>
      <c r="L1100" s="607" t="s">
        <v>653</v>
      </c>
      <c r="M1100" s="611">
        <v>43086</v>
      </c>
      <c r="N1100" s="611">
        <v>43100</v>
      </c>
      <c r="O1100" s="61" t="s">
        <v>601</v>
      </c>
      <c r="P1100" s="52"/>
      <c r="Q1100" s="7"/>
      <c r="R1100" s="606" t="s">
        <v>3618</v>
      </c>
      <c r="S1100" s="315" t="s">
        <v>3290</v>
      </c>
      <c r="T1100" s="749" t="s">
        <v>3611</v>
      </c>
    </row>
    <row r="1101" spans="1:20" ht="20.100000000000001" customHeight="1">
      <c r="A1101" s="1255" t="s">
        <v>3578</v>
      </c>
      <c r="B1101" s="1232" t="s">
        <v>3588</v>
      </c>
      <c r="C1101" s="1232" t="s">
        <v>3615</v>
      </c>
      <c r="D1101" s="956">
        <v>1550</v>
      </c>
      <c r="E1101" s="956">
        <v>1800</v>
      </c>
      <c r="F1101" s="956">
        <v>1800</v>
      </c>
      <c r="G1101" s="629" t="s">
        <v>5</v>
      </c>
      <c r="H1101" s="168" t="s">
        <v>659</v>
      </c>
      <c r="I1101" s="50" t="s">
        <v>17</v>
      </c>
      <c r="J1101" s="37"/>
      <c r="K1101" s="19" t="s">
        <v>1264</v>
      </c>
      <c r="L1101" s="607" t="s">
        <v>653</v>
      </c>
      <c r="M1101" s="159">
        <v>43087</v>
      </c>
      <c r="N1101" s="159">
        <v>43093</v>
      </c>
      <c r="O1101" s="61" t="s">
        <v>1771</v>
      </c>
      <c r="P1101" s="61"/>
      <c r="Q1101" s="7"/>
      <c r="R1101" s="606" t="s">
        <v>3579</v>
      </c>
      <c r="S1101" s="622"/>
      <c r="T1101" s="904"/>
    </row>
    <row r="1102" spans="1:20" ht="20.100000000000001" customHeight="1">
      <c r="A1102" s="1255" t="s">
        <v>3578</v>
      </c>
      <c r="B1102" s="1232" t="s">
        <v>3588</v>
      </c>
      <c r="C1102" s="1232" t="s">
        <v>3615</v>
      </c>
      <c r="D1102" s="1006">
        <v>1550</v>
      </c>
      <c r="E1102" s="1006">
        <v>1800</v>
      </c>
      <c r="F1102" s="1006">
        <v>1800</v>
      </c>
      <c r="G1102" s="215" t="s">
        <v>19</v>
      </c>
      <c r="H1102" s="627" t="s">
        <v>659</v>
      </c>
      <c r="I1102" s="37" t="s">
        <v>17</v>
      </c>
      <c r="J1102" s="37"/>
      <c r="K1102" s="19" t="s">
        <v>1264</v>
      </c>
      <c r="L1102" s="607" t="s">
        <v>653</v>
      </c>
      <c r="M1102" s="156">
        <v>43084</v>
      </c>
      <c r="N1102" s="156">
        <v>43093</v>
      </c>
      <c r="O1102" s="59" t="s">
        <v>611</v>
      </c>
      <c r="P1102" s="61"/>
      <c r="Q1102" s="7"/>
      <c r="R1102" s="606" t="s">
        <v>3596</v>
      </c>
      <c r="S1102" s="315" t="s">
        <v>3337</v>
      </c>
      <c r="T1102" s="904"/>
    </row>
    <row r="1103" spans="1:20" ht="20.100000000000001" customHeight="1">
      <c r="A1103" s="1255" t="s">
        <v>3578</v>
      </c>
      <c r="B1103" s="1232" t="s">
        <v>3588</v>
      </c>
      <c r="C1103" s="1232" t="s">
        <v>3615</v>
      </c>
      <c r="D1103" s="1016">
        <v>1150</v>
      </c>
      <c r="E1103" s="1016">
        <v>1200</v>
      </c>
      <c r="F1103" s="1016">
        <v>1200</v>
      </c>
      <c r="G1103" s="635" t="s">
        <v>233</v>
      </c>
      <c r="H1103" s="168" t="s">
        <v>659</v>
      </c>
      <c r="I1103" s="37" t="s">
        <v>17</v>
      </c>
      <c r="J1103" s="37"/>
      <c r="K1103" s="19" t="s">
        <v>1264</v>
      </c>
      <c r="L1103" s="607" t="s">
        <v>653</v>
      </c>
      <c r="M1103" s="620">
        <v>43081</v>
      </c>
      <c r="N1103" s="620">
        <v>43085</v>
      </c>
      <c r="O1103" s="59" t="s">
        <v>601</v>
      </c>
      <c r="P1103" s="61"/>
      <c r="Q1103" s="7"/>
      <c r="R1103" s="606" t="s">
        <v>3617</v>
      </c>
      <c r="S1103" s="316" t="s">
        <v>3573</v>
      </c>
      <c r="T1103" s="904"/>
    </row>
    <row r="1104" spans="1:20" ht="20.100000000000001" customHeight="1">
      <c r="A1104" s="1255" t="s">
        <v>3578</v>
      </c>
      <c r="B1104" s="1232" t="s">
        <v>3588</v>
      </c>
      <c r="C1104" s="1232" t="s">
        <v>3615</v>
      </c>
      <c r="D1104" s="1015">
        <v>1250</v>
      </c>
      <c r="E1104" s="1015">
        <v>1500</v>
      </c>
      <c r="F1104" s="1015">
        <v>1500</v>
      </c>
      <c r="G1104" s="631" t="s">
        <v>31</v>
      </c>
      <c r="H1104" s="168" t="s">
        <v>659</v>
      </c>
      <c r="I1104" s="37" t="s">
        <v>17</v>
      </c>
      <c r="J1104" s="37"/>
      <c r="K1104" s="19" t="s">
        <v>1264</v>
      </c>
      <c r="L1104" s="607" t="s">
        <v>653</v>
      </c>
      <c r="M1104" s="623">
        <v>43080</v>
      </c>
      <c r="N1104" s="623">
        <v>43083</v>
      </c>
      <c r="O1104" s="61"/>
      <c r="P1104" s="61"/>
      <c r="Q1104" s="7"/>
      <c r="R1104" s="606" t="s">
        <v>3568</v>
      </c>
      <c r="S1104" s="622" t="s">
        <v>1176</v>
      </c>
      <c r="T1104" s="904"/>
    </row>
    <row r="1105" spans="1:20" ht="20.100000000000001" customHeight="1">
      <c r="A1105" s="1255" t="s">
        <v>3578</v>
      </c>
      <c r="B1105" s="1232" t="s">
        <v>3588</v>
      </c>
      <c r="C1105" s="1232" t="s">
        <v>3615</v>
      </c>
      <c r="D1105" s="1018">
        <f>D1124+480+25</f>
        <v>2055</v>
      </c>
      <c r="E1105" s="1018">
        <f>E1124+480+50</f>
        <v>2330</v>
      </c>
      <c r="F1105" s="1018">
        <f>F1124+480+50</f>
        <v>2330</v>
      </c>
      <c r="G1105" s="216" t="s">
        <v>22</v>
      </c>
      <c r="H1105" s="4">
        <v>4</v>
      </c>
      <c r="I1105" s="37" t="s">
        <v>3598</v>
      </c>
      <c r="J1105" s="37"/>
      <c r="K1105" s="16">
        <v>35</v>
      </c>
      <c r="L1105" s="607" t="s">
        <v>653</v>
      </c>
      <c r="M1105" s="108">
        <v>43087</v>
      </c>
      <c r="N1105" s="108">
        <v>43094</v>
      </c>
      <c r="O1105" s="61" t="s">
        <v>2545</v>
      </c>
      <c r="P1105" s="7"/>
      <c r="Q1105" s="14" t="s">
        <v>24</v>
      </c>
      <c r="R1105" s="606" t="s">
        <v>3593</v>
      </c>
      <c r="S1105" s="322" t="s">
        <v>1176</v>
      </c>
      <c r="T1105" s="858"/>
    </row>
    <row r="1106" spans="1:20" ht="20.100000000000001" customHeight="1">
      <c r="A1106" s="1255" t="s">
        <v>3578</v>
      </c>
      <c r="B1106" s="1232" t="s">
        <v>3588</v>
      </c>
      <c r="C1106" s="1232" t="s">
        <v>3615</v>
      </c>
      <c r="D1106" s="1008">
        <v>1550</v>
      </c>
      <c r="E1106" s="1008">
        <v>1800</v>
      </c>
      <c r="F1106" s="1008">
        <v>1800</v>
      </c>
      <c r="G1106" s="629" t="s">
        <v>51</v>
      </c>
      <c r="H1106" s="4">
        <v>6</v>
      </c>
      <c r="I1106" s="37" t="s">
        <v>17</v>
      </c>
      <c r="J1106" s="37"/>
      <c r="K1106" s="34" t="s">
        <v>687</v>
      </c>
      <c r="L1106" s="607" t="s">
        <v>653</v>
      </c>
      <c r="M1106" s="611">
        <v>43086</v>
      </c>
      <c r="N1106" s="611">
        <v>43100</v>
      </c>
      <c r="O1106" s="61" t="s">
        <v>601</v>
      </c>
      <c r="P1106" s="52"/>
      <c r="Q1106" s="7"/>
      <c r="R1106" s="606" t="s">
        <v>3336</v>
      </c>
      <c r="S1106" s="315" t="s">
        <v>3290</v>
      </c>
      <c r="T1106" s="749" t="s">
        <v>3611</v>
      </c>
    </row>
    <row r="1107" spans="1:20" ht="20.100000000000001" customHeight="1">
      <c r="A1107" s="1255" t="s">
        <v>3578</v>
      </c>
      <c r="B1107" s="1232" t="s">
        <v>3588</v>
      </c>
      <c r="C1107" s="1232" t="s">
        <v>3615</v>
      </c>
      <c r="D1107" s="956">
        <v>1500</v>
      </c>
      <c r="E1107" s="956">
        <v>1750</v>
      </c>
      <c r="F1107" s="956">
        <v>1750</v>
      </c>
      <c r="G1107" s="634" t="s">
        <v>33</v>
      </c>
      <c r="H1107" s="4">
        <v>6</v>
      </c>
      <c r="I1107" s="37" t="s">
        <v>17</v>
      </c>
      <c r="J1107" s="37"/>
      <c r="K1107" s="34" t="s">
        <v>687</v>
      </c>
      <c r="L1107" s="607" t="s">
        <v>653</v>
      </c>
      <c r="M1107" s="159">
        <v>43087</v>
      </c>
      <c r="N1107" s="159">
        <v>43093</v>
      </c>
      <c r="O1107" s="61"/>
      <c r="P1107" s="61"/>
      <c r="Q1107" s="7"/>
      <c r="R1107" s="606" t="s">
        <v>3336</v>
      </c>
      <c r="S1107" s="316" t="s">
        <v>3333</v>
      </c>
      <c r="T1107" s="858"/>
    </row>
    <row r="1108" spans="1:20" ht="20.100000000000001" customHeight="1">
      <c r="A1108" s="1255" t="s">
        <v>3578</v>
      </c>
      <c r="B1108" s="1232" t="s">
        <v>3588</v>
      </c>
      <c r="C1108" s="1232" t="s">
        <v>3615</v>
      </c>
      <c r="D1108" s="1017">
        <v>1250</v>
      </c>
      <c r="E1108" s="1017">
        <v>1400</v>
      </c>
      <c r="F1108" s="1017">
        <v>1400</v>
      </c>
      <c r="G1108" s="633" t="s">
        <v>13</v>
      </c>
      <c r="H1108" s="4">
        <v>6</v>
      </c>
      <c r="I1108" s="37" t="s">
        <v>17</v>
      </c>
      <c r="J1108" s="37"/>
      <c r="K1108" s="34" t="s">
        <v>687</v>
      </c>
      <c r="L1108" s="607" t="s">
        <v>653</v>
      </c>
      <c r="M1108" s="156">
        <v>43073</v>
      </c>
      <c r="N1108" s="156">
        <v>43083</v>
      </c>
      <c r="O1108" s="59" t="s">
        <v>601</v>
      </c>
      <c r="P1108" s="61"/>
      <c r="Q1108" s="7"/>
      <c r="R1108" s="606" t="s">
        <v>3336</v>
      </c>
      <c r="S1108" s="316" t="s">
        <v>3334</v>
      </c>
      <c r="T1108" s="858"/>
    </row>
    <row r="1109" spans="1:20" ht="20.100000000000001" customHeight="1">
      <c r="A1109" s="1255" t="s">
        <v>3578</v>
      </c>
      <c r="B1109" s="1232" t="s">
        <v>3588</v>
      </c>
      <c r="C1109" s="1232" t="s">
        <v>3615</v>
      </c>
      <c r="D1109" s="1014">
        <v>1500</v>
      </c>
      <c r="E1109" s="1014">
        <v>1700</v>
      </c>
      <c r="F1109" s="1014">
        <v>1700</v>
      </c>
      <c r="G1109" s="633" t="s">
        <v>28</v>
      </c>
      <c r="H1109" s="4">
        <v>6</v>
      </c>
      <c r="I1109" s="37" t="s">
        <v>17</v>
      </c>
      <c r="J1109" s="37"/>
      <c r="K1109" s="34" t="s">
        <v>687</v>
      </c>
      <c r="L1109" s="607" t="s">
        <v>653</v>
      </c>
      <c r="M1109" s="620">
        <v>43086</v>
      </c>
      <c r="N1109" s="620">
        <v>43100</v>
      </c>
      <c r="O1109" s="153" t="s">
        <v>601</v>
      </c>
      <c r="P1109" s="59"/>
      <c r="Q1109" s="7"/>
      <c r="R1109" s="610" t="s">
        <v>3616</v>
      </c>
      <c r="S1109" s="619"/>
      <c r="T1109" s="858"/>
    </row>
    <row r="1110" spans="1:20" ht="20.100000000000001" customHeight="1">
      <c r="A1110" s="1255" t="s">
        <v>3578</v>
      </c>
      <c r="B1110" s="1232" t="s">
        <v>3588</v>
      </c>
      <c r="C1110" s="1232" t="s">
        <v>3615</v>
      </c>
      <c r="D1110" s="1015">
        <v>1075</v>
      </c>
      <c r="E1110" s="1015">
        <v>1250</v>
      </c>
      <c r="F1110" s="1015">
        <v>1250</v>
      </c>
      <c r="G1110" s="633" t="s">
        <v>29</v>
      </c>
      <c r="H1110" s="4">
        <v>6</v>
      </c>
      <c r="I1110" s="37" t="s">
        <v>17</v>
      </c>
      <c r="J1110" s="37"/>
      <c r="K1110" s="34" t="s">
        <v>687</v>
      </c>
      <c r="L1110" s="607" t="s">
        <v>653</v>
      </c>
      <c r="M1110" s="620">
        <v>43084</v>
      </c>
      <c r="N1110" s="620">
        <v>43086</v>
      </c>
      <c r="O1110" s="59" t="s">
        <v>601</v>
      </c>
      <c r="P1110" s="61"/>
      <c r="Q1110" s="7"/>
      <c r="R1110" s="606" t="s">
        <v>3336</v>
      </c>
      <c r="S1110" s="316" t="s">
        <v>3561</v>
      </c>
      <c r="T1110" s="858"/>
    </row>
    <row r="1111" spans="1:20" ht="20.100000000000001" customHeight="1">
      <c r="A1111" s="1255" t="s">
        <v>3578</v>
      </c>
      <c r="B1111" s="1232" t="s">
        <v>3588</v>
      </c>
      <c r="C1111" s="1232" t="s">
        <v>3613</v>
      </c>
      <c r="D1111" s="1015">
        <f>D1090+300</f>
        <v>1425</v>
      </c>
      <c r="E1111" s="1015">
        <f>E1090+300</f>
        <v>1550</v>
      </c>
      <c r="F1111" s="1015">
        <f>F1090+300</f>
        <v>1550</v>
      </c>
      <c r="G1111" s="609" t="s">
        <v>1689</v>
      </c>
      <c r="H1111" s="56">
        <v>2</v>
      </c>
      <c r="I1111" s="37" t="s">
        <v>3591</v>
      </c>
      <c r="J1111" s="37"/>
      <c r="K1111" s="5" t="s">
        <v>2151</v>
      </c>
      <c r="L1111" s="607" t="s">
        <v>653</v>
      </c>
      <c r="M1111" s="156">
        <v>43076</v>
      </c>
      <c r="N1111" s="156">
        <v>43083</v>
      </c>
      <c r="O1111" s="61" t="s">
        <v>1771</v>
      </c>
      <c r="P1111" s="59"/>
      <c r="Q1111" s="14" t="s">
        <v>24</v>
      </c>
      <c r="R1111" s="606" t="s">
        <v>3576</v>
      </c>
      <c r="S1111" s="316" t="s">
        <v>2943</v>
      </c>
      <c r="T1111" s="921"/>
    </row>
    <row r="1112" spans="1:20" ht="20.100000000000001" customHeight="1">
      <c r="A1112" s="1255" t="s">
        <v>3578</v>
      </c>
      <c r="B1112" s="1232" t="s">
        <v>3588</v>
      </c>
      <c r="C1112" s="1232" t="s">
        <v>3613</v>
      </c>
      <c r="D1112" s="1008">
        <v>1550</v>
      </c>
      <c r="E1112" s="1008">
        <v>1800</v>
      </c>
      <c r="F1112" s="1008">
        <v>1800</v>
      </c>
      <c r="G1112" s="629" t="s">
        <v>51</v>
      </c>
      <c r="H1112" s="56" t="s">
        <v>656</v>
      </c>
      <c r="I1112" s="37" t="s">
        <v>3577</v>
      </c>
      <c r="J1112" s="37"/>
      <c r="K1112" s="5" t="s">
        <v>975</v>
      </c>
      <c r="L1112" s="607" t="s">
        <v>653</v>
      </c>
      <c r="M1112" s="611">
        <v>43086</v>
      </c>
      <c r="N1112" s="611">
        <v>43100</v>
      </c>
      <c r="O1112" s="61" t="s">
        <v>601</v>
      </c>
      <c r="P1112" s="52"/>
      <c r="Q1112" s="52"/>
      <c r="R1112" s="606" t="s">
        <v>3614</v>
      </c>
      <c r="S1112" s="315" t="s">
        <v>3290</v>
      </c>
      <c r="T1112" s="749" t="s">
        <v>3611</v>
      </c>
    </row>
    <row r="1113" spans="1:20" ht="20.100000000000001" customHeight="1">
      <c r="A1113" s="1255" t="s">
        <v>3578</v>
      </c>
      <c r="B1113" s="1232" t="s">
        <v>3588</v>
      </c>
      <c r="C1113" s="1232" t="s">
        <v>3613</v>
      </c>
      <c r="D1113" s="1008">
        <f>D1091+180</f>
        <v>1730</v>
      </c>
      <c r="E1113" s="1008">
        <f>E1091+180</f>
        <v>1980</v>
      </c>
      <c r="F1113" s="1008">
        <f>F1091+180</f>
        <v>1980</v>
      </c>
      <c r="G1113" s="614" t="s">
        <v>19</v>
      </c>
      <c r="H1113" s="627" t="s">
        <v>659</v>
      </c>
      <c r="I1113" s="37" t="s">
        <v>3591</v>
      </c>
      <c r="J1113" s="37"/>
      <c r="K1113" s="19" t="s">
        <v>1979</v>
      </c>
      <c r="L1113" s="607" t="s">
        <v>653</v>
      </c>
      <c r="M1113" s="156">
        <v>43084</v>
      </c>
      <c r="N1113" s="156">
        <v>43093</v>
      </c>
      <c r="O1113" s="59" t="s">
        <v>611</v>
      </c>
      <c r="P1113" s="61"/>
      <c r="Q1113" s="72" t="s">
        <v>100</v>
      </c>
      <c r="R1113" s="606" t="s">
        <v>3596</v>
      </c>
      <c r="S1113" s="315" t="s">
        <v>3337</v>
      </c>
      <c r="T1113" s="921"/>
    </row>
    <row r="1114" spans="1:20" ht="20.100000000000001" customHeight="1">
      <c r="A1114" s="1255" t="s">
        <v>3578</v>
      </c>
      <c r="B1114" s="1232" t="s">
        <v>3588</v>
      </c>
      <c r="C1114" s="1232" t="s">
        <v>3613</v>
      </c>
      <c r="D1114" s="956">
        <v>1500</v>
      </c>
      <c r="E1114" s="956">
        <v>1750</v>
      </c>
      <c r="F1114" s="956">
        <v>1750</v>
      </c>
      <c r="G1114" s="630" t="s">
        <v>33</v>
      </c>
      <c r="H1114" s="4">
        <v>5</v>
      </c>
      <c r="I1114" s="37" t="s">
        <v>3577</v>
      </c>
      <c r="J1114" s="37"/>
      <c r="K1114" s="5">
        <v>48</v>
      </c>
      <c r="L1114" s="607" t="s">
        <v>653</v>
      </c>
      <c r="M1114" s="159">
        <v>43087</v>
      </c>
      <c r="N1114" s="159">
        <v>43093</v>
      </c>
      <c r="O1114" s="61"/>
      <c r="P1114" s="61"/>
      <c r="Q1114" s="7"/>
      <c r="R1114" s="606" t="s">
        <v>2538</v>
      </c>
      <c r="S1114" s="316" t="s">
        <v>3333</v>
      </c>
      <c r="T1114" s="859"/>
    </row>
    <row r="1115" spans="1:20" ht="20.100000000000001" customHeight="1">
      <c r="A1115" s="1255" t="s">
        <v>3578</v>
      </c>
      <c r="B1115" s="1232" t="s">
        <v>3588</v>
      </c>
      <c r="C1115" s="1232" t="s">
        <v>3613</v>
      </c>
      <c r="D1115" s="1015">
        <f>D1016+300</f>
        <v>1425</v>
      </c>
      <c r="E1115" s="1015">
        <f>E1016+300</f>
        <v>1550</v>
      </c>
      <c r="F1115" s="1015">
        <f>F1016+300</f>
        <v>1550</v>
      </c>
      <c r="G1115" s="609" t="s">
        <v>1689</v>
      </c>
      <c r="H1115" s="160" t="s">
        <v>1233</v>
      </c>
      <c r="I1115" s="50" t="s">
        <v>17</v>
      </c>
      <c r="J1115" s="50"/>
      <c r="K1115" s="34" t="s">
        <v>722</v>
      </c>
      <c r="L1115" s="607" t="s">
        <v>653</v>
      </c>
      <c r="M1115" s="156">
        <v>43076</v>
      </c>
      <c r="N1115" s="156">
        <v>43083</v>
      </c>
      <c r="O1115" s="61" t="s">
        <v>1771</v>
      </c>
      <c r="P1115" s="61"/>
      <c r="Q1115" s="52"/>
      <c r="R1115" s="606" t="s">
        <v>3607</v>
      </c>
      <c r="S1115" s="316" t="s">
        <v>2943</v>
      </c>
      <c r="T1115" s="859"/>
    </row>
    <row r="1116" spans="1:20" ht="20.100000000000001" customHeight="1">
      <c r="A1116" s="1255" t="s">
        <v>3578</v>
      </c>
      <c r="B1116" s="1232" t="s">
        <v>3588</v>
      </c>
      <c r="C1116" s="1232" t="s">
        <v>3613</v>
      </c>
      <c r="D1116" s="1015">
        <v>1175</v>
      </c>
      <c r="E1116" s="1015">
        <v>1350</v>
      </c>
      <c r="F1116" s="1015">
        <v>1350</v>
      </c>
      <c r="G1116" s="630" t="s">
        <v>18</v>
      </c>
      <c r="H1116" s="160" t="s">
        <v>1233</v>
      </c>
      <c r="I1116" s="50" t="s">
        <v>17</v>
      </c>
      <c r="J1116" s="50"/>
      <c r="K1116" s="34" t="s">
        <v>722</v>
      </c>
      <c r="L1116" s="607" t="s">
        <v>653</v>
      </c>
      <c r="M1116" s="108">
        <v>43078</v>
      </c>
      <c r="N1116" s="108">
        <v>43083</v>
      </c>
      <c r="O1116" s="61"/>
      <c r="P1116" s="61"/>
      <c r="Q1116" s="52"/>
      <c r="R1116" s="606" t="s">
        <v>1366</v>
      </c>
      <c r="S1116" s="316"/>
      <c r="T1116" s="859"/>
    </row>
    <row r="1117" spans="1:20" ht="20.100000000000001" customHeight="1">
      <c r="A1117" s="1255" t="s">
        <v>3578</v>
      </c>
      <c r="B1117" s="1232" t="s">
        <v>3588</v>
      </c>
      <c r="C1117" s="1232" t="s">
        <v>3608</v>
      </c>
      <c r="D1117" s="956">
        <v>1550</v>
      </c>
      <c r="E1117" s="956">
        <v>1800</v>
      </c>
      <c r="F1117" s="956">
        <v>1800</v>
      </c>
      <c r="G1117" s="629" t="s">
        <v>5</v>
      </c>
      <c r="H1117" s="4">
        <v>2</v>
      </c>
      <c r="I1117" s="50" t="s">
        <v>17</v>
      </c>
      <c r="J1117" s="50"/>
      <c r="K1117" s="19" t="s">
        <v>683</v>
      </c>
      <c r="L1117" s="607" t="s">
        <v>653</v>
      </c>
      <c r="M1117" s="159">
        <v>43087</v>
      </c>
      <c r="N1117" s="159">
        <v>43093</v>
      </c>
      <c r="O1117" s="61" t="s">
        <v>1771</v>
      </c>
      <c r="P1117" s="61"/>
      <c r="Q1117" s="7"/>
      <c r="R1117" s="606" t="s">
        <v>3595</v>
      </c>
      <c r="S1117" s="622"/>
      <c r="T1117" s="632" t="s">
        <v>3610</v>
      </c>
    </row>
    <row r="1118" spans="1:20" ht="20.100000000000001" customHeight="1">
      <c r="A1118" s="1255" t="s">
        <v>3578</v>
      </c>
      <c r="B1118" s="1232" t="s">
        <v>3588</v>
      </c>
      <c r="C1118" s="1232" t="s">
        <v>3608</v>
      </c>
      <c r="D1118" s="1008">
        <v>1550</v>
      </c>
      <c r="E1118" s="1008">
        <v>1800</v>
      </c>
      <c r="F1118" s="1008">
        <v>1800</v>
      </c>
      <c r="G1118" s="629" t="s">
        <v>51</v>
      </c>
      <c r="H1118" s="160">
        <v>2</v>
      </c>
      <c r="I1118" s="50" t="s">
        <v>17</v>
      </c>
      <c r="J1118" s="50"/>
      <c r="K1118" s="19" t="s">
        <v>683</v>
      </c>
      <c r="L1118" s="607" t="s">
        <v>653</v>
      </c>
      <c r="M1118" s="611">
        <v>43086</v>
      </c>
      <c r="N1118" s="611">
        <v>43100</v>
      </c>
      <c r="O1118" s="61" t="s">
        <v>601</v>
      </c>
      <c r="P1118" s="52"/>
      <c r="Q1118" s="52"/>
      <c r="R1118" s="606" t="s">
        <v>3612</v>
      </c>
      <c r="S1118" s="315" t="s">
        <v>3290</v>
      </c>
      <c r="T1118" s="749" t="s">
        <v>3611</v>
      </c>
    </row>
    <row r="1119" spans="1:20" ht="20.100000000000001" customHeight="1">
      <c r="A1119" s="1255" t="s">
        <v>3578</v>
      </c>
      <c r="B1119" s="1232" t="s">
        <v>3588</v>
      </c>
      <c r="C1119" s="1232" t="s">
        <v>3608</v>
      </c>
      <c r="D1119" s="1008">
        <v>1125</v>
      </c>
      <c r="E1119" s="1008">
        <v>1250</v>
      </c>
      <c r="F1119" s="1008">
        <v>1250</v>
      </c>
      <c r="G1119" s="227" t="s">
        <v>1689</v>
      </c>
      <c r="H1119" s="160">
        <v>2</v>
      </c>
      <c r="I1119" s="50" t="s">
        <v>17</v>
      </c>
      <c r="J1119" s="50"/>
      <c r="K1119" s="19" t="s">
        <v>683</v>
      </c>
      <c r="L1119" s="607" t="s">
        <v>653</v>
      </c>
      <c r="M1119" s="156">
        <v>43076</v>
      </c>
      <c r="N1119" s="156">
        <v>43083</v>
      </c>
      <c r="O1119" s="61" t="s">
        <v>1771</v>
      </c>
      <c r="P1119" s="61"/>
      <c r="Q1119" s="7"/>
      <c r="R1119" s="606" t="s">
        <v>3576</v>
      </c>
      <c r="S1119" s="316" t="s">
        <v>2943</v>
      </c>
      <c r="T1119" s="857"/>
    </row>
    <row r="1120" spans="1:20" ht="20.100000000000001" customHeight="1">
      <c r="A1120" s="1255" t="s">
        <v>3578</v>
      </c>
      <c r="B1120" s="1232" t="s">
        <v>3588</v>
      </c>
      <c r="C1120" s="1232" t="s">
        <v>3608</v>
      </c>
      <c r="D1120" s="1006">
        <v>1550</v>
      </c>
      <c r="E1120" s="1006">
        <v>1800</v>
      </c>
      <c r="F1120" s="1006">
        <v>1800</v>
      </c>
      <c r="G1120" s="215" t="s">
        <v>19</v>
      </c>
      <c r="H1120" s="627">
        <v>2</v>
      </c>
      <c r="I1120" s="50" t="s">
        <v>17</v>
      </c>
      <c r="J1120" s="50"/>
      <c r="K1120" s="19" t="s">
        <v>683</v>
      </c>
      <c r="L1120" s="607" t="s">
        <v>653</v>
      </c>
      <c r="M1120" s="156">
        <v>43084</v>
      </c>
      <c r="N1120" s="156">
        <v>43093</v>
      </c>
      <c r="O1120" s="59" t="s">
        <v>611</v>
      </c>
      <c r="P1120" s="61"/>
      <c r="Q1120" s="52"/>
      <c r="R1120" s="606" t="s">
        <v>3584</v>
      </c>
      <c r="S1120" s="315" t="s">
        <v>3337</v>
      </c>
      <c r="T1120" s="632" t="s">
        <v>3610</v>
      </c>
    </row>
    <row r="1121" spans="1:20" ht="20.100000000000001" customHeight="1">
      <c r="A1121" s="1255" t="s">
        <v>3578</v>
      </c>
      <c r="B1121" s="1232" t="s">
        <v>3588</v>
      </c>
      <c r="C1121" s="1232" t="s">
        <v>3608</v>
      </c>
      <c r="D1121" s="1016">
        <v>1150</v>
      </c>
      <c r="E1121" s="1016">
        <v>1200</v>
      </c>
      <c r="F1121" s="1016">
        <v>1200</v>
      </c>
      <c r="G1121" s="631" t="s">
        <v>233</v>
      </c>
      <c r="H1121" s="160">
        <v>2</v>
      </c>
      <c r="I1121" s="50" t="s">
        <v>17</v>
      </c>
      <c r="J1121" s="50"/>
      <c r="K1121" s="19" t="s">
        <v>683</v>
      </c>
      <c r="L1121" s="607" t="s">
        <v>653</v>
      </c>
      <c r="M1121" s="620">
        <v>43081</v>
      </c>
      <c r="N1121" s="620">
        <v>43085</v>
      </c>
      <c r="O1121" s="59" t="s">
        <v>601</v>
      </c>
      <c r="P1121" s="61"/>
      <c r="Q1121" s="52"/>
      <c r="R1121" s="606" t="s">
        <v>3609</v>
      </c>
      <c r="S1121" s="316" t="s">
        <v>3573</v>
      </c>
      <c r="T1121" s="857"/>
    </row>
    <row r="1122" spans="1:20" ht="20.100000000000001" customHeight="1">
      <c r="A1122" s="1255" t="s">
        <v>3578</v>
      </c>
      <c r="B1122" s="1232" t="s">
        <v>3588</v>
      </c>
      <c r="C1122" s="1232" t="s">
        <v>3608</v>
      </c>
      <c r="D1122" s="1015">
        <v>1250</v>
      </c>
      <c r="E1122" s="1015">
        <v>1500</v>
      </c>
      <c r="F1122" s="1015">
        <v>1500</v>
      </c>
      <c r="G1122" s="631" t="s">
        <v>31</v>
      </c>
      <c r="H1122" s="168" t="s">
        <v>1102</v>
      </c>
      <c r="I1122" s="50" t="s">
        <v>17</v>
      </c>
      <c r="J1122" s="51"/>
      <c r="K1122" s="19" t="s">
        <v>683</v>
      </c>
      <c r="L1122" s="607" t="s">
        <v>653</v>
      </c>
      <c r="M1122" s="623">
        <v>43080</v>
      </c>
      <c r="N1122" s="623">
        <v>43083</v>
      </c>
      <c r="O1122" s="61"/>
      <c r="P1122" s="61"/>
      <c r="Q1122" s="7"/>
      <c r="R1122" s="606" t="s">
        <v>3606</v>
      </c>
      <c r="S1122" s="622" t="s">
        <v>1176</v>
      </c>
      <c r="T1122" s="857"/>
    </row>
    <row r="1123" spans="1:20" ht="20.100000000000001" customHeight="1">
      <c r="A1123" s="1255" t="s">
        <v>3578</v>
      </c>
      <c r="B1123" s="1232" t="s">
        <v>3588</v>
      </c>
      <c r="C1123" s="1232" t="s">
        <v>3608</v>
      </c>
      <c r="D1123" s="1006">
        <v>1125</v>
      </c>
      <c r="E1123" s="1006">
        <v>1200</v>
      </c>
      <c r="F1123" s="1006">
        <v>1200</v>
      </c>
      <c r="G1123" s="630" t="s">
        <v>30</v>
      </c>
      <c r="H1123" s="56">
        <v>4</v>
      </c>
      <c r="I1123" s="37" t="s">
        <v>17</v>
      </c>
      <c r="J1123" s="37"/>
      <c r="K1123" s="34" t="s">
        <v>683</v>
      </c>
      <c r="L1123" s="607" t="s">
        <v>653</v>
      </c>
      <c r="M1123" s="15">
        <v>43078</v>
      </c>
      <c r="N1123" s="159">
        <v>43084</v>
      </c>
      <c r="O1123" s="61"/>
      <c r="P1123" s="61"/>
      <c r="Q1123" s="7"/>
      <c r="R1123" s="606" t="s">
        <v>3568</v>
      </c>
      <c r="S1123" s="316" t="s">
        <v>3567</v>
      </c>
      <c r="T1123" s="626" t="s">
        <v>1018</v>
      </c>
    </row>
    <row r="1124" spans="1:20" ht="20.100000000000001" customHeight="1">
      <c r="A1124" s="1255" t="s">
        <v>3578</v>
      </c>
      <c r="B1124" s="1232" t="s">
        <v>3588</v>
      </c>
      <c r="C1124" s="1232" t="s">
        <v>3608</v>
      </c>
      <c r="D1124" s="1067">
        <v>1550</v>
      </c>
      <c r="E1124" s="1067">
        <v>1800</v>
      </c>
      <c r="F1124" s="1067">
        <v>1800</v>
      </c>
      <c r="G1124" s="629" t="s">
        <v>22</v>
      </c>
      <c r="H1124" s="56">
        <v>4</v>
      </c>
      <c r="I1124" s="37" t="s">
        <v>17</v>
      </c>
      <c r="J1124" s="37"/>
      <c r="K1124" s="34" t="s">
        <v>683</v>
      </c>
      <c r="L1124" s="607" t="s">
        <v>653</v>
      </c>
      <c r="M1124" s="108">
        <v>43087</v>
      </c>
      <c r="N1124" s="108">
        <v>43094</v>
      </c>
      <c r="O1124" s="61" t="s">
        <v>2545</v>
      </c>
      <c r="P1124" s="7"/>
      <c r="Q1124" s="7"/>
      <c r="R1124" s="606" t="s">
        <v>3593</v>
      </c>
      <c r="S1124" s="322" t="s">
        <v>1176</v>
      </c>
      <c r="T1124" s="858"/>
    </row>
    <row r="1125" spans="1:20" ht="20.100000000000001" customHeight="1">
      <c r="A1125" s="1255" t="s">
        <v>3578</v>
      </c>
      <c r="B1125" s="1232" t="s">
        <v>3588</v>
      </c>
      <c r="C1125" s="1232" t="s">
        <v>3608</v>
      </c>
      <c r="D1125" s="1008">
        <v>1125</v>
      </c>
      <c r="E1125" s="1008">
        <v>1250</v>
      </c>
      <c r="F1125" s="1008">
        <v>1250</v>
      </c>
      <c r="G1125" s="629" t="s">
        <v>1689</v>
      </c>
      <c r="H1125" s="56" t="s">
        <v>1233</v>
      </c>
      <c r="I1125" s="50" t="s">
        <v>17</v>
      </c>
      <c r="J1125" s="37"/>
      <c r="K1125" s="19" t="s">
        <v>683</v>
      </c>
      <c r="L1125" s="607" t="s">
        <v>653</v>
      </c>
      <c r="M1125" s="156">
        <v>43076</v>
      </c>
      <c r="N1125" s="156">
        <v>43083</v>
      </c>
      <c r="O1125" s="61" t="s">
        <v>1771</v>
      </c>
      <c r="P1125" s="7"/>
      <c r="Q1125" s="52"/>
      <c r="R1125" s="606" t="s">
        <v>3607</v>
      </c>
      <c r="S1125" s="316" t="s">
        <v>2943</v>
      </c>
      <c r="T1125" s="858"/>
    </row>
    <row r="1126" spans="1:20" ht="20.100000000000001" customHeight="1">
      <c r="A1126" s="1255" t="s">
        <v>3578</v>
      </c>
      <c r="B1126" s="1232" t="s">
        <v>3588</v>
      </c>
      <c r="C1126" s="1232" t="s">
        <v>3605</v>
      </c>
      <c r="D1126" s="1006">
        <v>1550</v>
      </c>
      <c r="E1126" s="1006">
        <v>1800</v>
      </c>
      <c r="F1126" s="1006">
        <v>1800</v>
      </c>
      <c r="G1126" s="215" t="s">
        <v>19</v>
      </c>
      <c r="H1126" s="628">
        <v>2</v>
      </c>
      <c r="I1126" s="50" t="s">
        <v>17</v>
      </c>
      <c r="J1126" s="37"/>
      <c r="K1126" s="5" t="s">
        <v>687</v>
      </c>
      <c r="L1126" s="607" t="s">
        <v>653</v>
      </c>
      <c r="M1126" s="156">
        <v>43084</v>
      </c>
      <c r="N1126" s="156">
        <v>43093</v>
      </c>
      <c r="O1126" s="59" t="s">
        <v>611</v>
      </c>
      <c r="P1126" s="61"/>
      <c r="Q1126" s="52"/>
      <c r="R1126" s="606" t="s">
        <v>3584</v>
      </c>
      <c r="S1126" s="315" t="s">
        <v>3337</v>
      </c>
      <c r="T1126" s="858"/>
    </row>
    <row r="1127" spans="1:20" ht="20.100000000000001" customHeight="1">
      <c r="A1127" s="1255" t="s">
        <v>3578</v>
      </c>
      <c r="B1127" s="1232" t="s">
        <v>3588</v>
      </c>
      <c r="C1127" s="1232" t="s">
        <v>3605</v>
      </c>
      <c r="D1127" s="1008">
        <v>1125</v>
      </c>
      <c r="E1127" s="1008">
        <v>1250</v>
      </c>
      <c r="F1127" s="1008">
        <v>1250</v>
      </c>
      <c r="G1127" s="227" t="s">
        <v>1689</v>
      </c>
      <c r="H1127" s="56">
        <v>2</v>
      </c>
      <c r="I1127" s="50" t="s">
        <v>17</v>
      </c>
      <c r="J1127" s="37"/>
      <c r="K1127" s="5" t="s">
        <v>687</v>
      </c>
      <c r="L1127" s="607" t="s">
        <v>653</v>
      </c>
      <c r="M1127" s="156">
        <v>43076</v>
      </c>
      <c r="N1127" s="156">
        <v>43083</v>
      </c>
      <c r="O1127" s="61" t="s">
        <v>1771</v>
      </c>
      <c r="P1127" s="61"/>
      <c r="Q1127" s="7"/>
      <c r="R1127" s="606" t="s">
        <v>3576</v>
      </c>
      <c r="S1127" s="316" t="s">
        <v>2943</v>
      </c>
      <c r="T1127" s="858"/>
    </row>
    <row r="1128" spans="1:20" ht="20.100000000000001" customHeight="1">
      <c r="A1128" s="1255" t="s">
        <v>3578</v>
      </c>
      <c r="B1128" s="1232" t="s">
        <v>3588</v>
      </c>
      <c r="C1128" s="1232" t="s">
        <v>3605</v>
      </c>
      <c r="D1128" s="1006">
        <f>D998+661</f>
        <v>1911</v>
      </c>
      <c r="E1128" s="1006">
        <f>E998+661</f>
        <v>2161</v>
      </c>
      <c r="F1128" s="1006">
        <f>F998+661</f>
        <v>2161</v>
      </c>
      <c r="G1128" s="618" t="s">
        <v>31</v>
      </c>
      <c r="H1128" s="168" t="s">
        <v>1102</v>
      </c>
      <c r="I1128" s="37" t="s">
        <v>3577</v>
      </c>
      <c r="J1128" s="37"/>
      <c r="K1128" s="5">
        <v>35</v>
      </c>
      <c r="L1128" s="607" t="s">
        <v>653</v>
      </c>
      <c r="M1128" s="623">
        <v>43080</v>
      </c>
      <c r="N1128" s="623">
        <v>43083</v>
      </c>
      <c r="O1128" s="61"/>
      <c r="P1128" s="61"/>
      <c r="Q1128" s="7"/>
      <c r="R1128" s="606" t="s">
        <v>3606</v>
      </c>
      <c r="S1128" s="622" t="s">
        <v>1176</v>
      </c>
      <c r="T1128" s="858"/>
    </row>
    <row r="1129" spans="1:20" ht="20.100000000000001" customHeight="1">
      <c r="A1129" s="1255" t="s">
        <v>3578</v>
      </c>
      <c r="B1129" s="1232" t="s">
        <v>3588</v>
      </c>
      <c r="C1129" s="1232" t="s">
        <v>3605</v>
      </c>
      <c r="D1129" s="1006">
        <f>D1124+1490+25</f>
        <v>3065</v>
      </c>
      <c r="E1129" s="1006">
        <f>E1124+1490+50</f>
        <v>3340</v>
      </c>
      <c r="F1129" s="1006">
        <f>F1124+1490+50</f>
        <v>3340</v>
      </c>
      <c r="G1129" s="216" t="s">
        <v>22</v>
      </c>
      <c r="H1129" s="4">
        <v>4</v>
      </c>
      <c r="I1129" s="37" t="s">
        <v>3598</v>
      </c>
      <c r="J1129" s="37"/>
      <c r="K1129" s="16">
        <v>35</v>
      </c>
      <c r="L1129" s="607" t="s">
        <v>653</v>
      </c>
      <c r="M1129" s="108">
        <v>43087</v>
      </c>
      <c r="N1129" s="108">
        <v>43094</v>
      </c>
      <c r="O1129" s="61" t="s">
        <v>2545</v>
      </c>
      <c r="P1129" s="7"/>
      <c r="Q1129" s="14" t="s">
        <v>24</v>
      </c>
      <c r="R1129" s="606" t="s">
        <v>3593</v>
      </c>
      <c r="S1129" s="322" t="s">
        <v>1176</v>
      </c>
      <c r="T1129" s="858"/>
    </row>
    <row r="1130" spans="1:20" ht="20.100000000000001" customHeight="1">
      <c r="A1130" s="931" t="s">
        <v>3583</v>
      </c>
      <c r="B1130" s="910" t="s">
        <v>3588</v>
      </c>
      <c r="C1130" s="910" t="s">
        <v>3604</v>
      </c>
      <c r="D1130" s="1006">
        <f>D1070+140+25</f>
        <v>1390</v>
      </c>
      <c r="E1130" s="1006">
        <f>E1070+140+50</f>
        <v>1640</v>
      </c>
      <c r="F1130" s="1006">
        <f>F1070+140+50</f>
        <v>1640</v>
      </c>
      <c r="G1130" s="609" t="s">
        <v>1689</v>
      </c>
      <c r="H1130" s="160">
        <v>2</v>
      </c>
      <c r="I1130" s="37" t="s">
        <v>3581</v>
      </c>
      <c r="J1130" s="37"/>
      <c r="K1130" s="5">
        <v>36</v>
      </c>
      <c r="L1130" s="607" t="s">
        <v>653</v>
      </c>
      <c r="M1130" s="156">
        <v>43076</v>
      </c>
      <c r="N1130" s="156">
        <v>43083</v>
      </c>
      <c r="O1130" s="61" t="s">
        <v>1771</v>
      </c>
      <c r="P1130" s="61"/>
      <c r="Q1130" s="14" t="s">
        <v>24</v>
      </c>
      <c r="R1130" s="606" t="s">
        <v>3576</v>
      </c>
      <c r="S1130" s="316" t="s">
        <v>2943</v>
      </c>
      <c r="T1130" s="858"/>
    </row>
    <row r="1131" spans="1:20" ht="20.100000000000001" customHeight="1">
      <c r="A1131" s="931" t="s">
        <v>3583</v>
      </c>
      <c r="B1131" s="910" t="s">
        <v>3588</v>
      </c>
      <c r="C1131" s="910" t="s">
        <v>3603</v>
      </c>
      <c r="D1131" s="1006">
        <f>D1101+450+25</f>
        <v>2025</v>
      </c>
      <c r="E1131" s="1006">
        <f>E1101+450+50</f>
        <v>2300</v>
      </c>
      <c r="F1131" s="1006">
        <f>F1101+450+50</f>
        <v>2300</v>
      </c>
      <c r="G1131" s="615" t="s">
        <v>5</v>
      </c>
      <c r="H1131" s="160" t="s">
        <v>659</v>
      </c>
      <c r="I1131" s="37" t="s">
        <v>3594</v>
      </c>
      <c r="J1131" s="37"/>
      <c r="K1131" s="5" t="s">
        <v>985</v>
      </c>
      <c r="L1131" s="607" t="s">
        <v>653</v>
      </c>
      <c r="M1131" s="159">
        <v>43087</v>
      </c>
      <c r="N1131" s="159">
        <v>43093</v>
      </c>
      <c r="O1131" s="61" t="s">
        <v>1771</v>
      </c>
      <c r="P1131" s="61"/>
      <c r="Q1131" s="72" t="s">
        <v>3599</v>
      </c>
      <c r="R1131" s="606" t="s">
        <v>3579</v>
      </c>
      <c r="S1131" s="622"/>
      <c r="T1131" s="858"/>
    </row>
    <row r="1132" spans="1:20" ht="20.100000000000001" customHeight="1">
      <c r="A1132" s="931" t="s">
        <v>3583</v>
      </c>
      <c r="B1132" s="910" t="s">
        <v>3588</v>
      </c>
      <c r="C1132" s="910" t="s">
        <v>3602</v>
      </c>
      <c r="D1132" s="1006">
        <f>D1101+450+25</f>
        <v>2025</v>
      </c>
      <c r="E1132" s="1006">
        <f>E1101+450+50</f>
        <v>2300</v>
      </c>
      <c r="F1132" s="1006">
        <f>F1101+450+50</f>
        <v>2300</v>
      </c>
      <c r="G1132" s="615" t="s">
        <v>5</v>
      </c>
      <c r="H1132" s="160" t="s">
        <v>659</v>
      </c>
      <c r="I1132" s="37" t="s">
        <v>3594</v>
      </c>
      <c r="J1132" s="37"/>
      <c r="K1132" s="5" t="s">
        <v>985</v>
      </c>
      <c r="L1132" s="607" t="s">
        <v>653</v>
      </c>
      <c r="M1132" s="159">
        <v>43087</v>
      </c>
      <c r="N1132" s="159">
        <v>43093</v>
      </c>
      <c r="O1132" s="61" t="s">
        <v>1771</v>
      </c>
      <c r="P1132" s="61"/>
      <c r="Q1132" s="72" t="s">
        <v>3599</v>
      </c>
      <c r="R1132" s="606" t="s">
        <v>3579</v>
      </c>
      <c r="S1132" s="622"/>
      <c r="T1132" s="858"/>
    </row>
    <row r="1133" spans="1:20" ht="20.100000000000001" customHeight="1">
      <c r="A1133" s="1255" t="s">
        <v>3583</v>
      </c>
      <c r="B1133" s="1232" t="s">
        <v>3588</v>
      </c>
      <c r="C1133" s="1232" t="s">
        <v>3601</v>
      </c>
      <c r="D1133" s="1007">
        <f>D1102+1780</f>
        <v>3330</v>
      </c>
      <c r="E1133" s="1007">
        <f>E1102+3200</f>
        <v>5000</v>
      </c>
      <c r="F1133" s="1007">
        <f>F1102+3200</f>
        <v>5000</v>
      </c>
      <c r="G1133" s="216" t="s">
        <v>19</v>
      </c>
      <c r="H1133" s="627" t="s">
        <v>659</v>
      </c>
      <c r="I1133" s="37" t="s">
        <v>3594</v>
      </c>
      <c r="J1133" s="37"/>
      <c r="K1133" s="19" t="s">
        <v>986</v>
      </c>
      <c r="L1133" s="607" t="s">
        <v>653</v>
      </c>
      <c r="M1133" s="156">
        <v>43084</v>
      </c>
      <c r="N1133" s="156">
        <v>43093</v>
      </c>
      <c r="O1133" s="59" t="s">
        <v>611</v>
      </c>
      <c r="P1133" s="61"/>
      <c r="Q1133" s="7"/>
      <c r="R1133" s="606" t="s">
        <v>3596</v>
      </c>
      <c r="S1133" s="315" t="s">
        <v>3337</v>
      </c>
      <c r="T1133" s="858"/>
    </row>
    <row r="1134" spans="1:20" ht="20.100000000000001" customHeight="1">
      <c r="A1134" s="1255" t="s">
        <v>3578</v>
      </c>
      <c r="B1134" s="1232" t="s">
        <v>3588</v>
      </c>
      <c r="C1134" s="1232" t="s">
        <v>3601</v>
      </c>
      <c r="D1134" s="1008">
        <f>D1099+1700+25</f>
        <v>2850</v>
      </c>
      <c r="E1134" s="1008">
        <f>E1099+3050+50</f>
        <v>4350</v>
      </c>
      <c r="F1134" s="1008">
        <f>F1099+3050+50</f>
        <v>4350</v>
      </c>
      <c r="G1134" s="609" t="s">
        <v>1689</v>
      </c>
      <c r="H1134" s="168" t="s">
        <v>659</v>
      </c>
      <c r="I1134" s="5" t="s">
        <v>3594</v>
      </c>
      <c r="J1134" s="5"/>
      <c r="K1134" s="5">
        <v>55</v>
      </c>
      <c r="L1134" s="607" t="s">
        <v>653</v>
      </c>
      <c r="M1134" s="156">
        <v>43076</v>
      </c>
      <c r="N1134" s="156">
        <v>43083</v>
      </c>
      <c r="O1134" s="61" t="s">
        <v>1771</v>
      </c>
      <c r="P1134" s="61"/>
      <c r="Q1134" s="7"/>
      <c r="R1134" s="606" t="s">
        <v>3590</v>
      </c>
      <c r="S1134" s="316" t="s">
        <v>2943</v>
      </c>
      <c r="T1134" s="858"/>
    </row>
    <row r="1135" spans="1:20" ht="20.100000000000001" customHeight="1">
      <c r="A1135" s="931" t="s">
        <v>3583</v>
      </c>
      <c r="B1135" s="910" t="s">
        <v>3588</v>
      </c>
      <c r="C1135" s="910" t="s">
        <v>3600</v>
      </c>
      <c r="D1135" s="1006">
        <f>D1101+450+25</f>
        <v>2025</v>
      </c>
      <c r="E1135" s="1006">
        <f>E1101+450+50</f>
        <v>2300</v>
      </c>
      <c r="F1135" s="1006">
        <f>F1101+450+50</f>
        <v>2300</v>
      </c>
      <c r="G1135" s="615" t="s">
        <v>5</v>
      </c>
      <c r="H1135" s="160" t="s">
        <v>659</v>
      </c>
      <c r="I1135" s="37" t="s">
        <v>3594</v>
      </c>
      <c r="J1135" s="37"/>
      <c r="K1135" s="5" t="s">
        <v>985</v>
      </c>
      <c r="L1135" s="607" t="s">
        <v>653</v>
      </c>
      <c r="M1135" s="159">
        <v>43087</v>
      </c>
      <c r="N1135" s="159">
        <v>43093</v>
      </c>
      <c r="O1135" s="61" t="s">
        <v>1771</v>
      </c>
      <c r="P1135" s="61"/>
      <c r="Q1135" s="72" t="s">
        <v>3599</v>
      </c>
      <c r="R1135" s="606" t="s">
        <v>3579</v>
      </c>
      <c r="S1135" s="622"/>
      <c r="T1135" s="858"/>
    </row>
    <row r="1136" spans="1:20" ht="20.100000000000001" customHeight="1">
      <c r="A1136" s="1255" t="s">
        <v>3578</v>
      </c>
      <c r="B1136" s="1232" t="s">
        <v>3588</v>
      </c>
      <c r="C1136" s="1232" t="s">
        <v>3597</v>
      </c>
      <c r="D1136" s="1008">
        <f>D1102+343</f>
        <v>1893</v>
      </c>
      <c r="E1136" s="1008">
        <f>E1102+343</f>
        <v>2143</v>
      </c>
      <c r="F1136" s="1008">
        <f>F1102+343</f>
        <v>2143</v>
      </c>
      <c r="G1136" s="614" t="s">
        <v>19</v>
      </c>
      <c r="H1136" s="627" t="s">
        <v>659</v>
      </c>
      <c r="I1136" s="37" t="s">
        <v>3594</v>
      </c>
      <c r="J1136" s="37"/>
      <c r="K1136" s="19" t="s">
        <v>986</v>
      </c>
      <c r="L1136" s="607" t="s">
        <v>653</v>
      </c>
      <c r="M1136" s="156">
        <v>43084</v>
      </c>
      <c r="N1136" s="156">
        <v>43093</v>
      </c>
      <c r="O1136" s="59" t="s">
        <v>611</v>
      </c>
      <c r="P1136" s="61"/>
      <c r="Q1136" s="14" t="s">
        <v>100</v>
      </c>
      <c r="R1136" s="606" t="s">
        <v>3596</v>
      </c>
      <c r="S1136" s="315" t="s">
        <v>3337</v>
      </c>
      <c r="T1136" s="858"/>
    </row>
    <row r="1137" spans="1:20" ht="20.100000000000001" customHeight="1">
      <c r="A1137" s="1255" t="s">
        <v>3578</v>
      </c>
      <c r="B1137" s="1232" t="s">
        <v>3588</v>
      </c>
      <c r="C1137" s="1232" t="s">
        <v>3597</v>
      </c>
      <c r="D1137" s="1007">
        <f>D1119+350+25</f>
        <v>1500</v>
      </c>
      <c r="E1137" s="1007">
        <f>E1119+450+50</f>
        <v>1750</v>
      </c>
      <c r="F1137" s="1007">
        <f>F1119+450+50</f>
        <v>1750</v>
      </c>
      <c r="G1137" s="609" t="s">
        <v>1689</v>
      </c>
      <c r="H1137" s="160">
        <v>2</v>
      </c>
      <c r="I1137" s="37" t="s">
        <v>3598</v>
      </c>
      <c r="J1137" s="37"/>
      <c r="K1137" s="16">
        <v>45</v>
      </c>
      <c r="L1137" s="607" t="s">
        <v>653</v>
      </c>
      <c r="M1137" s="156">
        <v>43076</v>
      </c>
      <c r="N1137" s="156">
        <v>43083</v>
      </c>
      <c r="O1137" s="61" t="s">
        <v>1771</v>
      </c>
      <c r="P1137" s="61"/>
      <c r="Q1137" s="7"/>
      <c r="R1137" s="606" t="s">
        <v>3576</v>
      </c>
      <c r="S1137" s="316" t="s">
        <v>2943</v>
      </c>
      <c r="T1137" s="858"/>
    </row>
    <row r="1138" spans="1:20" ht="20.100000000000001" customHeight="1">
      <c r="A1138" s="1255" t="s">
        <v>3578</v>
      </c>
      <c r="B1138" s="1232" t="s">
        <v>3588</v>
      </c>
      <c r="C1138" s="1232" t="s">
        <v>3597</v>
      </c>
      <c r="D1138" s="1007">
        <f>D1101+450+25</f>
        <v>2025</v>
      </c>
      <c r="E1138" s="1007">
        <f>E1101+450+50</f>
        <v>2300</v>
      </c>
      <c r="F1138" s="1007">
        <f>F1101+450+50</f>
        <v>2300</v>
      </c>
      <c r="G1138" s="216" t="s">
        <v>5</v>
      </c>
      <c r="H1138" s="160" t="s">
        <v>659</v>
      </c>
      <c r="I1138" s="37" t="s">
        <v>3594</v>
      </c>
      <c r="J1138" s="37"/>
      <c r="K1138" s="5" t="s">
        <v>985</v>
      </c>
      <c r="L1138" s="607" t="s">
        <v>653</v>
      </c>
      <c r="M1138" s="159">
        <v>43087</v>
      </c>
      <c r="N1138" s="159">
        <v>43093</v>
      </c>
      <c r="O1138" s="61" t="s">
        <v>1771</v>
      </c>
      <c r="P1138" s="61"/>
      <c r="Q1138" s="72" t="s">
        <v>3599</v>
      </c>
      <c r="R1138" s="606" t="s">
        <v>3579</v>
      </c>
      <c r="S1138" s="622"/>
      <c r="T1138" s="858"/>
    </row>
    <row r="1139" spans="1:20" ht="20.100000000000001" customHeight="1">
      <c r="A1139" s="1255" t="s">
        <v>3578</v>
      </c>
      <c r="B1139" s="1232" t="s">
        <v>3588</v>
      </c>
      <c r="C1139" s="1232" t="s">
        <v>3597</v>
      </c>
      <c r="D1139" s="1007">
        <f>D1124+480+25</f>
        <v>2055</v>
      </c>
      <c r="E1139" s="1007">
        <f>E1124+480+50</f>
        <v>2330</v>
      </c>
      <c r="F1139" s="1007">
        <f>F1124+480+50</f>
        <v>2330</v>
      </c>
      <c r="G1139" s="216" t="s">
        <v>22</v>
      </c>
      <c r="H1139" s="4">
        <v>4</v>
      </c>
      <c r="I1139" s="37" t="s">
        <v>3598</v>
      </c>
      <c r="J1139" s="37"/>
      <c r="K1139" s="16">
        <v>35</v>
      </c>
      <c r="L1139" s="607" t="s">
        <v>653</v>
      </c>
      <c r="M1139" s="108">
        <v>43087</v>
      </c>
      <c r="N1139" s="108">
        <v>43094</v>
      </c>
      <c r="O1139" s="61" t="s">
        <v>2545</v>
      </c>
      <c r="P1139" s="7"/>
      <c r="Q1139" s="14" t="s">
        <v>24</v>
      </c>
      <c r="R1139" s="606" t="s">
        <v>3593</v>
      </c>
      <c r="S1139" s="322" t="s">
        <v>1176</v>
      </c>
      <c r="T1139" s="858"/>
    </row>
    <row r="1140" spans="1:20" ht="20.100000000000001" customHeight="1">
      <c r="A1140" s="1255" t="s">
        <v>3578</v>
      </c>
      <c r="B1140" s="1232" t="s">
        <v>3588</v>
      </c>
      <c r="C1140" s="1232" t="s">
        <v>3597</v>
      </c>
      <c r="D1140" s="1013">
        <f>D1107+600</f>
        <v>2100</v>
      </c>
      <c r="E1140" s="1013">
        <f>E1107+600</f>
        <v>2350</v>
      </c>
      <c r="F1140" s="1013">
        <f>F1107+600</f>
        <v>2350</v>
      </c>
      <c r="G1140" s="618" t="s">
        <v>33</v>
      </c>
      <c r="H1140" s="4" t="s">
        <v>2535</v>
      </c>
      <c r="I1140" s="37" t="s">
        <v>3594</v>
      </c>
      <c r="J1140" s="37"/>
      <c r="K1140" s="16">
        <v>40</v>
      </c>
      <c r="L1140" s="607" t="s">
        <v>653</v>
      </c>
      <c r="M1140" s="159">
        <v>43087</v>
      </c>
      <c r="N1140" s="159">
        <v>43093</v>
      </c>
      <c r="O1140" s="61"/>
      <c r="P1140" s="61"/>
      <c r="Q1140" s="7"/>
      <c r="R1140" s="606" t="s">
        <v>2542</v>
      </c>
      <c r="S1140" s="316" t="s">
        <v>3333</v>
      </c>
      <c r="T1140" s="921"/>
    </row>
    <row r="1141" spans="1:20" ht="20.100000000000001" customHeight="1">
      <c r="A1141" s="1255" t="s">
        <v>3583</v>
      </c>
      <c r="B1141" s="1232" t="s">
        <v>3588</v>
      </c>
      <c r="C1141" s="1232" t="s">
        <v>3592</v>
      </c>
      <c r="D1141" s="1013">
        <f>D1091+131</f>
        <v>1681</v>
      </c>
      <c r="E1141" s="1013">
        <f>E1091+131</f>
        <v>1931</v>
      </c>
      <c r="F1141" s="1013">
        <f>F1091+131</f>
        <v>1931</v>
      </c>
      <c r="G1141" s="614" t="s">
        <v>19</v>
      </c>
      <c r="H1141" s="627" t="s">
        <v>659</v>
      </c>
      <c r="I1141" s="37" t="s">
        <v>3591</v>
      </c>
      <c r="J1141" s="37"/>
      <c r="K1141" s="19" t="s">
        <v>1979</v>
      </c>
      <c r="L1141" s="607" t="s">
        <v>653</v>
      </c>
      <c r="M1141" s="156">
        <v>43084</v>
      </c>
      <c r="N1141" s="156">
        <v>43093</v>
      </c>
      <c r="O1141" s="59" t="s">
        <v>611</v>
      </c>
      <c r="P1141" s="61"/>
      <c r="Q1141" s="14" t="s">
        <v>100</v>
      </c>
      <c r="R1141" s="606" t="s">
        <v>3596</v>
      </c>
      <c r="S1141" s="315" t="s">
        <v>3337</v>
      </c>
      <c r="T1141" s="921"/>
    </row>
    <row r="1142" spans="1:20" ht="20.100000000000001" customHeight="1">
      <c r="A1142" s="1255" t="s">
        <v>3578</v>
      </c>
      <c r="B1142" s="1232" t="s">
        <v>3588</v>
      </c>
      <c r="C1142" s="1232" t="s">
        <v>3592</v>
      </c>
      <c r="D1142" s="1007">
        <f>D997+400</f>
        <v>1950</v>
      </c>
      <c r="E1142" s="1007">
        <f>E997+400</f>
        <v>2200</v>
      </c>
      <c r="F1142" s="1007">
        <f>F997+400</f>
        <v>2200</v>
      </c>
      <c r="G1142" s="216" t="s">
        <v>5</v>
      </c>
      <c r="H1142" s="4">
        <v>2</v>
      </c>
      <c r="I1142" s="37" t="s">
        <v>3577</v>
      </c>
      <c r="J1142" s="37"/>
      <c r="K1142" s="5">
        <v>40</v>
      </c>
      <c r="L1142" s="607" t="s">
        <v>653</v>
      </c>
      <c r="M1142" s="159">
        <v>43087</v>
      </c>
      <c r="N1142" s="159">
        <v>43093</v>
      </c>
      <c r="O1142" s="61" t="s">
        <v>1771</v>
      </c>
      <c r="P1142" s="61"/>
      <c r="Q1142" s="7"/>
      <c r="R1142" s="606" t="s">
        <v>3595</v>
      </c>
      <c r="S1142" s="622"/>
      <c r="T1142" s="858"/>
    </row>
    <row r="1143" spans="1:20" ht="20.100000000000001" customHeight="1">
      <c r="A1143" s="1255" t="s">
        <v>3578</v>
      </c>
      <c r="B1143" s="1232" t="s">
        <v>3588</v>
      </c>
      <c r="C1143" s="1232" t="s">
        <v>3592</v>
      </c>
      <c r="D1143" s="1007">
        <f>D1104+450</f>
        <v>1700</v>
      </c>
      <c r="E1143" s="1007">
        <f>E1104+450</f>
        <v>1950</v>
      </c>
      <c r="F1143" s="1007">
        <f>F1104+450</f>
        <v>1950</v>
      </c>
      <c r="G1143" s="618" t="s">
        <v>31</v>
      </c>
      <c r="H1143" s="168" t="s">
        <v>659</v>
      </c>
      <c r="I1143" s="37" t="s">
        <v>3594</v>
      </c>
      <c r="J1143" s="37"/>
      <c r="K1143" s="5">
        <v>40</v>
      </c>
      <c r="L1143" s="607" t="s">
        <v>653</v>
      </c>
      <c r="M1143" s="623">
        <v>43080</v>
      </c>
      <c r="N1143" s="623">
        <v>43083</v>
      </c>
      <c r="O1143" s="61"/>
      <c r="P1143" s="61"/>
      <c r="Q1143" s="7"/>
      <c r="R1143" s="606" t="s">
        <v>3568</v>
      </c>
      <c r="S1143" s="622" t="s">
        <v>1176</v>
      </c>
      <c r="T1143" s="858"/>
    </row>
    <row r="1144" spans="1:20" ht="20.100000000000001" customHeight="1">
      <c r="A1144" s="1255" t="s">
        <v>3578</v>
      </c>
      <c r="B1144" s="1232" t="s">
        <v>3588</v>
      </c>
      <c r="C1144" s="1232" t="s">
        <v>3592</v>
      </c>
      <c r="D1144" s="1007">
        <f>D1097+243+25</f>
        <v>1818</v>
      </c>
      <c r="E1144" s="1007">
        <f>E1097+243+50</f>
        <v>2093</v>
      </c>
      <c r="F1144" s="1007">
        <f>F1097+243+50</f>
        <v>2093</v>
      </c>
      <c r="G1144" s="216" t="s">
        <v>22</v>
      </c>
      <c r="H1144" s="4">
        <v>4</v>
      </c>
      <c r="I1144" s="37" t="s">
        <v>3591</v>
      </c>
      <c r="J1144" s="37"/>
      <c r="K1144" s="16">
        <v>37</v>
      </c>
      <c r="L1144" s="607" t="s">
        <v>653</v>
      </c>
      <c r="M1144" s="108">
        <v>43087</v>
      </c>
      <c r="N1144" s="108">
        <v>43094</v>
      </c>
      <c r="O1144" s="61" t="s">
        <v>2545</v>
      </c>
      <c r="P1144" s="7"/>
      <c r="Q1144" s="14" t="s">
        <v>24</v>
      </c>
      <c r="R1144" s="606" t="s">
        <v>3593</v>
      </c>
      <c r="S1144" s="322" t="s">
        <v>1176</v>
      </c>
      <c r="T1144" s="858"/>
    </row>
    <row r="1145" spans="1:20" ht="20.100000000000001" customHeight="1">
      <c r="A1145" s="1255" t="s">
        <v>3578</v>
      </c>
      <c r="B1145" s="1232" t="s">
        <v>3588</v>
      </c>
      <c r="C1145" s="1232" t="s">
        <v>3592</v>
      </c>
      <c r="D1145" s="1007">
        <f>D1090+300+25</f>
        <v>1450</v>
      </c>
      <c r="E1145" s="1007">
        <f>E1090+300+50</f>
        <v>1600</v>
      </c>
      <c r="F1145" s="1007">
        <f>F1090+300+50</f>
        <v>1600</v>
      </c>
      <c r="G1145" s="609" t="s">
        <v>1689</v>
      </c>
      <c r="H1145" s="168" t="s">
        <v>659</v>
      </c>
      <c r="I1145" s="5" t="s">
        <v>3591</v>
      </c>
      <c r="J1145" s="5"/>
      <c r="K1145" s="5">
        <v>55</v>
      </c>
      <c r="L1145" s="607" t="s">
        <v>653</v>
      </c>
      <c r="M1145" s="156">
        <v>43076</v>
      </c>
      <c r="N1145" s="156">
        <v>43083</v>
      </c>
      <c r="O1145" s="61" t="s">
        <v>1771</v>
      </c>
      <c r="P1145" s="61"/>
      <c r="Q1145" s="14" t="s">
        <v>24</v>
      </c>
      <c r="R1145" s="606" t="s">
        <v>3590</v>
      </c>
      <c r="S1145" s="316" t="s">
        <v>2943</v>
      </c>
      <c r="T1145" s="858"/>
    </row>
    <row r="1146" spans="1:20" ht="20.100000000000001" customHeight="1">
      <c r="A1146" s="931" t="s">
        <v>3583</v>
      </c>
      <c r="B1146" s="910" t="s">
        <v>3588</v>
      </c>
      <c r="C1146" s="910" t="s">
        <v>3589</v>
      </c>
      <c r="D1146" s="1007">
        <f>D1070+595+25</f>
        <v>1845</v>
      </c>
      <c r="E1146" s="1007">
        <f>E1070+595+50</f>
        <v>2095</v>
      </c>
      <c r="F1146" s="1007">
        <f>F1070+595+50</f>
        <v>2095</v>
      </c>
      <c r="G1146" s="609" t="s">
        <v>1689</v>
      </c>
      <c r="H1146" s="160">
        <v>2</v>
      </c>
      <c r="I1146" s="37" t="s">
        <v>3581</v>
      </c>
      <c r="J1146" s="37"/>
      <c r="K1146" s="5">
        <v>36</v>
      </c>
      <c r="L1146" s="607" t="s">
        <v>653</v>
      </c>
      <c r="M1146" s="156">
        <v>43076</v>
      </c>
      <c r="N1146" s="156">
        <v>43083</v>
      </c>
      <c r="O1146" s="61" t="s">
        <v>1771</v>
      </c>
      <c r="P1146" s="61"/>
      <c r="Q1146" s="14" t="s">
        <v>24</v>
      </c>
      <c r="R1146" s="606" t="s">
        <v>3576</v>
      </c>
      <c r="S1146" s="316" t="s">
        <v>2943</v>
      </c>
      <c r="T1146" s="858"/>
    </row>
    <row r="1147" spans="1:20" ht="20.100000000000001" customHeight="1">
      <c r="A1147" s="931" t="s">
        <v>3583</v>
      </c>
      <c r="B1147" s="910" t="s">
        <v>3588</v>
      </c>
      <c r="C1147" s="910" t="s">
        <v>3587</v>
      </c>
      <c r="D1147" s="1007">
        <f>D1070+870+25</f>
        <v>2120</v>
      </c>
      <c r="E1147" s="1007">
        <f>E1070+870+50</f>
        <v>2370</v>
      </c>
      <c r="F1147" s="1007">
        <f>F1070+870+50</f>
        <v>2370</v>
      </c>
      <c r="G1147" s="609" t="s">
        <v>1689</v>
      </c>
      <c r="H1147" s="160">
        <v>2</v>
      </c>
      <c r="I1147" s="37" t="s">
        <v>3581</v>
      </c>
      <c r="J1147" s="37"/>
      <c r="K1147" s="5">
        <v>36</v>
      </c>
      <c r="L1147" s="607" t="s">
        <v>653</v>
      </c>
      <c r="M1147" s="156">
        <v>43076</v>
      </c>
      <c r="N1147" s="156">
        <v>43083</v>
      </c>
      <c r="O1147" s="61" t="s">
        <v>1771</v>
      </c>
      <c r="P1147" s="61"/>
      <c r="Q1147" s="14" t="s">
        <v>24</v>
      </c>
      <c r="R1147" s="606" t="s">
        <v>3576</v>
      </c>
      <c r="S1147" s="316" t="s">
        <v>2943</v>
      </c>
      <c r="T1147" s="858"/>
    </row>
    <row r="1148" spans="1:20" ht="20.100000000000001" customHeight="1">
      <c r="A1148" s="1255" t="s">
        <v>3578</v>
      </c>
      <c r="B1148" s="1232" t="s">
        <v>3582</v>
      </c>
      <c r="C1148" s="1232" t="s">
        <v>3586</v>
      </c>
      <c r="D1148" s="1007">
        <f>D1067+2640</f>
        <v>4190</v>
      </c>
      <c r="E1148" s="1007">
        <f>E1067+2640</f>
        <v>4440</v>
      </c>
      <c r="F1148" s="1007">
        <f>F1067+2640</f>
        <v>4440</v>
      </c>
      <c r="G1148" s="614" t="s">
        <v>19</v>
      </c>
      <c r="H1148" s="4" t="s">
        <v>1102</v>
      </c>
      <c r="I1148" s="37" t="s">
        <v>3581</v>
      </c>
      <c r="J1148" s="37"/>
      <c r="K1148" s="16" t="s">
        <v>980</v>
      </c>
      <c r="L1148" s="607" t="s">
        <v>653</v>
      </c>
      <c r="M1148" s="156">
        <v>43084</v>
      </c>
      <c r="N1148" s="156">
        <v>43093</v>
      </c>
      <c r="O1148" s="59" t="s">
        <v>611</v>
      </c>
      <c r="P1148" s="61"/>
      <c r="Q1148" s="14" t="s">
        <v>100</v>
      </c>
      <c r="R1148" s="606" t="s">
        <v>3584</v>
      </c>
      <c r="S1148" s="315" t="s">
        <v>3337</v>
      </c>
      <c r="T1148" s="858"/>
    </row>
    <row r="1149" spans="1:20" ht="20.100000000000001" customHeight="1">
      <c r="A1149" s="1255" t="s">
        <v>3578</v>
      </c>
      <c r="B1149" s="1232" t="s">
        <v>3582</v>
      </c>
      <c r="C1149" s="1232" t="s">
        <v>3586</v>
      </c>
      <c r="D1149" s="1008">
        <f>D1070+3300+25</f>
        <v>4550</v>
      </c>
      <c r="E1149" s="1008">
        <f>E1070+3750+50</f>
        <v>5250</v>
      </c>
      <c r="F1149" s="1008">
        <f>F1070+3750+50</f>
        <v>5250</v>
      </c>
      <c r="G1149" s="609" t="s">
        <v>1689</v>
      </c>
      <c r="H1149" s="160">
        <v>2</v>
      </c>
      <c r="I1149" s="37" t="s">
        <v>3581</v>
      </c>
      <c r="J1149" s="37"/>
      <c r="K1149" s="5">
        <v>36</v>
      </c>
      <c r="L1149" s="607" t="s">
        <v>653</v>
      </c>
      <c r="M1149" s="156">
        <v>43076</v>
      </c>
      <c r="N1149" s="156">
        <v>43083</v>
      </c>
      <c r="O1149" s="61" t="s">
        <v>1771</v>
      </c>
      <c r="P1149" s="61"/>
      <c r="Q1149" s="7"/>
      <c r="R1149" s="606" t="s">
        <v>3576</v>
      </c>
      <c r="S1149" s="316" t="s">
        <v>2943</v>
      </c>
      <c r="T1149" s="921"/>
    </row>
    <row r="1150" spans="1:20" ht="20.100000000000001" customHeight="1">
      <c r="A1150" s="1255" t="s">
        <v>3578</v>
      </c>
      <c r="B1150" s="1232" t="s">
        <v>3582</v>
      </c>
      <c r="C1150" s="1232" t="s">
        <v>3586</v>
      </c>
      <c r="D1150" s="1008">
        <f>D1071+1950+25</f>
        <v>3525</v>
      </c>
      <c r="E1150" s="1008">
        <f>E1071+2150+50</f>
        <v>4000</v>
      </c>
      <c r="F1150" s="1008">
        <f>F1071+2150+50</f>
        <v>4000</v>
      </c>
      <c r="G1150" s="615" t="s">
        <v>5</v>
      </c>
      <c r="H1150" s="168" t="s">
        <v>659</v>
      </c>
      <c r="I1150" s="50" t="s">
        <v>3581</v>
      </c>
      <c r="J1150" s="50"/>
      <c r="K1150" s="19" t="s">
        <v>986</v>
      </c>
      <c r="L1150" s="607" t="s">
        <v>653</v>
      </c>
      <c r="M1150" s="159">
        <v>43087</v>
      </c>
      <c r="N1150" s="159">
        <v>43093</v>
      </c>
      <c r="O1150" s="61" t="s">
        <v>1771</v>
      </c>
      <c r="P1150" s="61"/>
      <c r="Q1150" s="72" t="s">
        <v>3580</v>
      </c>
      <c r="R1150" s="606" t="s">
        <v>3579</v>
      </c>
      <c r="S1150" s="622"/>
      <c r="T1150" s="921"/>
    </row>
    <row r="1151" spans="1:20" ht="20.100000000000001" customHeight="1">
      <c r="A1151" s="1255" t="s">
        <v>3578</v>
      </c>
      <c r="B1151" s="1232" t="s">
        <v>3582</v>
      </c>
      <c r="C1151" s="1232" t="s">
        <v>3585</v>
      </c>
      <c r="D1151" s="1008">
        <f>D1067+1925</f>
        <v>3475</v>
      </c>
      <c r="E1151" s="1008">
        <f>E1067+1925</f>
        <v>3725</v>
      </c>
      <c r="F1151" s="1008">
        <f>F1067+1925</f>
        <v>3725</v>
      </c>
      <c r="G1151" s="614" t="s">
        <v>19</v>
      </c>
      <c r="H1151" s="4" t="s">
        <v>1102</v>
      </c>
      <c r="I1151" s="37" t="s">
        <v>3581</v>
      </c>
      <c r="J1151" s="37"/>
      <c r="K1151" s="16" t="s">
        <v>980</v>
      </c>
      <c r="L1151" s="607" t="s">
        <v>653</v>
      </c>
      <c r="M1151" s="156">
        <v>43084</v>
      </c>
      <c r="N1151" s="156">
        <v>43093</v>
      </c>
      <c r="O1151" s="59" t="s">
        <v>611</v>
      </c>
      <c r="P1151" s="61"/>
      <c r="Q1151" s="14" t="s">
        <v>100</v>
      </c>
      <c r="R1151" s="606" t="s">
        <v>3584</v>
      </c>
      <c r="S1151" s="315" t="s">
        <v>3337</v>
      </c>
      <c r="T1151" s="921"/>
    </row>
    <row r="1152" spans="1:20" ht="20.100000000000001" customHeight="1">
      <c r="A1152" s="1255" t="s">
        <v>3578</v>
      </c>
      <c r="B1152" s="1232" t="s">
        <v>3582</v>
      </c>
      <c r="C1152" s="1232" t="s">
        <v>3585</v>
      </c>
      <c r="D1152" s="1007">
        <f>D1070+2900+25</f>
        <v>4150</v>
      </c>
      <c r="E1152" s="1007">
        <f>E1070+3300+50</f>
        <v>4800</v>
      </c>
      <c r="F1152" s="1007">
        <f>F1070+3300+50</f>
        <v>4800</v>
      </c>
      <c r="G1152" s="609" t="s">
        <v>1689</v>
      </c>
      <c r="H1152" s="160">
        <v>2</v>
      </c>
      <c r="I1152" s="37" t="s">
        <v>3581</v>
      </c>
      <c r="J1152" s="37"/>
      <c r="K1152" s="5">
        <v>36</v>
      </c>
      <c r="L1152" s="607" t="s">
        <v>653</v>
      </c>
      <c r="M1152" s="156">
        <v>43076</v>
      </c>
      <c r="N1152" s="156">
        <v>43083</v>
      </c>
      <c r="O1152" s="61" t="s">
        <v>1771</v>
      </c>
      <c r="P1152" s="61"/>
      <c r="Q1152" s="7"/>
      <c r="R1152" s="606" t="s">
        <v>3576</v>
      </c>
      <c r="S1152" s="316" t="s">
        <v>2943</v>
      </c>
      <c r="T1152" s="921"/>
    </row>
    <row r="1153" spans="1:20" ht="20.100000000000001" customHeight="1">
      <c r="A1153" s="1255" t="s">
        <v>3578</v>
      </c>
      <c r="B1153" s="1232" t="s">
        <v>3582</v>
      </c>
      <c r="C1153" s="1232" t="s">
        <v>3585</v>
      </c>
      <c r="D1153" s="1007">
        <f>D1071+1750+25</f>
        <v>3325</v>
      </c>
      <c r="E1153" s="1007">
        <f>E1071+1950+50</f>
        <v>3800</v>
      </c>
      <c r="F1153" s="1007">
        <f>F1071+1950+50</f>
        <v>3800</v>
      </c>
      <c r="G1153" s="615" t="s">
        <v>5</v>
      </c>
      <c r="H1153" s="168" t="s">
        <v>659</v>
      </c>
      <c r="I1153" s="50" t="s">
        <v>3581</v>
      </c>
      <c r="J1153" s="50"/>
      <c r="K1153" s="19" t="s">
        <v>986</v>
      </c>
      <c r="L1153" s="607" t="s">
        <v>653</v>
      </c>
      <c r="M1153" s="159">
        <v>43087</v>
      </c>
      <c r="N1153" s="159">
        <v>43093</v>
      </c>
      <c r="O1153" s="61" t="s">
        <v>1771</v>
      </c>
      <c r="P1153" s="61"/>
      <c r="Q1153" s="72" t="s">
        <v>3580</v>
      </c>
      <c r="R1153" s="606" t="s">
        <v>3579</v>
      </c>
      <c r="S1153" s="622"/>
      <c r="T1153" s="921"/>
    </row>
    <row r="1154" spans="1:20" ht="20.100000000000001" customHeight="1">
      <c r="A1154" s="931" t="s">
        <v>3583</v>
      </c>
      <c r="B1154" s="910" t="s">
        <v>3582</v>
      </c>
      <c r="C1154" s="910" t="s">
        <v>5409</v>
      </c>
      <c r="D1154" s="1007">
        <f>D1071+1750+25</f>
        <v>3325</v>
      </c>
      <c r="E1154" s="1007">
        <f>E1071+1950+50</f>
        <v>3800</v>
      </c>
      <c r="F1154" s="1007">
        <f>F1071+1950+50</f>
        <v>3800</v>
      </c>
      <c r="G1154" s="615" t="s">
        <v>5</v>
      </c>
      <c r="H1154" s="168" t="s">
        <v>659</v>
      </c>
      <c r="I1154" s="50" t="s">
        <v>3581</v>
      </c>
      <c r="J1154" s="50"/>
      <c r="K1154" s="19" t="s">
        <v>986</v>
      </c>
      <c r="L1154" s="607" t="s">
        <v>653</v>
      </c>
      <c r="M1154" s="159">
        <v>43087</v>
      </c>
      <c r="N1154" s="159">
        <v>43093</v>
      </c>
      <c r="O1154" s="61" t="s">
        <v>1771</v>
      </c>
      <c r="P1154" s="61"/>
      <c r="Q1154" s="72" t="s">
        <v>3580</v>
      </c>
      <c r="R1154" s="606" t="s">
        <v>3579</v>
      </c>
      <c r="S1154" s="622"/>
      <c r="T1154" s="921"/>
    </row>
    <row r="1155" spans="1:20" ht="20.100000000000001" customHeight="1">
      <c r="A1155" s="931" t="s">
        <v>3583</v>
      </c>
      <c r="B1155" s="910" t="s">
        <v>3582</v>
      </c>
      <c r="C1155" s="910" t="s">
        <v>5408</v>
      </c>
      <c r="D1155" s="1007">
        <f>D1071+2900+25</f>
        <v>4475</v>
      </c>
      <c r="E1155" s="1007">
        <f>E1071+3100+50</f>
        <v>4950</v>
      </c>
      <c r="F1155" s="1007">
        <f>F1071+3100+50</f>
        <v>4950</v>
      </c>
      <c r="G1155" s="615" t="s">
        <v>5</v>
      </c>
      <c r="H1155" s="168" t="s">
        <v>659</v>
      </c>
      <c r="I1155" s="50" t="s">
        <v>3581</v>
      </c>
      <c r="J1155" s="50"/>
      <c r="K1155" s="19" t="s">
        <v>986</v>
      </c>
      <c r="L1155" s="607" t="s">
        <v>653</v>
      </c>
      <c r="M1155" s="159">
        <v>43087</v>
      </c>
      <c r="N1155" s="159">
        <v>43093</v>
      </c>
      <c r="O1155" s="61" t="s">
        <v>1771</v>
      </c>
      <c r="P1155" s="61"/>
      <c r="Q1155" s="72" t="s">
        <v>3580</v>
      </c>
      <c r="R1155" s="606" t="s">
        <v>3579</v>
      </c>
      <c r="S1155" s="622"/>
      <c r="T1155" s="921"/>
    </row>
    <row r="1156" spans="1:20" ht="20.100000000000001" customHeight="1">
      <c r="A1156" s="1255" t="s">
        <v>3583</v>
      </c>
      <c r="B1156" s="1232" t="s">
        <v>3582</v>
      </c>
      <c r="C1156" s="1232" t="s">
        <v>5407</v>
      </c>
      <c r="D1156" s="1007">
        <f>D1067+3520</f>
        <v>5070</v>
      </c>
      <c r="E1156" s="1007">
        <f>E1067+3520</f>
        <v>5320</v>
      </c>
      <c r="F1156" s="1007">
        <f>F1067+3520</f>
        <v>5320</v>
      </c>
      <c r="G1156" s="614" t="s">
        <v>19</v>
      </c>
      <c r="H1156" s="4" t="s">
        <v>1102</v>
      </c>
      <c r="I1156" s="37" t="s">
        <v>3581</v>
      </c>
      <c r="J1156" s="37"/>
      <c r="K1156" s="16" t="s">
        <v>980</v>
      </c>
      <c r="L1156" s="607" t="s">
        <v>653</v>
      </c>
      <c r="M1156" s="156">
        <v>43084</v>
      </c>
      <c r="N1156" s="156">
        <v>43093</v>
      </c>
      <c r="O1156" s="59" t="s">
        <v>611</v>
      </c>
      <c r="P1156" s="61"/>
      <c r="Q1156" s="14" t="s">
        <v>100</v>
      </c>
      <c r="R1156" s="606" t="s">
        <v>3584</v>
      </c>
      <c r="S1156" s="315" t="s">
        <v>3337</v>
      </c>
      <c r="T1156" s="921"/>
    </row>
    <row r="1157" spans="1:20" ht="20.100000000000001" customHeight="1">
      <c r="A1157" s="1255" t="s">
        <v>3578</v>
      </c>
      <c r="B1157" s="1232" t="s">
        <v>3582</v>
      </c>
      <c r="C1157" s="1232" t="s">
        <v>5407</v>
      </c>
      <c r="D1157" s="1007">
        <f>D1070+3100+25</f>
        <v>4350</v>
      </c>
      <c r="E1157" s="1007">
        <f>E1070+3600+50</f>
        <v>5100</v>
      </c>
      <c r="F1157" s="1007">
        <f>F1070+3600+50</f>
        <v>5100</v>
      </c>
      <c r="G1157" s="609" t="s">
        <v>1689</v>
      </c>
      <c r="H1157" s="160">
        <v>2</v>
      </c>
      <c r="I1157" s="37" t="s">
        <v>3581</v>
      </c>
      <c r="J1157" s="37"/>
      <c r="K1157" s="5">
        <v>36</v>
      </c>
      <c r="L1157" s="607" t="s">
        <v>653</v>
      </c>
      <c r="M1157" s="156">
        <v>43076</v>
      </c>
      <c r="N1157" s="156">
        <v>43083</v>
      </c>
      <c r="O1157" s="61" t="s">
        <v>1771</v>
      </c>
      <c r="P1157" s="61"/>
      <c r="Q1157" s="7"/>
      <c r="R1157" s="606" t="s">
        <v>3576</v>
      </c>
      <c r="S1157" s="316" t="s">
        <v>2943</v>
      </c>
      <c r="T1157" s="858"/>
    </row>
    <row r="1158" spans="1:20" ht="20.100000000000001" customHeight="1">
      <c r="A1158" s="1255" t="s">
        <v>3578</v>
      </c>
      <c r="B1158" s="1232" t="s">
        <v>3582</v>
      </c>
      <c r="C1158" s="1232" t="s">
        <v>5407</v>
      </c>
      <c r="D1158" s="1007">
        <f>D1071+2450+25</f>
        <v>4025</v>
      </c>
      <c r="E1158" s="1007">
        <f>E1071+2750+50</f>
        <v>4600</v>
      </c>
      <c r="F1158" s="1007">
        <f>F1071+2750+50</f>
        <v>4600</v>
      </c>
      <c r="G1158" s="615" t="s">
        <v>5</v>
      </c>
      <c r="H1158" s="168" t="s">
        <v>659</v>
      </c>
      <c r="I1158" s="50" t="s">
        <v>3581</v>
      </c>
      <c r="J1158" s="50"/>
      <c r="K1158" s="19" t="s">
        <v>986</v>
      </c>
      <c r="L1158" s="607" t="s">
        <v>653</v>
      </c>
      <c r="M1158" s="159">
        <v>43087</v>
      </c>
      <c r="N1158" s="159">
        <v>43093</v>
      </c>
      <c r="O1158" s="61" t="s">
        <v>1771</v>
      </c>
      <c r="P1158" s="61"/>
      <c r="Q1158" s="72" t="s">
        <v>3580</v>
      </c>
      <c r="R1158" s="606" t="s">
        <v>3579</v>
      </c>
      <c r="S1158" s="622"/>
      <c r="T1158" s="858"/>
    </row>
    <row r="1159" spans="1:20" ht="20.100000000000001" customHeight="1">
      <c r="A1159" s="931" t="s">
        <v>3583</v>
      </c>
      <c r="B1159" s="910" t="s">
        <v>3582</v>
      </c>
      <c r="C1159" s="910" t="s">
        <v>5406</v>
      </c>
      <c r="D1159" s="1007">
        <f>D1071+2700+25</f>
        <v>4275</v>
      </c>
      <c r="E1159" s="1007">
        <f>E1071+3000+50</f>
        <v>4850</v>
      </c>
      <c r="F1159" s="1007">
        <f>F1071+3000+50</f>
        <v>4850</v>
      </c>
      <c r="G1159" s="615" t="s">
        <v>5</v>
      </c>
      <c r="H1159" s="168" t="s">
        <v>659</v>
      </c>
      <c r="I1159" s="50" t="s">
        <v>3581</v>
      </c>
      <c r="J1159" s="50"/>
      <c r="K1159" s="19" t="s">
        <v>986</v>
      </c>
      <c r="L1159" s="607" t="s">
        <v>653</v>
      </c>
      <c r="M1159" s="159">
        <v>43087</v>
      </c>
      <c r="N1159" s="159">
        <v>43093</v>
      </c>
      <c r="O1159" s="61" t="s">
        <v>1771</v>
      </c>
      <c r="P1159" s="61"/>
      <c r="Q1159" s="72" t="s">
        <v>3580</v>
      </c>
      <c r="R1159" s="606" t="s">
        <v>3579</v>
      </c>
      <c r="S1159" s="622"/>
      <c r="T1159" s="858"/>
    </row>
    <row r="1160" spans="1:20" ht="20.100000000000001" customHeight="1">
      <c r="A1160" s="931" t="s">
        <v>3583</v>
      </c>
      <c r="B1160" s="910" t="s">
        <v>3582</v>
      </c>
      <c r="C1160" s="910" t="s">
        <v>5405</v>
      </c>
      <c r="D1160" s="1007">
        <f>D1071+3300+25</f>
        <v>4875</v>
      </c>
      <c r="E1160" s="1007">
        <f>E1071+3800+50</f>
        <v>5650</v>
      </c>
      <c r="F1160" s="1007">
        <f>F1071+3800+50</f>
        <v>5650</v>
      </c>
      <c r="G1160" s="615" t="s">
        <v>5</v>
      </c>
      <c r="H1160" s="168" t="s">
        <v>659</v>
      </c>
      <c r="I1160" s="50" t="s">
        <v>3581</v>
      </c>
      <c r="J1160" s="50"/>
      <c r="K1160" s="19" t="s">
        <v>986</v>
      </c>
      <c r="L1160" s="607" t="s">
        <v>653</v>
      </c>
      <c r="M1160" s="159">
        <v>43087</v>
      </c>
      <c r="N1160" s="159">
        <v>43093</v>
      </c>
      <c r="O1160" s="61" t="s">
        <v>1771</v>
      </c>
      <c r="P1160" s="61"/>
      <c r="Q1160" s="72" t="s">
        <v>3580</v>
      </c>
      <c r="R1160" s="606" t="s">
        <v>3579</v>
      </c>
      <c r="S1160" s="622"/>
      <c r="T1160" s="858"/>
    </row>
    <row r="1161" spans="1:20" ht="20.100000000000001" customHeight="1">
      <c r="A1161" s="931" t="s">
        <v>3578</v>
      </c>
      <c r="B1161" s="910" t="s">
        <v>2544</v>
      </c>
      <c r="C1161" s="910" t="s">
        <v>5404</v>
      </c>
      <c r="D1161" s="1007">
        <f>D621+500+100</f>
        <v>3925</v>
      </c>
      <c r="E1161" s="1007">
        <f>E621+800+200</f>
        <v>4300</v>
      </c>
      <c r="F1161" s="1007">
        <f>F621+800+200</f>
        <v>4300</v>
      </c>
      <c r="G1161" s="609" t="s">
        <v>1689</v>
      </c>
      <c r="H1161" s="160">
        <v>2</v>
      </c>
      <c r="I1161" s="37" t="s">
        <v>3577</v>
      </c>
      <c r="J1161" s="37"/>
      <c r="K1161" s="5">
        <v>36</v>
      </c>
      <c r="L1161" s="607" t="s">
        <v>653</v>
      </c>
      <c r="M1161" s="156">
        <v>43076</v>
      </c>
      <c r="N1161" s="156">
        <v>43083</v>
      </c>
      <c r="O1161" s="61" t="s">
        <v>1771</v>
      </c>
      <c r="P1161" s="61"/>
      <c r="Q1161" s="7"/>
      <c r="R1161" s="606" t="s">
        <v>3576</v>
      </c>
      <c r="S1161" s="316" t="s">
        <v>2943</v>
      </c>
      <c r="T1161" s="858"/>
    </row>
    <row r="1162" spans="1:20" ht="20.100000000000001" customHeight="1">
      <c r="A1162" s="1256" t="s">
        <v>2971</v>
      </c>
      <c r="B1162" s="1138" t="s">
        <v>2527</v>
      </c>
      <c r="C1162" s="1138" t="s">
        <v>3572</v>
      </c>
      <c r="D1162" s="1006">
        <f>D30+580</f>
        <v>2130</v>
      </c>
      <c r="E1162" s="1006">
        <f>E30+610</f>
        <v>2410</v>
      </c>
      <c r="F1162" s="1006">
        <f>F30+610</f>
        <v>2410</v>
      </c>
      <c r="G1162" s="615" t="s">
        <v>51</v>
      </c>
      <c r="H1162" s="160" t="s">
        <v>2532</v>
      </c>
      <c r="I1162" s="37" t="s">
        <v>2127</v>
      </c>
      <c r="J1162" s="37" t="s">
        <v>2539</v>
      </c>
      <c r="K1162" s="5"/>
      <c r="L1162" s="607" t="s">
        <v>653</v>
      </c>
      <c r="M1162" s="611">
        <v>43086</v>
      </c>
      <c r="N1162" s="611">
        <v>43100</v>
      </c>
      <c r="O1162" s="61" t="s">
        <v>3291</v>
      </c>
      <c r="P1162" s="52"/>
      <c r="Q1162" s="61" t="s">
        <v>3575</v>
      </c>
      <c r="R1162" s="610"/>
      <c r="S1162" s="315" t="s">
        <v>3290</v>
      </c>
      <c r="T1162" s="858"/>
    </row>
    <row r="1163" spans="1:20" ht="20.100000000000001" customHeight="1">
      <c r="A1163" s="1256" t="s">
        <v>2971</v>
      </c>
      <c r="B1163" s="1138" t="s">
        <v>2527</v>
      </c>
      <c r="C1163" s="1138" t="s">
        <v>3572</v>
      </c>
      <c r="D1163" s="1006">
        <f>D53+500</f>
        <v>2050</v>
      </c>
      <c r="E1163" s="1006">
        <f>E53+700</f>
        <v>2500</v>
      </c>
      <c r="F1163" s="1006">
        <f>F53+700</f>
        <v>2500</v>
      </c>
      <c r="G1163" s="615" t="s">
        <v>51</v>
      </c>
      <c r="H1163" s="160" t="s">
        <v>645</v>
      </c>
      <c r="I1163" s="37" t="s">
        <v>2526</v>
      </c>
      <c r="J1163" s="37" t="s">
        <v>2539</v>
      </c>
      <c r="K1163" s="5"/>
      <c r="L1163" s="607" t="s">
        <v>653</v>
      </c>
      <c r="M1163" s="611">
        <v>43086</v>
      </c>
      <c r="N1163" s="611">
        <v>43100</v>
      </c>
      <c r="O1163" s="61" t="s">
        <v>3291</v>
      </c>
      <c r="P1163" s="52"/>
      <c r="Q1163" s="61"/>
      <c r="R1163" s="610"/>
      <c r="S1163" s="315" t="s">
        <v>3290</v>
      </c>
      <c r="T1163" s="858"/>
    </row>
    <row r="1164" spans="1:20" ht="20.100000000000001" customHeight="1">
      <c r="A1164" s="1256" t="s">
        <v>2971</v>
      </c>
      <c r="B1164" s="1138" t="s">
        <v>2527</v>
      </c>
      <c r="C1164" s="1138" t="s">
        <v>3572</v>
      </c>
      <c r="D1164" s="1006">
        <f>D8+540+25</f>
        <v>2115</v>
      </c>
      <c r="E1164" s="1006">
        <f>E8+640+50</f>
        <v>2490</v>
      </c>
      <c r="F1164" s="1006">
        <f>F8+640+50</f>
        <v>2490</v>
      </c>
      <c r="G1164" s="615" t="s">
        <v>5</v>
      </c>
      <c r="H1164" s="160" t="s">
        <v>2523</v>
      </c>
      <c r="I1164" s="37" t="s">
        <v>2127</v>
      </c>
      <c r="J1164" s="37" t="s">
        <v>2539</v>
      </c>
      <c r="K1164" s="5"/>
      <c r="L1164" s="624" t="s">
        <v>860</v>
      </c>
      <c r="M1164" s="159">
        <v>43087</v>
      </c>
      <c r="N1164" s="159">
        <v>43093</v>
      </c>
      <c r="O1164" s="153" t="s">
        <v>879</v>
      </c>
      <c r="P1164" s="52"/>
      <c r="Q1164" s="72" t="s">
        <v>3565</v>
      </c>
      <c r="R1164" s="610"/>
      <c r="S1164" s="316"/>
      <c r="T1164" s="858"/>
    </row>
    <row r="1165" spans="1:20" ht="20.100000000000001" customHeight="1">
      <c r="A1165" s="1256" t="s">
        <v>2971</v>
      </c>
      <c r="B1165" s="1138" t="s">
        <v>2527</v>
      </c>
      <c r="C1165" s="1138" t="s">
        <v>3572</v>
      </c>
      <c r="D1165" s="1006">
        <f>D42+680+25</f>
        <v>2255</v>
      </c>
      <c r="E1165" s="1006">
        <f>E42+920+50</f>
        <v>2770</v>
      </c>
      <c r="F1165" s="1006">
        <f>F42+920+50</f>
        <v>2770</v>
      </c>
      <c r="G1165" s="615" t="s">
        <v>5</v>
      </c>
      <c r="H1165" s="160" t="s">
        <v>1652</v>
      </c>
      <c r="I1165" s="37" t="s">
        <v>2526</v>
      </c>
      <c r="J1165" s="37" t="s">
        <v>2539</v>
      </c>
      <c r="K1165" s="5"/>
      <c r="L1165" s="624" t="s">
        <v>860</v>
      </c>
      <c r="M1165" s="159">
        <v>43087</v>
      </c>
      <c r="N1165" s="159">
        <v>43093</v>
      </c>
      <c r="O1165" s="153" t="s">
        <v>879</v>
      </c>
      <c r="P1165" s="52"/>
      <c r="Q1165" s="72" t="s">
        <v>3571</v>
      </c>
      <c r="R1165" s="610"/>
      <c r="S1165" s="316"/>
      <c r="T1165" s="858"/>
    </row>
    <row r="1166" spans="1:20" ht="20.100000000000001" customHeight="1">
      <c r="A1166" s="1256" t="s">
        <v>2971</v>
      </c>
      <c r="B1166" s="1138" t="s">
        <v>2527</v>
      </c>
      <c r="C1166" s="1138" t="s">
        <v>3572</v>
      </c>
      <c r="D1166" s="1006">
        <f>D136+550</f>
        <v>2150</v>
      </c>
      <c r="E1166" s="1006">
        <f>E136+750</f>
        <v>2750</v>
      </c>
      <c r="F1166" s="1006">
        <f>F136+750</f>
        <v>2750</v>
      </c>
      <c r="G1166" s="613" t="s">
        <v>33</v>
      </c>
      <c r="H1166" s="56">
        <v>5</v>
      </c>
      <c r="I1166" s="50" t="s">
        <v>2526</v>
      </c>
      <c r="J1166" s="37" t="s">
        <v>2539</v>
      </c>
      <c r="K1166" s="34">
        <v>20</v>
      </c>
      <c r="L1166" s="607" t="s">
        <v>653</v>
      </c>
      <c r="M1166" s="159">
        <v>43080</v>
      </c>
      <c r="N1166" s="159">
        <v>43086</v>
      </c>
      <c r="O1166" s="153" t="s">
        <v>2445</v>
      </c>
      <c r="P1166" s="59"/>
      <c r="Q1166" s="7"/>
      <c r="R1166" s="610" t="s">
        <v>2538</v>
      </c>
      <c r="S1166" s="316" t="s">
        <v>3333</v>
      </c>
      <c r="T1166" s="858"/>
    </row>
    <row r="1167" spans="1:20" ht="20.100000000000001" customHeight="1">
      <c r="A1167" s="1256" t="s">
        <v>2971</v>
      </c>
      <c r="B1167" s="1138" t="s">
        <v>2527</v>
      </c>
      <c r="C1167" s="1138" t="s">
        <v>3572</v>
      </c>
      <c r="D1167" s="1006">
        <f>D135+650</f>
        <v>2250</v>
      </c>
      <c r="E1167" s="1006">
        <f>E135+750</f>
        <v>2750</v>
      </c>
      <c r="F1167" s="1006">
        <f>F135+750</f>
        <v>2750</v>
      </c>
      <c r="G1167" s="613" t="s">
        <v>33</v>
      </c>
      <c r="H1167" s="56" t="s">
        <v>2535</v>
      </c>
      <c r="I1167" s="37" t="s">
        <v>2127</v>
      </c>
      <c r="J1167" s="37" t="s">
        <v>2539</v>
      </c>
      <c r="K1167" s="16">
        <v>20</v>
      </c>
      <c r="L1167" s="607" t="s">
        <v>653</v>
      </c>
      <c r="M1167" s="159">
        <v>43080</v>
      </c>
      <c r="N1167" s="159">
        <v>43086</v>
      </c>
      <c r="O1167" s="153" t="s">
        <v>2445</v>
      </c>
      <c r="P1167" s="61"/>
      <c r="Q1167" s="7"/>
      <c r="R1167" s="606" t="s">
        <v>2542</v>
      </c>
      <c r="S1167" s="316" t="s">
        <v>3333</v>
      </c>
      <c r="T1167" s="858"/>
    </row>
    <row r="1168" spans="1:20" ht="20.100000000000001" customHeight="1">
      <c r="A1168" s="1256" t="s">
        <v>2971</v>
      </c>
      <c r="B1168" s="1138" t="s">
        <v>2527</v>
      </c>
      <c r="C1168" s="1138" t="s">
        <v>3572</v>
      </c>
      <c r="D1168" s="1006">
        <f>D6+558</f>
        <v>2108</v>
      </c>
      <c r="E1168" s="1006">
        <f>E6+676</f>
        <v>2476</v>
      </c>
      <c r="F1168" s="1006">
        <f>F6+676</f>
        <v>2476</v>
      </c>
      <c r="G1168" s="614" t="s">
        <v>19</v>
      </c>
      <c r="H1168" s="160" t="s">
        <v>2537</v>
      </c>
      <c r="I1168" s="37" t="s">
        <v>2127</v>
      </c>
      <c r="J1168" s="37" t="s">
        <v>2539</v>
      </c>
      <c r="K1168" s="5" t="s">
        <v>728</v>
      </c>
      <c r="L1168" s="607" t="s">
        <v>653</v>
      </c>
      <c r="M1168" s="156">
        <v>43084</v>
      </c>
      <c r="N1168" s="156">
        <v>43093</v>
      </c>
      <c r="O1168" s="153" t="s">
        <v>2131</v>
      </c>
      <c r="P1168" s="61" t="s">
        <v>2276</v>
      </c>
      <c r="Q1168" s="7"/>
      <c r="R1168" s="606" t="s">
        <v>3339</v>
      </c>
      <c r="S1168" s="315" t="s">
        <v>3337</v>
      </c>
      <c r="T1168" s="858"/>
    </row>
    <row r="1169" spans="1:20" ht="20.100000000000001" customHeight="1">
      <c r="A1169" s="1256" t="s">
        <v>2971</v>
      </c>
      <c r="B1169" s="1138" t="s">
        <v>2527</v>
      </c>
      <c r="C1169" s="1138" t="s">
        <v>3572</v>
      </c>
      <c r="D1169" s="1006">
        <f>D44+670</f>
        <v>2220</v>
      </c>
      <c r="E1169" s="1006">
        <f>E44+899</f>
        <v>2699</v>
      </c>
      <c r="F1169" s="1006">
        <f>F44+899</f>
        <v>2699</v>
      </c>
      <c r="G1169" s="614" t="s">
        <v>19</v>
      </c>
      <c r="H1169" s="56" t="s">
        <v>1444</v>
      </c>
      <c r="I1169" s="37" t="s">
        <v>2526</v>
      </c>
      <c r="J1169" s="37" t="s">
        <v>2539</v>
      </c>
      <c r="K1169" s="5" t="s">
        <v>764</v>
      </c>
      <c r="L1169" s="607" t="s">
        <v>653</v>
      </c>
      <c r="M1169" s="156">
        <v>43084</v>
      </c>
      <c r="N1169" s="156">
        <v>43093</v>
      </c>
      <c r="O1169" s="153" t="s">
        <v>2131</v>
      </c>
      <c r="P1169" s="61" t="s">
        <v>3338</v>
      </c>
      <c r="Q1169" s="7"/>
      <c r="R1169" s="610" t="s">
        <v>1841</v>
      </c>
      <c r="S1169" s="315" t="s">
        <v>3337</v>
      </c>
      <c r="T1169" s="858"/>
    </row>
    <row r="1170" spans="1:20" ht="20.100000000000001" customHeight="1">
      <c r="A1170" s="1256" t="s">
        <v>2971</v>
      </c>
      <c r="B1170" s="1138" t="s">
        <v>2527</v>
      </c>
      <c r="C1170" s="1138" t="s">
        <v>3572</v>
      </c>
      <c r="D1170" s="1006">
        <f>D15+1200+25</f>
        <v>2375</v>
      </c>
      <c r="E1170" s="1006">
        <f>E15+1400+50</f>
        <v>2650</v>
      </c>
      <c r="F1170" s="1006">
        <f>F15+1400+50</f>
        <v>2650</v>
      </c>
      <c r="G1170" s="618" t="s">
        <v>233</v>
      </c>
      <c r="H1170" s="160" t="s">
        <v>1444</v>
      </c>
      <c r="I1170" s="37" t="s">
        <v>2127</v>
      </c>
      <c r="J1170" s="37" t="s">
        <v>2539</v>
      </c>
      <c r="K1170" s="16">
        <v>21</v>
      </c>
      <c r="L1170" s="607" t="s">
        <v>653</v>
      </c>
      <c r="M1170" s="620">
        <v>43081</v>
      </c>
      <c r="N1170" s="620">
        <v>43085</v>
      </c>
      <c r="O1170" s="61" t="s">
        <v>3335</v>
      </c>
      <c r="P1170" s="61"/>
      <c r="Q1170" s="7"/>
      <c r="R1170" s="606" t="s">
        <v>3574</v>
      </c>
      <c r="S1170" s="316" t="s">
        <v>3573</v>
      </c>
      <c r="T1170" s="858"/>
    </row>
    <row r="1171" spans="1:20" ht="20.100000000000001" customHeight="1">
      <c r="A1171" s="1256" t="s">
        <v>2971</v>
      </c>
      <c r="B1171" s="1138" t="s">
        <v>2527</v>
      </c>
      <c r="C1171" s="1138" t="s">
        <v>3572</v>
      </c>
      <c r="D1171" s="1006">
        <f>D46+551</f>
        <v>1726</v>
      </c>
      <c r="E1171" s="1006">
        <f>E46+738</f>
        <v>1988</v>
      </c>
      <c r="F1171" s="1006">
        <f>F46+738</f>
        <v>1988</v>
      </c>
      <c r="G1171" s="609" t="s">
        <v>1689</v>
      </c>
      <c r="H1171" s="160" t="s">
        <v>1311</v>
      </c>
      <c r="I1171" s="37" t="s">
        <v>2526</v>
      </c>
      <c r="J1171" s="37" t="s">
        <v>2539</v>
      </c>
      <c r="K1171" s="5">
        <v>30</v>
      </c>
      <c r="L1171" s="607" t="s">
        <v>653</v>
      </c>
      <c r="M1171" s="156">
        <v>43076</v>
      </c>
      <c r="N1171" s="156">
        <v>43083</v>
      </c>
      <c r="O1171" s="153" t="s">
        <v>2529</v>
      </c>
      <c r="P1171" s="61"/>
      <c r="Q1171" s="61" t="s">
        <v>2128</v>
      </c>
      <c r="R1171" s="606" t="s">
        <v>2528</v>
      </c>
      <c r="S1171" s="316" t="s">
        <v>2943</v>
      </c>
      <c r="T1171" s="858"/>
    </row>
    <row r="1172" spans="1:20" ht="20.100000000000001" customHeight="1">
      <c r="A1172" s="1256" t="s">
        <v>2971</v>
      </c>
      <c r="B1172" s="1138" t="s">
        <v>2527</v>
      </c>
      <c r="C1172" s="1138" t="s">
        <v>3572</v>
      </c>
      <c r="D1172" s="1006">
        <f>D4+553</f>
        <v>1728</v>
      </c>
      <c r="E1172" s="1006">
        <f>E4+658</f>
        <v>1908</v>
      </c>
      <c r="F1172" s="1006">
        <f>F4+658</f>
        <v>1908</v>
      </c>
      <c r="G1172" s="609" t="s">
        <v>1689</v>
      </c>
      <c r="H1172" s="160" t="s">
        <v>645</v>
      </c>
      <c r="I1172" s="37" t="s">
        <v>2127</v>
      </c>
      <c r="J1172" s="37" t="s">
        <v>2539</v>
      </c>
      <c r="K1172" s="5">
        <v>20</v>
      </c>
      <c r="L1172" s="607" t="s">
        <v>653</v>
      </c>
      <c r="M1172" s="156">
        <v>43076</v>
      </c>
      <c r="N1172" s="156">
        <v>43083</v>
      </c>
      <c r="O1172" s="153" t="s">
        <v>2529</v>
      </c>
      <c r="P1172" s="61"/>
      <c r="Q1172" s="61" t="s">
        <v>2133</v>
      </c>
      <c r="R1172" s="606" t="s">
        <v>2530</v>
      </c>
      <c r="S1172" s="316" t="s">
        <v>2943</v>
      </c>
      <c r="T1172" s="858"/>
    </row>
    <row r="1173" spans="1:20" ht="20.100000000000001" customHeight="1">
      <c r="A1173" s="1256" t="s">
        <v>2971</v>
      </c>
      <c r="B1173" s="1138" t="s">
        <v>2527</v>
      </c>
      <c r="C1173" s="1138" t="s">
        <v>3572</v>
      </c>
      <c r="D1173" s="1006">
        <f>D17+550</f>
        <v>1675</v>
      </c>
      <c r="E1173" s="1006">
        <f>E17+700</f>
        <v>1900</v>
      </c>
      <c r="F1173" s="1006">
        <f>F17+700</f>
        <v>1900</v>
      </c>
      <c r="G1173" s="613" t="s">
        <v>30</v>
      </c>
      <c r="H1173" s="56" t="s">
        <v>725</v>
      </c>
      <c r="I1173" s="37" t="s">
        <v>2127</v>
      </c>
      <c r="J1173" s="37" t="s">
        <v>2539</v>
      </c>
      <c r="K1173" s="16" t="s">
        <v>728</v>
      </c>
      <c r="L1173" s="607" t="s">
        <v>653</v>
      </c>
      <c r="M1173" s="15">
        <v>43078</v>
      </c>
      <c r="N1173" s="159">
        <v>43084</v>
      </c>
      <c r="O1173" s="61" t="s">
        <v>1307</v>
      </c>
      <c r="P1173" s="61"/>
      <c r="Q1173" s="7"/>
      <c r="R1173" s="606" t="s">
        <v>3568</v>
      </c>
      <c r="S1173" s="316" t="s">
        <v>3567</v>
      </c>
      <c r="T1173" s="626" t="s">
        <v>1018</v>
      </c>
    </row>
    <row r="1174" spans="1:20" ht="20.100000000000001" customHeight="1">
      <c r="A1174" s="1256" t="s">
        <v>2971</v>
      </c>
      <c r="B1174" s="1138" t="s">
        <v>2527</v>
      </c>
      <c r="C1174" s="1138" t="s">
        <v>3572</v>
      </c>
      <c r="D1174" s="1006">
        <f>D18+735</f>
        <v>2285</v>
      </c>
      <c r="E1174" s="1006">
        <f>E18+730</f>
        <v>2530</v>
      </c>
      <c r="F1174" s="1006">
        <f>F18+730</f>
        <v>2530</v>
      </c>
      <c r="G1174" s="608" t="s">
        <v>94</v>
      </c>
      <c r="H1174" s="56" t="s">
        <v>657</v>
      </c>
      <c r="I1174" s="5" t="s">
        <v>2127</v>
      </c>
      <c r="J1174" s="37" t="s">
        <v>2539</v>
      </c>
      <c r="K1174" s="5">
        <v>26</v>
      </c>
      <c r="L1174" s="607" t="s">
        <v>653</v>
      </c>
      <c r="M1174" s="108">
        <v>43087</v>
      </c>
      <c r="N1174" s="108">
        <v>43094</v>
      </c>
      <c r="O1174" s="61" t="s">
        <v>2444</v>
      </c>
      <c r="P1174" s="7"/>
      <c r="Q1174" s="7"/>
      <c r="R1174" s="606" t="s">
        <v>2126</v>
      </c>
      <c r="S1174" s="322" t="s">
        <v>1176</v>
      </c>
      <c r="T1174" s="858"/>
    </row>
    <row r="1175" spans="1:20" ht="20.100000000000001" customHeight="1">
      <c r="A1175" s="1256" t="s">
        <v>2971</v>
      </c>
      <c r="B1175" s="1138" t="s">
        <v>2527</v>
      </c>
      <c r="C1175" s="1138" t="s">
        <v>3572</v>
      </c>
      <c r="D1175" s="1006">
        <f>D41+700</f>
        <v>2250</v>
      </c>
      <c r="E1175" s="1006">
        <f>E41+710</f>
        <v>2510</v>
      </c>
      <c r="F1175" s="1006">
        <f>F41+710</f>
        <v>2510</v>
      </c>
      <c r="G1175" s="608" t="s">
        <v>94</v>
      </c>
      <c r="H1175" s="168" t="s">
        <v>1102</v>
      </c>
      <c r="I1175" s="5" t="s">
        <v>2526</v>
      </c>
      <c r="J1175" s="37" t="s">
        <v>2539</v>
      </c>
      <c r="K1175" s="34">
        <v>30</v>
      </c>
      <c r="L1175" s="607" t="s">
        <v>653</v>
      </c>
      <c r="M1175" s="108">
        <v>43087</v>
      </c>
      <c r="N1175" s="108">
        <v>43094</v>
      </c>
      <c r="O1175" s="61" t="s">
        <v>2444</v>
      </c>
      <c r="P1175" s="7"/>
      <c r="Q1175" s="7"/>
      <c r="R1175" s="606" t="s">
        <v>2524</v>
      </c>
      <c r="S1175" s="322" t="s">
        <v>1176</v>
      </c>
      <c r="T1175" s="858"/>
    </row>
    <row r="1176" spans="1:20" ht="20.100000000000001" customHeight="1">
      <c r="A1176" s="1256" t="s">
        <v>2971</v>
      </c>
      <c r="B1176" s="1138" t="s">
        <v>2527</v>
      </c>
      <c r="C1176" s="1138" t="s">
        <v>3572</v>
      </c>
      <c r="D1176" s="1006">
        <f>D26+570</f>
        <v>1820</v>
      </c>
      <c r="E1176" s="1006">
        <f>E26+700</f>
        <v>2200</v>
      </c>
      <c r="F1176" s="1006">
        <f>F26+700</f>
        <v>2200</v>
      </c>
      <c r="G1176" s="618" t="s">
        <v>31</v>
      </c>
      <c r="H1176" s="168" t="s">
        <v>681</v>
      </c>
      <c r="I1176" s="37" t="s">
        <v>2127</v>
      </c>
      <c r="J1176" s="37" t="s">
        <v>2539</v>
      </c>
      <c r="K1176" s="5">
        <v>22</v>
      </c>
      <c r="L1176" s="607" t="s">
        <v>653</v>
      </c>
      <c r="M1176" s="623">
        <v>43080</v>
      </c>
      <c r="N1176" s="623">
        <v>43083</v>
      </c>
      <c r="O1176" s="61" t="s">
        <v>1307</v>
      </c>
      <c r="P1176" s="61"/>
      <c r="Q1176" s="52"/>
      <c r="R1176" s="606" t="s">
        <v>3563</v>
      </c>
      <c r="S1176" s="622" t="s">
        <v>1176</v>
      </c>
      <c r="T1176" s="858"/>
    </row>
    <row r="1177" spans="1:20" ht="20.100000000000001" customHeight="1">
      <c r="A1177" s="1256" t="s">
        <v>2971</v>
      </c>
      <c r="B1177" s="1138" t="s">
        <v>2527</v>
      </c>
      <c r="C1177" s="1138" t="s">
        <v>3572</v>
      </c>
      <c r="D1177" s="1012">
        <f>D49+590</f>
        <v>1840</v>
      </c>
      <c r="E1177" s="1012">
        <f>E49+800</f>
        <v>2200</v>
      </c>
      <c r="F1177" s="1012">
        <f>F49+800</f>
        <v>2200</v>
      </c>
      <c r="G1177" s="613" t="s">
        <v>13</v>
      </c>
      <c r="H1177" s="56">
        <v>5</v>
      </c>
      <c r="I1177" s="37" t="s">
        <v>2526</v>
      </c>
      <c r="J1177" s="37" t="s">
        <v>2539</v>
      </c>
      <c r="K1177" s="16">
        <v>20</v>
      </c>
      <c r="L1177" s="607" t="s">
        <v>653</v>
      </c>
      <c r="M1177" s="156">
        <v>43073</v>
      </c>
      <c r="N1177" s="156">
        <v>43083</v>
      </c>
      <c r="O1177" s="61" t="s">
        <v>3335</v>
      </c>
      <c r="P1177" s="61"/>
      <c r="Q1177" s="7"/>
      <c r="R1177" s="606" t="s">
        <v>2536</v>
      </c>
      <c r="S1177" s="316" t="s">
        <v>3334</v>
      </c>
      <c r="T1177" s="858"/>
    </row>
    <row r="1178" spans="1:20" ht="20.100000000000001" customHeight="1">
      <c r="A1178" s="1256" t="s">
        <v>2971</v>
      </c>
      <c r="B1178" s="1138" t="s">
        <v>2527</v>
      </c>
      <c r="C1178" s="1138" t="s">
        <v>3572</v>
      </c>
      <c r="D1178" s="1012">
        <f>D32+650</f>
        <v>1900</v>
      </c>
      <c r="E1178" s="1012">
        <f>E32+760</f>
        <v>2160</v>
      </c>
      <c r="F1178" s="1012">
        <f>F32+760</f>
        <v>2160</v>
      </c>
      <c r="G1178" s="613" t="s">
        <v>13</v>
      </c>
      <c r="H1178" s="56">
        <v>6</v>
      </c>
      <c r="I1178" s="37" t="s">
        <v>2127</v>
      </c>
      <c r="J1178" s="37" t="s">
        <v>2539</v>
      </c>
      <c r="K1178" s="16">
        <v>18</v>
      </c>
      <c r="L1178" s="607" t="s">
        <v>653</v>
      </c>
      <c r="M1178" s="156">
        <v>43073</v>
      </c>
      <c r="N1178" s="156">
        <v>43083</v>
      </c>
      <c r="O1178" s="61" t="s">
        <v>3335</v>
      </c>
      <c r="P1178" s="61"/>
      <c r="Q1178" s="7"/>
      <c r="R1178" s="606" t="s">
        <v>3336</v>
      </c>
      <c r="S1178" s="316" t="s">
        <v>3334</v>
      </c>
      <c r="T1178" s="858"/>
    </row>
    <row r="1179" spans="1:20" ht="20.100000000000001" customHeight="1">
      <c r="A1179" s="1256" t="s">
        <v>2971</v>
      </c>
      <c r="B1179" s="1138" t="s">
        <v>2527</v>
      </c>
      <c r="C1179" s="1138" t="s">
        <v>3572</v>
      </c>
      <c r="D1179" s="1012">
        <f>D51+650+50</f>
        <v>1775</v>
      </c>
      <c r="E1179" s="1012">
        <f>E51+800+100</f>
        <v>2150</v>
      </c>
      <c r="F1179" s="1012">
        <f>F51+800+100</f>
        <v>2150</v>
      </c>
      <c r="G1179" s="613" t="s">
        <v>29</v>
      </c>
      <c r="H1179" s="56">
        <v>5</v>
      </c>
      <c r="I1179" s="37" t="s">
        <v>2526</v>
      </c>
      <c r="J1179" s="37" t="s">
        <v>2539</v>
      </c>
      <c r="K1179" s="16">
        <v>20</v>
      </c>
      <c r="L1179" s="607" t="s">
        <v>653</v>
      </c>
      <c r="M1179" s="620">
        <v>43084</v>
      </c>
      <c r="N1179" s="620">
        <v>43086</v>
      </c>
      <c r="O1179" s="61" t="s">
        <v>3335</v>
      </c>
      <c r="P1179" s="61"/>
      <c r="Q1179" s="7"/>
      <c r="R1179" s="606" t="s">
        <v>3562</v>
      </c>
      <c r="S1179" s="316" t="s">
        <v>3561</v>
      </c>
      <c r="T1179" s="858"/>
    </row>
    <row r="1180" spans="1:20" ht="20.100000000000001" customHeight="1">
      <c r="A1180" s="1256" t="s">
        <v>2971</v>
      </c>
      <c r="B1180" s="1138" t="s">
        <v>2527</v>
      </c>
      <c r="C1180" s="1138" t="s">
        <v>3572</v>
      </c>
      <c r="D1180" s="1012">
        <f>D34+600+50</f>
        <v>1725</v>
      </c>
      <c r="E1180" s="1012">
        <f>E34+700+100</f>
        <v>2050</v>
      </c>
      <c r="F1180" s="1012">
        <f>F34+700+100</f>
        <v>2050</v>
      </c>
      <c r="G1180" s="613" t="s">
        <v>29</v>
      </c>
      <c r="H1180" s="56">
        <v>6</v>
      </c>
      <c r="I1180" s="37" t="s">
        <v>2127</v>
      </c>
      <c r="J1180" s="37" t="s">
        <v>2539</v>
      </c>
      <c r="K1180" s="16">
        <v>20</v>
      </c>
      <c r="L1180" s="607" t="s">
        <v>653</v>
      </c>
      <c r="M1180" s="620">
        <v>43084</v>
      </c>
      <c r="N1180" s="620">
        <v>43086</v>
      </c>
      <c r="O1180" s="61" t="s">
        <v>3335</v>
      </c>
      <c r="P1180" s="61"/>
      <c r="Q1180" s="7"/>
      <c r="R1180" s="606" t="s">
        <v>3336</v>
      </c>
      <c r="S1180" s="316" t="s">
        <v>3561</v>
      </c>
      <c r="T1180" s="858"/>
    </row>
    <row r="1181" spans="1:20" ht="20.100000000000001" customHeight="1">
      <c r="A1181" s="1256" t="s">
        <v>2971</v>
      </c>
      <c r="B1181" s="1138" t="s">
        <v>2527</v>
      </c>
      <c r="C1181" s="1138" t="s">
        <v>3572</v>
      </c>
      <c r="D1181" s="1006">
        <f>D22+750+25</f>
        <v>2275</v>
      </c>
      <c r="E1181" s="1006">
        <f>E22+800+50</f>
        <v>2550</v>
      </c>
      <c r="F1181" s="1006">
        <f>F22+800+50</f>
        <v>2550</v>
      </c>
      <c r="G1181" s="618" t="s">
        <v>28</v>
      </c>
      <c r="H1181" s="160" t="s">
        <v>2535</v>
      </c>
      <c r="I1181" s="50" t="s">
        <v>2127</v>
      </c>
      <c r="J1181" s="37" t="s">
        <v>2539</v>
      </c>
      <c r="K1181" s="34">
        <v>22</v>
      </c>
      <c r="L1181" s="607" t="s">
        <v>653</v>
      </c>
      <c r="M1181" s="620">
        <v>43086</v>
      </c>
      <c r="N1181" s="620">
        <v>43100</v>
      </c>
      <c r="O1181" s="59" t="s">
        <v>3559</v>
      </c>
      <c r="P1181" s="59"/>
      <c r="Q1181" s="61" t="s">
        <v>2599</v>
      </c>
      <c r="R1181" s="610" t="s">
        <v>3558</v>
      </c>
      <c r="S1181" s="619"/>
      <c r="T1181" s="858"/>
    </row>
    <row r="1182" spans="1:20" ht="20.100000000000001" customHeight="1">
      <c r="A1182" s="1256" t="s">
        <v>2971</v>
      </c>
      <c r="B1182" s="1138" t="s">
        <v>2527</v>
      </c>
      <c r="C1182" s="1138" t="s">
        <v>3572</v>
      </c>
      <c r="D1182" s="1006">
        <f>D30+830</f>
        <v>2380</v>
      </c>
      <c r="E1182" s="1006">
        <f>E30+885</f>
        <v>2685</v>
      </c>
      <c r="F1182" s="1006">
        <f>F30+885</f>
        <v>2685</v>
      </c>
      <c r="G1182" s="615" t="s">
        <v>51</v>
      </c>
      <c r="H1182" s="160" t="s">
        <v>2532</v>
      </c>
      <c r="I1182" s="37" t="s">
        <v>2127</v>
      </c>
      <c r="J1182" s="37" t="s">
        <v>1211</v>
      </c>
      <c r="K1182" s="5"/>
      <c r="L1182" s="607" t="s">
        <v>653</v>
      </c>
      <c r="M1182" s="611">
        <v>43086</v>
      </c>
      <c r="N1182" s="611">
        <v>43100</v>
      </c>
      <c r="O1182" s="61" t="s">
        <v>3291</v>
      </c>
      <c r="P1182" s="52"/>
      <c r="Q1182" s="61" t="s">
        <v>3381</v>
      </c>
      <c r="R1182" s="610"/>
      <c r="S1182" s="315" t="s">
        <v>3290</v>
      </c>
      <c r="T1182" s="858"/>
    </row>
    <row r="1183" spans="1:20" ht="20.100000000000001" customHeight="1">
      <c r="A1183" s="1256" t="s">
        <v>2971</v>
      </c>
      <c r="B1183" s="1138" t="s">
        <v>2527</v>
      </c>
      <c r="C1183" s="1138" t="s">
        <v>3572</v>
      </c>
      <c r="D1183" s="1006">
        <f>D53+725</f>
        <v>2275</v>
      </c>
      <c r="E1183" s="1006">
        <f>E53+875</f>
        <v>2675</v>
      </c>
      <c r="F1183" s="1006">
        <f>F53+875</f>
        <v>2675</v>
      </c>
      <c r="G1183" s="615" t="s">
        <v>51</v>
      </c>
      <c r="H1183" s="160" t="s">
        <v>645</v>
      </c>
      <c r="I1183" s="37" t="s">
        <v>2526</v>
      </c>
      <c r="J1183" s="37" t="s">
        <v>1211</v>
      </c>
      <c r="K1183" s="5"/>
      <c r="L1183" s="607" t="s">
        <v>653</v>
      </c>
      <c r="M1183" s="611">
        <v>43086</v>
      </c>
      <c r="N1183" s="611">
        <v>43100</v>
      </c>
      <c r="O1183" s="61" t="s">
        <v>3291</v>
      </c>
      <c r="P1183" s="52"/>
      <c r="Q1183" s="61" t="s">
        <v>2599</v>
      </c>
      <c r="R1183" s="610"/>
      <c r="S1183" s="315" t="s">
        <v>3290</v>
      </c>
      <c r="T1183" s="858"/>
    </row>
    <row r="1184" spans="1:20" ht="20.100000000000001" customHeight="1">
      <c r="A1184" s="1256" t="s">
        <v>2971</v>
      </c>
      <c r="B1184" s="1138" t="s">
        <v>2527</v>
      </c>
      <c r="C1184" s="1138" t="s">
        <v>3572</v>
      </c>
      <c r="D1184" s="1006">
        <f>D8+708+25</f>
        <v>2283</v>
      </c>
      <c r="E1184" s="1006">
        <f>E8+808+50</f>
        <v>2658</v>
      </c>
      <c r="F1184" s="1006">
        <f>F8+808+50</f>
        <v>2658</v>
      </c>
      <c r="G1184" s="615" t="s">
        <v>5</v>
      </c>
      <c r="H1184" s="160" t="s">
        <v>2523</v>
      </c>
      <c r="I1184" s="37" t="s">
        <v>2127</v>
      </c>
      <c r="J1184" s="37" t="s">
        <v>1211</v>
      </c>
      <c r="K1184" s="5"/>
      <c r="L1184" s="624" t="s">
        <v>860</v>
      </c>
      <c r="M1184" s="159">
        <v>43087</v>
      </c>
      <c r="N1184" s="159">
        <v>43093</v>
      </c>
      <c r="O1184" s="153" t="s">
        <v>879</v>
      </c>
      <c r="P1184" s="52"/>
      <c r="Q1184" s="72" t="s">
        <v>3565</v>
      </c>
      <c r="R1184" s="610"/>
      <c r="S1184" s="316"/>
      <c r="T1184" s="858"/>
    </row>
    <row r="1185" spans="1:20" ht="20.100000000000001" customHeight="1">
      <c r="A1185" s="1256" t="s">
        <v>2971</v>
      </c>
      <c r="B1185" s="1138" t="s">
        <v>2527</v>
      </c>
      <c r="C1185" s="1138" t="s">
        <v>3572</v>
      </c>
      <c r="D1185" s="1006">
        <f>D42+853+25</f>
        <v>2428</v>
      </c>
      <c r="E1185" s="1006">
        <f>E42+1093+50</f>
        <v>2943</v>
      </c>
      <c r="F1185" s="1006">
        <f>F42+1093+50</f>
        <v>2943</v>
      </c>
      <c r="G1185" s="615" t="s">
        <v>5</v>
      </c>
      <c r="H1185" s="160" t="s">
        <v>1652</v>
      </c>
      <c r="I1185" s="37" t="s">
        <v>2526</v>
      </c>
      <c r="J1185" s="37" t="s">
        <v>1211</v>
      </c>
      <c r="K1185" s="5"/>
      <c r="L1185" s="624" t="s">
        <v>860</v>
      </c>
      <c r="M1185" s="159">
        <v>43087</v>
      </c>
      <c r="N1185" s="159">
        <v>43093</v>
      </c>
      <c r="O1185" s="153" t="s">
        <v>879</v>
      </c>
      <c r="P1185" s="52"/>
      <c r="Q1185" s="72" t="s">
        <v>3571</v>
      </c>
      <c r="R1185" s="610"/>
      <c r="S1185" s="316"/>
      <c r="T1185" s="858"/>
    </row>
    <row r="1186" spans="1:20" ht="20.100000000000001" customHeight="1">
      <c r="A1186" s="1256" t="s">
        <v>2971</v>
      </c>
      <c r="B1186" s="1138" t="s">
        <v>2527</v>
      </c>
      <c r="C1186" s="1138" t="s">
        <v>3572</v>
      </c>
      <c r="D1186" s="1006">
        <f>D136+750</f>
        <v>2350</v>
      </c>
      <c r="E1186" s="1006">
        <f>E136+950</f>
        <v>2950</v>
      </c>
      <c r="F1186" s="1006">
        <f>F136+950</f>
        <v>2950</v>
      </c>
      <c r="G1186" s="613" t="s">
        <v>33</v>
      </c>
      <c r="H1186" s="56">
        <v>5</v>
      </c>
      <c r="I1186" s="50" t="s">
        <v>2526</v>
      </c>
      <c r="J1186" s="37" t="s">
        <v>1211</v>
      </c>
      <c r="K1186" s="34">
        <v>20</v>
      </c>
      <c r="L1186" s="607" t="s">
        <v>653</v>
      </c>
      <c r="M1186" s="159">
        <v>43080</v>
      </c>
      <c r="N1186" s="159">
        <v>43086</v>
      </c>
      <c r="O1186" s="153" t="s">
        <v>2445</v>
      </c>
      <c r="P1186" s="59"/>
      <c r="Q1186" s="7"/>
      <c r="R1186" s="610" t="s">
        <v>2538</v>
      </c>
      <c r="S1186" s="316" t="s">
        <v>3333</v>
      </c>
      <c r="T1186" s="858"/>
    </row>
    <row r="1187" spans="1:20" ht="20.100000000000001" customHeight="1">
      <c r="A1187" s="1256" t="s">
        <v>2971</v>
      </c>
      <c r="B1187" s="1138" t="s">
        <v>2527</v>
      </c>
      <c r="C1187" s="1138" t="s">
        <v>3572</v>
      </c>
      <c r="D1187" s="1006">
        <f>D135+800</f>
        <v>2400</v>
      </c>
      <c r="E1187" s="1006">
        <f>E135+850</f>
        <v>2850</v>
      </c>
      <c r="F1187" s="1006">
        <f>F135+850</f>
        <v>2850</v>
      </c>
      <c r="G1187" s="613" t="s">
        <v>33</v>
      </c>
      <c r="H1187" s="56" t="s">
        <v>2535</v>
      </c>
      <c r="I1187" s="37" t="s">
        <v>2127</v>
      </c>
      <c r="J1187" s="37" t="s">
        <v>1211</v>
      </c>
      <c r="K1187" s="16">
        <v>20</v>
      </c>
      <c r="L1187" s="607" t="s">
        <v>653</v>
      </c>
      <c r="M1187" s="159">
        <v>43080</v>
      </c>
      <c r="N1187" s="159">
        <v>43086</v>
      </c>
      <c r="O1187" s="153" t="s">
        <v>2445</v>
      </c>
      <c r="P1187" s="61"/>
      <c r="Q1187" s="7"/>
      <c r="R1187" s="606" t="s">
        <v>2542</v>
      </c>
      <c r="S1187" s="316" t="s">
        <v>3333</v>
      </c>
      <c r="T1187" s="858"/>
    </row>
    <row r="1188" spans="1:20" ht="20.100000000000001" customHeight="1">
      <c r="A1188" s="1256" t="s">
        <v>2971</v>
      </c>
      <c r="B1188" s="1138" t="s">
        <v>2527</v>
      </c>
      <c r="C1188" s="1138" t="s">
        <v>3572</v>
      </c>
      <c r="D1188" s="1006">
        <f>D6+734</f>
        <v>2284</v>
      </c>
      <c r="E1188" s="1006">
        <f>E6+822</f>
        <v>2622</v>
      </c>
      <c r="F1188" s="1006">
        <f>F6+822</f>
        <v>2622</v>
      </c>
      <c r="G1188" s="614" t="s">
        <v>19</v>
      </c>
      <c r="H1188" s="160" t="s">
        <v>2537</v>
      </c>
      <c r="I1188" s="37" t="s">
        <v>2127</v>
      </c>
      <c r="J1188" s="37" t="s">
        <v>1211</v>
      </c>
      <c r="K1188" s="5" t="s">
        <v>728</v>
      </c>
      <c r="L1188" s="607" t="s">
        <v>653</v>
      </c>
      <c r="M1188" s="156">
        <v>43084</v>
      </c>
      <c r="N1188" s="156">
        <v>43093</v>
      </c>
      <c r="O1188" s="153" t="s">
        <v>2131</v>
      </c>
      <c r="P1188" s="61" t="s">
        <v>2276</v>
      </c>
      <c r="Q1188" s="7"/>
      <c r="R1188" s="606" t="s">
        <v>3339</v>
      </c>
      <c r="S1188" s="315" t="s">
        <v>3337</v>
      </c>
      <c r="T1188" s="858"/>
    </row>
    <row r="1189" spans="1:20" ht="20.100000000000001" customHeight="1">
      <c r="A1189" s="1256" t="s">
        <v>2971</v>
      </c>
      <c r="B1189" s="1138" t="s">
        <v>2527</v>
      </c>
      <c r="C1189" s="1138" t="s">
        <v>3572</v>
      </c>
      <c r="D1189" s="1006">
        <f>D44+804</f>
        <v>2354</v>
      </c>
      <c r="E1189" s="1006">
        <f>E44+968</f>
        <v>2768</v>
      </c>
      <c r="F1189" s="1006">
        <f>F44+968</f>
        <v>2768</v>
      </c>
      <c r="G1189" s="614" t="s">
        <v>19</v>
      </c>
      <c r="H1189" s="56" t="s">
        <v>1444</v>
      </c>
      <c r="I1189" s="37" t="s">
        <v>2526</v>
      </c>
      <c r="J1189" s="37" t="s">
        <v>1211</v>
      </c>
      <c r="K1189" s="5" t="s">
        <v>764</v>
      </c>
      <c r="L1189" s="607" t="s">
        <v>653</v>
      </c>
      <c r="M1189" s="156">
        <v>43084</v>
      </c>
      <c r="N1189" s="156">
        <v>43093</v>
      </c>
      <c r="O1189" s="153" t="s">
        <v>2131</v>
      </c>
      <c r="P1189" s="61" t="s">
        <v>3338</v>
      </c>
      <c r="Q1189" s="7"/>
      <c r="R1189" s="610" t="s">
        <v>1841</v>
      </c>
      <c r="S1189" s="315" t="s">
        <v>3337</v>
      </c>
      <c r="T1189" s="858"/>
    </row>
    <row r="1190" spans="1:20" ht="20.100000000000001" customHeight="1">
      <c r="A1190" s="1256" t="s">
        <v>2971</v>
      </c>
      <c r="B1190" s="1138" t="s">
        <v>2527</v>
      </c>
      <c r="C1190" s="1138" t="s">
        <v>3572</v>
      </c>
      <c r="D1190" s="1006">
        <f>D46+777</f>
        <v>1952</v>
      </c>
      <c r="E1190" s="1006">
        <f>E46+956</f>
        <v>2206</v>
      </c>
      <c r="F1190" s="1006">
        <f>F46+956</f>
        <v>2206</v>
      </c>
      <c r="G1190" s="609" t="s">
        <v>1689</v>
      </c>
      <c r="H1190" s="160" t="s">
        <v>1311</v>
      </c>
      <c r="I1190" s="37" t="s">
        <v>2526</v>
      </c>
      <c r="J1190" s="37" t="s">
        <v>1211</v>
      </c>
      <c r="K1190" s="5">
        <v>30</v>
      </c>
      <c r="L1190" s="607" t="s">
        <v>653</v>
      </c>
      <c r="M1190" s="156">
        <v>43076</v>
      </c>
      <c r="N1190" s="156">
        <v>43083</v>
      </c>
      <c r="O1190" s="153" t="s">
        <v>2529</v>
      </c>
      <c r="P1190" s="61"/>
      <c r="Q1190" s="61" t="s">
        <v>2128</v>
      </c>
      <c r="R1190" s="606" t="s">
        <v>2528</v>
      </c>
      <c r="S1190" s="316" t="s">
        <v>2943</v>
      </c>
      <c r="T1190" s="858"/>
    </row>
    <row r="1191" spans="1:20" ht="20.100000000000001" customHeight="1">
      <c r="A1191" s="1256" t="s">
        <v>2971</v>
      </c>
      <c r="B1191" s="1138" t="s">
        <v>2527</v>
      </c>
      <c r="C1191" s="1138" t="s">
        <v>3572</v>
      </c>
      <c r="D1191" s="1006">
        <f>D4+740</f>
        <v>1915</v>
      </c>
      <c r="E1191" s="1006">
        <f>E4+846</f>
        <v>2096</v>
      </c>
      <c r="F1191" s="1006">
        <f>F4+846</f>
        <v>2096</v>
      </c>
      <c r="G1191" s="609" t="s">
        <v>1689</v>
      </c>
      <c r="H1191" s="160" t="s">
        <v>645</v>
      </c>
      <c r="I1191" s="37" t="s">
        <v>2127</v>
      </c>
      <c r="J1191" s="37" t="s">
        <v>1211</v>
      </c>
      <c r="K1191" s="5">
        <v>20</v>
      </c>
      <c r="L1191" s="607" t="s">
        <v>653</v>
      </c>
      <c r="M1191" s="156">
        <v>43076</v>
      </c>
      <c r="N1191" s="156">
        <v>43083</v>
      </c>
      <c r="O1191" s="153" t="s">
        <v>2529</v>
      </c>
      <c r="P1191" s="61"/>
      <c r="Q1191" s="61" t="s">
        <v>2133</v>
      </c>
      <c r="R1191" s="606" t="s">
        <v>2530</v>
      </c>
      <c r="S1191" s="316" t="s">
        <v>2943</v>
      </c>
      <c r="T1191" s="858"/>
    </row>
    <row r="1192" spans="1:20" ht="20.100000000000001" customHeight="1">
      <c r="A1192" s="1256" t="s">
        <v>2971</v>
      </c>
      <c r="B1192" s="1138" t="s">
        <v>2527</v>
      </c>
      <c r="C1192" s="1138" t="s">
        <v>3572</v>
      </c>
      <c r="D1192" s="1006">
        <f>D18+930</f>
        <v>2480</v>
      </c>
      <c r="E1192" s="1006">
        <f>E18+890</f>
        <v>2690</v>
      </c>
      <c r="F1192" s="1006">
        <f>F18+890</f>
        <v>2690</v>
      </c>
      <c r="G1192" s="608" t="s">
        <v>94</v>
      </c>
      <c r="H1192" s="56" t="s">
        <v>657</v>
      </c>
      <c r="I1192" s="5" t="s">
        <v>2127</v>
      </c>
      <c r="J1192" s="37" t="s">
        <v>1211</v>
      </c>
      <c r="K1192" s="5">
        <v>26</v>
      </c>
      <c r="L1192" s="607" t="s">
        <v>653</v>
      </c>
      <c r="M1192" s="108">
        <v>43087</v>
      </c>
      <c r="N1192" s="108">
        <v>43094</v>
      </c>
      <c r="O1192" s="61" t="s">
        <v>2444</v>
      </c>
      <c r="P1192" s="7"/>
      <c r="Q1192" s="7"/>
      <c r="R1192" s="606" t="s">
        <v>2126</v>
      </c>
      <c r="S1192" s="322" t="s">
        <v>1176</v>
      </c>
      <c r="T1192" s="858"/>
    </row>
    <row r="1193" spans="1:20" ht="20.100000000000001" customHeight="1">
      <c r="A1193" s="1256" t="s">
        <v>2971</v>
      </c>
      <c r="B1193" s="1138" t="s">
        <v>2527</v>
      </c>
      <c r="C1193" s="1138" t="s">
        <v>3572</v>
      </c>
      <c r="D1193" s="1006">
        <f>D41+895</f>
        <v>2445</v>
      </c>
      <c r="E1193" s="1006">
        <f>E41+905</f>
        <v>2705</v>
      </c>
      <c r="F1193" s="1006">
        <f>F41+905</f>
        <v>2705</v>
      </c>
      <c r="G1193" s="608" t="s">
        <v>94</v>
      </c>
      <c r="H1193" s="168" t="s">
        <v>1102</v>
      </c>
      <c r="I1193" s="5" t="s">
        <v>2526</v>
      </c>
      <c r="J1193" s="37" t="s">
        <v>1211</v>
      </c>
      <c r="K1193" s="34">
        <v>30</v>
      </c>
      <c r="L1193" s="607" t="s">
        <v>653</v>
      </c>
      <c r="M1193" s="108">
        <v>43087</v>
      </c>
      <c r="N1193" s="108">
        <v>43094</v>
      </c>
      <c r="O1193" s="61" t="s">
        <v>2444</v>
      </c>
      <c r="P1193" s="7"/>
      <c r="Q1193" s="7"/>
      <c r="R1193" s="606" t="s">
        <v>2524</v>
      </c>
      <c r="S1193" s="322" t="s">
        <v>1176</v>
      </c>
      <c r="T1193" s="858"/>
    </row>
    <row r="1194" spans="1:20" ht="20.100000000000001" customHeight="1">
      <c r="A1194" s="1256" t="s">
        <v>2971</v>
      </c>
      <c r="B1194" s="1138" t="s">
        <v>2527</v>
      </c>
      <c r="C1194" s="1138" t="s">
        <v>3572</v>
      </c>
      <c r="D1194" s="1006">
        <f>D26+700</f>
        <v>1950</v>
      </c>
      <c r="E1194" s="1006">
        <f>E26+800</f>
        <v>2300</v>
      </c>
      <c r="F1194" s="1006">
        <f>F26+800</f>
        <v>2300</v>
      </c>
      <c r="G1194" s="618" t="s">
        <v>31</v>
      </c>
      <c r="H1194" s="168" t="s">
        <v>681</v>
      </c>
      <c r="I1194" s="37" t="s">
        <v>2127</v>
      </c>
      <c r="J1194" s="37" t="s">
        <v>1211</v>
      </c>
      <c r="K1194" s="5">
        <v>22</v>
      </c>
      <c r="L1194" s="607" t="s">
        <v>653</v>
      </c>
      <c r="M1194" s="623">
        <v>43080</v>
      </c>
      <c r="N1194" s="623">
        <v>43083</v>
      </c>
      <c r="O1194" s="61" t="s">
        <v>1307</v>
      </c>
      <c r="P1194" s="61"/>
      <c r="Q1194" s="52"/>
      <c r="R1194" s="606" t="s">
        <v>3563</v>
      </c>
      <c r="S1194" s="622" t="s">
        <v>1176</v>
      </c>
      <c r="T1194" s="858"/>
    </row>
    <row r="1195" spans="1:20" ht="20.100000000000001" customHeight="1">
      <c r="A1195" s="1256" t="s">
        <v>2971</v>
      </c>
      <c r="B1195" s="1138" t="s">
        <v>2527</v>
      </c>
      <c r="C1195" s="1138" t="s">
        <v>3572</v>
      </c>
      <c r="D1195" s="1012">
        <f>D49+810</f>
        <v>2060</v>
      </c>
      <c r="E1195" s="1012">
        <f>E49+1020</f>
        <v>2420</v>
      </c>
      <c r="F1195" s="1012">
        <f>F49+1020</f>
        <v>2420</v>
      </c>
      <c r="G1195" s="613" t="s">
        <v>13</v>
      </c>
      <c r="H1195" s="56">
        <v>5</v>
      </c>
      <c r="I1195" s="37" t="s">
        <v>2526</v>
      </c>
      <c r="J1195" s="37" t="s">
        <v>1211</v>
      </c>
      <c r="K1195" s="16">
        <v>20</v>
      </c>
      <c r="L1195" s="607" t="s">
        <v>653</v>
      </c>
      <c r="M1195" s="156">
        <v>43073</v>
      </c>
      <c r="N1195" s="156">
        <v>43083</v>
      </c>
      <c r="O1195" s="61" t="s">
        <v>3335</v>
      </c>
      <c r="P1195" s="61"/>
      <c r="Q1195" s="7"/>
      <c r="R1195" s="606" t="s">
        <v>2536</v>
      </c>
      <c r="S1195" s="316" t="s">
        <v>3334</v>
      </c>
      <c r="T1195" s="858"/>
    </row>
    <row r="1196" spans="1:20" ht="20.100000000000001" customHeight="1">
      <c r="A1196" s="1256" t="s">
        <v>2971</v>
      </c>
      <c r="B1196" s="1138" t="s">
        <v>2527</v>
      </c>
      <c r="C1196" s="1138" t="s">
        <v>3572</v>
      </c>
      <c r="D1196" s="1012">
        <f>D32+850</f>
        <v>2100</v>
      </c>
      <c r="E1196" s="1012">
        <f>E32+960</f>
        <v>2360</v>
      </c>
      <c r="F1196" s="1012">
        <f>F32+960</f>
        <v>2360</v>
      </c>
      <c r="G1196" s="613" t="s">
        <v>13</v>
      </c>
      <c r="H1196" s="56">
        <v>6</v>
      </c>
      <c r="I1196" s="37" t="s">
        <v>2127</v>
      </c>
      <c r="J1196" s="37" t="s">
        <v>1211</v>
      </c>
      <c r="K1196" s="16">
        <v>18</v>
      </c>
      <c r="L1196" s="607" t="s">
        <v>653</v>
      </c>
      <c r="M1196" s="156">
        <v>43073</v>
      </c>
      <c r="N1196" s="156">
        <v>43083</v>
      </c>
      <c r="O1196" s="61" t="s">
        <v>3335</v>
      </c>
      <c r="P1196" s="61"/>
      <c r="Q1196" s="7"/>
      <c r="R1196" s="606" t="s">
        <v>3336</v>
      </c>
      <c r="S1196" s="316" t="s">
        <v>3334</v>
      </c>
      <c r="T1196" s="858"/>
    </row>
    <row r="1197" spans="1:20" ht="20.100000000000001" customHeight="1">
      <c r="A1197" s="1256" t="s">
        <v>2971</v>
      </c>
      <c r="B1197" s="1138" t="s">
        <v>2527</v>
      </c>
      <c r="C1197" s="1138" t="s">
        <v>3572</v>
      </c>
      <c r="D1197" s="1012">
        <f>D51+800+50</f>
        <v>1925</v>
      </c>
      <c r="E1197" s="1012">
        <f>E51+950+100</f>
        <v>2300</v>
      </c>
      <c r="F1197" s="1012">
        <f>F51+950+100</f>
        <v>2300</v>
      </c>
      <c r="G1197" s="613" t="s">
        <v>29</v>
      </c>
      <c r="H1197" s="56">
        <v>5</v>
      </c>
      <c r="I1197" s="37" t="s">
        <v>2526</v>
      </c>
      <c r="J1197" s="37" t="s">
        <v>1211</v>
      </c>
      <c r="K1197" s="16">
        <v>20</v>
      </c>
      <c r="L1197" s="607" t="s">
        <v>653</v>
      </c>
      <c r="M1197" s="620">
        <v>43084</v>
      </c>
      <c r="N1197" s="620">
        <v>43086</v>
      </c>
      <c r="O1197" s="61" t="s">
        <v>3335</v>
      </c>
      <c r="P1197" s="61"/>
      <c r="Q1197" s="7"/>
      <c r="R1197" s="606" t="s">
        <v>3562</v>
      </c>
      <c r="S1197" s="316" t="s">
        <v>3561</v>
      </c>
      <c r="T1197" s="858"/>
    </row>
    <row r="1198" spans="1:20" ht="20.100000000000001" customHeight="1">
      <c r="A1198" s="1256" t="s">
        <v>2971</v>
      </c>
      <c r="B1198" s="1138" t="s">
        <v>2527</v>
      </c>
      <c r="C1198" s="1138" t="s">
        <v>3572</v>
      </c>
      <c r="D1198" s="1012">
        <f>D34+750+50</f>
        <v>1875</v>
      </c>
      <c r="E1198" s="1012">
        <f>E34+850+100</f>
        <v>2200</v>
      </c>
      <c r="F1198" s="1012">
        <f>F34+850+100</f>
        <v>2200</v>
      </c>
      <c r="G1198" s="613" t="s">
        <v>29</v>
      </c>
      <c r="H1198" s="56">
        <v>6</v>
      </c>
      <c r="I1198" s="37" t="s">
        <v>2127</v>
      </c>
      <c r="J1198" s="37" t="s">
        <v>1211</v>
      </c>
      <c r="K1198" s="16">
        <v>20</v>
      </c>
      <c r="L1198" s="607" t="s">
        <v>653</v>
      </c>
      <c r="M1198" s="620">
        <v>43084</v>
      </c>
      <c r="N1198" s="620">
        <v>43086</v>
      </c>
      <c r="O1198" s="61" t="s">
        <v>3335</v>
      </c>
      <c r="P1198" s="61"/>
      <c r="Q1198" s="7"/>
      <c r="R1198" s="606" t="s">
        <v>3336</v>
      </c>
      <c r="S1198" s="316" t="s">
        <v>3561</v>
      </c>
      <c r="T1198" s="858"/>
    </row>
    <row r="1199" spans="1:20" ht="20.100000000000001" customHeight="1">
      <c r="A1199" s="1256" t="s">
        <v>2971</v>
      </c>
      <c r="B1199" s="1138" t="s">
        <v>2527</v>
      </c>
      <c r="C1199" s="1138" t="s">
        <v>3572</v>
      </c>
      <c r="D1199" s="1006">
        <f>D22+900+25</f>
        <v>2425</v>
      </c>
      <c r="E1199" s="1006">
        <f>E22+1000+50</f>
        <v>2750</v>
      </c>
      <c r="F1199" s="1006">
        <f>F22+1000+50</f>
        <v>2750</v>
      </c>
      <c r="G1199" s="618" t="s">
        <v>28</v>
      </c>
      <c r="H1199" s="160" t="s">
        <v>2535</v>
      </c>
      <c r="I1199" s="50" t="s">
        <v>2127</v>
      </c>
      <c r="J1199" s="37" t="s">
        <v>1211</v>
      </c>
      <c r="K1199" s="34">
        <v>22</v>
      </c>
      <c r="L1199" s="607" t="s">
        <v>653</v>
      </c>
      <c r="M1199" s="620">
        <v>43086</v>
      </c>
      <c r="N1199" s="620">
        <v>43100</v>
      </c>
      <c r="O1199" s="59" t="s">
        <v>3559</v>
      </c>
      <c r="P1199" s="59"/>
      <c r="Q1199" s="61" t="s">
        <v>2599</v>
      </c>
      <c r="R1199" s="610" t="s">
        <v>3558</v>
      </c>
      <c r="S1199" s="619"/>
      <c r="T1199" s="858"/>
    </row>
    <row r="1200" spans="1:20" ht="20.100000000000001" customHeight="1">
      <c r="A1200" s="1256" t="s">
        <v>2971</v>
      </c>
      <c r="B1200" s="1138" t="s">
        <v>2527</v>
      </c>
      <c r="C1200" s="1138" t="s">
        <v>3572</v>
      </c>
      <c r="D1200" s="1006">
        <f>D30+1150</f>
        <v>2700</v>
      </c>
      <c r="E1200" s="1006">
        <f>E30+970</f>
        <v>2770</v>
      </c>
      <c r="F1200" s="1006">
        <f>F30+970</f>
        <v>2770</v>
      </c>
      <c r="G1200" s="615" t="s">
        <v>51</v>
      </c>
      <c r="H1200" s="160" t="s">
        <v>2532</v>
      </c>
      <c r="I1200" s="37" t="s">
        <v>2127</v>
      </c>
      <c r="J1200" s="37" t="s">
        <v>2525</v>
      </c>
      <c r="K1200" s="5"/>
      <c r="L1200" s="607" t="s">
        <v>653</v>
      </c>
      <c r="M1200" s="611">
        <v>43086</v>
      </c>
      <c r="N1200" s="611">
        <v>43100</v>
      </c>
      <c r="O1200" s="61" t="s">
        <v>3291</v>
      </c>
      <c r="P1200" s="52"/>
      <c r="Q1200" s="61" t="s">
        <v>2466</v>
      </c>
      <c r="R1200" s="610"/>
      <c r="S1200" s="315" t="s">
        <v>3290</v>
      </c>
      <c r="T1200" s="858"/>
    </row>
    <row r="1201" spans="1:20" ht="20.100000000000001" customHeight="1">
      <c r="A1201" s="1256" t="s">
        <v>2971</v>
      </c>
      <c r="B1201" s="1138" t="s">
        <v>2527</v>
      </c>
      <c r="C1201" s="1138" t="s">
        <v>3572</v>
      </c>
      <c r="D1201" s="1006">
        <f>D53+1350</f>
        <v>2900</v>
      </c>
      <c r="E1201" s="1006">
        <f>E53+1145</f>
        <v>2945</v>
      </c>
      <c r="F1201" s="1006">
        <f>F53+1145</f>
        <v>2945</v>
      </c>
      <c r="G1201" s="615" t="s">
        <v>51</v>
      </c>
      <c r="H1201" s="160" t="s">
        <v>645</v>
      </c>
      <c r="I1201" s="37" t="s">
        <v>2526</v>
      </c>
      <c r="J1201" s="37" t="s">
        <v>2525</v>
      </c>
      <c r="K1201" s="5"/>
      <c r="L1201" s="607" t="s">
        <v>653</v>
      </c>
      <c r="M1201" s="611">
        <v>43086</v>
      </c>
      <c r="N1201" s="611">
        <v>43100</v>
      </c>
      <c r="O1201" s="61" t="s">
        <v>3291</v>
      </c>
      <c r="P1201" s="52"/>
      <c r="Q1201" s="61" t="s">
        <v>2466</v>
      </c>
      <c r="R1201" s="610"/>
      <c r="S1201" s="315" t="s">
        <v>3290</v>
      </c>
      <c r="T1201" s="858"/>
    </row>
    <row r="1202" spans="1:20" ht="20.100000000000001" customHeight="1">
      <c r="A1202" s="1256" t="s">
        <v>2971</v>
      </c>
      <c r="B1202" s="1138" t="s">
        <v>2527</v>
      </c>
      <c r="C1202" s="1138" t="s">
        <v>3572</v>
      </c>
      <c r="D1202" s="1006">
        <f>D8+1060+25</f>
        <v>2635</v>
      </c>
      <c r="E1202" s="1006">
        <f>E8+1060+50</f>
        <v>2910</v>
      </c>
      <c r="F1202" s="1006">
        <f>F8+1060+50</f>
        <v>2910</v>
      </c>
      <c r="G1202" s="615" t="s">
        <v>5</v>
      </c>
      <c r="H1202" s="160" t="s">
        <v>2523</v>
      </c>
      <c r="I1202" s="37" t="s">
        <v>2127</v>
      </c>
      <c r="J1202" s="37" t="s">
        <v>2525</v>
      </c>
      <c r="K1202" s="5"/>
      <c r="L1202" s="624" t="s">
        <v>860</v>
      </c>
      <c r="M1202" s="159">
        <v>43087</v>
      </c>
      <c r="N1202" s="159">
        <v>43093</v>
      </c>
      <c r="O1202" s="153" t="s">
        <v>879</v>
      </c>
      <c r="P1202" s="52"/>
      <c r="Q1202" s="72" t="s">
        <v>3564</v>
      </c>
      <c r="R1202" s="610"/>
      <c r="S1202" s="316"/>
      <c r="T1202" s="858"/>
    </row>
    <row r="1203" spans="1:20" ht="20.100000000000001" customHeight="1">
      <c r="A1203" s="1256" t="s">
        <v>2971</v>
      </c>
      <c r="B1203" s="1138" t="s">
        <v>2527</v>
      </c>
      <c r="C1203" s="1138" t="s">
        <v>3572</v>
      </c>
      <c r="D1203" s="1006">
        <f>D42+1270+25</f>
        <v>2845</v>
      </c>
      <c r="E1203" s="1006">
        <f>E42+1270+50</f>
        <v>3120</v>
      </c>
      <c r="F1203" s="1006">
        <f>F42+1270+50</f>
        <v>3120</v>
      </c>
      <c r="G1203" s="615" t="s">
        <v>5</v>
      </c>
      <c r="H1203" s="160" t="s">
        <v>1652</v>
      </c>
      <c r="I1203" s="37" t="s">
        <v>2526</v>
      </c>
      <c r="J1203" s="37" t="s">
        <v>2525</v>
      </c>
      <c r="K1203" s="5"/>
      <c r="L1203" s="624" t="s">
        <v>860</v>
      </c>
      <c r="M1203" s="159">
        <v>43087</v>
      </c>
      <c r="N1203" s="159">
        <v>43093</v>
      </c>
      <c r="O1203" s="153" t="s">
        <v>879</v>
      </c>
      <c r="P1203" s="52"/>
      <c r="Q1203" s="72" t="s">
        <v>3564</v>
      </c>
      <c r="R1203" s="610"/>
      <c r="S1203" s="316"/>
      <c r="T1203" s="858"/>
    </row>
    <row r="1204" spans="1:20" ht="20.100000000000001" customHeight="1">
      <c r="A1204" s="1256" t="s">
        <v>2971</v>
      </c>
      <c r="B1204" s="1138" t="s">
        <v>2527</v>
      </c>
      <c r="C1204" s="1138" t="s">
        <v>3572</v>
      </c>
      <c r="D1204" s="1012">
        <f>D136+1550</f>
        <v>3150</v>
      </c>
      <c r="E1204" s="1012">
        <f>E136+1550</f>
        <v>3550</v>
      </c>
      <c r="F1204" s="1012">
        <f>F136+1550</f>
        <v>3550</v>
      </c>
      <c r="G1204" s="613" t="s">
        <v>33</v>
      </c>
      <c r="H1204" s="56">
        <v>5</v>
      </c>
      <c r="I1204" s="50" t="s">
        <v>2526</v>
      </c>
      <c r="J1204" s="37" t="s">
        <v>2525</v>
      </c>
      <c r="K1204" s="34">
        <v>20</v>
      </c>
      <c r="L1204" s="607" t="s">
        <v>653</v>
      </c>
      <c r="M1204" s="159">
        <v>43080</v>
      </c>
      <c r="N1204" s="159">
        <v>43086</v>
      </c>
      <c r="O1204" s="153" t="s">
        <v>2445</v>
      </c>
      <c r="P1204" s="59"/>
      <c r="Q1204" s="7"/>
      <c r="R1204" s="610" t="s">
        <v>2538</v>
      </c>
      <c r="S1204" s="316" t="s">
        <v>3333</v>
      </c>
      <c r="T1204" s="858"/>
    </row>
    <row r="1205" spans="1:20" ht="20.100000000000001" customHeight="1">
      <c r="A1205" s="1256" t="s">
        <v>2971</v>
      </c>
      <c r="B1205" s="1138" t="s">
        <v>2527</v>
      </c>
      <c r="C1205" s="1138" t="s">
        <v>3572</v>
      </c>
      <c r="D1205" s="1006">
        <f>D135+1200</f>
        <v>2800</v>
      </c>
      <c r="E1205" s="1006">
        <f>E135+1200</f>
        <v>3200</v>
      </c>
      <c r="F1205" s="1006">
        <f>F135+1200</f>
        <v>3200</v>
      </c>
      <c r="G1205" s="613" t="s">
        <v>33</v>
      </c>
      <c r="H1205" s="56" t="s">
        <v>2535</v>
      </c>
      <c r="I1205" s="37" t="s">
        <v>2127</v>
      </c>
      <c r="J1205" s="37" t="s">
        <v>2525</v>
      </c>
      <c r="K1205" s="16">
        <v>20</v>
      </c>
      <c r="L1205" s="607" t="s">
        <v>653</v>
      </c>
      <c r="M1205" s="159">
        <v>43080</v>
      </c>
      <c r="N1205" s="159">
        <v>43086</v>
      </c>
      <c r="O1205" s="153" t="s">
        <v>2445</v>
      </c>
      <c r="P1205" s="61"/>
      <c r="Q1205" s="7"/>
      <c r="R1205" s="606" t="s">
        <v>2542</v>
      </c>
      <c r="S1205" s="316" t="s">
        <v>3333</v>
      </c>
      <c r="T1205" s="858"/>
    </row>
    <row r="1206" spans="1:20" ht="20.100000000000001" customHeight="1">
      <c r="A1206" s="1256" t="s">
        <v>2971</v>
      </c>
      <c r="B1206" s="1138" t="s">
        <v>2527</v>
      </c>
      <c r="C1206" s="1138" t="s">
        <v>3572</v>
      </c>
      <c r="D1206" s="1006">
        <f>D6+1160</f>
        <v>2710</v>
      </c>
      <c r="E1206" s="1006">
        <f>E6+1160</f>
        <v>2960</v>
      </c>
      <c r="F1206" s="1006">
        <f>F6+1160</f>
        <v>2960</v>
      </c>
      <c r="G1206" s="614" t="s">
        <v>19</v>
      </c>
      <c r="H1206" s="160" t="s">
        <v>2537</v>
      </c>
      <c r="I1206" s="37" t="s">
        <v>2127</v>
      </c>
      <c r="J1206" s="37" t="s">
        <v>2525</v>
      </c>
      <c r="K1206" s="5" t="s">
        <v>728</v>
      </c>
      <c r="L1206" s="607" t="s">
        <v>653</v>
      </c>
      <c r="M1206" s="156">
        <v>43084</v>
      </c>
      <c r="N1206" s="156">
        <v>43093</v>
      </c>
      <c r="O1206" s="153" t="s">
        <v>2131</v>
      </c>
      <c r="P1206" s="61" t="s">
        <v>2276</v>
      </c>
      <c r="Q1206" s="7"/>
      <c r="R1206" s="606" t="s">
        <v>3339</v>
      </c>
      <c r="S1206" s="315" t="s">
        <v>3337</v>
      </c>
      <c r="T1206" s="858"/>
    </row>
    <row r="1207" spans="1:20" ht="20.100000000000001" customHeight="1">
      <c r="A1207" s="1256" t="s">
        <v>2971</v>
      </c>
      <c r="B1207" s="1138" t="s">
        <v>2527</v>
      </c>
      <c r="C1207" s="1138" t="s">
        <v>3572</v>
      </c>
      <c r="D1207" s="1006">
        <f>D44+1142</f>
        <v>2692</v>
      </c>
      <c r="E1207" s="1006">
        <f>E44+1142</f>
        <v>2942</v>
      </c>
      <c r="F1207" s="1006">
        <f>F44+1142</f>
        <v>2942</v>
      </c>
      <c r="G1207" s="614" t="s">
        <v>19</v>
      </c>
      <c r="H1207" s="56" t="s">
        <v>1444</v>
      </c>
      <c r="I1207" s="37" t="s">
        <v>2526</v>
      </c>
      <c r="J1207" s="37" t="s">
        <v>2525</v>
      </c>
      <c r="K1207" s="5" t="s">
        <v>764</v>
      </c>
      <c r="L1207" s="607" t="s">
        <v>653</v>
      </c>
      <c r="M1207" s="156">
        <v>43084</v>
      </c>
      <c r="N1207" s="156">
        <v>43093</v>
      </c>
      <c r="O1207" s="153" t="s">
        <v>2131</v>
      </c>
      <c r="P1207" s="61" t="s">
        <v>3338</v>
      </c>
      <c r="Q1207" s="7"/>
      <c r="R1207" s="610" t="s">
        <v>1841</v>
      </c>
      <c r="S1207" s="315" t="s">
        <v>3337</v>
      </c>
      <c r="T1207" s="858"/>
    </row>
    <row r="1208" spans="1:20" ht="20.100000000000001" customHeight="1">
      <c r="A1208" s="1256" t="s">
        <v>2971</v>
      </c>
      <c r="B1208" s="1138" t="s">
        <v>2527</v>
      </c>
      <c r="C1208" s="1138" t="s">
        <v>3572</v>
      </c>
      <c r="D1208" s="1006">
        <f>D15+1900+25</f>
        <v>3075</v>
      </c>
      <c r="E1208" s="1006">
        <f>E15+1900+50</f>
        <v>3150</v>
      </c>
      <c r="F1208" s="1006">
        <f>F15+1900+50</f>
        <v>3150</v>
      </c>
      <c r="G1208" s="625" t="s">
        <v>233</v>
      </c>
      <c r="H1208" s="160" t="s">
        <v>1444</v>
      </c>
      <c r="I1208" s="37" t="s">
        <v>2127</v>
      </c>
      <c r="J1208" s="37" t="s">
        <v>2525</v>
      </c>
      <c r="K1208" s="16">
        <v>21</v>
      </c>
      <c r="L1208" s="607" t="s">
        <v>653</v>
      </c>
      <c r="M1208" s="620">
        <v>43081</v>
      </c>
      <c r="N1208" s="620">
        <v>43085</v>
      </c>
      <c r="O1208" s="61" t="s">
        <v>3335</v>
      </c>
      <c r="P1208" s="61"/>
      <c r="Q1208" s="61"/>
      <c r="R1208" s="606" t="s">
        <v>3574</v>
      </c>
      <c r="S1208" s="316" t="s">
        <v>3573</v>
      </c>
      <c r="T1208" s="858"/>
    </row>
    <row r="1209" spans="1:20" ht="20.100000000000001" customHeight="1">
      <c r="A1209" s="1256" t="s">
        <v>2971</v>
      </c>
      <c r="B1209" s="1138" t="s">
        <v>2527</v>
      </c>
      <c r="C1209" s="1138" t="s">
        <v>3572</v>
      </c>
      <c r="D1209" s="1006">
        <f>D4+900</f>
        <v>2075</v>
      </c>
      <c r="E1209" s="1006">
        <f>E4+900</f>
        <v>2150</v>
      </c>
      <c r="F1209" s="1006">
        <f>F4+900</f>
        <v>2150</v>
      </c>
      <c r="G1209" s="609" t="s">
        <v>1689</v>
      </c>
      <c r="H1209" s="160" t="s">
        <v>645</v>
      </c>
      <c r="I1209" s="37" t="s">
        <v>2127</v>
      </c>
      <c r="J1209" s="37" t="s">
        <v>2525</v>
      </c>
      <c r="K1209" s="5">
        <v>20</v>
      </c>
      <c r="L1209" s="607" t="s">
        <v>653</v>
      </c>
      <c r="M1209" s="156">
        <v>43076</v>
      </c>
      <c r="N1209" s="156">
        <v>43083</v>
      </c>
      <c r="O1209" s="153" t="s">
        <v>2529</v>
      </c>
      <c r="P1209" s="61"/>
      <c r="Q1209" s="61" t="s">
        <v>2125</v>
      </c>
      <c r="R1209" s="606" t="s">
        <v>2530</v>
      </c>
      <c r="S1209" s="316" t="s">
        <v>2943</v>
      </c>
      <c r="T1209" s="858"/>
    </row>
    <row r="1210" spans="1:20" ht="20.100000000000001" customHeight="1">
      <c r="A1210" s="1256" t="s">
        <v>2971</v>
      </c>
      <c r="B1210" s="1138" t="s">
        <v>2527</v>
      </c>
      <c r="C1210" s="1138" t="s">
        <v>3572</v>
      </c>
      <c r="D1210" s="1006">
        <f>D55+970</f>
        <v>2145</v>
      </c>
      <c r="E1210" s="1006">
        <f>E55+970</f>
        <v>2220</v>
      </c>
      <c r="F1210" s="1006">
        <f>F55+970</f>
        <v>2220</v>
      </c>
      <c r="G1210" s="609" t="s">
        <v>1689</v>
      </c>
      <c r="H1210" s="160" t="s">
        <v>1311</v>
      </c>
      <c r="I1210" s="37" t="s">
        <v>2526</v>
      </c>
      <c r="J1210" s="37" t="s">
        <v>2525</v>
      </c>
      <c r="K1210" s="5" t="s">
        <v>775</v>
      </c>
      <c r="L1210" s="607" t="s">
        <v>653</v>
      </c>
      <c r="M1210" s="156">
        <v>43076</v>
      </c>
      <c r="N1210" s="156">
        <v>43083</v>
      </c>
      <c r="O1210" s="153" t="s">
        <v>2529</v>
      </c>
      <c r="P1210" s="61"/>
      <c r="Q1210" s="61" t="s">
        <v>2125</v>
      </c>
      <c r="R1210" s="606" t="s">
        <v>2528</v>
      </c>
      <c r="S1210" s="316" t="s">
        <v>2943</v>
      </c>
      <c r="T1210" s="858"/>
    </row>
    <row r="1211" spans="1:20" ht="20.100000000000001" customHeight="1">
      <c r="A1211" s="1256" t="s">
        <v>2971</v>
      </c>
      <c r="B1211" s="1138" t="s">
        <v>2527</v>
      </c>
      <c r="C1211" s="1138" t="s">
        <v>3572</v>
      </c>
      <c r="D1211" s="1006">
        <f>D18+956</f>
        <v>2506</v>
      </c>
      <c r="E1211" s="1006">
        <f>E18+956</f>
        <v>2756</v>
      </c>
      <c r="F1211" s="1006">
        <f>F18+956</f>
        <v>2756</v>
      </c>
      <c r="G1211" s="608" t="s">
        <v>94</v>
      </c>
      <c r="H1211" s="56" t="s">
        <v>657</v>
      </c>
      <c r="I1211" s="5" t="s">
        <v>2127</v>
      </c>
      <c r="J1211" s="37" t="s">
        <v>2525</v>
      </c>
      <c r="K1211" s="5">
        <v>22</v>
      </c>
      <c r="L1211" s="607" t="s">
        <v>653</v>
      </c>
      <c r="M1211" s="108">
        <v>43087</v>
      </c>
      <c r="N1211" s="108">
        <v>43094</v>
      </c>
      <c r="O1211" s="61" t="s">
        <v>2444</v>
      </c>
      <c r="P1211" s="7"/>
      <c r="Q1211" s="7"/>
      <c r="R1211" s="606" t="s">
        <v>2126</v>
      </c>
      <c r="S1211" s="322" t="s">
        <v>1176</v>
      </c>
      <c r="T1211" s="858"/>
    </row>
    <row r="1212" spans="1:20" ht="20.100000000000001" customHeight="1">
      <c r="A1212" s="1256" t="s">
        <v>2971</v>
      </c>
      <c r="B1212" s="1138" t="s">
        <v>2527</v>
      </c>
      <c r="C1212" s="1138" t="s">
        <v>3572</v>
      </c>
      <c r="D1212" s="1006">
        <f>D41+1320+50</f>
        <v>2920</v>
      </c>
      <c r="E1212" s="1006">
        <f>E41+1320+100</f>
        <v>3220</v>
      </c>
      <c r="F1212" s="1006">
        <f>F41+1320+100</f>
        <v>3220</v>
      </c>
      <c r="G1212" s="608" t="s">
        <v>94</v>
      </c>
      <c r="H1212" s="168" t="s">
        <v>1102</v>
      </c>
      <c r="I1212" s="5" t="s">
        <v>2526</v>
      </c>
      <c r="J1212" s="37" t="s">
        <v>2525</v>
      </c>
      <c r="K1212" s="16">
        <v>26</v>
      </c>
      <c r="L1212" s="607" t="s">
        <v>653</v>
      </c>
      <c r="M1212" s="108">
        <v>43087</v>
      </c>
      <c r="N1212" s="108">
        <v>43094</v>
      </c>
      <c r="O1212" s="61" t="s">
        <v>2444</v>
      </c>
      <c r="P1212" s="7"/>
      <c r="Q1212" s="7"/>
      <c r="R1212" s="606" t="s">
        <v>2524</v>
      </c>
      <c r="S1212" s="322" t="s">
        <v>1176</v>
      </c>
      <c r="T1212" s="858"/>
    </row>
    <row r="1213" spans="1:20" ht="20.100000000000001" customHeight="1">
      <c r="A1213" s="1256" t="s">
        <v>2971</v>
      </c>
      <c r="B1213" s="1138" t="s">
        <v>2527</v>
      </c>
      <c r="C1213" s="1138" t="s">
        <v>3572</v>
      </c>
      <c r="D1213" s="1006">
        <f>D26+1000</f>
        <v>2250</v>
      </c>
      <c r="E1213" s="1006">
        <f>E26+1000</f>
        <v>2500</v>
      </c>
      <c r="F1213" s="1006">
        <f>F26+1000</f>
        <v>2500</v>
      </c>
      <c r="G1213" s="618" t="s">
        <v>31</v>
      </c>
      <c r="H1213" s="168" t="s">
        <v>681</v>
      </c>
      <c r="I1213" s="37" t="s">
        <v>2127</v>
      </c>
      <c r="J1213" s="37" t="s">
        <v>2525</v>
      </c>
      <c r="K1213" s="16">
        <v>22</v>
      </c>
      <c r="L1213" s="607" t="s">
        <v>653</v>
      </c>
      <c r="M1213" s="623">
        <v>43080</v>
      </c>
      <c r="N1213" s="623">
        <v>43083</v>
      </c>
      <c r="O1213" s="61" t="s">
        <v>1307</v>
      </c>
      <c r="P1213" s="61"/>
      <c r="Q1213" s="52"/>
      <c r="R1213" s="606" t="s">
        <v>3563</v>
      </c>
      <c r="S1213" s="622" t="s">
        <v>1176</v>
      </c>
      <c r="T1213" s="858"/>
    </row>
    <row r="1214" spans="1:20" ht="20.100000000000001" customHeight="1">
      <c r="A1214" s="1256" t="s">
        <v>2971</v>
      </c>
      <c r="B1214" s="1138" t="s">
        <v>2527</v>
      </c>
      <c r="C1214" s="1138" t="s">
        <v>3572</v>
      </c>
      <c r="D1214" s="1012">
        <f>D49+1350</f>
        <v>2600</v>
      </c>
      <c r="E1214" s="1012">
        <f>E49+1300</f>
        <v>2700</v>
      </c>
      <c r="F1214" s="1012">
        <f>F49+1300</f>
        <v>2700</v>
      </c>
      <c r="G1214" s="613" t="s">
        <v>13</v>
      </c>
      <c r="H1214" s="56">
        <v>5</v>
      </c>
      <c r="I1214" s="37" t="s">
        <v>2526</v>
      </c>
      <c r="J1214" s="37" t="s">
        <v>2525</v>
      </c>
      <c r="K1214" s="16">
        <v>20</v>
      </c>
      <c r="L1214" s="607" t="s">
        <v>653</v>
      </c>
      <c r="M1214" s="156">
        <v>43073</v>
      </c>
      <c r="N1214" s="156">
        <v>43083</v>
      </c>
      <c r="O1214" s="61" t="s">
        <v>3335</v>
      </c>
      <c r="P1214" s="61"/>
      <c r="Q1214" s="7"/>
      <c r="R1214" s="606" t="s">
        <v>2536</v>
      </c>
      <c r="S1214" s="316" t="s">
        <v>3334</v>
      </c>
      <c r="T1214" s="858"/>
    </row>
    <row r="1215" spans="1:20" ht="20.100000000000001" customHeight="1">
      <c r="A1215" s="1256" t="s">
        <v>2971</v>
      </c>
      <c r="B1215" s="1138" t="s">
        <v>2527</v>
      </c>
      <c r="C1215" s="1138" t="s">
        <v>3572</v>
      </c>
      <c r="D1215" s="1012">
        <f>D32+1250</f>
        <v>2500</v>
      </c>
      <c r="E1215" s="1012">
        <f>E32+1200</f>
        <v>2600</v>
      </c>
      <c r="F1215" s="1012">
        <f>F32+1200</f>
        <v>2600</v>
      </c>
      <c r="G1215" s="613" t="s">
        <v>13</v>
      </c>
      <c r="H1215" s="56">
        <v>6</v>
      </c>
      <c r="I1215" s="37" t="s">
        <v>2127</v>
      </c>
      <c r="J1215" s="37" t="s">
        <v>2525</v>
      </c>
      <c r="K1215" s="16">
        <v>18</v>
      </c>
      <c r="L1215" s="607" t="s">
        <v>653</v>
      </c>
      <c r="M1215" s="156">
        <v>43073</v>
      </c>
      <c r="N1215" s="156">
        <v>43083</v>
      </c>
      <c r="O1215" s="61" t="s">
        <v>3335</v>
      </c>
      <c r="P1215" s="61"/>
      <c r="Q1215" s="7"/>
      <c r="R1215" s="606" t="s">
        <v>3336</v>
      </c>
      <c r="S1215" s="316" t="s">
        <v>3334</v>
      </c>
      <c r="T1215" s="858"/>
    </row>
    <row r="1216" spans="1:20" ht="20.100000000000001" customHeight="1">
      <c r="A1216" s="1256" t="s">
        <v>2971</v>
      </c>
      <c r="B1216" s="1138" t="s">
        <v>2527</v>
      </c>
      <c r="C1216" s="1138" t="s">
        <v>3572</v>
      </c>
      <c r="D1216" s="1012">
        <f>D51+1050+50</f>
        <v>2175</v>
      </c>
      <c r="E1216" s="1012">
        <f>E51+1100+100</f>
        <v>2450</v>
      </c>
      <c r="F1216" s="1012">
        <f>F51+1100+100</f>
        <v>2450</v>
      </c>
      <c r="G1216" s="613" t="s">
        <v>29</v>
      </c>
      <c r="H1216" s="56">
        <v>5</v>
      </c>
      <c r="I1216" s="37" t="s">
        <v>2526</v>
      </c>
      <c r="J1216" s="37" t="s">
        <v>2525</v>
      </c>
      <c r="K1216" s="16">
        <v>20</v>
      </c>
      <c r="L1216" s="607" t="s">
        <v>653</v>
      </c>
      <c r="M1216" s="620">
        <v>43084</v>
      </c>
      <c r="N1216" s="620">
        <v>43086</v>
      </c>
      <c r="O1216" s="61" t="s">
        <v>3335</v>
      </c>
      <c r="P1216" s="61"/>
      <c r="Q1216" s="7"/>
      <c r="R1216" s="606" t="s">
        <v>3562</v>
      </c>
      <c r="S1216" s="316" t="s">
        <v>3561</v>
      </c>
      <c r="T1216" s="858"/>
    </row>
    <row r="1217" spans="1:20" ht="20.100000000000001" customHeight="1">
      <c r="A1217" s="1256" t="s">
        <v>2971</v>
      </c>
      <c r="B1217" s="1138" t="s">
        <v>2527</v>
      </c>
      <c r="C1217" s="1138" t="s">
        <v>3572</v>
      </c>
      <c r="D1217" s="1012">
        <f>D34+1000+50</f>
        <v>2125</v>
      </c>
      <c r="E1217" s="1012">
        <f>E34+1000+100</f>
        <v>2350</v>
      </c>
      <c r="F1217" s="1012">
        <f>F34+1000+100</f>
        <v>2350</v>
      </c>
      <c r="G1217" s="621" t="s">
        <v>29</v>
      </c>
      <c r="H1217" s="56">
        <v>6</v>
      </c>
      <c r="I1217" s="37" t="s">
        <v>2127</v>
      </c>
      <c r="J1217" s="37" t="s">
        <v>2525</v>
      </c>
      <c r="K1217" s="16">
        <v>20</v>
      </c>
      <c r="L1217" s="607" t="s">
        <v>653</v>
      </c>
      <c r="M1217" s="620">
        <v>43084</v>
      </c>
      <c r="N1217" s="620">
        <v>43086</v>
      </c>
      <c r="O1217" s="61" t="s">
        <v>3335</v>
      </c>
      <c r="P1217" s="61"/>
      <c r="Q1217" s="7"/>
      <c r="R1217" s="606" t="s">
        <v>3336</v>
      </c>
      <c r="S1217" s="316" t="s">
        <v>3561</v>
      </c>
      <c r="T1217" s="858"/>
    </row>
    <row r="1218" spans="1:20" ht="20.100000000000001" customHeight="1">
      <c r="A1218" s="1256" t="s">
        <v>2971</v>
      </c>
      <c r="B1218" s="1138" t="s">
        <v>2527</v>
      </c>
      <c r="C1218" s="1138" t="s">
        <v>3572</v>
      </c>
      <c r="D1218" s="1006">
        <f>D22+1100+25</f>
        <v>2625</v>
      </c>
      <c r="E1218" s="1006">
        <f>E22+1100+50</f>
        <v>2850</v>
      </c>
      <c r="F1218" s="1006">
        <f>F22+1100+50</f>
        <v>2850</v>
      </c>
      <c r="G1218" s="618" t="s">
        <v>28</v>
      </c>
      <c r="H1218" s="160" t="s">
        <v>2535</v>
      </c>
      <c r="I1218" s="50" t="s">
        <v>2127</v>
      </c>
      <c r="J1218" s="37" t="s">
        <v>2525</v>
      </c>
      <c r="K1218" s="34">
        <v>22</v>
      </c>
      <c r="L1218" s="607" t="s">
        <v>653</v>
      </c>
      <c r="M1218" s="620">
        <v>43086</v>
      </c>
      <c r="N1218" s="620">
        <v>43100</v>
      </c>
      <c r="O1218" s="59" t="s">
        <v>3559</v>
      </c>
      <c r="P1218" s="59"/>
      <c r="Q1218" s="61" t="s">
        <v>2466</v>
      </c>
      <c r="R1218" s="610" t="s">
        <v>3558</v>
      </c>
      <c r="S1218" s="619"/>
      <c r="T1218" s="858"/>
    </row>
    <row r="1219" spans="1:20" ht="20.100000000000001" customHeight="1">
      <c r="A1219" s="1138" t="s">
        <v>2971</v>
      </c>
      <c r="B1219" s="1138" t="s">
        <v>2527</v>
      </c>
      <c r="C1219" s="1138" t="s">
        <v>3570</v>
      </c>
      <c r="D1219" s="1006">
        <f>D30+840</f>
        <v>2390</v>
      </c>
      <c r="E1219" s="1006">
        <f>E30+720</f>
        <v>2520</v>
      </c>
      <c r="F1219" s="1006">
        <f>F30+720</f>
        <v>2520</v>
      </c>
      <c r="G1219" s="615" t="s">
        <v>51</v>
      </c>
      <c r="H1219" s="160" t="s">
        <v>2532</v>
      </c>
      <c r="I1219" s="37" t="s">
        <v>2127</v>
      </c>
      <c r="J1219" s="37" t="s">
        <v>2539</v>
      </c>
      <c r="K1219" s="5"/>
      <c r="L1219" s="607" t="s">
        <v>653</v>
      </c>
      <c r="M1219" s="611">
        <v>43086</v>
      </c>
      <c r="N1219" s="611">
        <v>43100</v>
      </c>
      <c r="O1219" s="61" t="s">
        <v>3291</v>
      </c>
      <c r="P1219" s="52"/>
      <c r="Q1219" s="61" t="s">
        <v>3534</v>
      </c>
      <c r="R1219" s="610"/>
      <c r="S1219" s="315" t="s">
        <v>3290</v>
      </c>
      <c r="T1219" s="858"/>
    </row>
    <row r="1220" spans="1:20" ht="20.100000000000001" customHeight="1">
      <c r="A1220" s="1138" t="s">
        <v>2971</v>
      </c>
      <c r="B1220" s="1138" t="s">
        <v>2527</v>
      </c>
      <c r="C1220" s="1138" t="s">
        <v>3570</v>
      </c>
      <c r="D1220" s="1006">
        <f>D53+600</f>
        <v>2150</v>
      </c>
      <c r="E1220" s="1006">
        <f>E53+750</f>
        <v>2550</v>
      </c>
      <c r="F1220" s="1006">
        <f>F53+750</f>
        <v>2550</v>
      </c>
      <c r="G1220" s="615" t="s">
        <v>51</v>
      </c>
      <c r="H1220" s="160" t="s">
        <v>645</v>
      </c>
      <c r="I1220" s="37" t="s">
        <v>2526</v>
      </c>
      <c r="J1220" s="37" t="s">
        <v>2539</v>
      </c>
      <c r="K1220" s="5"/>
      <c r="L1220" s="607" t="s">
        <v>653</v>
      </c>
      <c r="M1220" s="611">
        <v>43086</v>
      </c>
      <c r="N1220" s="611">
        <v>43100</v>
      </c>
      <c r="O1220" s="61" t="s">
        <v>3291</v>
      </c>
      <c r="P1220" s="52"/>
      <c r="Q1220" s="61"/>
      <c r="R1220" s="610"/>
      <c r="S1220" s="315" t="s">
        <v>3290</v>
      </c>
      <c r="T1220" s="858"/>
    </row>
    <row r="1221" spans="1:20" ht="20.100000000000001" customHeight="1">
      <c r="A1221" s="1138" t="s">
        <v>2971</v>
      </c>
      <c r="B1221" s="1138" t="s">
        <v>2527</v>
      </c>
      <c r="C1221" s="1138" t="s">
        <v>3570</v>
      </c>
      <c r="D1221" s="1006">
        <f>D8+670+25</f>
        <v>2245</v>
      </c>
      <c r="E1221" s="1006">
        <f>E8+800+50</f>
        <v>2650</v>
      </c>
      <c r="F1221" s="1006">
        <f>F8+800+50</f>
        <v>2650</v>
      </c>
      <c r="G1221" s="615" t="s">
        <v>5</v>
      </c>
      <c r="H1221" s="160" t="s">
        <v>2523</v>
      </c>
      <c r="I1221" s="37" t="s">
        <v>2127</v>
      </c>
      <c r="J1221" s="37" t="s">
        <v>2539</v>
      </c>
      <c r="K1221" s="5"/>
      <c r="L1221" s="624" t="s">
        <v>860</v>
      </c>
      <c r="M1221" s="159">
        <v>43087</v>
      </c>
      <c r="N1221" s="159">
        <v>43093</v>
      </c>
      <c r="O1221" s="153" t="s">
        <v>879</v>
      </c>
      <c r="P1221" s="52"/>
      <c r="Q1221" s="72" t="s">
        <v>3565</v>
      </c>
      <c r="R1221" s="610"/>
      <c r="S1221" s="316"/>
      <c r="T1221" s="858"/>
    </row>
    <row r="1222" spans="1:20" ht="20.100000000000001" customHeight="1">
      <c r="A1222" s="1138" t="s">
        <v>2971</v>
      </c>
      <c r="B1222" s="1138" t="s">
        <v>2527</v>
      </c>
      <c r="C1222" s="1138" t="s">
        <v>3570</v>
      </c>
      <c r="D1222" s="1006">
        <f>D42+800+25</f>
        <v>2375</v>
      </c>
      <c r="E1222" s="1006">
        <f>E42+980+50</f>
        <v>2830</v>
      </c>
      <c r="F1222" s="1006">
        <f>F42+980+50</f>
        <v>2830</v>
      </c>
      <c r="G1222" s="615" t="s">
        <v>5</v>
      </c>
      <c r="H1222" s="160" t="s">
        <v>1652</v>
      </c>
      <c r="I1222" s="37" t="s">
        <v>2526</v>
      </c>
      <c r="J1222" s="37" t="s">
        <v>2539</v>
      </c>
      <c r="K1222" s="5"/>
      <c r="L1222" s="624" t="s">
        <v>860</v>
      </c>
      <c r="M1222" s="159">
        <v>43087</v>
      </c>
      <c r="N1222" s="159">
        <v>43093</v>
      </c>
      <c r="O1222" s="153" t="s">
        <v>879</v>
      </c>
      <c r="P1222" s="52"/>
      <c r="Q1222" s="72" t="s">
        <v>3571</v>
      </c>
      <c r="R1222" s="610"/>
      <c r="S1222" s="316"/>
      <c r="T1222" s="858"/>
    </row>
    <row r="1223" spans="1:20" ht="20.100000000000001" customHeight="1">
      <c r="A1223" s="1138" t="s">
        <v>2971</v>
      </c>
      <c r="B1223" s="1138" t="s">
        <v>2527</v>
      </c>
      <c r="C1223" s="1138" t="s">
        <v>3570</v>
      </c>
      <c r="D1223" s="1006">
        <f>D136+650</f>
        <v>2250</v>
      </c>
      <c r="E1223" s="1006">
        <f>E136+800</f>
        <v>2800</v>
      </c>
      <c r="F1223" s="1006">
        <f>F136+800</f>
        <v>2800</v>
      </c>
      <c r="G1223" s="618" t="s">
        <v>33</v>
      </c>
      <c r="H1223" s="56">
        <v>5</v>
      </c>
      <c r="I1223" s="50" t="s">
        <v>2526</v>
      </c>
      <c r="J1223" s="37" t="s">
        <v>2539</v>
      </c>
      <c r="K1223" s="34">
        <v>20</v>
      </c>
      <c r="L1223" s="607" t="s">
        <v>653</v>
      </c>
      <c r="M1223" s="159">
        <v>43080</v>
      </c>
      <c r="N1223" s="159">
        <v>43086</v>
      </c>
      <c r="O1223" s="153" t="s">
        <v>2445</v>
      </c>
      <c r="P1223" s="59"/>
      <c r="Q1223" s="7"/>
      <c r="R1223" s="610" t="s">
        <v>2538</v>
      </c>
      <c r="S1223" s="316" t="s">
        <v>3333</v>
      </c>
      <c r="T1223" s="858"/>
    </row>
    <row r="1224" spans="1:20" ht="20.100000000000001" customHeight="1">
      <c r="A1224" s="1138" t="s">
        <v>2971</v>
      </c>
      <c r="B1224" s="1138" t="s">
        <v>2527</v>
      </c>
      <c r="C1224" s="1138" t="s">
        <v>3570</v>
      </c>
      <c r="D1224" s="1006">
        <f>D135+700</f>
        <v>2300</v>
      </c>
      <c r="E1224" s="1006">
        <f>E135+800</f>
        <v>2800</v>
      </c>
      <c r="F1224" s="1006">
        <f>F135+800</f>
        <v>2800</v>
      </c>
      <c r="G1224" s="613" t="s">
        <v>33</v>
      </c>
      <c r="H1224" s="56">
        <v>6</v>
      </c>
      <c r="I1224" s="37" t="s">
        <v>2127</v>
      </c>
      <c r="J1224" s="37" t="s">
        <v>2539</v>
      </c>
      <c r="K1224" s="16">
        <v>20</v>
      </c>
      <c r="L1224" s="607" t="s">
        <v>653</v>
      </c>
      <c r="M1224" s="159">
        <v>43080</v>
      </c>
      <c r="N1224" s="159">
        <v>43086</v>
      </c>
      <c r="O1224" s="153" t="s">
        <v>2445</v>
      </c>
      <c r="P1224" s="61"/>
      <c r="Q1224" s="7"/>
      <c r="R1224" s="606" t="s">
        <v>3336</v>
      </c>
      <c r="S1224" s="316" t="s">
        <v>3333</v>
      </c>
      <c r="T1224" s="858"/>
    </row>
    <row r="1225" spans="1:20" ht="20.100000000000001" customHeight="1">
      <c r="A1225" s="1138" t="s">
        <v>2971</v>
      </c>
      <c r="B1225" s="1138" t="s">
        <v>2527</v>
      </c>
      <c r="C1225" s="1138" t="s">
        <v>3570</v>
      </c>
      <c r="D1225" s="1006">
        <f>D46+688</f>
        <v>1863</v>
      </c>
      <c r="E1225" s="1006">
        <f>E46+794</f>
        <v>2044</v>
      </c>
      <c r="F1225" s="1006">
        <f>F46+794</f>
        <v>2044</v>
      </c>
      <c r="G1225" s="609" t="s">
        <v>1689</v>
      </c>
      <c r="H1225" s="160" t="s">
        <v>1311</v>
      </c>
      <c r="I1225" s="37" t="s">
        <v>2526</v>
      </c>
      <c r="J1225" s="37" t="s">
        <v>2539</v>
      </c>
      <c r="K1225" s="5">
        <v>30</v>
      </c>
      <c r="L1225" s="607" t="s">
        <v>653</v>
      </c>
      <c r="M1225" s="156">
        <v>43076</v>
      </c>
      <c r="N1225" s="156">
        <v>43083</v>
      </c>
      <c r="O1225" s="153" t="s">
        <v>2529</v>
      </c>
      <c r="P1225" s="61"/>
      <c r="Q1225" s="61" t="s">
        <v>2128</v>
      </c>
      <c r="R1225" s="606" t="s">
        <v>2528</v>
      </c>
      <c r="S1225" s="316" t="s">
        <v>2943</v>
      </c>
      <c r="T1225" s="858"/>
    </row>
    <row r="1226" spans="1:20" ht="20.100000000000001" customHeight="1">
      <c r="A1226" s="1138" t="s">
        <v>2971</v>
      </c>
      <c r="B1226" s="1138" t="s">
        <v>2527</v>
      </c>
      <c r="C1226" s="1138" t="s">
        <v>3570</v>
      </c>
      <c r="D1226" s="1006">
        <f>D4+672</f>
        <v>1847</v>
      </c>
      <c r="E1226" s="1006">
        <f>E4+810</f>
        <v>2060</v>
      </c>
      <c r="F1226" s="1006">
        <f>F4+810</f>
        <v>2060</v>
      </c>
      <c r="G1226" s="609" t="s">
        <v>1689</v>
      </c>
      <c r="H1226" s="160" t="s">
        <v>645</v>
      </c>
      <c r="I1226" s="37" t="s">
        <v>2127</v>
      </c>
      <c r="J1226" s="37" t="s">
        <v>2539</v>
      </c>
      <c r="K1226" s="5">
        <v>20</v>
      </c>
      <c r="L1226" s="607" t="s">
        <v>653</v>
      </c>
      <c r="M1226" s="156">
        <v>43076</v>
      </c>
      <c r="N1226" s="156">
        <v>43083</v>
      </c>
      <c r="O1226" s="153" t="s">
        <v>2529</v>
      </c>
      <c r="P1226" s="61"/>
      <c r="Q1226" s="61" t="s">
        <v>2133</v>
      </c>
      <c r="R1226" s="606" t="s">
        <v>2530</v>
      </c>
      <c r="S1226" s="316" t="s">
        <v>2943</v>
      </c>
      <c r="T1226" s="858"/>
    </row>
    <row r="1227" spans="1:20" ht="20.100000000000001" customHeight="1">
      <c r="A1227" s="1138" t="s">
        <v>2971</v>
      </c>
      <c r="B1227" s="1138" t="s">
        <v>2527</v>
      </c>
      <c r="C1227" s="1138" t="s">
        <v>3570</v>
      </c>
      <c r="D1227" s="1006">
        <f>D17+715</f>
        <v>1840</v>
      </c>
      <c r="E1227" s="1006">
        <f>E17+870</f>
        <v>2070</v>
      </c>
      <c r="F1227" s="1006">
        <f>F17+870</f>
        <v>2070</v>
      </c>
      <c r="G1227" s="613" t="s">
        <v>30</v>
      </c>
      <c r="H1227" s="56" t="s">
        <v>725</v>
      </c>
      <c r="I1227" s="37" t="s">
        <v>2127</v>
      </c>
      <c r="J1227" s="37" t="s">
        <v>2539</v>
      </c>
      <c r="K1227" s="16" t="s">
        <v>728</v>
      </c>
      <c r="L1227" s="607" t="s">
        <v>653</v>
      </c>
      <c r="M1227" s="15">
        <v>43078</v>
      </c>
      <c r="N1227" s="159">
        <v>43084</v>
      </c>
      <c r="O1227" s="61" t="s">
        <v>1307</v>
      </c>
      <c r="P1227" s="61"/>
      <c r="Q1227" s="7"/>
      <c r="R1227" s="606" t="s">
        <v>3568</v>
      </c>
      <c r="S1227" s="316" t="s">
        <v>3567</v>
      </c>
      <c r="T1227" s="626" t="s">
        <v>1018</v>
      </c>
    </row>
    <row r="1228" spans="1:20" ht="20.100000000000001" customHeight="1">
      <c r="A1228" s="1138" t="s">
        <v>2971</v>
      </c>
      <c r="B1228" s="1138" t="s">
        <v>2527</v>
      </c>
      <c r="C1228" s="1138" t="s">
        <v>3570</v>
      </c>
      <c r="D1228" s="1006">
        <f>D41+925</f>
        <v>2475</v>
      </c>
      <c r="E1228" s="1006">
        <f>E41+830</f>
        <v>2630</v>
      </c>
      <c r="F1228" s="1006">
        <f>F41+820</f>
        <v>2620</v>
      </c>
      <c r="G1228" s="608" t="s">
        <v>94</v>
      </c>
      <c r="H1228" s="168" t="s">
        <v>1102</v>
      </c>
      <c r="I1228" s="5" t="s">
        <v>2526</v>
      </c>
      <c r="J1228" s="37" t="s">
        <v>2539</v>
      </c>
      <c r="K1228" s="16">
        <v>31</v>
      </c>
      <c r="L1228" s="607" t="s">
        <v>653</v>
      </c>
      <c r="M1228" s="108">
        <v>43087</v>
      </c>
      <c r="N1228" s="108">
        <v>43094</v>
      </c>
      <c r="O1228" s="61" t="s">
        <v>2444</v>
      </c>
      <c r="P1228" s="7"/>
      <c r="Q1228" s="7"/>
      <c r="R1228" s="606" t="s">
        <v>2524</v>
      </c>
      <c r="S1228" s="322" t="s">
        <v>1176</v>
      </c>
      <c r="T1228" s="858"/>
    </row>
    <row r="1229" spans="1:20" ht="20.100000000000001" customHeight="1">
      <c r="A1229" s="1138" t="s">
        <v>2971</v>
      </c>
      <c r="B1229" s="1138" t="s">
        <v>2527</v>
      </c>
      <c r="C1229" s="1138" t="s">
        <v>3570</v>
      </c>
      <c r="D1229" s="1006">
        <f>D18+925</f>
        <v>2475</v>
      </c>
      <c r="E1229" s="1006">
        <f>E18+840</f>
        <v>2640</v>
      </c>
      <c r="F1229" s="1006">
        <f>F18+840</f>
        <v>2640</v>
      </c>
      <c r="G1229" s="608" t="s">
        <v>94</v>
      </c>
      <c r="H1229" s="56" t="s">
        <v>657</v>
      </c>
      <c r="I1229" s="5" t="s">
        <v>2127</v>
      </c>
      <c r="J1229" s="37" t="s">
        <v>2539</v>
      </c>
      <c r="K1229" s="16">
        <v>27</v>
      </c>
      <c r="L1229" s="607" t="s">
        <v>653</v>
      </c>
      <c r="M1229" s="108">
        <v>43087</v>
      </c>
      <c r="N1229" s="108">
        <v>43094</v>
      </c>
      <c r="O1229" s="61" t="s">
        <v>2444</v>
      </c>
      <c r="P1229" s="7"/>
      <c r="Q1229" s="7"/>
      <c r="R1229" s="606" t="s">
        <v>2126</v>
      </c>
      <c r="S1229" s="322" t="s">
        <v>1176</v>
      </c>
      <c r="T1229" s="858"/>
    </row>
    <row r="1230" spans="1:20" ht="20.100000000000001" customHeight="1">
      <c r="A1230" s="1138" t="s">
        <v>2971</v>
      </c>
      <c r="B1230" s="1138" t="s">
        <v>2527</v>
      </c>
      <c r="C1230" s="1138" t="s">
        <v>3570</v>
      </c>
      <c r="D1230" s="1006">
        <f>D26+600</f>
        <v>1850</v>
      </c>
      <c r="E1230" s="1006">
        <f>E26+730</f>
        <v>2230</v>
      </c>
      <c r="F1230" s="1006">
        <f>F26+730</f>
        <v>2230</v>
      </c>
      <c r="G1230" s="618" t="s">
        <v>31</v>
      </c>
      <c r="H1230" s="168" t="s">
        <v>681</v>
      </c>
      <c r="I1230" s="37" t="s">
        <v>2127</v>
      </c>
      <c r="J1230" s="37" t="s">
        <v>2539</v>
      </c>
      <c r="K1230" s="16">
        <v>22</v>
      </c>
      <c r="L1230" s="607" t="s">
        <v>653</v>
      </c>
      <c r="M1230" s="623">
        <v>43080</v>
      </c>
      <c r="N1230" s="623">
        <v>43083</v>
      </c>
      <c r="O1230" s="61" t="s">
        <v>1307</v>
      </c>
      <c r="P1230" s="61"/>
      <c r="Q1230" s="52"/>
      <c r="R1230" s="606" t="s">
        <v>3563</v>
      </c>
      <c r="S1230" s="622" t="s">
        <v>1176</v>
      </c>
      <c r="T1230" s="858"/>
    </row>
    <row r="1231" spans="1:20" ht="20.100000000000001" customHeight="1">
      <c r="A1231" s="1138" t="s">
        <v>2971</v>
      </c>
      <c r="B1231" s="1138" t="s">
        <v>2527</v>
      </c>
      <c r="C1231" s="1138" t="s">
        <v>3570</v>
      </c>
      <c r="D1231" s="1012">
        <f>D49+830</f>
        <v>2080</v>
      </c>
      <c r="E1231" s="1012">
        <f>E49+1030</f>
        <v>2430</v>
      </c>
      <c r="F1231" s="1012">
        <f>F49+1030</f>
        <v>2430</v>
      </c>
      <c r="G1231" s="613" t="s">
        <v>13</v>
      </c>
      <c r="H1231" s="56">
        <v>5</v>
      </c>
      <c r="I1231" s="37" t="s">
        <v>2526</v>
      </c>
      <c r="J1231" s="37" t="s">
        <v>2539</v>
      </c>
      <c r="K1231" s="16">
        <v>20</v>
      </c>
      <c r="L1231" s="607" t="s">
        <v>653</v>
      </c>
      <c r="M1231" s="156">
        <v>43073</v>
      </c>
      <c r="N1231" s="156">
        <v>43083</v>
      </c>
      <c r="O1231" s="61" t="s">
        <v>3335</v>
      </c>
      <c r="P1231" s="61"/>
      <c r="Q1231" s="7"/>
      <c r="R1231" s="606" t="s">
        <v>2536</v>
      </c>
      <c r="S1231" s="316" t="s">
        <v>3334</v>
      </c>
      <c r="T1231" s="858"/>
    </row>
    <row r="1232" spans="1:20" ht="20.100000000000001" customHeight="1">
      <c r="A1232" s="1138" t="s">
        <v>2971</v>
      </c>
      <c r="B1232" s="1138" t="s">
        <v>2527</v>
      </c>
      <c r="C1232" s="1138" t="s">
        <v>3570</v>
      </c>
      <c r="D1232" s="1012">
        <f>D32+1100</f>
        <v>2350</v>
      </c>
      <c r="E1232" s="1012">
        <f>E32+1600</f>
        <v>3000</v>
      </c>
      <c r="F1232" s="1012">
        <f>F32+1600</f>
        <v>3000</v>
      </c>
      <c r="G1232" s="613" t="s">
        <v>13</v>
      </c>
      <c r="H1232" s="56">
        <v>6</v>
      </c>
      <c r="I1232" s="37" t="s">
        <v>2127</v>
      </c>
      <c r="J1232" s="37" t="s">
        <v>2539</v>
      </c>
      <c r="K1232" s="16">
        <v>18</v>
      </c>
      <c r="L1232" s="607" t="s">
        <v>653</v>
      </c>
      <c r="M1232" s="156">
        <v>43073</v>
      </c>
      <c r="N1232" s="156">
        <v>43083</v>
      </c>
      <c r="O1232" s="61" t="s">
        <v>3335</v>
      </c>
      <c r="P1232" s="61"/>
      <c r="Q1232" s="7"/>
      <c r="R1232" s="606" t="s">
        <v>3336</v>
      </c>
      <c r="S1232" s="316" t="s">
        <v>3334</v>
      </c>
      <c r="T1232" s="858"/>
    </row>
    <row r="1233" spans="1:20" ht="20.100000000000001" customHeight="1">
      <c r="A1233" s="1138" t="s">
        <v>2971</v>
      </c>
      <c r="B1233" s="1138" t="s">
        <v>2527</v>
      </c>
      <c r="C1233" s="1138" t="s">
        <v>3570</v>
      </c>
      <c r="D1233" s="1012">
        <f>D51+700+50</f>
        <v>1825</v>
      </c>
      <c r="E1233" s="1012">
        <f>E51+850+100</f>
        <v>2200</v>
      </c>
      <c r="F1233" s="1012">
        <f>F51+850+100</f>
        <v>2200</v>
      </c>
      <c r="G1233" s="613" t="s">
        <v>29</v>
      </c>
      <c r="H1233" s="56">
        <v>5</v>
      </c>
      <c r="I1233" s="37" t="s">
        <v>2526</v>
      </c>
      <c r="J1233" s="37" t="s">
        <v>2539</v>
      </c>
      <c r="K1233" s="16">
        <v>20</v>
      </c>
      <c r="L1233" s="607" t="s">
        <v>653</v>
      </c>
      <c r="M1233" s="620">
        <v>43084</v>
      </c>
      <c r="N1233" s="620">
        <v>43086</v>
      </c>
      <c r="O1233" s="61" t="s">
        <v>3335</v>
      </c>
      <c r="P1233" s="61"/>
      <c r="Q1233" s="7"/>
      <c r="R1233" s="606" t="s">
        <v>3562</v>
      </c>
      <c r="S1233" s="316" t="s">
        <v>3561</v>
      </c>
      <c r="T1233" s="858"/>
    </row>
    <row r="1234" spans="1:20" ht="20.100000000000001" customHeight="1">
      <c r="A1234" s="1138" t="s">
        <v>2971</v>
      </c>
      <c r="B1234" s="1138" t="s">
        <v>2527</v>
      </c>
      <c r="C1234" s="1138" t="s">
        <v>3570</v>
      </c>
      <c r="D1234" s="1012">
        <f>D34+650+50</f>
        <v>1775</v>
      </c>
      <c r="E1234" s="1012">
        <f>E34+750+100</f>
        <v>2100</v>
      </c>
      <c r="F1234" s="1012">
        <f>F34+750+100</f>
        <v>2100</v>
      </c>
      <c r="G1234" s="613" t="s">
        <v>29</v>
      </c>
      <c r="H1234" s="56">
        <v>6</v>
      </c>
      <c r="I1234" s="37" t="s">
        <v>2127</v>
      </c>
      <c r="J1234" s="37" t="s">
        <v>2539</v>
      </c>
      <c r="K1234" s="16">
        <v>20</v>
      </c>
      <c r="L1234" s="607" t="s">
        <v>653</v>
      </c>
      <c r="M1234" s="620">
        <v>43084</v>
      </c>
      <c r="N1234" s="620">
        <v>43086</v>
      </c>
      <c r="O1234" s="61" t="s">
        <v>3335</v>
      </c>
      <c r="P1234" s="61"/>
      <c r="Q1234" s="7"/>
      <c r="R1234" s="606" t="s">
        <v>3336</v>
      </c>
      <c r="S1234" s="316" t="s">
        <v>3561</v>
      </c>
      <c r="T1234" s="858"/>
    </row>
    <row r="1235" spans="1:20" ht="20.100000000000001" customHeight="1">
      <c r="A1235" s="1138" t="s">
        <v>2971</v>
      </c>
      <c r="B1235" s="1138" t="s">
        <v>2527</v>
      </c>
      <c r="C1235" s="1138" t="s">
        <v>3570</v>
      </c>
      <c r="D1235" s="1006">
        <f>D22+800+25</f>
        <v>2325</v>
      </c>
      <c r="E1235" s="1006">
        <f>E22+900+50</f>
        <v>2650</v>
      </c>
      <c r="F1235" s="1006">
        <f>F22+900+50</f>
        <v>2650</v>
      </c>
      <c r="G1235" s="618" t="s">
        <v>28</v>
      </c>
      <c r="H1235" s="160" t="s">
        <v>2535</v>
      </c>
      <c r="I1235" s="50" t="s">
        <v>2127</v>
      </c>
      <c r="J1235" s="37" t="s">
        <v>2539</v>
      </c>
      <c r="K1235" s="34">
        <v>22</v>
      </c>
      <c r="L1235" s="607" t="s">
        <v>653</v>
      </c>
      <c r="M1235" s="620">
        <v>43086</v>
      </c>
      <c r="N1235" s="620">
        <v>43100</v>
      </c>
      <c r="O1235" s="59" t="s">
        <v>3559</v>
      </c>
      <c r="P1235" s="59"/>
      <c r="Q1235" s="61" t="s">
        <v>2599</v>
      </c>
      <c r="R1235" s="610" t="s">
        <v>3558</v>
      </c>
      <c r="S1235" s="619"/>
      <c r="T1235" s="858"/>
    </row>
    <row r="1236" spans="1:20" ht="20.100000000000001" customHeight="1">
      <c r="A1236" s="1256" t="s">
        <v>2971</v>
      </c>
      <c r="B1236" s="1138" t="s">
        <v>2527</v>
      </c>
      <c r="C1236" s="1138" t="s">
        <v>3570</v>
      </c>
      <c r="D1236" s="1006">
        <f>D30+1090</f>
        <v>2640</v>
      </c>
      <c r="E1236" s="1006">
        <f>E30+895</f>
        <v>2695</v>
      </c>
      <c r="F1236" s="1006">
        <f>F30+895</f>
        <v>2695</v>
      </c>
      <c r="G1236" s="615" t="s">
        <v>51</v>
      </c>
      <c r="H1236" s="160" t="s">
        <v>2532</v>
      </c>
      <c r="I1236" s="37" t="s">
        <v>2127</v>
      </c>
      <c r="J1236" s="37" t="s">
        <v>1211</v>
      </c>
      <c r="K1236" s="5"/>
      <c r="L1236" s="607" t="s">
        <v>653</v>
      </c>
      <c r="M1236" s="611">
        <v>43086</v>
      </c>
      <c r="N1236" s="611">
        <v>43100</v>
      </c>
      <c r="O1236" s="61" t="s">
        <v>3291</v>
      </c>
      <c r="P1236" s="52"/>
      <c r="Q1236" s="61" t="s">
        <v>3533</v>
      </c>
      <c r="R1236" s="610"/>
      <c r="S1236" s="315" t="s">
        <v>3290</v>
      </c>
      <c r="T1236" s="858"/>
    </row>
    <row r="1237" spans="1:20" ht="20.100000000000001" customHeight="1">
      <c r="A1237" s="1256" t="s">
        <v>2971</v>
      </c>
      <c r="B1237" s="1138" t="s">
        <v>2527</v>
      </c>
      <c r="C1237" s="1138" t="s">
        <v>3570</v>
      </c>
      <c r="D1237" s="1006">
        <f>D53+900</f>
        <v>2450</v>
      </c>
      <c r="E1237" s="1006">
        <f>E53+1050</f>
        <v>2850</v>
      </c>
      <c r="F1237" s="1006">
        <f>F53+1050</f>
        <v>2850</v>
      </c>
      <c r="G1237" s="615" t="s">
        <v>51</v>
      </c>
      <c r="H1237" s="160" t="s">
        <v>645</v>
      </c>
      <c r="I1237" s="37" t="s">
        <v>2526</v>
      </c>
      <c r="J1237" s="37" t="s">
        <v>1211</v>
      </c>
      <c r="K1237" s="5"/>
      <c r="L1237" s="607" t="s">
        <v>653</v>
      </c>
      <c r="M1237" s="611">
        <v>43086</v>
      </c>
      <c r="N1237" s="611">
        <v>43100</v>
      </c>
      <c r="O1237" s="61" t="s">
        <v>3291</v>
      </c>
      <c r="P1237" s="52"/>
      <c r="Q1237" s="61" t="s">
        <v>2599</v>
      </c>
      <c r="R1237" s="610"/>
      <c r="S1237" s="315" t="s">
        <v>3290</v>
      </c>
      <c r="T1237" s="858"/>
    </row>
    <row r="1238" spans="1:20" ht="20.100000000000001" customHeight="1">
      <c r="A1238" s="1256" t="s">
        <v>2971</v>
      </c>
      <c r="B1238" s="1138" t="s">
        <v>2527</v>
      </c>
      <c r="C1238" s="1138" t="s">
        <v>3570</v>
      </c>
      <c r="D1238" s="1006">
        <f>D8+842+25</f>
        <v>2417</v>
      </c>
      <c r="E1238" s="1006">
        <f>E8+966+50</f>
        <v>2816</v>
      </c>
      <c r="F1238" s="1006">
        <f>F8+966+50</f>
        <v>2816</v>
      </c>
      <c r="G1238" s="615" t="s">
        <v>5</v>
      </c>
      <c r="H1238" s="160" t="s">
        <v>2523</v>
      </c>
      <c r="I1238" s="37" t="s">
        <v>2127</v>
      </c>
      <c r="J1238" s="37" t="s">
        <v>1211</v>
      </c>
      <c r="K1238" s="5"/>
      <c r="L1238" s="624" t="s">
        <v>860</v>
      </c>
      <c r="M1238" s="159">
        <v>43087</v>
      </c>
      <c r="N1238" s="159">
        <v>43093</v>
      </c>
      <c r="O1238" s="153" t="s">
        <v>879</v>
      </c>
      <c r="P1238" s="52"/>
      <c r="Q1238" s="72" t="s">
        <v>3565</v>
      </c>
      <c r="R1238" s="610"/>
      <c r="S1238" s="316"/>
      <c r="T1238" s="858"/>
    </row>
    <row r="1239" spans="1:20" ht="20.100000000000001" customHeight="1">
      <c r="A1239" s="1256" t="s">
        <v>2971</v>
      </c>
      <c r="B1239" s="1138" t="s">
        <v>2527</v>
      </c>
      <c r="C1239" s="1138" t="s">
        <v>3570</v>
      </c>
      <c r="D1239" s="1006">
        <f>D42+969+25</f>
        <v>2544</v>
      </c>
      <c r="E1239" s="1006">
        <f>E42+1151+50</f>
        <v>3001</v>
      </c>
      <c r="F1239" s="1006">
        <f>F42+1110+50</f>
        <v>2960</v>
      </c>
      <c r="G1239" s="615" t="s">
        <v>5</v>
      </c>
      <c r="H1239" s="160" t="s">
        <v>1652</v>
      </c>
      <c r="I1239" s="37" t="s">
        <v>2526</v>
      </c>
      <c r="J1239" s="37" t="s">
        <v>1211</v>
      </c>
      <c r="K1239" s="5"/>
      <c r="L1239" s="624" t="s">
        <v>860</v>
      </c>
      <c r="M1239" s="159">
        <v>43087</v>
      </c>
      <c r="N1239" s="159">
        <v>43093</v>
      </c>
      <c r="O1239" s="153" t="s">
        <v>879</v>
      </c>
      <c r="P1239" s="52"/>
      <c r="Q1239" s="72" t="s">
        <v>3571</v>
      </c>
      <c r="R1239" s="610"/>
      <c r="S1239" s="316"/>
      <c r="T1239" s="858"/>
    </row>
    <row r="1240" spans="1:20" ht="20.100000000000001" customHeight="1">
      <c r="A1240" s="1256" t="s">
        <v>2971</v>
      </c>
      <c r="B1240" s="1138" t="s">
        <v>2527</v>
      </c>
      <c r="C1240" s="1138" t="s">
        <v>3570</v>
      </c>
      <c r="D1240" s="1006">
        <f>D136+900</f>
        <v>2500</v>
      </c>
      <c r="E1240" s="1006">
        <f>E136+1050</f>
        <v>3050</v>
      </c>
      <c r="F1240" s="1006">
        <f>F136+1050</f>
        <v>3050</v>
      </c>
      <c r="G1240" s="618" t="s">
        <v>33</v>
      </c>
      <c r="H1240" s="56">
        <v>5</v>
      </c>
      <c r="I1240" s="50" t="s">
        <v>2526</v>
      </c>
      <c r="J1240" s="37" t="s">
        <v>1211</v>
      </c>
      <c r="K1240" s="34">
        <v>20</v>
      </c>
      <c r="L1240" s="607" t="s">
        <v>653</v>
      </c>
      <c r="M1240" s="159">
        <v>43080</v>
      </c>
      <c r="N1240" s="159">
        <v>43086</v>
      </c>
      <c r="O1240" s="153" t="s">
        <v>2445</v>
      </c>
      <c r="P1240" s="59"/>
      <c r="Q1240" s="7"/>
      <c r="R1240" s="610" t="s">
        <v>2538</v>
      </c>
      <c r="S1240" s="316" t="s">
        <v>3333</v>
      </c>
      <c r="T1240" s="858"/>
    </row>
    <row r="1241" spans="1:20" ht="20.100000000000001" customHeight="1">
      <c r="A1241" s="1256" t="s">
        <v>2971</v>
      </c>
      <c r="B1241" s="1138" t="s">
        <v>2527</v>
      </c>
      <c r="C1241" s="1138" t="s">
        <v>3570</v>
      </c>
      <c r="D1241" s="1006">
        <f>D135+950</f>
        <v>2550</v>
      </c>
      <c r="E1241" s="1006">
        <f>E135+1100</f>
        <v>3100</v>
      </c>
      <c r="F1241" s="1006">
        <f>F135+1100</f>
        <v>3100</v>
      </c>
      <c r="G1241" s="613" t="s">
        <v>33</v>
      </c>
      <c r="H1241" s="56">
        <v>6</v>
      </c>
      <c r="I1241" s="37" t="s">
        <v>2127</v>
      </c>
      <c r="J1241" s="37" t="s">
        <v>1211</v>
      </c>
      <c r="K1241" s="16">
        <v>20</v>
      </c>
      <c r="L1241" s="607" t="s">
        <v>653</v>
      </c>
      <c r="M1241" s="159">
        <v>43080</v>
      </c>
      <c r="N1241" s="159">
        <v>43086</v>
      </c>
      <c r="O1241" s="153" t="s">
        <v>2445</v>
      </c>
      <c r="P1241" s="61"/>
      <c r="Q1241" s="7"/>
      <c r="R1241" s="606" t="s">
        <v>3336</v>
      </c>
      <c r="S1241" s="316" t="s">
        <v>3333</v>
      </c>
      <c r="T1241" s="858"/>
    </row>
    <row r="1242" spans="1:20" ht="20.100000000000001" customHeight="1">
      <c r="A1242" s="1256" t="s">
        <v>2971</v>
      </c>
      <c r="B1242" s="1138" t="s">
        <v>2527</v>
      </c>
      <c r="C1242" s="1138" t="s">
        <v>3570</v>
      </c>
      <c r="D1242" s="1006">
        <f>D6+869</f>
        <v>2419</v>
      </c>
      <c r="E1242" s="1006">
        <f>E6+927</f>
        <v>2727</v>
      </c>
      <c r="F1242" s="1006">
        <f>F6+927</f>
        <v>2727</v>
      </c>
      <c r="G1242" s="614" t="s">
        <v>19</v>
      </c>
      <c r="H1242" s="160" t="s">
        <v>2537</v>
      </c>
      <c r="I1242" s="37" t="s">
        <v>2127</v>
      </c>
      <c r="J1242" s="37" t="s">
        <v>1211</v>
      </c>
      <c r="K1242" s="5" t="s">
        <v>728</v>
      </c>
      <c r="L1242" s="607" t="s">
        <v>653</v>
      </c>
      <c r="M1242" s="156">
        <v>43084</v>
      </c>
      <c r="N1242" s="156">
        <v>43093</v>
      </c>
      <c r="O1242" s="153" t="s">
        <v>2131</v>
      </c>
      <c r="P1242" s="61" t="s">
        <v>2276</v>
      </c>
      <c r="Q1242" s="7"/>
      <c r="R1242" s="606" t="s">
        <v>3339</v>
      </c>
      <c r="S1242" s="315" t="s">
        <v>3337</v>
      </c>
      <c r="T1242" s="858"/>
    </row>
    <row r="1243" spans="1:20" ht="20.100000000000001" customHeight="1">
      <c r="A1243" s="1256" t="s">
        <v>2971</v>
      </c>
      <c r="B1243" s="1138" t="s">
        <v>2527</v>
      </c>
      <c r="C1243" s="1138" t="s">
        <v>3570</v>
      </c>
      <c r="D1243" s="1006">
        <f>D44+800</f>
        <v>2350</v>
      </c>
      <c r="E1243" s="1006">
        <f>E44+885</f>
        <v>2685</v>
      </c>
      <c r="F1243" s="1006">
        <f>F44+885</f>
        <v>2685</v>
      </c>
      <c r="G1243" s="614" t="s">
        <v>19</v>
      </c>
      <c r="H1243" s="56" t="s">
        <v>1444</v>
      </c>
      <c r="I1243" s="37" t="s">
        <v>2526</v>
      </c>
      <c r="J1243" s="37" t="s">
        <v>1211</v>
      </c>
      <c r="K1243" s="5" t="s">
        <v>764</v>
      </c>
      <c r="L1243" s="607" t="s">
        <v>653</v>
      </c>
      <c r="M1243" s="156">
        <v>43084</v>
      </c>
      <c r="N1243" s="156">
        <v>43093</v>
      </c>
      <c r="O1243" s="153" t="s">
        <v>2131</v>
      </c>
      <c r="P1243" s="61" t="s">
        <v>3338</v>
      </c>
      <c r="Q1243" s="7"/>
      <c r="R1243" s="610" t="s">
        <v>1841</v>
      </c>
      <c r="S1243" s="315" t="s">
        <v>3337</v>
      </c>
      <c r="T1243" s="858"/>
    </row>
    <row r="1244" spans="1:20" ht="20.100000000000001" customHeight="1">
      <c r="A1244" s="1256" t="s">
        <v>2971</v>
      </c>
      <c r="B1244" s="1138" t="s">
        <v>2527</v>
      </c>
      <c r="C1244" s="1138" t="s">
        <v>3570</v>
      </c>
      <c r="D1244" s="1006">
        <f>D46+884</f>
        <v>2059</v>
      </c>
      <c r="E1244" s="1006">
        <f>E46+990</f>
        <v>2240</v>
      </c>
      <c r="F1244" s="1006">
        <f>F46+990</f>
        <v>2240</v>
      </c>
      <c r="G1244" s="609" t="s">
        <v>1689</v>
      </c>
      <c r="H1244" s="160" t="s">
        <v>1311</v>
      </c>
      <c r="I1244" s="37" t="s">
        <v>2526</v>
      </c>
      <c r="J1244" s="37" t="s">
        <v>1211</v>
      </c>
      <c r="K1244" s="5">
        <v>30</v>
      </c>
      <c r="L1244" s="607" t="s">
        <v>653</v>
      </c>
      <c r="M1244" s="156">
        <v>43076</v>
      </c>
      <c r="N1244" s="156">
        <v>43083</v>
      </c>
      <c r="O1244" s="153" t="s">
        <v>2529</v>
      </c>
      <c r="P1244" s="61"/>
      <c r="Q1244" s="61" t="s">
        <v>2128</v>
      </c>
      <c r="R1244" s="606" t="s">
        <v>2528</v>
      </c>
      <c r="S1244" s="316" t="s">
        <v>2943</v>
      </c>
      <c r="T1244" s="858"/>
    </row>
    <row r="1245" spans="1:20" ht="20.100000000000001" customHeight="1">
      <c r="A1245" s="1256" t="s">
        <v>2971</v>
      </c>
      <c r="B1245" s="1138" t="s">
        <v>2527</v>
      </c>
      <c r="C1245" s="1138" t="s">
        <v>3570</v>
      </c>
      <c r="D1245" s="1006">
        <f>D4+866</f>
        <v>2041</v>
      </c>
      <c r="E1245" s="1006">
        <f>E4+1004</f>
        <v>2254</v>
      </c>
      <c r="F1245" s="1006">
        <f>F4+1004</f>
        <v>2254</v>
      </c>
      <c r="G1245" s="609" t="s">
        <v>1689</v>
      </c>
      <c r="H1245" s="160" t="s">
        <v>645</v>
      </c>
      <c r="I1245" s="37" t="s">
        <v>2127</v>
      </c>
      <c r="J1245" s="37" t="s">
        <v>1211</v>
      </c>
      <c r="K1245" s="5">
        <v>20</v>
      </c>
      <c r="L1245" s="607" t="s">
        <v>653</v>
      </c>
      <c r="M1245" s="156">
        <v>43076</v>
      </c>
      <c r="N1245" s="156">
        <v>43083</v>
      </c>
      <c r="O1245" s="153" t="s">
        <v>2529</v>
      </c>
      <c r="P1245" s="61"/>
      <c r="Q1245" s="61" t="s">
        <v>2133</v>
      </c>
      <c r="R1245" s="606" t="s">
        <v>2530</v>
      </c>
      <c r="S1245" s="316" t="s">
        <v>2943</v>
      </c>
      <c r="T1245" s="858"/>
    </row>
    <row r="1246" spans="1:20" ht="20.100000000000001" customHeight="1">
      <c r="A1246" s="1256" t="s">
        <v>2971</v>
      </c>
      <c r="B1246" s="1138" t="s">
        <v>2527</v>
      </c>
      <c r="C1246" s="1138" t="s">
        <v>3570</v>
      </c>
      <c r="D1246" s="1006">
        <f>D41+1200</f>
        <v>2750</v>
      </c>
      <c r="E1246" s="1006">
        <f>E41+1000</f>
        <v>2800</v>
      </c>
      <c r="F1246" s="1006">
        <f>F41+1000</f>
        <v>2800</v>
      </c>
      <c r="G1246" s="608" t="s">
        <v>94</v>
      </c>
      <c r="H1246" s="168" t="s">
        <v>1102</v>
      </c>
      <c r="I1246" s="5" t="s">
        <v>2526</v>
      </c>
      <c r="J1246" s="37" t="s">
        <v>1211</v>
      </c>
      <c r="K1246" s="16">
        <v>31</v>
      </c>
      <c r="L1246" s="607" t="s">
        <v>653</v>
      </c>
      <c r="M1246" s="108">
        <v>43087</v>
      </c>
      <c r="N1246" s="108">
        <v>43094</v>
      </c>
      <c r="O1246" s="61" t="s">
        <v>2444</v>
      </c>
      <c r="P1246" s="7"/>
      <c r="Q1246" s="7"/>
      <c r="R1246" s="606" t="s">
        <v>2524</v>
      </c>
      <c r="S1246" s="322" t="s">
        <v>1176</v>
      </c>
      <c r="T1246" s="858"/>
    </row>
    <row r="1247" spans="1:20" ht="20.100000000000001" customHeight="1">
      <c r="A1247" s="1256" t="s">
        <v>2971</v>
      </c>
      <c r="B1247" s="1138" t="s">
        <v>2527</v>
      </c>
      <c r="C1247" s="1138" t="s">
        <v>3570</v>
      </c>
      <c r="D1247" s="1006">
        <f>D18+1130</f>
        <v>2680</v>
      </c>
      <c r="E1247" s="1006">
        <f>E18+995</f>
        <v>2795</v>
      </c>
      <c r="F1247" s="1006">
        <f>F18+995</f>
        <v>2795</v>
      </c>
      <c r="G1247" s="608" t="s">
        <v>94</v>
      </c>
      <c r="H1247" s="56" t="s">
        <v>657</v>
      </c>
      <c r="I1247" s="5" t="s">
        <v>2127</v>
      </c>
      <c r="J1247" s="37" t="s">
        <v>1211</v>
      </c>
      <c r="K1247" s="16">
        <v>27</v>
      </c>
      <c r="L1247" s="607" t="s">
        <v>653</v>
      </c>
      <c r="M1247" s="108">
        <v>43087</v>
      </c>
      <c r="N1247" s="108">
        <v>43094</v>
      </c>
      <c r="O1247" s="61" t="s">
        <v>2444</v>
      </c>
      <c r="P1247" s="7"/>
      <c r="Q1247" s="7"/>
      <c r="R1247" s="606" t="s">
        <v>2126</v>
      </c>
      <c r="S1247" s="322" t="s">
        <v>1176</v>
      </c>
      <c r="T1247" s="858"/>
    </row>
    <row r="1248" spans="1:20" ht="20.100000000000001" customHeight="1">
      <c r="A1248" s="1256" t="s">
        <v>2971</v>
      </c>
      <c r="B1248" s="1138" t="s">
        <v>2527</v>
      </c>
      <c r="C1248" s="1138" t="s">
        <v>3570</v>
      </c>
      <c r="D1248" s="1006">
        <f>D26+730</f>
        <v>1980</v>
      </c>
      <c r="E1248" s="1006">
        <f>E26+800</f>
        <v>2300</v>
      </c>
      <c r="F1248" s="1006">
        <f>F26+800</f>
        <v>2300</v>
      </c>
      <c r="G1248" s="618" t="s">
        <v>31</v>
      </c>
      <c r="H1248" s="168" t="s">
        <v>681</v>
      </c>
      <c r="I1248" s="37" t="s">
        <v>2127</v>
      </c>
      <c r="J1248" s="37" t="s">
        <v>1211</v>
      </c>
      <c r="K1248" s="16">
        <v>22</v>
      </c>
      <c r="L1248" s="607" t="s">
        <v>653</v>
      </c>
      <c r="M1248" s="623">
        <v>43080</v>
      </c>
      <c r="N1248" s="623">
        <v>43083</v>
      </c>
      <c r="O1248" s="61" t="s">
        <v>1307</v>
      </c>
      <c r="P1248" s="61"/>
      <c r="Q1248" s="52"/>
      <c r="R1248" s="606" t="s">
        <v>3563</v>
      </c>
      <c r="S1248" s="622" t="s">
        <v>1176</v>
      </c>
      <c r="T1248" s="858"/>
    </row>
    <row r="1249" spans="1:20" ht="20.100000000000001" customHeight="1">
      <c r="A1249" s="1256" t="s">
        <v>2971</v>
      </c>
      <c r="B1249" s="1138" t="s">
        <v>2527</v>
      </c>
      <c r="C1249" s="1138" t="s">
        <v>3570</v>
      </c>
      <c r="D1249" s="1012">
        <f>D49+1120</f>
        <v>2370</v>
      </c>
      <c r="E1249" s="1012">
        <f>E49+1330</f>
        <v>2730</v>
      </c>
      <c r="F1249" s="1012">
        <f>F49+1330</f>
        <v>2730</v>
      </c>
      <c r="G1249" s="613" t="s">
        <v>13</v>
      </c>
      <c r="H1249" s="56">
        <v>5</v>
      </c>
      <c r="I1249" s="37" t="s">
        <v>2526</v>
      </c>
      <c r="J1249" s="37" t="s">
        <v>1211</v>
      </c>
      <c r="K1249" s="16">
        <v>20</v>
      </c>
      <c r="L1249" s="607" t="s">
        <v>653</v>
      </c>
      <c r="M1249" s="156">
        <v>43073</v>
      </c>
      <c r="N1249" s="156">
        <v>43083</v>
      </c>
      <c r="O1249" s="61" t="s">
        <v>3335</v>
      </c>
      <c r="P1249" s="61"/>
      <c r="Q1249" s="7"/>
      <c r="R1249" s="606" t="s">
        <v>2536</v>
      </c>
      <c r="S1249" s="316" t="s">
        <v>3334</v>
      </c>
      <c r="T1249" s="858"/>
    </row>
    <row r="1250" spans="1:20" ht="20.100000000000001" customHeight="1">
      <c r="A1250" s="1256" t="s">
        <v>2971</v>
      </c>
      <c r="B1250" s="1138" t="s">
        <v>2527</v>
      </c>
      <c r="C1250" s="1138" t="s">
        <v>3570</v>
      </c>
      <c r="D1250" s="1012">
        <f>D32+1300</f>
        <v>2550</v>
      </c>
      <c r="E1250" s="1012">
        <f>E32+1800</f>
        <v>3200</v>
      </c>
      <c r="F1250" s="1012">
        <f>F32+1800</f>
        <v>3200</v>
      </c>
      <c r="G1250" s="613" t="s">
        <v>13</v>
      </c>
      <c r="H1250" s="56">
        <v>6</v>
      </c>
      <c r="I1250" s="37" t="s">
        <v>2127</v>
      </c>
      <c r="J1250" s="37" t="s">
        <v>1211</v>
      </c>
      <c r="K1250" s="16">
        <v>18</v>
      </c>
      <c r="L1250" s="607" t="s">
        <v>653</v>
      </c>
      <c r="M1250" s="156">
        <v>43073</v>
      </c>
      <c r="N1250" s="156">
        <v>43083</v>
      </c>
      <c r="O1250" s="61" t="s">
        <v>3335</v>
      </c>
      <c r="P1250" s="61"/>
      <c r="Q1250" s="7"/>
      <c r="R1250" s="606" t="s">
        <v>3336</v>
      </c>
      <c r="S1250" s="316" t="s">
        <v>3334</v>
      </c>
      <c r="T1250" s="858"/>
    </row>
    <row r="1251" spans="1:20" ht="20.100000000000001" customHeight="1">
      <c r="A1251" s="1256" t="s">
        <v>2971</v>
      </c>
      <c r="B1251" s="1138" t="s">
        <v>2527</v>
      </c>
      <c r="C1251" s="1138" t="s">
        <v>3570</v>
      </c>
      <c r="D1251" s="1012">
        <f>D51+900+50</f>
        <v>2025</v>
      </c>
      <c r="E1251" s="1012">
        <f>E51+1000+100</f>
        <v>2350</v>
      </c>
      <c r="F1251" s="1012">
        <f>F51+1000+100</f>
        <v>2350</v>
      </c>
      <c r="G1251" s="613" t="s">
        <v>29</v>
      </c>
      <c r="H1251" s="56">
        <v>5</v>
      </c>
      <c r="I1251" s="37" t="s">
        <v>2526</v>
      </c>
      <c r="J1251" s="37" t="s">
        <v>1211</v>
      </c>
      <c r="K1251" s="16">
        <v>20</v>
      </c>
      <c r="L1251" s="607" t="s">
        <v>653</v>
      </c>
      <c r="M1251" s="620">
        <v>43084</v>
      </c>
      <c r="N1251" s="620">
        <v>43086</v>
      </c>
      <c r="O1251" s="61" t="s">
        <v>3335</v>
      </c>
      <c r="P1251" s="61"/>
      <c r="Q1251" s="7"/>
      <c r="R1251" s="606" t="s">
        <v>3562</v>
      </c>
      <c r="S1251" s="316" t="s">
        <v>3561</v>
      </c>
      <c r="T1251" s="858"/>
    </row>
    <row r="1252" spans="1:20" ht="20.100000000000001" customHeight="1">
      <c r="A1252" s="1256" t="s">
        <v>2971</v>
      </c>
      <c r="B1252" s="1138" t="s">
        <v>2527</v>
      </c>
      <c r="C1252" s="1138" t="s">
        <v>3570</v>
      </c>
      <c r="D1252" s="1012">
        <f>D34+850+50</f>
        <v>1975</v>
      </c>
      <c r="E1252" s="1012">
        <f>E34+900+100</f>
        <v>2250</v>
      </c>
      <c r="F1252" s="1012">
        <f>F34+900+100</f>
        <v>2250</v>
      </c>
      <c r="G1252" s="621" t="s">
        <v>29</v>
      </c>
      <c r="H1252" s="56">
        <v>6</v>
      </c>
      <c r="I1252" s="37" t="s">
        <v>2127</v>
      </c>
      <c r="J1252" s="37" t="s">
        <v>1211</v>
      </c>
      <c r="K1252" s="16">
        <v>20</v>
      </c>
      <c r="L1252" s="607" t="s">
        <v>653</v>
      </c>
      <c r="M1252" s="620">
        <v>43084</v>
      </c>
      <c r="N1252" s="620">
        <v>43086</v>
      </c>
      <c r="O1252" s="61" t="s">
        <v>3335</v>
      </c>
      <c r="P1252" s="61"/>
      <c r="Q1252" s="7"/>
      <c r="R1252" s="606" t="s">
        <v>3336</v>
      </c>
      <c r="S1252" s="316" t="s">
        <v>3561</v>
      </c>
      <c r="T1252" s="858"/>
    </row>
    <row r="1253" spans="1:20" ht="20.100000000000001" customHeight="1">
      <c r="A1253" s="1256" t="s">
        <v>2971</v>
      </c>
      <c r="B1253" s="1138" t="s">
        <v>2527</v>
      </c>
      <c r="C1253" s="1138" t="s">
        <v>3570</v>
      </c>
      <c r="D1253" s="1006">
        <f>D22+1100+25</f>
        <v>2625</v>
      </c>
      <c r="E1253" s="1006">
        <f>E22+1200+50</f>
        <v>2950</v>
      </c>
      <c r="F1253" s="1006">
        <f>F22+1200+50</f>
        <v>2950</v>
      </c>
      <c r="G1253" s="618" t="s">
        <v>28</v>
      </c>
      <c r="H1253" s="160" t="s">
        <v>2535</v>
      </c>
      <c r="I1253" s="50" t="s">
        <v>2127</v>
      </c>
      <c r="J1253" s="37" t="s">
        <v>1211</v>
      </c>
      <c r="K1253" s="34">
        <v>22</v>
      </c>
      <c r="L1253" s="607" t="s">
        <v>653</v>
      </c>
      <c r="M1253" s="620">
        <v>43086</v>
      </c>
      <c r="N1253" s="620">
        <v>43100</v>
      </c>
      <c r="O1253" s="59" t="s">
        <v>3559</v>
      </c>
      <c r="P1253" s="59"/>
      <c r="Q1253" s="61" t="s">
        <v>2599</v>
      </c>
      <c r="R1253" s="610" t="s">
        <v>3558</v>
      </c>
      <c r="S1253" s="619"/>
      <c r="T1253" s="858"/>
    </row>
    <row r="1254" spans="1:20" ht="20.100000000000001" customHeight="1">
      <c r="A1254" s="1256" t="s">
        <v>2971</v>
      </c>
      <c r="B1254" s="1138" t="s">
        <v>2527</v>
      </c>
      <c r="C1254" s="1138" t="s">
        <v>3570</v>
      </c>
      <c r="D1254" s="1006">
        <f>D30+1400</f>
        <v>2950</v>
      </c>
      <c r="E1254" s="1006">
        <f>E30+1070</f>
        <v>2870</v>
      </c>
      <c r="F1254" s="1006">
        <f>F30+1070</f>
        <v>2870</v>
      </c>
      <c r="G1254" s="615" t="s">
        <v>51</v>
      </c>
      <c r="H1254" s="160" t="s">
        <v>2532</v>
      </c>
      <c r="I1254" s="37" t="s">
        <v>2127</v>
      </c>
      <c r="J1254" s="37" t="s">
        <v>2525</v>
      </c>
      <c r="K1254" s="5"/>
      <c r="L1254" s="607" t="s">
        <v>653</v>
      </c>
      <c r="M1254" s="611">
        <v>43086</v>
      </c>
      <c r="N1254" s="611">
        <v>43100</v>
      </c>
      <c r="O1254" s="61" t="s">
        <v>3291</v>
      </c>
      <c r="P1254" s="52"/>
      <c r="Q1254" s="61" t="s">
        <v>2466</v>
      </c>
      <c r="R1254" s="610"/>
      <c r="S1254" s="315" t="s">
        <v>3290</v>
      </c>
      <c r="T1254" s="858"/>
    </row>
    <row r="1255" spans="1:20" ht="20.100000000000001" customHeight="1">
      <c r="A1255" s="1256" t="s">
        <v>2971</v>
      </c>
      <c r="B1255" s="1138" t="s">
        <v>2527</v>
      </c>
      <c r="C1255" s="1138" t="s">
        <v>3570</v>
      </c>
      <c r="D1255" s="1006">
        <f>D53+1600</f>
        <v>3150</v>
      </c>
      <c r="E1255" s="1006">
        <f>E53+1475</f>
        <v>3275</v>
      </c>
      <c r="F1255" s="1006">
        <f>F53+1475</f>
        <v>3275</v>
      </c>
      <c r="G1255" s="615" t="s">
        <v>51</v>
      </c>
      <c r="H1255" s="160" t="s">
        <v>645</v>
      </c>
      <c r="I1255" s="37" t="s">
        <v>2526</v>
      </c>
      <c r="J1255" s="37" t="s">
        <v>2525</v>
      </c>
      <c r="K1255" s="5"/>
      <c r="L1255" s="607" t="s">
        <v>653</v>
      </c>
      <c r="M1255" s="611">
        <v>43086</v>
      </c>
      <c r="N1255" s="611">
        <v>43100</v>
      </c>
      <c r="O1255" s="61" t="s">
        <v>3291</v>
      </c>
      <c r="P1255" s="52"/>
      <c r="Q1255" s="61" t="s">
        <v>2466</v>
      </c>
      <c r="R1255" s="610"/>
      <c r="S1255" s="315" t="s">
        <v>3290</v>
      </c>
      <c r="T1255" s="858"/>
    </row>
    <row r="1256" spans="1:20" ht="20.100000000000001" customHeight="1">
      <c r="A1256" s="1256" t="s">
        <v>2971</v>
      </c>
      <c r="B1256" s="1138" t="s">
        <v>2527</v>
      </c>
      <c r="C1256" s="1138" t="s">
        <v>3570</v>
      </c>
      <c r="D1256" s="1006">
        <f>D8+1270+25</f>
        <v>2845</v>
      </c>
      <c r="E1256" s="1006">
        <f>E8+1270+50</f>
        <v>3120</v>
      </c>
      <c r="F1256" s="1006">
        <f>F8+1270+50</f>
        <v>3120</v>
      </c>
      <c r="G1256" s="615" t="s">
        <v>5</v>
      </c>
      <c r="H1256" s="160" t="s">
        <v>2523</v>
      </c>
      <c r="I1256" s="37" t="s">
        <v>2127</v>
      </c>
      <c r="J1256" s="37" t="s">
        <v>2525</v>
      </c>
      <c r="K1256" s="5"/>
      <c r="L1256" s="624" t="s">
        <v>860</v>
      </c>
      <c r="M1256" s="159">
        <v>43087</v>
      </c>
      <c r="N1256" s="159">
        <v>43093</v>
      </c>
      <c r="O1256" s="153" t="s">
        <v>879</v>
      </c>
      <c r="P1256" s="52"/>
      <c r="Q1256" s="72" t="s">
        <v>3564</v>
      </c>
      <c r="R1256" s="610"/>
      <c r="S1256" s="316"/>
      <c r="T1256" s="858"/>
    </row>
    <row r="1257" spans="1:20" ht="20.100000000000001" customHeight="1">
      <c r="A1257" s="1256" t="s">
        <v>2971</v>
      </c>
      <c r="B1257" s="1138" t="s">
        <v>2527</v>
      </c>
      <c r="C1257" s="1138" t="s">
        <v>3570</v>
      </c>
      <c r="D1257" s="1006">
        <f>D42+1690+25</f>
        <v>3265</v>
      </c>
      <c r="E1257" s="1006">
        <f>E42+1690+50</f>
        <v>3540</v>
      </c>
      <c r="F1257" s="1006">
        <f>F42+1690+50</f>
        <v>3540</v>
      </c>
      <c r="G1257" s="615" t="s">
        <v>5</v>
      </c>
      <c r="H1257" s="160" t="s">
        <v>1652</v>
      </c>
      <c r="I1257" s="37" t="s">
        <v>2526</v>
      </c>
      <c r="J1257" s="37" t="s">
        <v>2525</v>
      </c>
      <c r="K1257" s="5"/>
      <c r="L1257" s="624" t="s">
        <v>860</v>
      </c>
      <c r="M1257" s="159">
        <v>43087</v>
      </c>
      <c r="N1257" s="159">
        <v>43093</v>
      </c>
      <c r="O1257" s="153" t="s">
        <v>879</v>
      </c>
      <c r="P1257" s="52"/>
      <c r="Q1257" s="72" t="s">
        <v>3564</v>
      </c>
      <c r="R1257" s="610"/>
      <c r="S1257" s="316"/>
      <c r="T1257" s="858"/>
    </row>
    <row r="1258" spans="1:20" ht="20.100000000000001" customHeight="1">
      <c r="A1258" s="1256" t="s">
        <v>2971</v>
      </c>
      <c r="B1258" s="1138" t="s">
        <v>2527</v>
      </c>
      <c r="C1258" s="1138" t="s">
        <v>3570</v>
      </c>
      <c r="D1258" s="1006">
        <f>D136+1900</f>
        <v>3500</v>
      </c>
      <c r="E1258" s="1006">
        <f>E136+1900</f>
        <v>3900</v>
      </c>
      <c r="F1258" s="1006">
        <f>F136+1900</f>
        <v>3900</v>
      </c>
      <c r="G1258" s="618" t="s">
        <v>33</v>
      </c>
      <c r="H1258" s="56">
        <v>5</v>
      </c>
      <c r="I1258" s="37" t="s">
        <v>2526</v>
      </c>
      <c r="J1258" s="37" t="s">
        <v>2525</v>
      </c>
      <c r="K1258" s="16">
        <v>20</v>
      </c>
      <c r="L1258" s="607" t="s">
        <v>653</v>
      </c>
      <c r="M1258" s="159">
        <v>43080</v>
      </c>
      <c r="N1258" s="159">
        <v>43086</v>
      </c>
      <c r="O1258" s="153" t="s">
        <v>2445</v>
      </c>
      <c r="P1258" s="61"/>
      <c r="Q1258" s="7"/>
      <c r="R1258" s="606" t="s">
        <v>2538</v>
      </c>
      <c r="S1258" s="316" t="s">
        <v>3333</v>
      </c>
      <c r="T1258" s="858"/>
    </row>
    <row r="1259" spans="1:20" ht="20.100000000000001" customHeight="1">
      <c r="A1259" s="1256" t="s">
        <v>2971</v>
      </c>
      <c r="B1259" s="1138" t="s">
        <v>2527</v>
      </c>
      <c r="C1259" s="1138" t="s">
        <v>3570</v>
      </c>
      <c r="D1259" s="1006">
        <f>D135+2300</f>
        <v>3900</v>
      </c>
      <c r="E1259" s="1006">
        <f>E135+2300</f>
        <v>4300</v>
      </c>
      <c r="F1259" s="1006">
        <f>F135+2300</f>
        <v>4300</v>
      </c>
      <c r="G1259" s="613" t="s">
        <v>33</v>
      </c>
      <c r="H1259" s="56">
        <v>6</v>
      </c>
      <c r="I1259" s="37" t="s">
        <v>2127</v>
      </c>
      <c r="J1259" s="37" t="s">
        <v>2525</v>
      </c>
      <c r="K1259" s="16">
        <v>20</v>
      </c>
      <c r="L1259" s="607" t="s">
        <v>653</v>
      </c>
      <c r="M1259" s="159">
        <v>43080</v>
      </c>
      <c r="N1259" s="159">
        <v>43086</v>
      </c>
      <c r="O1259" s="153" t="s">
        <v>2445</v>
      </c>
      <c r="P1259" s="61"/>
      <c r="Q1259" s="7"/>
      <c r="R1259" s="606" t="s">
        <v>3336</v>
      </c>
      <c r="S1259" s="316" t="s">
        <v>3333</v>
      </c>
      <c r="T1259" s="858"/>
    </row>
    <row r="1260" spans="1:20" ht="20.100000000000001" customHeight="1">
      <c r="A1260" s="1256" t="s">
        <v>2971</v>
      </c>
      <c r="B1260" s="1138" t="s">
        <v>2527</v>
      </c>
      <c r="C1260" s="1138" t="s">
        <v>3570</v>
      </c>
      <c r="D1260" s="1006">
        <f>D6+1391</f>
        <v>2941</v>
      </c>
      <c r="E1260" s="1006">
        <f>E6+1391</f>
        <v>3191</v>
      </c>
      <c r="F1260" s="1006">
        <f>F6+1391</f>
        <v>3191</v>
      </c>
      <c r="G1260" s="614" t="s">
        <v>19</v>
      </c>
      <c r="H1260" s="160" t="s">
        <v>2537</v>
      </c>
      <c r="I1260" s="37" t="s">
        <v>2127</v>
      </c>
      <c r="J1260" s="37" t="s">
        <v>2525</v>
      </c>
      <c r="K1260" s="5" t="s">
        <v>728</v>
      </c>
      <c r="L1260" s="607" t="s">
        <v>653</v>
      </c>
      <c r="M1260" s="156">
        <v>43084</v>
      </c>
      <c r="N1260" s="156">
        <v>43093</v>
      </c>
      <c r="O1260" s="153" t="s">
        <v>2131</v>
      </c>
      <c r="P1260" s="61" t="s">
        <v>2276</v>
      </c>
      <c r="Q1260" s="7"/>
      <c r="R1260" s="606" t="s">
        <v>3339</v>
      </c>
      <c r="S1260" s="315" t="s">
        <v>3337</v>
      </c>
      <c r="T1260" s="858"/>
    </row>
    <row r="1261" spans="1:20" ht="20.100000000000001" customHeight="1">
      <c r="A1261" s="1256" t="s">
        <v>2971</v>
      </c>
      <c r="B1261" s="1138" t="s">
        <v>2527</v>
      </c>
      <c r="C1261" s="1138" t="s">
        <v>3570</v>
      </c>
      <c r="D1261" s="1006">
        <f>D44+1550</f>
        <v>3100</v>
      </c>
      <c r="E1261" s="1006">
        <f>E44+1550</f>
        <v>3350</v>
      </c>
      <c r="F1261" s="1006">
        <f>F44+1550</f>
        <v>3350</v>
      </c>
      <c r="G1261" s="614" t="s">
        <v>19</v>
      </c>
      <c r="H1261" s="56" t="s">
        <v>1444</v>
      </c>
      <c r="I1261" s="37" t="s">
        <v>2526</v>
      </c>
      <c r="J1261" s="37" t="s">
        <v>2525</v>
      </c>
      <c r="K1261" s="5" t="s">
        <v>764</v>
      </c>
      <c r="L1261" s="607" t="s">
        <v>653</v>
      </c>
      <c r="M1261" s="156">
        <v>43084</v>
      </c>
      <c r="N1261" s="156">
        <v>43093</v>
      </c>
      <c r="O1261" s="153" t="s">
        <v>2131</v>
      </c>
      <c r="P1261" s="61" t="s">
        <v>3338</v>
      </c>
      <c r="Q1261" s="7"/>
      <c r="R1261" s="610" t="s">
        <v>1841</v>
      </c>
      <c r="S1261" s="315" t="s">
        <v>3337</v>
      </c>
      <c r="T1261" s="858"/>
    </row>
    <row r="1262" spans="1:20" ht="20.100000000000001" customHeight="1">
      <c r="A1262" s="1256" t="s">
        <v>2971</v>
      </c>
      <c r="B1262" s="1138" t="s">
        <v>2527</v>
      </c>
      <c r="C1262" s="1138" t="s">
        <v>3570</v>
      </c>
      <c r="D1262" s="1006">
        <f>D4+1150</f>
        <v>2325</v>
      </c>
      <c r="E1262" s="1006">
        <f>E4+1150</f>
        <v>2400</v>
      </c>
      <c r="F1262" s="1006">
        <f>F4+1150</f>
        <v>2400</v>
      </c>
      <c r="G1262" s="609" t="s">
        <v>1689</v>
      </c>
      <c r="H1262" s="160" t="s">
        <v>645</v>
      </c>
      <c r="I1262" s="37" t="s">
        <v>2127</v>
      </c>
      <c r="J1262" s="37" t="s">
        <v>2525</v>
      </c>
      <c r="K1262" s="5">
        <v>20</v>
      </c>
      <c r="L1262" s="607" t="s">
        <v>653</v>
      </c>
      <c r="M1262" s="156">
        <v>43076</v>
      </c>
      <c r="N1262" s="156">
        <v>43083</v>
      </c>
      <c r="O1262" s="153" t="s">
        <v>2529</v>
      </c>
      <c r="P1262" s="61"/>
      <c r="Q1262" s="61" t="s">
        <v>2125</v>
      </c>
      <c r="R1262" s="606" t="s">
        <v>2530</v>
      </c>
      <c r="S1262" s="316" t="s">
        <v>2943</v>
      </c>
      <c r="T1262" s="858"/>
    </row>
    <row r="1263" spans="1:20" ht="20.100000000000001" customHeight="1">
      <c r="A1263" s="1256" t="s">
        <v>2971</v>
      </c>
      <c r="B1263" s="1138" t="s">
        <v>2527</v>
      </c>
      <c r="C1263" s="1138" t="s">
        <v>3570</v>
      </c>
      <c r="D1263" s="1006">
        <f>D55+1250</f>
        <v>2425</v>
      </c>
      <c r="E1263" s="1006">
        <f>E55+1250</f>
        <v>2500</v>
      </c>
      <c r="F1263" s="1006">
        <f>F55+1250</f>
        <v>2500</v>
      </c>
      <c r="G1263" s="609" t="s">
        <v>1689</v>
      </c>
      <c r="H1263" s="160" t="s">
        <v>1311</v>
      </c>
      <c r="I1263" s="37" t="s">
        <v>2526</v>
      </c>
      <c r="J1263" s="37" t="s">
        <v>2525</v>
      </c>
      <c r="K1263" s="5" t="s">
        <v>775</v>
      </c>
      <c r="L1263" s="607" t="s">
        <v>653</v>
      </c>
      <c r="M1263" s="156">
        <v>43076</v>
      </c>
      <c r="N1263" s="156">
        <v>43083</v>
      </c>
      <c r="O1263" s="153" t="s">
        <v>2529</v>
      </c>
      <c r="P1263" s="61"/>
      <c r="Q1263" s="61" t="s">
        <v>2125</v>
      </c>
      <c r="R1263" s="606" t="s">
        <v>2528</v>
      </c>
      <c r="S1263" s="316" t="s">
        <v>2943</v>
      </c>
      <c r="T1263" s="858"/>
    </row>
    <row r="1264" spans="1:20" ht="20.100000000000001" customHeight="1">
      <c r="A1264" s="1256" t="s">
        <v>2971</v>
      </c>
      <c r="B1264" s="1138" t="s">
        <v>2527</v>
      </c>
      <c r="C1264" s="1138" t="s">
        <v>3570</v>
      </c>
      <c r="D1264" s="1006">
        <f>D18+1115</f>
        <v>2665</v>
      </c>
      <c r="E1264" s="1006">
        <f>E18+1115</f>
        <v>2915</v>
      </c>
      <c r="F1264" s="1006">
        <f>F18+1115</f>
        <v>2915</v>
      </c>
      <c r="G1264" s="608" t="s">
        <v>94</v>
      </c>
      <c r="H1264" s="56" t="s">
        <v>657</v>
      </c>
      <c r="I1264" s="5" t="s">
        <v>2127</v>
      </c>
      <c r="J1264" s="37" t="s">
        <v>2525</v>
      </c>
      <c r="K1264" s="5">
        <v>22</v>
      </c>
      <c r="L1264" s="607" t="s">
        <v>653</v>
      </c>
      <c r="M1264" s="108">
        <v>43087</v>
      </c>
      <c r="N1264" s="108">
        <v>43094</v>
      </c>
      <c r="O1264" s="61" t="s">
        <v>2444</v>
      </c>
      <c r="P1264" s="7"/>
      <c r="Q1264" s="7"/>
      <c r="R1264" s="606" t="s">
        <v>2126</v>
      </c>
      <c r="S1264" s="322" t="s">
        <v>1176</v>
      </c>
      <c r="T1264" s="858"/>
    </row>
    <row r="1265" spans="1:20" ht="20.100000000000001" customHeight="1">
      <c r="A1265" s="1256" t="s">
        <v>2971</v>
      </c>
      <c r="B1265" s="1138" t="s">
        <v>2527</v>
      </c>
      <c r="C1265" s="1138" t="s">
        <v>3570</v>
      </c>
      <c r="D1265" s="1006">
        <f>D41+1730+50</f>
        <v>3330</v>
      </c>
      <c r="E1265" s="1006">
        <f>E41+1730+100</f>
        <v>3630</v>
      </c>
      <c r="F1265" s="1006">
        <f>F41+1730+100</f>
        <v>3630</v>
      </c>
      <c r="G1265" s="608" t="s">
        <v>94</v>
      </c>
      <c r="H1265" s="168" t="s">
        <v>1102</v>
      </c>
      <c r="I1265" s="5" t="s">
        <v>2526</v>
      </c>
      <c r="J1265" s="37" t="s">
        <v>2525</v>
      </c>
      <c r="K1265" s="16">
        <v>26</v>
      </c>
      <c r="L1265" s="607" t="s">
        <v>653</v>
      </c>
      <c r="M1265" s="108">
        <v>43087</v>
      </c>
      <c r="N1265" s="108">
        <v>43094</v>
      </c>
      <c r="O1265" s="61" t="s">
        <v>2444</v>
      </c>
      <c r="P1265" s="7"/>
      <c r="Q1265" s="7"/>
      <c r="R1265" s="606" t="s">
        <v>2524</v>
      </c>
      <c r="S1265" s="322" t="s">
        <v>1176</v>
      </c>
      <c r="T1265" s="858"/>
    </row>
    <row r="1266" spans="1:20" ht="20.100000000000001" customHeight="1">
      <c r="A1266" s="1256" t="s">
        <v>2971</v>
      </c>
      <c r="B1266" s="1138" t="s">
        <v>2527</v>
      </c>
      <c r="C1266" s="1138" t="s">
        <v>3570</v>
      </c>
      <c r="D1266" s="1006">
        <f>D26+1500</f>
        <v>2750</v>
      </c>
      <c r="E1266" s="1006">
        <f>E26+1500</f>
        <v>3000</v>
      </c>
      <c r="F1266" s="1006">
        <f>F26+1500</f>
        <v>3000</v>
      </c>
      <c r="G1266" s="618" t="s">
        <v>31</v>
      </c>
      <c r="H1266" s="168" t="s">
        <v>681</v>
      </c>
      <c r="I1266" s="37" t="s">
        <v>2127</v>
      </c>
      <c r="J1266" s="37" t="s">
        <v>2525</v>
      </c>
      <c r="K1266" s="16">
        <v>22</v>
      </c>
      <c r="L1266" s="607" t="s">
        <v>653</v>
      </c>
      <c r="M1266" s="623">
        <v>43080</v>
      </c>
      <c r="N1266" s="623">
        <v>43083</v>
      </c>
      <c r="O1266" s="61" t="s">
        <v>1307</v>
      </c>
      <c r="P1266" s="61"/>
      <c r="Q1266" s="52"/>
      <c r="R1266" s="606" t="s">
        <v>3563</v>
      </c>
      <c r="S1266" s="622" t="s">
        <v>1176</v>
      </c>
      <c r="T1266" s="858"/>
    </row>
    <row r="1267" spans="1:20" ht="20.100000000000001" customHeight="1">
      <c r="A1267" s="1256" t="s">
        <v>2971</v>
      </c>
      <c r="B1267" s="1138" t="s">
        <v>2527</v>
      </c>
      <c r="C1267" s="1138" t="s">
        <v>3570</v>
      </c>
      <c r="D1267" s="1012">
        <f>D49+1700</f>
        <v>2950</v>
      </c>
      <c r="E1267" s="1012">
        <f>E49+1700</f>
        <v>3100</v>
      </c>
      <c r="F1267" s="1012">
        <f>F49+1700</f>
        <v>3100</v>
      </c>
      <c r="G1267" s="613" t="s">
        <v>13</v>
      </c>
      <c r="H1267" s="56">
        <v>5</v>
      </c>
      <c r="I1267" s="37" t="s">
        <v>2526</v>
      </c>
      <c r="J1267" s="37" t="s">
        <v>2525</v>
      </c>
      <c r="K1267" s="16">
        <v>20</v>
      </c>
      <c r="L1267" s="607" t="s">
        <v>653</v>
      </c>
      <c r="M1267" s="156">
        <v>43073</v>
      </c>
      <c r="N1267" s="156">
        <v>43083</v>
      </c>
      <c r="O1267" s="61" t="s">
        <v>3335</v>
      </c>
      <c r="P1267" s="61"/>
      <c r="Q1267" s="7"/>
      <c r="R1267" s="606" t="s">
        <v>2536</v>
      </c>
      <c r="S1267" s="316" t="s">
        <v>3334</v>
      </c>
      <c r="T1267" s="858"/>
    </row>
    <row r="1268" spans="1:20" ht="20.100000000000001" customHeight="1">
      <c r="A1268" s="1256" t="s">
        <v>2971</v>
      </c>
      <c r="B1268" s="1138" t="s">
        <v>2527</v>
      </c>
      <c r="C1268" s="1138" t="s">
        <v>3570</v>
      </c>
      <c r="D1268" s="1012">
        <f>D32+1800</f>
        <v>3050</v>
      </c>
      <c r="E1268" s="1012">
        <f>E32+1800</f>
        <v>3200</v>
      </c>
      <c r="F1268" s="1012">
        <f>F32+1800</f>
        <v>3200</v>
      </c>
      <c r="G1268" s="613" t="s">
        <v>13</v>
      </c>
      <c r="H1268" s="56">
        <v>6</v>
      </c>
      <c r="I1268" s="37" t="s">
        <v>2127</v>
      </c>
      <c r="J1268" s="37" t="s">
        <v>2525</v>
      </c>
      <c r="K1268" s="16">
        <v>18</v>
      </c>
      <c r="L1268" s="607" t="s">
        <v>653</v>
      </c>
      <c r="M1268" s="156">
        <v>43073</v>
      </c>
      <c r="N1268" s="156">
        <v>43083</v>
      </c>
      <c r="O1268" s="61" t="s">
        <v>3335</v>
      </c>
      <c r="P1268" s="61"/>
      <c r="Q1268" s="7"/>
      <c r="R1268" s="606" t="s">
        <v>3336</v>
      </c>
      <c r="S1268" s="316" t="s">
        <v>3334</v>
      </c>
      <c r="T1268" s="858"/>
    </row>
    <row r="1269" spans="1:20" ht="20.100000000000001" customHeight="1">
      <c r="A1269" s="1256" t="s">
        <v>2971</v>
      </c>
      <c r="B1269" s="1138" t="s">
        <v>2527</v>
      </c>
      <c r="C1269" s="1138" t="s">
        <v>3570</v>
      </c>
      <c r="D1269" s="1012">
        <f>D51+1550+50</f>
        <v>2675</v>
      </c>
      <c r="E1269" s="1012">
        <f>E51+1600+100</f>
        <v>2950</v>
      </c>
      <c r="F1269" s="1012">
        <f>F51+1600+100</f>
        <v>2950</v>
      </c>
      <c r="G1269" s="613" t="s">
        <v>29</v>
      </c>
      <c r="H1269" s="56">
        <v>5</v>
      </c>
      <c r="I1269" s="37" t="s">
        <v>2526</v>
      </c>
      <c r="J1269" s="37" t="s">
        <v>2525</v>
      </c>
      <c r="K1269" s="16">
        <v>20</v>
      </c>
      <c r="L1269" s="607" t="s">
        <v>653</v>
      </c>
      <c r="M1269" s="620">
        <v>43084</v>
      </c>
      <c r="N1269" s="620">
        <v>43086</v>
      </c>
      <c r="O1269" s="61" t="s">
        <v>3335</v>
      </c>
      <c r="P1269" s="61"/>
      <c r="Q1269" s="7"/>
      <c r="R1269" s="606" t="s">
        <v>3562</v>
      </c>
      <c r="S1269" s="316" t="s">
        <v>3561</v>
      </c>
      <c r="T1269" s="858"/>
    </row>
    <row r="1270" spans="1:20" ht="20.100000000000001" customHeight="1">
      <c r="A1270" s="1256" t="s">
        <v>2971</v>
      </c>
      <c r="B1270" s="1138" t="s">
        <v>2527</v>
      </c>
      <c r="C1270" s="1138" t="s">
        <v>3570</v>
      </c>
      <c r="D1270" s="1012">
        <f>D34+1500+50</f>
        <v>2625</v>
      </c>
      <c r="E1270" s="1012">
        <f>E34+1500+100</f>
        <v>2850</v>
      </c>
      <c r="F1270" s="1012">
        <f>F34+1500+100</f>
        <v>2850</v>
      </c>
      <c r="G1270" s="621" t="s">
        <v>29</v>
      </c>
      <c r="H1270" s="56">
        <v>6</v>
      </c>
      <c r="I1270" s="37" t="s">
        <v>2127</v>
      </c>
      <c r="J1270" s="37" t="s">
        <v>2525</v>
      </c>
      <c r="K1270" s="16">
        <v>20</v>
      </c>
      <c r="L1270" s="607" t="s">
        <v>653</v>
      </c>
      <c r="M1270" s="620">
        <v>43084</v>
      </c>
      <c r="N1270" s="620">
        <v>43086</v>
      </c>
      <c r="O1270" s="61" t="s">
        <v>3335</v>
      </c>
      <c r="P1270" s="61"/>
      <c r="Q1270" s="7"/>
      <c r="R1270" s="606" t="s">
        <v>3336</v>
      </c>
      <c r="S1270" s="316" t="s">
        <v>3561</v>
      </c>
      <c r="T1270" s="858"/>
    </row>
    <row r="1271" spans="1:20" ht="20.100000000000001" customHeight="1">
      <c r="A1271" s="1256" t="s">
        <v>2971</v>
      </c>
      <c r="B1271" s="1138" t="s">
        <v>2527</v>
      </c>
      <c r="C1271" s="1138" t="s">
        <v>3570</v>
      </c>
      <c r="D1271" s="1006">
        <f>D22+1400+25</f>
        <v>2925</v>
      </c>
      <c r="E1271" s="1006">
        <f>E22+1400+50</f>
        <v>3150</v>
      </c>
      <c r="F1271" s="1006">
        <f>F22+1400+50</f>
        <v>3150</v>
      </c>
      <c r="G1271" s="618" t="s">
        <v>28</v>
      </c>
      <c r="H1271" s="160" t="s">
        <v>2535</v>
      </c>
      <c r="I1271" s="50" t="s">
        <v>2127</v>
      </c>
      <c r="J1271" s="37" t="s">
        <v>2525</v>
      </c>
      <c r="K1271" s="34">
        <v>22</v>
      </c>
      <c r="L1271" s="607" t="s">
        <v>653</v>
      </c>
      <c r="M1271" s="620">
        <v>43086</v>
      </c>
      <c r="N1271" s="620">
        <v>43100</v>
      </c>
      <c r="O1271" s="59" t="s">
        <v>3559</v>
      </c>
      <c r="P1271" s="59"/>
      <c r="Q1271" s="61" t="s">
        <v>2466</v>
      </c>
      <c r="R1271" s="610" t="s">
        <v>3558</v>
      </c>
      <c r="S1271" s="619"/>
      <c r="T1271" s="858"/>
    </row>
    <row r="1272" spans="1:20" ht="20.100000000000001" customHeight="1">
      <c r="A1272" s="1138" t="s">
        <v>2971</v>
      </c>
      <c r="B1272" s="1138" t="s">
        <v>2527</v>
      </c>
      <c r="C1272" s="1138" t="s">
        <v>3560</v>
      </c>
      <c r="D1272" s="1006">
        <f>D30+370</f>
        <v>1920</v>
      </c>
      <c r="E1272" s="1006">
        <f>E30+340</f>
        <v>2140</v>
      </c>
      <c r="F1272" s="1006">
        <f>F30+340</f>
        <v>2140</v>
      </c>
      <c r="G1272" s="615" t="s">
        <v>51</v>
      </c>
      <c r="H1272" s="160" t="s">
        <v>2532</v>
      </c>
      <c r="I1272" s="37" t="s">
        <v>2127</v>
      </c>
      <c r="J1272" s="37" t="s">
        <v>2539</v>
      </c>
      <c r="K1272" s="5"/>
      <c r="L1272" s="607" t="s">
        <v>653</v>
      </c>
      <c r="M1272" s="611">
        <v>43086</v>
      </c>
      <c r="N1272" s="611">
        <v>43100</v>
      </c>
      <c r="O1272" s="61" t="s">
        <v>3291</v>
      </c>
      <c r="P1272" s="52"/>
      <c r="Q1272" s="61" t="s">
        <v>3569</v>
      </c>
      <c r="R1272" s="610"/>
      <c r="S1272" s="315" t="s">
        <v>3290</v>
      </c>
      <c r="T1272" s="858"/>
    </row>
    <row r="1273" spans="1:20" ht="20.100000000000001" customHeight="1">
      <c r="A1273" s="1138" t="s">
        <v>2971</v>
      </c>
      <c r="B1273" s="1138" t="s">
        <v>2527</v>
      </c>
      <c r="C1273" s="1138" t="s">
        <v>3560</v>
      </c>
      <c r="D1273" s="1006">
        <f>D8+380+25</f>
        <v>1955</v>
      </c>
      <c r="E1273" s="1006">
        <f>E8+410+50</f>
        <v>2260</v>
      </c>
      <c r="F1273" s="1006">
        <f>F8+410+50</f>
        <v>2260</v>
      </c>
      <c r="G1273" s="615" t="s">
        <v>5</v>
      </c>
      <c r="H1273" s="160" t="s">
        <v>2523</v>
      </c>
      <c r="I1273" s="37" t="s">
        <v>2127</v>
      </c>
      <c r="J1273" s="37" t="s">
        <v>2539</v>
      </c>
      <c r="K1273" s="5"/>
      <c r="L1273" s="624" t="s">
        <v>860</v>
      </c>
      <c r="M1273" s="159">
        <v>43087</v>
      </c>
      <c r="N1273" s="159">
        <v>43093</v>
      </c>
      <c r="O1273" s="153" t="s">
        <v>879</v>
      </c>
      <c r="P1273" s="52"/>
      <c r="Q1273" s="72" t="s">
        <v>3565</v>
      </c>
      <c r="R1273" s="610"/>
      <c r="S1273" s="316"/>
      <c r="T1273" s="858"/>
    </row>
    <row r="1274" spans="1:20" ht="20.100000000000001" customHeight="1">
      <c r="A1274" s="1138" t="s">
        <v>2971</v>
      </c>
      <c r="B1274" s="1138" t="s">
        <v>2527</v>
      </c>
      <c r="C1274" s="1138" t="s">
        <v>3560</v>
      </c>
      <c r="D1274" s="1006">
        <f>D135+350</f>
        <v>1950</v>
      </c>
      <c r="E1274" s="1006">
        <f>E135+350</f>
        <v>2350</v>
      </c>
      <c r="F1274" s="1006">
        <f>F135+350</f>
        <v>2350</v>
      </c>
      <c r="G1274" s="613" t="s">
        <v>33</v>
      </c>
      <c r="H1274" s="56" t="s">
        <v>2535</v>
      </c>
      <c r="I1274" s="37" t="s">
        <v>2127</v>
      </c>
      <c r="J1274" s="37" t="s">
        <v>2539</v>
      </c>
      <c r="K1274" s="16">
        <v>20</v>
      </c>
      <c r="L1274" s="607" t="s">
        <v>653</v>
      </c>
      <c r="M1274" s="159">
        <v>43080</v>
      </c>
      <c r="N1274" s="159">
        <v>43086</v>
      </c>
      <c r="O1274" s="153" t="s">
        <v>2445</v>
      </c>
      <c r="P1274" s="61"/>
      <c r="Q1274" s="7"/>
      <c r="R1274" s="606" t="s">
        <v>2542</v>
      </c>
      <c r="S1274" s="316" t="s">
        <v>3333</v>
      </c>
      <c r="T1274" s="858"/>
    </row>
    <row r="1275" spans="1:20" ht="20.100000000000001" customHeight="1">
      <c r="A1275" s="1138" t="s">
        <v>2971</v>
      </c>
      <c r="B1275" s="1138" t="s">
        <v>2527</v>
      </c>
      <c r="C1275" s="1138" t="s">
        <v>3560</v>
      </c>
      <c r="D1275" s="1006">
        <f>D6+335</f>
        <v>1885</v>
      </c>
      <c r="E1275" s="1006">
        <f>E6+373</f>
        <v>2173</v>
      </c>
      <c r="F1275" s="1006">
        <f>F6+373</f>
        <v>2173</v>
      </c>
      <c r="G1275" s="614" t="s">
        <v>19</v>
      </c>
      <c r="H1275" s="160" t="s">
        <v>2537</v>
      </c>
      <c r="I1275" s="37" t="s">
        <v>2127</v>
      </c>
      <c r="J1275" s="37" t="s">
        <v>2539</v>
      </c>
      <c r="K1275" s="5" t="s">
        <v>728</v>
      </c>
      <c r="L1275" s="607" t="s">
        <v>653</v>
      </c>
      <c r="M1275" s="156">
        <v>43084</v>
      </c>
      <c r="N1275" s="156">
        <v>43093</v>
      </c>
      <c r="O1275" s="153" t="s">
        <v>2131</v>
      </c>
      <c r="P1275" s="61" t="s">
        <v>2276</v>
      </c>
      <c r="Q1275" s="7"/>
      <c r="R1275" s="606" t="s">
        <v>3339</v>
      </c>
      <c r="S1275" s="315" t="s">
        <v>3337</v>
      </c>
      <c r="T1275" s="858"/>
    </row>
    <row r="1276" spans="1:20" ht="20.100000000000001" customHeight="1">
      <c r="A1276" s="1138" t="s">
        <v>2971</v>
      </c>
      <c r="B1276" s="1138" t="s">
        <v>2527</v>
      </c>
      <c r="C1276" s="1138" t="s">
        <v>3560</v>
      </c>
      <c r="D1276" s="1006">
        <f>D4+304</f>
        <v>1479</v>
      </c>
      <c r="E1276" s="1006">
        <f>E4+346</f>
        <v>1596</v>
      </c>
      <c r="F1276" s="1006">
        <f>F4+346</f>
        <v>1596</v>
      </c>
      <c r="G1276" s="609" t="s">
        <v>1689</v>
      </c>
      <c r="H1276" s="160" t="s">
        <v>645</v>
      </c>
      <c r="I1276" s="37" t="s">
        <v>2127</v>
      </c>
      <c r="J1276" s="37" t="s">
        <v>2539</v>
      </c>
      <c r="K1276" s="5">
        <v>20</v>
      </c>
      <c r="L1276" s="607" t="s">
        <v>653</v>
      </c>
      <c r="M1276" s="156">
        <v>43076</v>
      </c>
      <c r="N1276" s="156">
        <v>43083</v>
      </c>
      <c r="O1276" s="153" t="s">
        <v>2529</v>
      </c>
      <c r="P1276" s="61"/>
      <c r="Q1276" s="61" t="s">
        <v>2133</v>
      </c>
      <c r="R1276" s="606" t="s">
        <v>2530</v>
      </c>
      <c r="S1276" s="316" t="s">
        <v>2943</v>
      </c>
      <c r="T1276" s="858"/>
    </row>
    <row r="1277" spans="1:20" ht="20.100000000000001" customHeight="1">
      <c r="A1277" s="1138" t="s">
        <v>2971</v>
      </c>
      <c r="B1277" s="1138" t="s">
        <v>2527</v>
      </c>
      <c r="C1277" s="1138" t="s">
        <v>3560</v>
      </c>
      <c r="D1277" s="1006">
        <f>D17+325</f>
        <v>1450</v>
      </c>
      <c r="E1277" s="1006">
        <f>E17+375</f>
        <v>1575</v>
      </c>
      <c r="F1277" s="1006">
        <f>F17+375</f>
        <v>1575</v>
      </c>
      <c r="G1277" s="613" t="s">
        <v>30</v>
      </c>
      <c r="H1277" s="56" t="s">
        <v>725</v>
      </c>
      <c r="I1277" s="37" t="s">
        <v>2127</v>
      </c>
      <c r="J1277" s="37" t="s">
        <v>2539</v>
      </c>
      <c r="K1277" s="16" t="s">
        <v>728</v>
      </c>
      <c r="L1277" s="607" t="s">
        <v>653</v>
      </c>
      <c r="M1277" s="15">
        <v>43078</v>
      </c>
      <c r="N1277" s="159">
        <v>43084</v>
      </c>
      <c r="O1277" s="61" t="s">
        <v>1307</v>
      </c>
      <c r="P1277" s="61"/>
      <c r="Q1277" s="7"/>
      <c r="R1277" s="606" t="s">
        <v>3568</v>
      </c>
      <c r="S1277" s="316" t="s">
        <v>3567</v>
      </c>
      <c r="T1277" s="626" t="s">
        <v>1018</v>
      </c>
    </row>
    <row r="1278" spans="1:20" ht="20.100000000000001" customHeight="1">
      <c r="A1278" s="1138" t="s">
        <v>2971</v>
      </c>
      <c r="B1278" s="1138" t="s">
        <v>2527</v>
      </c>
      <c r="C1278" s="1138" t="s">
        <v>3560</v>
      </c>
      <c r="D1278" s="1006">
        <f>D26+310</f>
        <v>1560</v>
      </c>
      <c r="E1278" s="1006">
        <f>E26+370</f>
        <v>1870</v>
      </c>
      <c r="F1278" s="1006">
        <f>F26+370</f>
        <v>1870</v>
      </c>
      <c r="G1278" s="618" t="s">
        <v>31</v>
      </c>
      <c r="H1278" s="168" t="s">
        <v>681</v>
      </c>
      <c r="I1278" s="37" t="s">
        <v>2127</v>
      </c>
      <c r="J1278" s="37" t="s">
        <v>2539</v>
      </c>
      <c r="K1278" s="16">
        <v>22</v>
      </c>
      <c r="L1278" s="607" t="s">
        <v>653</v>
      </c>
      <c r="M1278" s="623">
        <v>43080</v>
      </c>
      <c r="N1278" s="623">
        <v>43083</v>
      </c>
      <c r="O1278" s="61" t="s">
        <v>1307</v>
      </c>
      <c r="P1278" s="61"/>
      <c r="Q1278" s="52"/>
      <c r="R1278" s="606" t="s">
        <v>3563</v>
      </c>
      <c r="S1278" s="622" t="s">
        <v>1176</v>
      </c>
      <c r="T1278" s="858"/>
    </row>
    <row r="1279" spans="1:20" ht="20.100000000000001" customHeight="1">
      <c r="A1279" s="1138" t="s">
        <v>2971</v>
      </c>
      <c r="B1279" s="1138" t="s">
        <v>2527</v>
      </c>
      <c r="C1279" s="1138" t="s">
        <v>3560</v>
      </c>
      <c r="D1279" s="1006">
        <f>D18+340</f>
        <v>1890</v>
      </c>
      <c r="E1279" s="1006">
        <f>E18+490</f>
        <v>2290</v>
      </c>
      <c r="F1279" s="1006">
        <f>F18+490</f>
        <v>2290</v>
      </c>
      <c r="G1279" s="608" t="s">
        <v>94</v>
      </c>
      <c r="H1279" s="56" t="s">
        <v>657</v>
      </c>
      <c r="I1279" s="5" t="s">
        <v>2127</v>
      </c>
      <c r="J1279" s="37" t="s">
        <v>2539</v>
      </c>
      <c r="K1279" s="5">
        <v>22</v>
      </c>
      <c r="L1279" s="607" t="s">
        <v>653</v>
      </c>
      <c r="M1279" s="108">
        <v>43087</v>
      </c>
      <c r="N1279" s="108">
        <v>43094</v>
      </c>
      <c r="O1279" s="61" t="s">
        <v>2444</v>
      </c>
      <c r="P1279" s="7"/>
      <c r="Q1279" s="7"/>
      <c r="R1279" s="606" t="s">
        <v>2126</v>
      </c>
      <c r="S1279" s="322" t="s">
        <v>1176</v>
      </c>
      <c r="T1279" s="858"/>
    </row>
    <row r="1280" spans="1:20" ht="20.100000000000001" customHeight="1">
      <c r="A1280" s="1138" t="s">
        <v>2971</v>
      </c>
      <c r="B1280" s="1138" t="s">
        <v>2527</v>
      </c>
      <c r="C1280" s="1138" t="s">
        <v>3560</v>
      </c>
      <c r="D1280" s="1012">
        <f>D32+450</f>
        <v>1700</v>
      </c>
      <c r="E1280" s="1012">
        <f>E32+500</f>
        <v>1900</v>
      </c>
      <c r="F1280" s="1012">
        <f>F32+500</f>
        <v>1900</v>
      </c>
      <c r="G1280" s="613" t="s">
        <v>13</v>
      </c>
      <c r="H1280" s="56">
        <v>6</v>
      </c>
      <c r="I1280" s="37" t="s">
        <v>2127</v>
      </c>
      <c r="J1280" s="37" t="s">
        <v>2539</v>
      </c>
      <c r="K1280" s="16">
        <v>18</v>
      </c>
      <c r="L1280" s="607" t="s">
        <v>653</v>
      </c>
      <c r="M1280" s="156">
        <v>43073</v>
      </c>
      <c r="N1280" s="156">
        <v>43083</v>
      </c>
      <c r="O1280" s="61" t="s">
        <v>3335</v>
      </c>
      <c r="P1280" s="61"/>
      <c r="Q1280" s="7"/>
      <c r="R1280" s="606" t="s">
        <v>3336</v>
      </c>
      <c r="S1280" s="316" t="s">
        <v>3334</v>
      </c>
      <c r="T1280" s="858"/>
    </row>
    <row r="1281" spans="1:20" ht="20.100000000000001" customHeight="1">
      <c r="A1281" s="1138" t="s">
        <v>2971</v>
      </c>
      <c r="B1281" s="1138" t="s">
        <v>2527</v>
      </c>
      <c r="C1281" s="1138" t="s">
        <v>3560</v>
      </c>
      <c r="D1281" s="1012">
        <f>D51+360+50</f>
        <v>1485</v>
      </c>
      <c r="E1281" s="1012">
        <f>E51+600+100</f>
        <v>1950</v>
      </c>
      <c r="F1281" s="1012">
        <f>F51+600+100</f>
        <v>1950</v>
      </c>
      <c r="G1281" s="613" t="s">
        <v>29</v>
      </c>
      <c r="H1281" s="56">
        <v>5</v>
      </c>
      <c r="I1281" s="37" t="s">
        <v>2526</v>
      </c>
      <c r="J1281" s="37" t="s">
        <v>2539</v>
      </c>
      <c r="K1281" s="16">
        <v>20</v>
      </c>
      <c r="L1281" s="607" t="s">
        <v>653</v>
      </c>
      <c r="M1281" s="620">
        <v>43084</v>
      </c>
      <c r="N1281" s="620">
        <v>43086</v>
      </c>
      <c r="O1281" s="61" t="s">
        <v>3335</v>
      </c>
      <c r="P1281" s="61"/>
      <c r="Q1281" s="7"/>
      <c r="R1281" s="606" t="s">
        <v>3562</v>
      </c>
      <c r="S1281" s="316" t="s">
        <v>3561</v>
      </c>
      <c r="T1281" s="858"/>
    </row>
    <row r="1282" spans="1:20" ht="20.100000000000001" customHeight="1">
      <c r="A1282" s="1138" t="s">
        <v>2971</v>
      </c>
      <c r="B1282" s="1138" t="s">
        <v>2527</v>
      </c>
      <c r="C1282" s="1138" t="s">
        <v>3560</v>
      </c>
      <c r="D1282" s="1012">
        <f>D34+310+50</f>
        <v>1435</v>
      </c>
      <c r="E1282" s="1012">
        <f>E34+500+100</f>
        <v>1850</v>
      </c>
      <c r="F1282" s="1012">
        <f>F34+500+100</f>
        <v>1850</v>
      </c>
      <c r="G1282" s="616" t="s">
        <v>29</v>
      </c>
      <c r="H1282" s="56">
        <v>6</v>
      </c>
      <c r="I1282" s="37" t="s">
        <v>2127</v>
      </c>
      <c r="J1282" s="37" t="s">
        <v>2539</v>
      </c>
      <c r="K1282" s="16">
        <v>20</v>
      </c>
      <c r="L1282" s="607" t="s">
        <v>653</v>
      </c>
      <c r="M1282" s="620">
        <v>43084</v>
      </c>
      <c r="N1282" s="620">
        <v>43086</v>
      </c>
      <c r="O1282" s="61" t="s">
        <v>3335</v>
      </c>
      <c r="P1282" s="61"/>
      <c r="Q1282" s="7"/>
      <c r="R1282" s="606" t="s">
        <v>3336</v>
      </c>
      <c r="S1282" s="316" t="s">
        <v>3561</v>
      </c>
      <c r="T1282" s="858"/>
    </row>
    <row r="1283" spans="1:20" ht="20.100000000000001" customHeight="1">
      <c r="A1283" s="1138" t="s">
        <v>2971</v>
      </c>
      <c r="B1283" s="1138" t="s">
        <v>2527</v>
      </c>
      <c r="C1283" s="1138" t="s">
        <v>3560</v>
      </c>
      <c r="D1283" s="1006">
        <f>D22+380+25</f>
        <v>1905</v>
      </c>
      <c r="E1283" s="1006">
        <f>E22+450+50</f>
        <v>2200</v>
      </c>
      <c r="F1283" s="1006">
        <f>F22+450+50</f>
        <v>2200</v>
      </c>
      <c r="G1283" s="618" t="s">
        <v>28</v>
      </c>
      <c r="H1283" s="160" t="s">
        <v>2535</v>
      </c>
      <c r="I1283" s="50" t="s">
        <v>2127</v>
      </c>
      <c r="J1283" s="37" t="s">
        <v>2539</v>
      </c>
      <c r="K1283" s="34">
        <v>22</v>
      </c>
      <c r="L1283" s="607" t="s">
        <v>653</v>
      </c>
      <c r="M1283" s="620">
        <v>43086</v>
      </c>
      <c r="N1283" s="620">
        <v>43100</v>
      </c>
      <c r="O1283" s="59" t="s">
        <v>3559</v>
      </c>
      <c r="P1283" s="59"/>
      <c r="Q1283" s="61" t="s">
        <v>2599</v>
      </c>
      <c r="R1283" s="610" t="s">
        <v>3558</v>
      </c>
      <c r="S1283" s="619"/>
      <c r="T1283" s="858"/>
    </row>
    <row r="1284" spans="1:20" ht="20.100000000000001" customHeight="1">
      <c r="A1284" s="1256" t="s">
        <v>2971</v>
      </c>
      <c r="B1284" s="1138" t="s">
        <v>2527</v>
      </c>
      <c r="C1284" s="1138" t="s">
        <v>3560</v>
      </c>
      <c r="D1284" s="1006">
        <f>D30+620</f>
        <v>2170</v>
      </c>
      <c r="E1284" s="1006">
        <f>E30+625</f>
        <v>2425</v>
      </c>
      <c r="F1284" s="1006">
        <f>F30+625</f>
        <v>2425</v>
      </c>
      <c r="G1284" s="615" t="s">
        <v>51</v>
      </c>
      <c r="H1284" s="160" t="s">
        <v>2532</v>
      </c>
      <c r="I1284" s="37" t="s">
        <v>2127</v>
      </c>
      <c r="J1284" s="37" t="s">
        <v>1211</v>
      </c>
      <c r="K1284" s="5"/>
      <c r="L1284" s="607" t="s">
        <v>653</v>
      </c>
      <c r="M1284" s="611">
        <v>43086</v>
      </c>
      <c r="N1284" s="611">
        <v>43100</v>
      </c>
      <c r="O1284" s="61" t="s">
        <v>3291</v>
      </c>
      <c r="P1284" s="52"/>
      <c r="Q1284" s="61" t="s">
        <v>3566</v>
      </c>
      <c r="R1284" s="610"/>
      <c r="S1284" s="315" t="s">
        <v>3290</v>
      </c>
      <c r="T1284" s="858"/>
    </row>
    <row r="1285" spans="1:20" ht="20.100000000000001" customHeight="1">
      <c r="A1285" s="1256" t="s">
        <v>2971</v>
      </c>
      <c r="B1285" s="1138" t="s">
        <v>2527</v>
      </c>
      <c r="C1285" s="1138" t="s">
        <v>3560</v>
      </c>
      <c r="D1285" s="1006">
        <f>D8+569+25</f>
        <v>2144</v>
      </c>
      <c r="E1285" s="1006">
        <f>E8+602+50</f>
        <v>2452</v>
      </c>
      <c r="F1285" s="1006">
        <f>F8+602+50</f>
        <v>2452</v>
      </c>
      <c r="G1285" s="615" t="s">
        <v>5</v>
      </c>
      <c r="H1285" s="160" t="s">
        <v>2523</v>
      </c>
      <c r="I1285" s="37" t="s">
        <v>2127</v>
      </c>
      <c r="J1285" s="37" t="s">
        <v>1211</v>
      </c>
      <c r="K1285" s="5"/>
      <c r="L1285" s="624" t="s">
        <v>860</v>
      </c>
      <c r="M1285" s="159">
        <v>43087</v>
      </c>
      <c r="N1285" s="159">
        <v>43093</v>
      </c>
      <c r="O1285" s="153" t="s">
        <v>879</v>
      </c>
      <c r="P1285" s="52"/>
      <c r="Q1285" s="72" t="s">
        <v>3565</v>
      </c>
      <c r="R1285" s="610"/>
      <c r="S1285" s="316"/>
      <c r="T1285" s="858"/>
    </row>
    <row r="1286" spans="1:20" ht="20.100000000000001" customHeight="1">
      <c r="A1286" s="1256" t="s">
        <v>2971</v>
      </c>
      <c r="B1286" s="1138" t="s">
        <v>2527</v>
      </c>
      <c r="C1286" s="1138" t="s">
        <v>3560</v>
      </c>
      <c r="D1286" s="1006">
        <f>D135+550</f>
        <v>2150</v>
      </c>
      <c r="E1286" s="1006">
        <f>E135+600</f>
        <v>2600</v>
      </c>
      <c r="F1286" s="1006">
        <f>F135+600</f>
        <v>2600</v>
      </c>
      <c r="G1286" s="613" t="s">
        <v>33</v>
      </c>
      <c r="H1286" s="56" t="s">
        <v>2535</v>
      </c>
      <c r="I1286" s="37" t="s">
        <v>2127</v>
      </c>
      <c r="J1286" s="37" t="s">
        <v>1211</v>
      </c>
      <c r="K1286" s="16">
        <v>20</v>
      </c>
      <c r="L1286" s="607" t="s">
        <v>653</v>
      </c>
      <c r="M1286" s="159">
        <v>43080</v>
      </c>
      <c r="N1286" s="159">
        <v>43086</v>
      </c>
      <c r="O1286" s="153" t="s">
        <v>2445</v>
      </c>
      <c r="P1286" s="61"/>
      <c r="Q1286" s="7"/>
      <c r="R1286" s="606" t="s">
        <v>2542</v>
      </c>
      <c r="S1286" s="316" t="s">
        <v>3333</v>
      </c>
      <c r="T1286" s="858"/>
    </row>
    <row r="1287" spans="1:20" ht="20.100000000000001" customHeight="1">
      <c r="A1287" s="1256" t="s">
        <v>2971</v>
      </c>
      <c r="B1287" s="1138" t="s">
        <v>2527</v>
      </c>
      <c r="C1287" s="1138" t="s">
        <v>3560</v>
      </c>
      <c r="D1287" s="1006">
        <f>D6+390</f>
        <v>1940</v>
      </c>
      <c r="E1287" s="1006">
        <f>E6+425</f>
        <v>2225</v>
      </c>
      <c r="F1287" s="1006">
        <f>F6+425</f>
        <v>2225</v>
      </c>
      <c r="G1287" s="614" t="s">
        <v>19</v>
      </c>
      <c r="H1287" s="160" t="s">
        <v>2537</v>
      </c>
      <c r="I1287" s="37" t="s">
        <v>2127</v>
      </c>
      <c r="J1287" s="37" t="s">
        <v>1211</v>
      </c>
      <c r="K1287" s="5" t="s">
        <v>728</v>
      </c>
      <c r="L1287" s="607" t="s">
        <v>653</v>
      </c>
      <c r="M1287" s="156">
        <v>43084</v>
      </c>
      <c r="N1287" s="156">
        <v>43093</v>
      </c>
      <c r="O1287" s="153" t="s">
        <v>2131</v>
      </c>
      <c r="P1287" s="61" t="s">
        <v>2276</v>
      </c>
      <c r="Q1287" s="7"/>
      <c r="R1287" s="606" t="s">
        <v>3339</v>
      </c>
      <c r="S1287" s="315" t="s">
        <v>3337</v>
      </c>
      <c r="T1287" s="858"/>
    </row>
    <row r="1288" spans="1:20" ht="20.100000000000001" customHeight="1">
      <c r="A1288" s="1256" t="s">
        <v>2971</v>
      </c>
      <c r="B1288" s="1138" t="s">
        <v>2527</v>
      </c>
      <c r="C1288" s="1138" t="s">
        <v>3560</v>
      </c>
      <c r="D1288" s="1006">
        <f>D4+549</f>
        <v>1724</v>
      </c>
      <c r="E1288" s="1006">
        <f>E4+591</f>
        <v>1841</v>
      </c>
      <c r="F1288" s="1006">
        <f>F4+591</f>
        <v>1841</v>
      </c>
      <c r="G1288" s="609" t="s">
        <v>1689</v>
      </c>
      <c r="H1288" s="160" t="s">
        <v>645</v>
      </c>
      <c r="I1288" s="37" t="s">
        <v>2127</v>
      </c>
      <c r="J1288" s="37" t="s">
        <v>1211</v>
      </c>
      <c r="K1288" s="5">
        <v>20</v>
      </c>
      <c r="L1288" s="607" t="s">
        <v>653</v>
      </c>
      <c r="M1288" s="156">
        <v>43076</v>
      </c>
      <c r="N1288" s="156">
        <v>43083</v>
      </c>
      <c r="O1288" s="153" t="s">
        <v>2529</v>
      </c>
      <c r="P1288" s="61"/>
      <c r="Q1288" s="61" t="s">
        <v>2133</v>
      </c>
      <c r="R1288" s="606" t="s">
        <v>2530</v>
      </c>
      <c r="S1288" s="316" t="s">
        <v>2943</v>
      </c>
      <c r="T1288" s="858"/>
    </row>
    <row r="1289" spans="1:20" ht="20.100000000000001" customHeight="1">
      <c r="A1289" s="1256" t="s">
        <v>2971</v>
      </c>
      <c r="B1289" s="1138" t="s">
        <v>2527</v>
      </c>
      <c r="C1289" s="1138" t="s">
        <v>3560</v>
      </c>
      <c r="D1289" s="1006">
        <f>D18+580</f>
        <v>2130</v>
      </c>
      <c r="E1289" s="1006">
        <f>E18+640</f>
        <v>2440</v>
      </c>
      <c r="F1289" s="1006">
        <f>F18+640</f>
        <v>2440</v>
      </c>
      <c r="G1289" s="608" t="s">
        <v>94</v>
      </c>
      <c r="H1289" s="56" t="s">
        <v>657</v>
      </c>
      <c r="I1289" s="5" t="s">
        <v>2127</v>
      </c>
      <c r="J1289" s="37" t="s">
        <v>1211</v>
      </c>
      <c r="K1289" s="16">
        <v>23</v>
      </c>
      <c r="L1289" s="607" t="s">
        <v>653</v>
      </c>
      <c r="M1289" s="108">
        <v>43087</v>
      </c>
      <c r="N1289" s="108">
        <v>43094</v>
      </c>
      <c r="O1289" s="61" t="s">
        <v>2444</v>
      </c>
      <c r="P1289" s="7"/>
      <c r="Q1289" s="7"/>
      <c r="R1289" s="606" t="s">
        <v>2126</v>
      </c>
      <c r="S1289" s="322" t="s">
        <v>1176</v>
      </c>
      <c r="T1289" s="858"/>
    </row>
    <row r="1290" spans="1:20" ht="20.100000000000001" customHeight="1">
      <c r="A1290" s="1256" t="s">
        <v>2971</v>
      </c>
      <c r="B1290" s="1138" t="s">
        <v>2527</v>
      </c>
      <c r="C1290" s="1138" t="s">
        <v>3560</v>
      </c>
      <c r="D1290" s="1006">
        <f>D41+1900</f>
        <v>3450</v>
      </c>
      <c r="E1290" s="1006">
        <f>E41+1980</f>
        <v>3780</v>
      </c>
      <c r="F1290" s="1006">
        <f>F41+1980</f>
        <v>3780</v>
      </c>
      <c r="G1290" s="608" t="s">
        <v>94</v>
      </c>
      <c r="H1290" s="168" t="s">
        <v>1102</v>
      </c>
      <c r="I1290" s="5" t="s">
        <v>2526</v>
      </c>
      <c r="J1290" s="37" t="s">
        <v>1211</v>
      </c>
      <c r="K1290" s="16">
        <v>26</v>
      </c>
      <c r="L1290" s="607" t="s">
        <v>653</v>
      </c>
      <c r="M1290" s="108">
        <v>43087</v>
      </c>
      <c r="N1290" s="108">
        <v>43094</v>
      </c>
      <c r="O1290" s="61" t="s">
        <v>2444</v>
      </c>
      <c r="P1290" s="7"/>
      <c r="Q1290" s="7"/>
      <c r="R1290" s="606" t="s">
        <v>2524</v>
      </c>
      <c r="S1290" s="322" t="s">
        <v>1176</v>
      </c>
      <c r="T1290" s="858"/>
    </row>
    <row r="1291" spans="1:20" ht="20.100000000000001" customHeight="1">
      <c r="A1291" s="1256" t="s">
        <v>2971</v>
      </c>
      <c r="B1291" s="1138" t="s">
        <v>2527</v>
      </c>
      <c r="C1291" s="1138" t="s">
        <v>3560</v>
      </c>
      <c r="D1291" s="1006">
        <f>D26+420</f>
        <v>1670</v>
      </c>
      <c r="E1291" s="1006">
        <f>E26+500</f>
        <v>2000</v>
      </c>
      <c r="F1291" s="1006">
        <f>F26+500</f>
        <v>2000</v>
      </c>
      <c r="G1291" s="618" t="s">
        <v>31</v>
      </c>
      <c r="H1291" s="168" t="s">
        <v>681</v>
      </c>
      <c r="I1291" s="37" t="s">
        <v>2127</v>
      </c>
      <c r="J1291" s="37" t="s">
        <v>1211</v>
      </c>
      <c r="K1291" s="16">
        <v>22</v>
      </c>
      <c r="L1291" s="607" t="s">
        <v>653</v>
      </c>
      <c r="M1291" s="623">
        <v>43080</v>
      </c>
      <c r="N1291" s="623">
        <v>43083</v>
      </c>
      <c r="O1291" s="61" t="s">
        <v>1307</v>
      </c>
      <c r="P1291" s="61"/>
      <c r="Q1291" s="52"/>
      <c r="R1291" s="606" t="s">
        <v>3563</v>
      </c>
      <c r="S1291" s="622" t="s">
        <v>1176</v>
      </c>
      <c r="T1291" s="858"/>
    </row>
    <row r="1292" spans="1:20" ht="20.100000000000001" customHeight="1">
      <c r="A1292" s="1256" t="s">
        <v>2971</v>
      </c>
      <c r="B1292" s="1138" t="s">
        <v>2527</v>
      </c>
      <c r="C1292" s="1138" t="s">
        <v>3560</v>
      </c>
      <c r="D1292" s="1012">
        <f>D32+650</f>
        <v>1900</v>
      </c>
      <c r="E1292" s="1012">
        <f>E32+750</f>
        <v>2150</v>
      </c>
      <c r="F1292" s="1012">
        <f>F32+750</f>
        <v>2150</v>
      </c>
      <c r="G1292" s="613" t="s">
        <v>13</v>
      </c>
      <c r="H1292" s="56">
        <v>6</v>
      </c>
      <c r="I1292" s="37" t="s">
        <v>2127</v>
      </c>
      <c r="J1292" s="37" t="s">
        <v>1211</v>
      </c>
      <c r="K1292" s="16">
        <v>18</v>
      </c>
      <c r="L1292" s="607" t="s">
        <v>653</v>
      </c>
      <c r="M1292" s="156">
        <v>43073</v>
      </c>
      <c r="N1292" s="156">
        <v>43083</v>
      </c>
      <c r="O1292" s="61" t="s">
        <v>3335</v>
      </c>
      <c r="P1292" s="61"/>
      <c r="Q1292" s="7"/>
      <c r="R1292" s="606" t="s">
        <v>3336</v>
      </c>
      <c r="S1292" s="316" t="s">
        <v>3334</v>
      </c>
      <c r="T1292" s="858"/>
    </row>
    <row r="1293" spans="1:20" ht="20.100000000000001" customHeight="1">
      <c r="A1293" s="1256" t="s">
        <v>2971</v>
      </c>
      <c r="B1293" s="1138" t="s">
        <v>2527</v>
      </c>
      <c r="C1293" s="1138" t="s">
        <v>3560</v>
      </c>
      <c r="D1293" s="1012">
        <f>D51+500+50</f>
        <v>1625</v>
      </c>
      <c r="E1293" s="1012">
        <f>E51+600+100</f>
        <v>1950</v>
      </c>
      <c r="F1293" s="1012">
        <f>F51+600+100</f>
        <v>1950</v>
      </c>
      <c r="G1293" s="613" t="s">
        <v>29</v>
      </c>
      <c r="H1293" s="56">
        <v>5</v>
      </c>
      <c r="I1293" s="37" t="s">
        <v>2526</v>
      </c>
      <c r="J1293" s="37" t="s">
        <v>1211</v>
      </c>
      <c r="K1293" s="16">
        <v>20</v>
      </c>
      <c r="L1293" s="607" t="s">
        <v>653</v>
      </c>
      <c r="M1293" s="620">
        <v>43084</v>
      </c>
      <c r="N1293" s="620">
        <v>43086</v>
      </c>
      <c r="O1293" s="61" t="s">
        <v>3335</v>
      </c>
      <c r="P1293" s="61"/>
      <c r="Q1293" s="7"/>
      <c r="R1293" s="606" t="s">
        <v>3562</v>
      </c>
      <c r="S1293" s="316" t="s">
        <v>3561</v>
      </c>
      <c r="T1293" s="858"/>
    </row>
    <row r="1294" spans="1:20" ht="20.100000000000001" customHeight="1">
      <c r="A1294" s="1256" t="s">
        <v>2971</v>
      </c>
      <c r="B1294" s="1138" t="s">
        <v>2527</v>
      </c>
      <c r="C1294" s="1138" t="s">
        <v>3560</v>
      </c>
      <c r="D1294" s="1012">
        <f>D34+450+50</f>
        <v>1575</v>
      </c>
      <c r="E1294" s="1012">
        <f>E34+500+100</f>
        <v>1850</v>
      </c>
      <c r="F1294" s="1012">
        <f>F34+500+100</f>
        <v>1850</v>
      </c>
      <c r="G1294" s="621" t="s">
        <v>29</v>
      </c>
      <c r="H1294" s="56">
        <v>6</v>
      </c>
      <c r="I1294" s="37" t="s">
        <v>2127</v>
      </c>
      <c r="J1294" s="37" t="s">
        <v>1211</v>
      </c>
      <c r="K1294" s="16">
        <v>20</v>
      </c>
      <c r="L1294" s="607" t="s">
        <v>653</v>
      </c>
      <c r="M1294" s="620">
        <v>43084</v>
      </c>
      <c r="N1294" s="620">
        <v>43086</v>
      </c>
      <c r="O1294" s="61" t="s">
        <v>3335</v>
      </c>
      <c r="P1294" s="61"/>
      <c r="Q1294" s="7"/>
      <c r="R1294" s="606" t="s">
        <v>3336</v>
      </c>
      <c r="S1294" s="316" t="s">
        <v>3561</v>
      </c>
      <c r="T1294" s="858"/>
    </row>
    <row r="1295" spans="1:20" ht="20.100000000000001" customHeight="1">
      <c r="A1295" s="1256" t="s">
        <v>2971</v>
      </c>
      <c r="B1295" s="1138" t="s">
        <v>2527</v>
      </c>
      <c r="C1295" s="1138" t="s">
        <v>3560</v>
      </c>
      <c r="D1295" s="1006">
        <f>D22+600+25</f>
        <v>2125</v>
      </c>
      <c r="E1295" s="1006">
        <f>E22+700+50</f>
        <v>2450</v>
      </c>
      <c r="F1295" s="1006">
        <f>F22+700+50</f>
        <v>2450</v>
      </c>
      <c r="G1295" s="618" t="s">
        <v>28</v>
      </c>
      <c r="H1295" s="160" t="s">
        <v>2535</v>
      </c>
      <c r="I1295" s="50" t="s">
        <v>2127</v>
      </c>
      <c r="J1295" s="37" t="s">
        <v>1211</v>
      </c>
      <c r="K1295" s="34">
        <v>22</v>
      </c>
      <c r="L1295" s="607" t="s">
        <v>653</v>
      </c>
      <c r="M1295" s="620">
        <v>43086</v>
      </c>
      <c r="N1295" s="620">
        <v>43100</v>
      </c>
      <c r="O1295" s="59" t="s">
        <v>3559</v>
      </c>
      <c r="P1295" s="59"/>
      <c r="Q1295" s="61" t="s">
        <v>2599</v>
      </c>
      <c r="R1295" s="610" t="s">
        <v>3558</v>
      </c>
      <c r="S1295" s="619"/>
      <c r="T1295" s="858"/>
    </row>
    <row r="1296" spans="1:20" ht="20.100000000000001" customHeight="1">
      <c r="A1296" s="1256" t="s">
        <v>2971</v>
      </c>
      <c r="B1296" s="1138" t="s">
        <v>2527</v>
      </c>
      <c r="C1296" s="1138" t="s">
        <v>3560</v>
      </c>
      <c r="D1296" s="1006">
        <f>D30+750</f>
        <v>2300</v>
      </c>
      <c r="E1296" s="1006">
        <f>E30+555</f>
        <v>2355</v>
      </c>
      <c r="F1296" s="1006">
        <f>F30+555</f>
        <v>2355</v>
      </c>
      <c r="G1296" s="615" t="s">
        <v>51</v>
      </c>
      <c r="H1296" s="160" t="s">
        <v>2532</v>
      </c>
      <c r="I1296" s="37" t="s">
        <v>2127</v>
      </c>
      <c r="J1296" s="37" t="s">
        <v>2525</v>
      </c>
      <c r="K1296" s="5"/>
      <c r="L1296" s="607" t="s">
        <v>653</v>
      </c>
      <c r="M1296" s="611">
        <v>43086</v>
      </c>
      <c r="N1296" s="611">
        <v>43100</v>
      </c>
      <c r="O1296" s="61" t="s">
        <v>3291</v>
      </c>
      <c r="P1296" s="52"/>
      <c r="Q1296" s="61" t="s">
        <v>2466</v>
      </c>
      <c r="R1296" s="610"/>
      <c r="S1296" s="315" t="s">
        <v>3290</v>
      </c>
      <c r="T1296" s="858"/>
    </row>
    <row r="1297" spans="1:20" ht="20.100000000000001" customHeight="1">
      <c r="A1297" s="1256" t="s">
        <v>2971</v>
      </c>
      <c r="B1297" s="1138" t="s">
        <v>2527</v>
      </c>
      <c r="C1297" s="1138" t="s">
        <v>3560</v>
      </c>
      <c r="D1297" s="1006">
        <f>D8+680+25</f>
        <v>2255</v>
      </c>
      <c r="E1297" s="1006">
        <f>E8+680+50</f>
        <v>2530</v>
      </c>
      <c r="F1297" s="1006">
        <f>F8+680+50</f>
        <v>2530</v>
      </c>
      <c r="G1297" s="615" t="s">
        <v>5</v>
      </c>
      <c r="H1297" s="160" t="s">
        <v>2523</v>
      </c>
      <c r="I1297" s="37" t="s">
        <v>2127</v>
      </c>
      <c r="J1297" s="37" t="s">
        <v>2525</v>
      </c>
      <c r="K1297" s="5"/>
      <c r="L1297" s="624" t="s">
        <v>860</v>
      </c>
      <c r="M1297" s="159">
        <v>43087</v>
      </c>
      <c r="N1297" s="159">
        <v>43093</v>
      </c>
      <c r="O1297" s="153" t="s">
        <v>879</v>
      </c>
      <c r="P1297" s="52"/>
      <c r="Q1297" s="72" t="s">
        <v>3564</v>
      </c>
      <c r="R1297" s="610"/>
      <c r="S1297" s="316"/>
      <c r="T1297" s="858"/>
    </row>
    <row r="1298" spans="1:20" ht="20.100000000000001" customHeight="1">
      <c r="A1298" s="1256" t="s">
        <v>2971</v>
      </c>
      <c r="B1298" s="1138" t="s">
        <v>2527</v>
      </c>
      <c r="C1298" s="1138" t="s">
        <v>3560</v>
      </c>
      <c r="D1298" s="1006"/>
      <c r="E1298" s="1006"/>
      <c r="F1298" s="1006"/>
      <c r="G1298" s="615" t="s">
        <v>5</v>
      </c>
      <c r="H1298" s="160" t="s">
        <v>1652</v>
      </c>
      <c r="I1298" s="37" t="s">
        <v>2526</v>
      </c>
      <c r="J1298" s="37" t="s">
        <v>2525</v>
      </c>
      <c r="K1298" s="5"/>
      <c r="L1298" s="624" t="s">
        <v>860</v>
      </c>
      <c r="M1298" s="159">
        <v>43087</v>
      </c>
      <c r="N1298" s="159">
        <v>43093</v>
      </c>
      <c r="O1298" s="153" t="s">
        <v>879</v>
      </c>
      <c r="P1298" s="52"/>
      <c r="Q1298" s="72" t="s">
        <v>3564</v>
      </c>
      <c r="R1298" s="610"/>
      <c r="S1298" s="316"/>
      <c r="T1298" s="858"/>
    </row>
    <row r="1299" spans="1:20" ht="20.100000000000001" customHeight="1">
      <c r="A1299" s="1256" t="s">
        <v>2971</v>
      </c>
      <c r="B1299" s="1138" t="s">
        <v>2527</v>
      </c>
      <c r="C1299" s="1138" t="s">
        <v>3560</v>
      </c>
      <c r="D1299" s="1012">
        <f>D136+1500</f>
        <v>3100</v>
      </c>
      <c r="E1299" s="1012">
        <f>E136+1500</f>
        <v>3500</v>
      </c>
      <c r="F1299" s="1012">
        <f>F136+1500</f>
        <v>3500</v>
      </c>
      <c r="G1299" s="613" t="s">
        <v>33</v>
      </c>
      <c r="H1299" s="56" t="s">
        <v>681</v>
      </c>
      <c r="I1299" s="37" t="s">
        <v>2526</v>
      </c>
      <c r="J1299" s="37" t="s">
        <v>2525</v>
      </c>
      <c r="K1299" s="16">
        <v>20</v>
      </c>
      <c r="L1299" s="607" t="s">
        <v>653</v>
      </c>
      <c r="M1299" s="159">
        <v>43080</v>
      </c>
      <c r="N1299" s="159">
        <v>43086</v>
      </c>
      <c r="O1299" s="153" t="s">
        <v>2445</v>
      </c>
      <c r="P1299" s="61"/>
      <c r="Q1299" s="7"/>
      <c r="R1299" s="606" t="s">
        <v>2538</v>
      </c>
      <c r="S1299" s="316" t="s">
        <v>3333</v>
      </c>
      <c r="T1299" s="858"/>
    </row>
    <row r="1300" spans="1:20" ht="20.100000000000001" customHeight="1">
      <c r="A1300" s="1256" t="s">
        <v>2971</v>
      </c>
      <c r="B1300" s="1138" t="s">
        <v>2527</v>
      </c>
      <c r="C1300" s="1138" t="s">
        <v>3560</v>
      </c>
      <c r="D1300" s="1006">
        <f>D6+673</f>
        <v>2223</v>
      </c>
      <c r="E1300" s="1006">
        <f>E6+673</f>
        <v>2473</v>
      </c>
      <c r="F1300" s="1006">
        <f>F6+673</f>
        <v>2473</v>
      </c>
      <c r="G1300" s="614" t="s">
        <v>19</v>
      </c>
      <c r="H1300" s="160" t="s">
        <v>2537</v>
      </c>
      <c r="I1300" s="37" t="s">
        <v>2127</v>
      </c>
      <c r="J1300" s="37" t="s">
        <v>2525</v>
      </c>
      <c r="K1300" s="5" t="s">
        <v>728</v>
      </c>
      <c r="L1300" s="607" t="s">
        <v>653</v>
      </c>
      <c r="M1300" s="156">
        <v>43084</v>
      </c>
      <c r="N1300" s="156">
        <v>43093</v>
      </c>
      <c r="O1300" s="153" t="s">
        <v>2131</v>
      </c>
      <c r="P1300" s="61" t="s">
        <v>2276</v>
      </c>
      <c r="Q1300" s="7"/>
      <c r="R1300" s="606" t="s">
        <v>3339</v>
      </c>
      <c r="S1300" s="315" t="s">
        <v>3337</v>
      </c>
      <c r="T1300" s="858"/>
    </row>
    <row r="1301" spans="1:20" ht="20.100000000000001" customHeight="1">
      <c r="A1301" s="1256" t="s">
        <v>2971</v>
      </c>
      <c r="B1301" s="1138" t="s">
        <v>2527</v>
      </c>
      <c r="C1301" s="1138" t="s">
        <v>3560</v>
      </c>
      <c r="D1301" s="1006">
        <f>D4+665</f>
        <v>1840</v>
      </c>
      <c r="E1301" s="1006">
        <f>E4+665</f>
        <v>1915</v>
      </c>
      <c r="F1301" s="1006">
        <f>F4+665</f>
        <v>1915</v>
      </c>
      <c r="G1301" s="609" t="s">
        <v>1689</v>
      </c>
      <c r="H1301" s="160" t="s">
        <v>645</v>
      </c>
      <c r="I1301" s="37" t="s">
        <v>2127</v>
      </c>
      <c r="J1301" s="37" t="s">
        <v>2525</v>
      </c>
      <c r="K1301" s="5">
        <v>20</v>
      </c>
      <c r="L1301" s="607" t="s">
        <v>653</v>
      </c>
      <c r="M1301" s="156">
        <v>43076</v>
      </c>
      <c r="N1301" s="156">
        <v>43083</v>
      </c>
      <c r="O1301" s="153" t="s">
        <v>2529</v>
      </c>
      <c r="P1301" s="61"/>
      <c r="Q1301" s="61" t="s">
        <v>2125</v>
      </c>
      <c r="R1301" s="606" t="s">
        <v>2530</v>
      </c>
      <c r="S1301" s="316" t="s">
        <v>2943</v>
      </c>
      <c r="T1301" s="858"/>
    </row>
    <row r="1302" spans="1:20" ht="20.100000000000001" customHeight="1">
      <c r="A1302" s="1256" t="s">
        <v>2971</v>
      </c>
      <c r="B1302" s="1138" t="s">
        <v>2527</v>
      </c>
      <c r="C1302" s="1138" t="s">
        <v>3560</v>
      </c>
      <c r="D1302" s="1006">
        <f>D55+1237</f>
        <v>2412</v>
      </c>
      <c r="E1302" s="1006">
        <f>E55+1237</f>
        <v>2487</v>
      </c>
      <c r="F1302" s="1006">
        <f>F55+1237</f>
        <v>2487</v>
      </c>
      <c r="G1302" s="609" t="s">
        <v>1689</v>
      </c>
      <c r="H1302" s="160" t="s">
        <v>1311</v>
      </c>
      <c r="I1302" s="37" t="s">
        <v>2526</v>
      </c>
      <c r="J1302" s="37" t="s">
        <v>2525</v>
      </c>
      <c r="K1302" s="5" t="s">
        <v>775</v>
      </c>
      <c r="L1302" s="607" t="s">
        <v>653</v>
      </c>
      <c r="M1302" s="156">
        <v>43076</v>
      </c>
      <c r="N1302" s="156">
        <v>43083</v>
      </c>
      <c r="O1302" s="153" t="s">
        <v>2529</v>
      </c>
      <c r="P1302" s="61"/>
      <c r="Q1302" s="61" t="s">
        <v>2125</v>
      </c>
      <c r="R1302" s="606" t="s">
        <v>2528</v>
      </c>
      <c r="S1302" s="316" t="s">
        <v>2943</v>
      </c>
      <c r="T1302" s="858"/>
    </row>
    <row r="1303" spans="1:20" ht="20.100000000000001" customHeight="1">
      <c r="A1303" s="1256" t="s">
        <v>2971</v>
      </c>
      <c r="B1303" s="1138" t="s">
        <v>2527</v>
      </c>
      <c r="C1303" s="1138" t="s">
        <v>3560</v>
      </c>
      <c r="D1303" s="1006">
        <f>D26+700</f>
        <v>1950</v>
      </c>
      <c r="E1303" s="1006">
        <f>E26+700</f>
        <v>2200</v>
      </c>
      <c r="F1303" s="1006">
        <f>F26+700</f>
        <v>2200</v>
      </c>
      <c r="G1303" s="618" t="s">
        <v>31</v>
      </c>
      <c r="H1303" s="168" t="s">
        <v>681</v>
      </c>
      <c r="I1303" s="37" t="s">
        <v>2127</v>
      </c>
      <c r="J1303" s="37" t="s">
        <v>2525</v>
      </c>
      <c r="K1303" s="16">
        <v>22</v>
      </c>
      <c r="L1303" s="607" t="s">
        <v>653</v>
      </c>
      <c r="M1303" s="623">
        <v>43080</v>
      </c>
      <c r="N1303" s="623">
        <v>43083</v>
      </c>
      <c r="O1303" s="61" t="s">
        <v>1307</v>
      </c>
      <c r="P1303" s="61"/>
      <c r="Q1303" s="52"/>
      <c r="R1303" s="606" t="s">
        <v>3563</v>
      </c>
      <c r="S1303" s="622" t="s">
        <v>1176</v>
      </c>
      <c r="T1303" s="858"/>
    </row>
    <row r="1304" spans="1:20" ht="20.100000000000001" customHeight="1">
      <c r="A1304" s="1256" t="s">
        <v>2971</v>
      </c>
      <c r="B1304" s="1138" t="s">
        <v>2527</v>
      </c>
      <c r="C1304" s="1138" t="s">
        <v>3560</v>
      </c>
      <c r="D1304" s="1006">
        <f>D18+850</f>
        <v>2400</v>
      </c>
      <c r="E1304" s="1006">
        <f>E18+850</f>
        <v>2650</v>
      </c>
      <c r="F1304" s="1006">
        <f>F18+850</f>
        <v>2650</v>
      </c>
      <c r="G1304" s="608" t="s">
        <v>94</v>
      </c>
      <c r="H1304" s="56" t="s">
        <v>657</v>
      </c>
      <c r="I1304" s="5" t="s">
        <v>2127</v>
      </c>
      <c r="J1304" s="37" t="s">
        <v>2525</v>
      </c>
      <c r="K1304" s="16">
        <v>21</v>
      </c>
      <c r="L1304" s="607" t="s">
        <v>653</v>
      </c>
      <c r="M1304" s="108">
        <v>43087</v>
      </c>
      <c r="N1304" s="108">
        <v>43094</v>
      </c>
      <c r="O1304" s="61" t="s">
        <v>2444</v>
      </c>
      <c r="P1304" s="7"/>
      <c r="Q1304" s="7"/>
      <c r="R1304" s="606" t="s">
        <v>2126</v>
      </c>
      <c r="S1304" s="322" t="s">
        <v>1176</v>
      </c>
      <c r="T1304" s="858"/>
    </row>
    <row r="1305" spans="1:20" ht="20.100000000000001" customHeight="1">
      <c r="A1305" s="1256" t="s">
        <v>2971</v>
      </c>
      <c r="B1305" s="1138" t="s">
        <v>2527</v>
      </c>
      <c r="C1305" s="1138" t="s">
        <v>3560</v>
      </c>
      <c r="D1305" s="1006">
        <f>D41+1259+50</f>
        <v>2859</v>
      </c>
      <c r="E1305" s="1006">
        <f>E41+1259+100</f>
        <v>3159</v>
      </c>
      <c r="F1305" s="1006">
        <f>F41+1259+100</f>
        <v>3159</v>
      </c>
      <c r="G1305" s="608" t="s">
        <v>94</v>
      </c>
      <c r="H1305" s="168" t="s">
        <v>1102</v>
      </c>
      <c r="I1305" s="37" t="s">
        <v>2526</v>
      </c>
      <c r="J1305" s="37" t="s">
        <v>2525</v>
      </c>
      <c r="K1305" s="16">
        <v>26</v>
      </c>
      <c r="L1305" s="607" t="s">
        <v>653</v>
      </c>
      <c r="M1305" s="108">
        <v>43087</v>
      </c>
      <c r="N1305" s="108">
        <v>43094</v>
      </c>
      <c r="O1305" s="61" t="s">
        <v>2444</v>
      </c>
      <c r="P1305" s="7"/>
      <c r="Q1305" s="7"/>
      <c r="R1305" s="606" t="s">
        <v>2524</v>
      </c>
      <c r="S1305" s="322" t="s">
        <v>1176</v>
      </c>
      <c r="T1305" s="858"/>
    </row>
    <row r="1306" spans="1:20" ht="20.100000000000001" customHeight="1">
      <c r="A1306" s="1256" t="s">
        <v>2971</v>
      </c>
      <c r="B1306" s="1138" t="s">
        <v>2527</v>
      </c>
      <c r="C1306" s="1138" t="s">
        <v>3560</v>
      </c>
      <c r="D1306" s="1012">
        <f>D32+650</f>
        <v>1900</v>
      </c>
      <c r="E1306" s="1012">
        <f>E32+650</f>
        <v>2050</v>
      </c>
      <c r="F1306" s="1012">
        <f>F32+650</f>
        <v>2050</v>
      </c>
      <c r="G1306" s="613" t="s">
        <v>13</v>
      </c>
      <c r="H1306" s="56">
        <v>6</v>
      </c>
      <c r="I1306" s="37" t="s">
        <v>2127</v>
      </c>
      <c r="J1306" s="37" t="s">
        <v>2525</v>
      </c>
      <c r="K1306" s="16">
        <v>18</v>
      </c>
      <c r="L1306" s="607" t="s">
        <v>653</v>
      </c>
      <c r="M1306" s="156">
        <v>43073</v>
      </c>
      <c r="N1306" s="156">
        <v>43083</v>
      </c>
      <c r="O1306" s="61" t="s">
        <v>3335</v>
      </c>
      <c r="P1306" s="61"/>
      <c r="Q1306" s="7"/>
      <c r="R1306" s="606" t="s">
        <v>3336</v>
      </c>
      <c r="S1306" s="316" t="s">
        <v>3334</v>
      </c>
      <c r="T1306" s="858"/>
    </row>
    <row r="1307" spans="1:20" ht="20.100000000000001" customHeight="1">
      <c r="A1307" s="1256" t="s">
        <v>2971</v>
      </c>
      <c r="B1307" s="1138" t="s">
        <v>2527</v>
      </c>
      <c r="C1307" s="1138" t="s">
        <v>3560</v>
      </c>
      <c r="D1307" s="1012">
        <f>D51+750+50</f>
        <v>1875</v>
      </c>
      <c r="E1307" s="1012">
        <f>E51+800+100</f>
        <v>2150</v>
      </c>
      <c r="F1307" s="1012">
        <f>F51+800+100</f>
        <v>2150</v>
      </c>
      <c r="G1307" s="613" t="s">
        <v>29</v>
      </c>
      <c r="H1307" s="56">
        <v>5</v>
      </c>
      <c r="I1307" s="37" t="s">
        <v>2526</v>
      </c>
      <c r="J1307" s="37" t="s">
        <v>2525</v>
      </c>
      <c r="K1307" s="16">
        <v>20</v>
      </c>
      <c r="L1307" s="607" t="s">
        <v>653</v>
      </c>
      <c r="M1307" s="620">
        <v>43084</v>
      </c>
      <c r="N1307" s="620">
        <v>43086</v>
      </c>
      <c r="O1307" s="61" t="s">
        <v>3335</v>
      </c>
      <c r="P1307" s="61"/>
      <c r="Q1307" s="7"/>
      <c r="R1307" s="606" t="s">
        <v>3562</v>
      </c>
      <c r="S1307" s="316" t="s">
        <v>3561</v>
      </c>
      <c r="T1307" s="858"/>
    </row>
    <row r="1308" spans="1:20" ht="20.100000000000001" customHeight="1">
      <c r="A1308" s="1256" t="s">
        <v>2971</v>
      </c>
      <c r="B1308" s="1138" t="s">
        <v>2527</v>
      </c>
      <c r="C1308" s="1138" t="s">
        <v>3560</v>
      </c>
      <c r="D1308" s="1012">
        <f>D34+700+50</f>
        <v>1825</v>
      </c>
      <c r="E1308" s="1012">
        <f>E34+700+100</f>
        <v>2050</v>
      </c>
      <c r="F1308" s="1012">
        <f>F34+700+100</f>
        <v>2050</v>
      </c>
      <c r="G1308" s="621" t="s">
        <v>29</v>
      </c>
      <c r="H1308" s="56">
        <v>6</v>
      </c>
      <c r="I1308" s="37" t="s">
        <v>2127</v>
      </c>
      <c r="J1308" s="37" t="s">
        <v>2525</v>
      </c>
      <c r="K1308" s="16">
        <v>20</v>
      </c>
      <c r="L1308" s="607" t="s">
        <v>653</v>
      </c>
      <c r="M1308" s="620">
        <v>43084</v>
      </c>
      <c r="N1308" s="620">
        <v>43086</v>
      </c>
      <c r="O1308" s="61" t="s">
        <v>3335</v>
      </c>
      <c r="P1308" s="61"/>
      <c r="Q1308" s="7"/>
      <c r="R1308" s="606" t="s">
        <v>3336</v>
      </c>
      <c r="S1308" s="316" t="s">
        <v>3561</v>
      </c>
      <c r="T1308" s="858"/>
    </row>
    <row r="1309" spans="1:20" ht="20.100000000000001" customHeight="1">
      <c r="A1309" s="1256" t="s">
        <v>2971</v>
      </c>
      <c r="B1309" s="1138" t="s">
        <v>2527</v>
      </c>
      <c r="C1309" s="1138" t="s">
        <v>3560</v>
      </c>
      <c r="D1309" s="1006">
        <f>D22+700+25</f>
        <v>2225</v>
      </c>
      <c r="E1309" s="1006">
        <f>E22+700+50</f>
        <v>2450</v>
      </c>
      <c r="F1309" s="1006">
        <f>F22+700+50</f>
        <v>2450</v>
      </c>
      <c r="G1309" s="618" t="s">
        <v>28</v>
      </c>
      <c r="H1309" s="160" t="s">
        <v>2535</v>
      </c>
      <c r="I1309" s="50" t="s">
        <v>2127</v>
      </c>
      <c r="J1309" s="37" t="s">
        <v>2525</v>
      </c>
      <c r="K1309" s="34">
        <v>22</v>
      </c>
      <c r="L1309" s="607" t="s">
        <v>653</v>
      </c>
      <c r="M1309" s="620">
        <v>43086</v>
      </c>
      <c r="N1309" s="620">
        <v>43100</v>
      </c>
      <c r="O1309" s="59" t="s">
        <v>3559</v>
      </c>
      <c r="P1309" s="59"/>
      <c r="Q1309" s="61" t="s">
        <v>2466</v>
      </c>
      <c r="R1309" s="610" t="s">
        <v>3558</v>
      </c>
      <c r="S1309" s="619"/>
      <c r="T1309" s="858"/>
    </row>
    <row r="1310" spans="1:20" ht="20.100000000000001" customHeight="1">
      <c r="A1310" s="1256" t="s">
        <v>2971</v>
      </c>
      <c r="B1310" s="1138" t="s">
        <v>2527</v>
      </c>
      <c r="C1310" s="1138" t="s">
        <v>3557</v>
      </c>
      <c r="D1310" s="1006">
        <f>D4+1618</f>
        <v>2793</v>
      </c>
      <c r="E1310" s="1006">
        <f>E4+1618</f>
        <v>2868</v>
      </c>
      <c r="F1310" s="1006">
        <f>F4+1618</f>
        <v>2868</v>
      </c>
      <c r="G1310" s="609" t="s">
        <v>1689</v>
      </c>
      <c r="H1310" s="160" t="s">
        <v>645</v>
      </c>
      <c r="I1310" s="37" t="s">
        <v>2127</v>
      </c>
      <c r="J1310" s="37" t="s">
        <v>2525</v>
      </c>
      <c r="K1310" s="5">
        <v>20</v>
      </c>
      <c r="L1310" s="607" t="s">
        <v>653</v>
      </c>
      <c r="M1310" s="156">
        <v>43076</v>
      </c>
      <c r="N1310" s="156">
        <v>43083</v>
      </c>
      <c r="O1310" s="153" t="s">
        <v>2529</v>
      </c>
      <c r="P1310" s="61"/>
      <c r="Q1310" s="61" t="s">
        <v>2125</v>
      </c>
      <c r="R1310" s="606" t="s">
        <v>2530</v>
      </c>
      <c r="S1310" s="316" t="s">
        <v>2943</v>
      </c>
      <c r="T1310" s="858"/>
    </row>
    <row r="1311" spans="1:20" ht="20.100000000000001" customHeight="1">
      <c r="A1311" s="1256" t="s">
        <v>2971</v>
      </c>
      <c r="B1311" s="1138" t="s">
        <v>2527</v>
      </c>
      <c r="C1311" s="1138" t="s">
        <v>3557</v>
      </c>
      <c r="D1311" s="1006">
        <f>D46+1784</f>
        <v>2959</v>
      </c>
      <c r="E1311" s="1006">
        <f>E46+1784</f>
        <v>3034</v>
      </c>
      <c r="F1311" s="1006">
        <f>F46+1784</f>
        <v>3034</v>
      </c>
      <c r="G1311" s="609" t="s">
        <v>1689</v>
      </c>
      <c r="H1311" s="160" t="s">
        <v>1311</v>
      </c>
      <c r="I1311" s="37" t="s">
        <v>2526</v>
      </c>
      <c r="J1311" s="37" t="s">
        <v>2525</v>
      </c>
      <c r="K1311" s="5">
        <v>30</v>
      </c>
      <c r="L1311" s="607" t="s">
        <v>653</v>
      </c>
      <c r="M1311" s="156">
        <v>43076</v>
      </c>
      <c r="N1311" s="156">
        <v>43083</v>
      </c>
      <c r="O1311" s="153" t="s">
        <v>2529</v>
      </c>
      <c r="P1311" s="61"/>
      <c r="Q1311" s="61" t="s">
        <v>2125</v>
      </c>
      <c r="R1311" s="606" t="s">
        <v>2528</v>
      </c>
      <c r="S1311" s="316" t="s">
        <v>2943</v>
      </c>
      <c r="T1311" s="858"/>
    </row>
    <row r="1312" spans="1:20" ht="20.100000000000001" customHeight="1">
      <c r="A1312" s="1256" t="s">
        <v>2971</v>
      </c>
      <c r="B1312" s="1138" t="s">
        <v>2527</v>
      </c>
      <c r="C1312" s="1138" t="s">
        <v>3557</v>
      </c>
      <c r="D1312" s="1006">
        <f>D18+1840+50</f>
        <v>3440</v>
      </c>
      <c r="E1312" s="1006">
        <f>E18+1840+100</f>
        <v>3740</v>
      </c>
      <c r="F1312" s="1006">
        <f>F18+1840+100</f>
        <v>3740</v>
      </c>
      <c r="G1312" s="608" t="s">
        <v>94</v>
      </c>
      <c r="H1312" s="56" t="s">
        <v>657</v>
      </c>
      <c r="I1312" s="5" t="s">
        <v>2127</v>
      </c>
      <c r="J1312" s="37" t="s">
        <v>2525</v>
      </c>
      <c r="K1312" s="16">
        <v>21</v>
      </c>
      <c r="L1312" s="607" t="s">
        <v>653</v>
      </c>
      <c r="M1312" s="108">
        <v>43087</v>
      </c>
      <c r="N1312" s="108">
        <v>43094</v>
      </c>
      <c r="O1312" s="61" t="s">
        <v>2444</v>
      </c>
      <c r="P1312" s="7"/>
      <c r="Q1312" s="7"/>
      <c r="R1312" s="606" t="s">
        <v>2126</v>
      </c>
      <c r="S1312" s="322" t="s">
        <v>1176</v>
      </c>
      <c r="T1312" s="858"/>
    </row>
    <row r="1313" spans="1:20" ht="20.100000000000001" customHeight="1">
      <c r="A1313" s="1256" t="s">
        <v>2971</v>
      </c>
      <c r="B1313" s="1138" t="s">
        <v>2527</v>
      </c>
      <c r="C1313" s="1138" t="s">
        <v>3557</v>
      </c>
      <c r="D1313" s="1006">
        <f>D41+1617+50</f>
        <v>3217</v>
      </c>
      <c r="E1313" s="1006">
        <f>E41+1617+100</f>
        <v>3517</v>
      </c>
      <c r="F1313" s="1006">
        <f>F41+1617+100</f>
        <v>3517</v>
      </c>
      <c r="G1313" s="608" t="s">
        <v>94</v>
      </c>
      <c r="H1313" s="168" t="s">
        <v>1102</v>
      </c>
      <c r="I1313" s="37" t="s">
        <v>2526</v>
      </c>
      <c r="J1313" s="37" t="s">
        <v>2525</v>
      </c>
      <c r="K1313" s="16">
        <v>26</v>
      </c>
      <c r="L1313" s="607" t="s">
        <v>653</v>
      </c>
      <c r="M1313" s="108">
        <v>43087</v>
      </c>
      <c r="N1313" s="108">
        <v>43094</v>
      </c>
      <c r="O1313" s="61" t="s">
        <v>2444</v>
      </c>
      <c r="P1313" s="7"/>
      <c r="Q1313" s="7"/>
      <c r="R1313" s="606" t="s">
        <v>2524</v>
      </c>
      <c r="S1313" s="322" t="s">
        <v>1176</v>
      </c>
      <c r="T1313" s="858"/>
    </row>
    <row r="1314" spans="1:20" ht="20.100000000000001" customHeight="1">
      <c r="A1314" s="1256" t="s">
        <v>2129</v>
      </c>
      <c r="B1314" s="1138" t="s">
        <v>2527</v>
      </c>
      <c r="C1314" s="1138" t="s">
        <v>3556</v>
      </c>
      <c r="D1314" s="1006">
        <f>D41+2000+50</f>
        <v>3600</v>
      </c>
      <c r="E1314" s="1006">
        <f>E41+2080+100</f>
        <v>3980</v>
      </c>
      <c r="F1314" s="1006">
        <f>F41+2080+100</f>
        <v>3980</v>
      </c>
      <c r="G1314" s="608" t="s">
        <v>94</v>
      </c>
      <c r="H1314" s="168" t="s">
        <v>1102</v>
      </c>
      <c r="I1314" s="5" t="s">
        <v>2526</v>
      </c>
      <c r="J1314" s="37" t="s">
        <v>1211</v>
      </c>
      <c r="K1314" s="16">
        <v>26</v>
      </c>
      <c r="L1314" s="607" t="s">
        <v>653</v>
      </c>
      <c r="M1314" s="108">
        <v>43087</v>
      </c>
      <c r="N1314" s="108">
        <v>43094</v>
      </c>
      <c r="O1314" s="61" t="s">
        <v>2444</v>
      </c>
      <c r="P1314" s="7"/>
      <c r="Q1314" s="7"/>
      <c r="R1314" s="606" t="s">
        <v>2524</v>
      </c>
      <c r="S1314" s="322" t="s">
        <v>1176</v>
      </c>
      <c r="T1314" s="858"/>
    </row>
    <row r="1315" spans="1:20" ht="20.100000000000001" customHeight="1">
      <c r="A1315" s="1256" t="s">
        <v>2971</v>
      </c>
      <c r="B1315" s="1138" t="s">
        <v>2527</v>
      </c>
      <c r="C1315" s="1138" t="s">
        <v>3556</v>
      </c>
      <c r="D1315" s="1006">
        <f>D18+1245+50</f>
        <v>2845</v>
      </c>
      <c r="E1315" s="1006">
        <f>E18+1345+100</f>
        <v>3245</v>
      </c>
      <c r="F1315" s="1006">
        <f>F18+1345+100</f>
        <v>3245</v>
      </c>
      <c r="G1315" s="608" t="s">
        <v>94</v>
      </c>
      <c r="H1315" s="56" t="s">
        <v>657</v>
      </c>
      <c r="I1315" s="5" t="s">
        <v>2127</v>
      </c>
      <c r="J1315" s="37" t="s">
        <v>1211</v>
      </c>
      <c r="K1315" s="34">
        <v>25</v>
      </c>
      <c r="L1315" s="607" t="s">
        <v>653</v>
      </c>
      <c r="M1315" s="108">
        <v>43087</v>
      </c>
      <c r="N1315" s="108">
        <v>43094</v>
      </c>
      <c r="O1315" s="61" t="s">
        <v>2444</v>
      </c>
      <c r="P1315" s="7"/>
      <c r="Q1315" s="7"/>
      <c r="R1315" s="606" t="s">
        <v>2126</v>
      </c>
      <c r="S1315" s="322" t="s">
        <v>1176</v>
      </c>
      <c r="T1315" s="858"/>
    </row>
    <row r="1316" spans="1:20" ht="20.100000000000001" customHeight="1">
      <c r="A1316" s="1256" t="s">
        <v>2971</v>
      </c>
      <c r="B1316" s="1138" t="s">
        <v>2527</v>
      </c>
      <c r="C1316" s="1138" t="s">
        <v>3556</v>
      </c>
      <c r="D1316" s="1006">
        <f>D4+1135</f>
        <v>2310</v>
      </c>
      <c r="E1316" s="1006">
        <f>E4+1135</f>
        <v>2385</v>
      </c>
      <c r="F1316" s="1006">
        <f>F4+1135</f>
        <v>2385</v>
      </c>
      <c r="G1316" s="609" t="s">
        <v>1689</v>
      </c>
      <c r="H1316" s="160" t="s">
        <v>645</v>
      </c>
      <c r="I1316" s="37" t="s">
        <v>2127</v>
      </c>
      <c r="J1316" s="37" t="s">
        <v>2525</v>
      </c>
      <c r="K1316" s="5">
        <v>20</v>
      </c>
      <c r="L1316" s="607" t="s">
        <v>653</v>
      </c>
      <c r="M1316" s="156">
        <v>43076</v>
      </c>
      <c r="N1316" s="156">
        <v>43083</v>
      </c>
      <c r="O1316" s="153" t="s">
        <v>2529</v>
      </c>
      <c r="P1316" s="61"/>
      <c r="Q1316" s="61" t="s">
        <v>2125</v>
      </c>
      <c r="R1316" s="606" t="s">
        <v>2530</v>
      </c>
      <c r="S1316" s="316" t="s">
        <v>2943</v>
      </c>
      <c r="T1316" s="858"/>
    </row>
    <row r="1317" spans="1:20" ht="20.100000000000001" customHeight="1">
      <c r="A1317" s="1256" t="s">
        <v>2971</v>
      </c>
      <c r="B1317" s="1138" t="s">
        <v>2527</v>
      </c>
      <c r="C1317" s="1138" t="s">
        <v>3556</v>
      </c>
      <c r="D1317" s="1006">
        <f>D46+1509</f>
        <v>2684</v>
      </c>
      <c r="E1317" s="1006">
        <f>E46+1509</f>
        <v>2759</v>
      </c>
      <c r="F1317" s="1006">
        <f>F46+1509</f>
        <v>2759</v>
      </c>
      <c r="G1317" s="609" t="s">
        <v>1689</v>
      </c>
      <c r="H1317" s="160" t="s">
        <v>1311</v>
      </c>
      <c r="I1317" s="37" t="s">
        <v>2526</v>
      </c>
      <c r="J1317" s="37" t="s">
        <v>2525</v>
      </c>
      <c r="K1317" s="5">
        <v>30</v>
      </c>
      <c r="L1317" s="607" t="s">
        <v>653</v>
      </c>
      <c r="M1317" s="156">
        <v>43076</v>
      </c>
      <c r="N1317" s="156">
        <v>43083</v>
      </c>
      <c r="O1317" s="153" t="s">
        <v>2529</v>
      </c>
      <c r="P1317" s="61"/>
      <c r="Q1317" s="61" t="s">
        <v>2125</v>
      </c>
      <c r="R1317" s="606" t="s">
        <v>2528</v>
      </c>
      <c r="S1317" s="316" t="s">
        <v>2943</v>
      </c>
      <c r="T1317" s="858"/>
    </row>
    <row r="1318" spans="1:20" ht="20.100000000000001" customHeight="1">
      <c r="A1318" s="1256" t="s">
        <v>2971</v>
      </c>
      <c r="B1318" s="1138" t="s">
        <v>2527</v>
      </c>
      <c r="C1318" s="1138" t="s">
        <v>3556</v>
      </c>
      <c r="D1318" s="1006">
        <f>D30+1350</f>
        <v>2900</v>
      </c>
      <c r="E1318" s="1006">
        <f>E30+1350</f>
        <v>3150</v>
      </c>
      <c r="F1318" s="1006">
        <f>F30+1350</f>
        <v>3150</v>
      </c>
      <c r="G1318" s="615" t="s">
        <v>51</v>
      </c>
      <c r="H1318" s="160" t="s">
        <v>2532</v>
      </c>
      <c r="I1318" s="37" t="s">
        <v>2127</v>
      </c>
      <c r="J1318" s="37" t="s">
        <v>2525</v>
      </c>
      <c r="K1318" s="5"/>
      <c r="L1318" s="607" t="s">
        <v>653</v>
      </c>
      <c r="M1318" s="611">
        <v>43086</v>
      </c>
      <c r="N1318" s="611">
        <v>43100</v>
      </c>
      <c r="O1318" s="61" t="s">
        <v>3291</v>
      </c>
      <c r="P1318" s="52"/>
      <c r="Q1318" s="61" t="s">
        <v>2466</v>
      </c>
      <c r="R1318" s="610"/>
      <c r="S1318" s="315" t="s">
        <v>3290</v>
      </c>
      <c r="T1318" s="858"/>
    </row>
    <row r="1319" spans="1:20" ht="20.100000000000001" customHeight="1">
      <c r="A1319" s="1256" t="s">
        <v>2971</v>
      </c>
      <c r="B1319" s="1138" t="s">
        <v>2527</v>
      </c>
      <c r="C1319" s="1138" t="s">
        <v>3556</v>
      </c>
      <c r="D1319" s="1006">
        <f>D18+1080+50</f>
        <v>2680</v>
      </c>
      <c r="E1319" s="1006">
        <f>E18+1080+100</f>
        <v>2980</v>
      </c>
      <c r="F1319" s="1006">
        <f>F18+1080+100</f>
        <v>2980</v>
      </c>
      <c r="G1319" s="608" t="s">
        <v>94</v>
      </c>
      <c r="H1319" s="56" t="s">
        <v>657</v>
      </c>
      <c r="I1319" s="5" t="s">
        <v>2127</v>
      </c>
      <c r="J1319" s="37" t="s">
        <v>2525</v>
      </c>
      <c r="K1319" s="16">
        <v>21</v>
      </c>
      <c r="L1319" s="607" t="s">
        <v>653</v>
      </c>
      <c r="M1319" s="108">
        <v>43087</v>
      </c>
      <c r="N1319" s="108">
        <v>43094</v>
      </c>
      <c r="O1319" s="61" t="s">
        <v>2444</v>
      </c>
      <c r="P1319" s="7"/>
      <c r="Q1319" s="7"/>
      <c r="R1319" s="606" t="s">
        <v>2126</v>
      </c>
      <c r="S1319" s="322" t="s">
        <v>1176</v>
      </c>
      <c r="T1319" s="858"/>
    </row>
    <row r="1320" spans="1:20" ht="20.100000000000001" customHeight="1">
      <c r="A1320" s="1256" t="s">
        <v>2971</v>
      </c>
      <c r="B1320" s="1138" t="s">
        <v>2527</v>
      </c>
      <c r="C1320" s="1138" t="s">
        <v>3556</v>
      </c>
      <c r="D1320" s="1006">
        <f>D41+1116+50</f>
        <v>2716</v>
      </c>
      <c r="E1320" s="1006">
        <f>E41+1116+100</f>
        <v>3016</v>
      </c>
      <c r="F1320" s="1006">
        <f>F41+1116+100</f>
        <v>3016</v>
      </c>
      <c r="G1320" s="608" t="s">
        <v>94</v>
      </c>
      <c r="H1320" s="168" t="s">
        <v>1102</v>
      </c>
      <c r="I1320" s="37" t="s">
        <v>2526</v>
      </c>
      <c r="J1320" s="37" t="s">
        <v>2525</v>
      </c>
      <c r="K1320" s="16">
        <v>26</v>
      </c>
      <c r="L1320" s="607" t="s">
        <v>653</v>
      </c>
      <c r="M1320" s="108">
        <v>43087</v>
      </c>
      <c r="N1320" s="108">
        <v>43094</v>
      </c>
      <c r="O1320" s="61" t="s">
        <v>2444</v>
      </c>
      <c r="P1320" s="7"/>
      <c r="Q1320" s="7"/>
      <c r="R1320" s="606" t="s">
        <v>2524</v>
      </c>
      <c r="S1320" s="322" t="s">
        <v>1176</v>
      </c>
      <c r="T1320" s="858"/>
    </row>
    <row r="1321" spans="1:20" ht="20.100000000000001" customHeight="1">
      <c r="A1321" s="925" t="s">
        <v>2972</v>
      </c>
      <c r="B1321" s="899" t="s">
        <v>2527</v>
      </c>
      <c r="C1321" s="899" t="s">
        <v>3555</v>
      </c>
      <c r="D1321" s="1006">
        <f>D41+2190+50</f>
        <v>3790</v>
      </c>
      <c r="E1321" s="1006">
        <f>E41+2190+100</f>
        <v>4090</v>
      </c>
      <c r="F1321" s="1006">
        <f>F41+2190+100</f>
        <v>4090</v>
      </c>
      <c r="G1321" s="608" t="s">
        <v>94</v>
      </c>
      <c r="H1321" s="168" t="s">
        <v>1102</v>
      </c>
      <c r="I1321" s="37" t="s">
        <v>2526</v>
      </c>
      <c r="J1321" s="37" t="s">
        <v>2525</v>
      </c>
      <c r="K1321" s="16">
        <v>26</v>
      </c>
      <c r="L1321" s="607" t="s">
        <v>653</v>
      </c>
      <c r="M1321" s="108">
        <v>43087</v>
      </c>
      <c r="N1321" s="108">
        <v>43094</v>
      </c>
      <c r="O1321" s="61" t="s">
        <v>2444</v>
      </c>
      <c r="P1321" s="7"/>
      <c r="Q1321" s="7"/>
      <c r="R1321" s="606" t="s">
        <v>2524</v>
      </c>
      <c r="S1321" s="322" t="s">
        <v>1176</v>
      </c>
      <c r="T1321" s="858"/>
    </row>
    <row r="1322" spans="1:20" ht="20.100000000000001" customHeight="1">
      <c r="A1322" s="1256" t="s">
        <v>2972</v>
      </c>
      <c r="B1322" s="1138" t="s">
        <v>2527</v>
      </c>
      <c r="C1322" s="1138" t="s">
        <v>3554</v>
      </c>
      <c r="D1322" s="1006">
        <f>D4+900</f>
        <v>2075</v>
      </c>
      <c r="E1322" s="1006">
        <f>E4+900</f>
        <v>2150</v>
      </c>
      <c r="F1322" s="1006">
        <f>F4+900</f>
        <v>2150</v>
      </c>
      <c r="G1322" s="609" t="s">
        <v>1689</v>
      </c>
      <c r="H1322" s="160" t="s">
        <v>645</v>
      </c>
      <c r="I1322" s="37" t="s">
        <v>2127</v>
      </c>
      <c r="J1322" s="37" t="s">
        <v>2525</v>
      </c>
      <c r="K1322" s="5">
        <v>20</v>
      </c>
      <c r="L1322" s="607" t="s">
        <v>653</v>
      </c>
      <c r="M1322" s="156">
        <v>43076</v>
      </c>
      <c r="N1322" s="156">
        <v>43083</v>
      </c>
      <c r="O1322" s="153" t="s">
        <v>2529</v>
      </c>
      <c r="P1322" s="61"/>
      <c r="Q1322" s="61" t="s">
        <v>2125</v>
      </c>
      <c r="R1322" s="606" t="s">
        <v>2530</v>
      </c>
      <c r="S1322" s="316" t="s">
        <v>2943</v>
      </c>
      <c r="T1322" s="858"/>
    </row>
    <row r="1323" spans="1:20" ht="20.100000000000001" customHeight="1">
      <c r="A1323" s="1256" t="s">
        <v>2971</v>
      </c>
      <c r="B1323" s="1138" t="s">
        <v>2527</v>
      </c>
      <c r="C1323" s="1138" t="s">
        <v>3554</v>
      </c>
      <c r="D1323" s="1006">
        <f>D46+970</f>
        <v>2145</v>
      </c>
      <c r="E1323" s="1006">
        <f>E46+970</f>
        <v>2220</v>
      </c>
      <c r="F1323" s="1006">
        <f>F46+970</f>
        <v>2220</v>
      </c>
      <c r="G1323" s="609" t="s">
        <v>1689</v>
      </c>
      <c r="H1323" s="160" t="s">
        <v>1311</v>
      </c>
      <c r="I1323" s="37" t="s">
        <v>2526</v>
      </c>
      <c r="J1323" s="37" t="s">
        <v>2525</v>
      </c>
      <c r="K1323" s="5">
        <v>30</v>
      </c>
      <c r="L1323" s="607" t="s">
        <v>653</v>
      </c>
      <c r="M1323" s="156">
        <v>43076</v>
      </c>
      <c r="N1323" s="156">
        <v>43083</v>
      </c>
      <c r="O1323" s="153" t="s">
        <v>2529</v>
      </c>
      <c r="P1323" s="61"/>
      <c r="Q1323" s="61" t="s">
        <v>2125</v>
      </c>
      <c r="R1323" s="606" t="s">
        <v>2528</v>
      </c>
      <c r="S1323" s="316" t="s">
        <v>2943</v>
      </c>
      <c r="T1323" s="858"/>
    </row>
    <row r="1324" spans="1:20" ht="20.100000000000001" customHeight="1">
      <c r="A1324" s="925" t="s">
        <v>2972</v>
      </c>
      <c r="B1324" s="899" t="s">
        <v>2527</v>
      </c>
      <c r="C1324" s="899" t="s">
        <v>3553</v>
      </c>
      <c r="D1324" s="1006">
        <f>D41+594+50</f>
        <v>2194</v>
      </c>
      <c r="E1324" s="1006">
        <f>E41+594+100</f>
        <v>2494</v>
      </c>
      <c r="F1324" s="1006">
        <f>F41+594+100</f>
        <v>2494</v>
      </c>
      <c r="G1324" s="608" t="s">
        <v>94</v>
      </c>
      <c r="H1324" s="168" t="s">
        <v>1102</v>
      </c>
      <c r="I1324" s="37" t="s">
        <v>2526</v>
      </c>
      <c r="J1324" s="37" t="s">
        <v>2525</v>
      </c>
      <c r="K1324" s="16">
        <v>26</v>
      </c>
      <c r="L1324" s="607" t="s">
        <v>653</v>
      </c>
      <c r="M1324" s="108">
        <v>43087</v>
      </c>
      <c r="N1324" s="108">
        <v>43094</v>
      </c>
      <c r="O1324" s="61" t="s">
        <v>2444</v>
      </c>
      <c r="P1324" s="7"/>
      <c r="Q1324" s="7"/>
      <c r="R1324" s="606" t="s">
        <v>2524</v>
      </c>
      <c r="S1324" s="322" t="s">
        <v>1176</v>
      </c>
      <c r="T1324" s="858"/>
    </row>
    <row r="1325" spans="1:20" ht="20.100000000000001" customHeight="1">
      <c r="A1325" s="1256" t="s">
        <v>2971</v>
      </c>
      <c r="B1325" s="1138" t="s">
        <v>2527</v>
      </c>
      <c r="C1325" s="1138" t="s">
        <v>3552</v>
      </c>
      <c r="D1325" s="1006">
        <f>D4+1180</f>
        <v>2355</v>
      </c>
      <c r="E1325" s="1006">
        <f>E4+1180</f>
        <v>2430</v>
      </c>
      <c r="F1325" s="1006">
        <f>F4+1180</f>
        <v>2430</v>
      </c>
      <c r="G1325" s="609" t="s">
        <v>1689</v>
      </c>
      <c r="H1325" s="160" t="s">
        <v>645</v>
      </c>
      <c r="I1325" s="37" t="s">
        <v>2127</v>
      </c>
      <c r="J1325" s="37" t="s">
        <v>2525</v>
      </c>
      <c r="K1325" s="5">
        <v>20</v>
      </c>
      <c r="L1325" s="607" t="s">
        <v>653</v>
      </c>
      <c r="M1325" s="156">
        <v>43076</v>
      </c>
      <c r="N1325" s="156">
        <v>43083</v>
      </c>
      <c r="O1325" s="153" t="s">
        <v>2529</v>
      </c>
      <c r="P1325" s="61"/>
      <c r="Q1325" s="61" t="s">
        <v>2125</v>
      </c>
      <c r="R1325" s="606" t="s">
        <v>2530</v>
      </c>
      <c r="S1325" s="316" t="s">
        <v>2943</v>
      </c>
      <c r="T1325" s="858"/>
    </row>
    <row r="1326" spans="1:20" ht="20.100000000000001" customHeight="1">
      <c r="A1326" s="1256" t="s">
        <v>2971</v>
      </c>
      <c r="B1326" s="1138" t="s">
        <v>2527</v>
      </c>
      <c r="C1326" s="1138" t="s">
        <v>3552</v>
      </c>
      <c r="D1326" s="1006">
        <f>D46+1391</f>
        <v>2566</v>
      </c>
      <c r="E1326" s="1006">
        <f>E46+1391</f>
        <v>2641</v>
      </c>
      <c r="F1326" s="1006">
        <f>F46+1391</f>
        <v>2641</v>
      </c>
      <c r="G1326" s="609" t="s">
        <v>1689</v>
      </c>
      <c r="H1326" s="160" t="s">
        <v>1311</v>
      </c>
      <c r="I1326" s="37" t="s">
        <v>2526</v>
      </c>
      <c r="J1326" s="37" t="s">
        <v>2525</v>
      </c>
      <c r="K1326" s="5">
        <v>30</v>
      </c>
      <c r="L1326" s="607" t="s">
        <v>653</v>
      </c>
      <c r="M1326" s="156">
        <v>43076</v>
      </c>
      <c r="N1326" s="156">
        <v>43083</v>
      </c>
      <c r="O1326" s="153" t="s">
        <v>2529</v>
      </c>
      <c r="P1326" s="61"/>
      <c r="Q1326" s="61" t="s">
        <v>2125</v>
      </c>
      <c r="R1326" s="606" t="s">
        <v>2528</v>
      </c>
      <c r="S1326" s="316" t="s">
        <v>2943</v>
      </c>
      <c r="T1326" s="858"/>
    </row>
    <row r="1327" spans="1:20" ht="20.100000000000001" customHeight="1">
      <c r="A1327" s="1256" t="s">
        <v>2971</v>
      </c>
      <c r="B1327" s="1138" t="s">
        <v>2527</v>
      </c>
      <c r="C1327" s="1138" t="s">
        <v>3551</v>
      </c>
      <c r="D1327" s="1006">
        <f>D30+1050</f>
        <v>2600</v>
      </c>
      <c r="E1327" s="1006">
        <f>E30+1050</f>
        <v>2850</v>
      </c>
      <c r="F1327" s="1006">
        <f>F30+1050</f>
        <v>2850</v>
      </c>
      <c r="G1327" s="615" t="s">
        <v>51</v>
      </c>
      <c r="H1327" s="160" t="s">
        <v>2532</v>
      </c>
      <c r="I1327" s="37" t="s">
        <v>2127</v>
      </c>
      <c r="J1327" s="37" t="s">
        <v>2525</v>
      </c>
      <c r="K1327" s="5"/>
      <c r="L1327" s="607" t="s">
        <v>653</v>
      </c>
      <c r="M1327" s="611">
        <v>43086</v>
      </c>
      <c r="N1327" s="611">
        <v>43100</v>
      </c>
      <c r="O1327" s="61" t="s">
        <v>3291</v>
      </c>
      <c r="P1327" s="52"/>
      <c r="Q1327" s="61" t="s">
        <v>2466</v>
      </c>
      <c r="R1327" s="610"/>
      <c r="S1327" s="315" t="s">
        <v>3290</v>
      </c>
      <c r="T1327" s="858"/>
    </row>
    <row r="1328" spans="1:20" ht="20.100000000000001" customHeight="1">
      <c r="A1328" s="1256" t="s">
        <v>2971</v>
      </c>
      <c r="B1328" s="1138" t="s">
        <v>2527</v>
      </c>
      <c r="C1328" s="1138" t="s">
        <v>3551</v>
      </c>
      <c r="D1328" s="1006">
        <f>D4+986</f>
        <v>2161</v>
      </c>
      <c r="E1328" s="1006">
        <f>E4+986</f>
        <v>2236</v>
      </c>
      <c r="F1328" s="1006">
        <f>F4+986</f>
        <v>2236</v>
      </c>
      <c r="G1328" s="609" t="s">
        <v>1689</v>
      </c>
      <c r="H1328" s="160" t="s">
        <v>645</v>
      </c>
      <c r="I1328" s="37" t="s">
        <v>2127</v>
      </c>
      <c r="J1328" s="37" t="s">
        <v>2525</v>
      </c>
      <c r="K1328" s="5">
        <v>20</v>
      </c>
      <c r="L1328" s="607" t="s">
        <v>653</v>
      </c>
      <c r="M1328" s="156">
        <v>43076</v>
      </c>
      <c r="N1328" s="156">
        <v>43083</v>
      </c>
      <c r="O1328" s="153" t="s">
        <v>2529</v>
      </c>
      <c r="P1328" s="61"/>
      <c r="Q1328" s="61" t="s">
        <v>2125</v>
      </c>
      <c r="R1328" s="606" t="s">
        <v>2530</v>
      </c>
      <c r="S1328" s="316" t="s">
        <v>2943</v>
      </c>
      <c r="T1328" s="858"/>
    </row>
    <row r="1329" spans="1:20" ht="20.100000000000001" customHeight="1">
      <c r="A1329" s="1256" t="s">
        <v>2971</v>
      </c>
      <c r="B1329" s="1138" t="s">
        <v>2527</v>
      </c>
      <c r="C1329" s="1138" t="s">
        <v>3550</v>
      </c>
      <c r="D1329" s="1006">
        <f>D4+900</f>
        <v>2075</v>
      </c>
      <c r="E1329" s="1006">
        <f>E4+900</f>
        <v>2150</v>
      </c>
      <c r="F1329" s="1006">
        <f>F4+900</f>
        <v>2150</v>
      </c>
      <c r="G1329" s="609" t="s">
        <v>1689</v>
      </c>
      <c r="H1329" s="160" t="s">
        <v>645</v>
      </c>
      <c r="I1329" s="37" t="s">
        <v>2127</v>
      </c>
      <c r="J1329" s="37" t="s">
        <v>2525</v>
      </c>
      <c r="K1329" s="5">
        <v>20</v>
      </c>
      <c r="L1329" s="607" t="s">
        <v>653</v>
      </c>
      <c r="M1329" s="156">
        <v>43076</v>
      </c>
      <c r="N1329" s="156">
        <v>43083</v>
      </c>
      <c r="O1329" s="153" t="s">
        <v>2529</v>
      </c>
      <c r="P1329" s="61"/>
      <c r="Q1329" s="61" t="s">
        <v>2125</v>
      </c>
      <c r="R1329" s="606" t="s">
        <v>2530</v>
      </c>
      <c r="S1329" s="316" t="s">
        <v>2943</v>
      </c>
      <c r="T1329" s="858"/>
    </row>
    <row r="1330" spans="1:20" ht="20.100000000000001" customHeight="1">
      <c r="A1330" s="1256" t="s">
        <v>2971</v>
      </c>
      <c r="B1330" s="1138" t="s">
        <v>2527</v>
      </c>
      <c r="C1330" s="1138" t="s">
        <v>3550</v>
      </c>
      <c r="D1330" s="1006">
        <f>D46+970</f>
        <v>2145</v>
      </c>
      <c r="E1330" s="1006">
        <f>E46+970</f>
        <v>2220</v>
      </c>
      <c r="F1330" s="1006">
        <f>F46+970</f>
        <v>2220</v>
      </c>
      <c r="G1330" s="609" t="s">
        <v>1689</v>
      </c>
      <c r="H1330" s="160" t="s">
        <v>1311</v>
      </c>
      <c r="I1330" s="37" t="s">
        <v>2526</v>
      </c>
      <c r="J1330" s="37" t="s">
        <v>2525</v>
      </c>
      <c r="K1330" s="5">
        <v>30</v>
      </c>
      <c r="L1330" s="607" t="s">
        <v>653</v>
      </c>
      <c r="M1330" s="156">
        <v>43076</v>
      </c>
      <c r="N1330" s="156">
        <v>43083</v>
      </c>
      <c r="O1330" s="153" t="s">
        <v>2529</v>
      </c>
      <c r="P1330" s="61"/>
      <c r="Q1330" s="61" t="s">
        <v>2125</v>
      </c>
      <c r="R1330" s="606" t="s">
        <v>2528</v>
      </c>
      <c r="S1330" s="316" t="s">
        <v>2943</v>
      </c>
      <c r="T1330" s="858"/>
    </row>
    <row r="1331" spans="1:20" ht="20.100000000000001" customHeight="1">
      <c r="A1331" s="1256" t="s">
        <v>2971</v>
      </c>
      <c r="B1331" s="1138" t="s">
        <v>2527</v>
      </c>
      <c r="C1331" s="1138" t="s">
        <v>3549</v>
      </c>
      <c r="D1331" s="1006">
        <f>D46+966</f>
        <v>2141</v>
      </c>
      <c r="E1331" s="1006">
        <f>E46+966</f>
        <v>2216</v>
      </c>
      <c r="F1331" s="1006">
        <f>F46+966</f>
        <v>2216</v>
      </c>
      <c r="G1331" s="609" t="s">
        <v>1689</v>
      </c>
      <c r="H1331" s="160" t="s">
        <v>1311</v>
      </c>
      <c r="I1331" s="37" t="s">
        <v>2526</v>
      </c>
      <c r="J1331" s="37" t="s">
        <v>2525</v>
      </c>
      <c r="K1331" s="5">
        <v>30</v>
      </c>
      <c r="L1331" s="607" t="s">
        <v>653</v>
      </c>
      <c r="M1331" s="156">
        <v>43076</v>
      </c>
      <c r="N1331" s="156">
        <v>43083</v>
      </c>
      <c r="O1331" s="153" t="s">
        <v>2529</v>
      </c>
      <c r="P1331" s="61"/>
      <c r="Q1331" s="61" t="s">
        <v>2125</v>
      </c>
      <c r="R1331" s="606" t="s">
        <v>2528</v>
      </c>
      <c r="S1331" s="316" t="s">
        <v>2943</v>
      </c>
      <c r="T1331" s="858"/>
    </row>
    <row r="1332" spans="1:20" ht="20.100000000000001" customHeight="1">
      <c r="A1332" s="1256" t="s">
        <v>2971</v>
      </c>
      <c r="B1332" s="1138" t="s">
        <v>2527</v>
      </c>
      <c r="C1332" s="1138" t="s">
        <v>3549</v>
      </c>
      <c r="D1332" s="1006">
        <f>D41+1316+50</f>
        <v>2916</v>
      </c>
      <c r="E1332" s="1006">
        <f>E41+1316+100</f>
        <v>3216</v>
      </c>
      <c r="F1332" s="1006">
        <f>F41+1316+100</f>
        <v>3216</v>
      </c>
      <c r="G1332" s="608" t="s">
        <v>94</v>
      </c>
      <c r="H1332" s="168" t="s">
        <v>1102</v>
      </c>
      <c r="I1332" s="37" t="s">
        <v>2526</v>
      </c>
      <c r="J1332" s="37" t="s">
        <v>2525</v>
      </c>
      <c r="K1332" s="16">
        <v>26</v>
      </c>
      <c r="L1332" s="607" t="s">
        <v>653</v>
      </c>
      <c r="M1332" s="108">
        <v>43087</v>
      </c>
      <c r="N1332" s="108">
        <v>43094</v>
      </c>
      <c r="O1332" s="61" t="s">
        <v>2444</v>
      </c>
      <c r="P1332" s="7"/>
      <c r="Q1332" s="7"/>
      <c r="R1332" s="606" t="s">
        <v>2524</v>
      </c>
      <c r="S1332" s="322" t="s">
        <v>1176</v>
      </c>
      <c r="T1332" s="858"/>
    </row>
    <row r="1333" spans="1:20" ht="20.100000000000001" customHeight="1">
      <c r="A1333" s="1256" t="s">
        <v>2972</v>
      </c>
      <c r="B1333" s="1138" t="s">
        <v>2527</v>
      </c>
      <c r="C1333" s="1138" t="s">
        <v>3548</v>
      </c>
      <c r="D1333" s="1006">
        <f>D46+583</f>
        <v>1758</v>
      </c>
      <c r="E1333" s="1006">
        <f>E46+628</f>
        <v>1878</v>
      </c>
      <c r="F1333" s="1006">
        <f>F46+628</f>
        <v>1878</v>
      </c>
      <c r="G1333" s="609" t="s">
        <v>1689</v>
      </c>
      <c r="H1333" s="160" t="s">
        <v>1311</v>
      </c>
      <c r="I1333" s="37" t="s">
        <v>2526</v>
      </c>
      <c r="J1333" s="37" t="s">
        <v>2539</v>
      </c>
      <c r="K1333" s="5">
        <v>30</v>
      </c>
      <c r="L1333" s="607" t="s">
        <v>653</v>
      </c>
      <c r="M1333" s="156">
        <v>43076</v>
      </c>
      <c r="N1333" s="156">
        <v>43083</v>
      </c>
      <c r="O1333" s="153" t="s">
        <v>2529</v>
      </c>
      <c r="P1333" s="61"/>
      <c r="Q1333" s="61" t="s">
        <v>2128</v>
      </c>
      <c r="R1333" s="606" t="s">
        <v>2528</v>
      </c>
      <c r="S1333" s="316" t="s">
        <v>2943</v>
      </c>
      <c r="T1333" s="858"/>
    </row>
    <row r="1334" spans="1:20" ht="20.100000000000001" customHeight="1">
      <c r="A1334" s="1256" t="s">
        <v>2971</v>
      </c>
      <c r="B1334" s="1138" t="s">
        <v>2527</v>
      </c>
      <c r="C1334" s="1138" t="s">
        <v>3548</v>
      </c>
      <c r="D1334" s="1006">
        <f>D46+911</f>
        <v>2086</v>
      </c>
      <c r="E1334" s="1006">
        <f>E46+1053</f>
        <v>2303</v>
      </c>
      <c r="F1334" s="1006">
        <f>F46+1053</f>
        <v>2303</v>
      </c>
      <c r="G1334" s="609" t="s">
        <v>1689</v>
      </c>
      <c r="H1334" s="160" t="s">
        <v>1311</v>
      </c>
      <c r="I1334" s="37" t="s">
        <v>2526</v>
      </c>
      <c r="J1334" s="37" t="s">
        <v>1211</v>
      </c>
      <c r="K1334" s="5">
        <v>30</v>
      </c>
      <c r="L1334" s="607" t="s">
        <v>653</v>
      </c>
      <c r="M1334" s="156">
        <v>43076</v>
      </c>
      <c r="N1334" s="156">
        <v>43083</v>
      </c>
      <c r="O1334" s="153" t="s">
        <v>2529</v>
      </c>
      <c r="P1334" s="61"/>
      <c r="Q1334" s="61" t="s">
        <v>2128</v>
      </c>
      <c r="R1334" s="606" t="s">
        <v>2528</v>
      </c>
      <c r="S1334" s="316" t="s">
        <v>2943</v>
      </c>
      <c r="T1334" s="858"/>
    </row>
    <row r="1335" spans="1:20" ht="20.100000000000001" customHeight="1">
      <c r="A1335" s="1256" t="s">
        <v>2971</v>
      </c>
      <c r="B1335" s="1138" t="s">
        <v>2527</v>
      </c>
      <c r="C1335" s="1138" t="s">
        <v>3548</v>
      </c>
      <c r="D1335" s="1006">
        <f>D41+1381+50</f>
        <v>2981</v>
      </c>
      <c r="E1335" s="1006">
        <f>E41+1381+100</f>
        <v>3281</v>
      </c>
      <c r="F1335" s="1006">
        <f>F41+1381+100</f>
        <v>3281</v>
      </c>
      <c r="G1335" s="608" t="s">
        <v>94</v>
      </c>
      <c r="H1335" s="168" t="s">
        <v>1102</v>
      </c>
      <c r="I1335" s="37" t="s">
        <v>2526</v>
      </c>
      <c r="J1335" s="37" t="s">
        <v>2525</v>
      </c>
      <c r="K1335" s="16">
        <v>26</v>
      </c>
      <c r="L1335" s="607" t="s">
        <v>653</v>
      </c>
      <c r="M1335" s="108">
        <v>43087</v>
      </c>
      <c r="N1335" s="108">
        <v>43094</v>
      </c>
      <c r="O1335" s="61" t="s">
        <v>2444</v>
      </c>
      <c r="P1335" s="7"/>
      <c r="Q1335" s="7"/>
      <c r="R1335" s="606" t="s">
        <v>2524</v>
      </c>
      <c r="S1335" s="322" t="s">
        <v>1176</v>
      </c>
      <c r="T1335" s="858"/>
    </row>
    <row r="1336" spans="1:20" ht="20.100000000000001" customHeight="1">
      <c r="A1336" s="925" t="s">
        <v>2972</v>
      </c>
      <c r="B1336" s="899" t="s">
        <v>2527</v>
      </c>
      <c r="C1336" s="899" t="s">
        <v>3547</v>
      </c>
      <c r="D1336" s="1006">
        <f>D41+1092+50</f>
        <v>2692</v>
      </c>
      <c r="E1336" s="1006">
        <f>E41+1092+100</f>
        <v>2992</v>
      </c>
      <c r="F1336" s="1006">
        <f>F41+1092+100</f>
        <v>2992</v>
      </c>
      <c r="G1336" s="608" t="s">
        <v>94</v>
      </c>
      <c r="H1336" s="168" t="s">
        <v>1102</v>
      </c>
      <c r="I1336" s="37" t="s">
        <v>2526</v>
      </c>
      <c r="J1336" s="37" t="s">
        <v>2525</v>
      </c>
      <c r="K1336" s="16">
        <v>26</v>
      </c>
      <c r="L1336" s="607" t="s">
        <v>653</v>
      </c>
      <c r="M1336" s="108">
        <v>43087</v>
      </c>
      <c r="N1336" s="108">
        <v>43094</v>
      </c>
      <c r="O1336" s="61" t="s">
        <v>2444</v>
      </c>
      <c r="P1336" s="7"/>
      <c r="Q1336" s="7"/>
      <c r="R1336" s="606" t="s">
        <v>2524</v>
      </c>
      <c r="S1336" s="322" t="s">
        <v>1176</v>
      </c>
      <c r="T1336" s="858"/>
    </row>
    <row r="1337" spans="1:20" ht="20.100000000000001" customHeight="1">
      <c r="A1337" s="1256" t="s">
        <v>2971</v>
      </c>
      <c r="B1337" s="1138" t="s">
        <v>2527</v>
      </c>
      <c r="C1337" s="1138" t="s">
        <v>3546</v>
      </c>
      <c r="D1337" s="1006">
        <f>D4+900</f>
        <v>2075</v>
      </c>
      <c r="E1337" s="1006">
        <f>E4+900</f>
        <v>2150</v>
      </c>
      <c r="F1337" s="1006">
        <f>F4+900</f>
        <v>2150</v>
      </c>
      <c r="G1337" s="609" t="s">
        <v>1689</v>
      </c>
      <c r="H1337" s="160" t="s">
        <v>645</v>
      </c>
      <c r="I1337" s="37" t="s">
        <v>2127</v>
      </c>
      <c r="J1337" s="37" t="s">
        <v>2525</v>
      </c>
      <c r="K1337" s="5">
        <v>20</v>
      </c>
      <c r="L1337" s="607" t="s">
        <v>653</v>
      </c>
      <c r="M1337" s="156">
        <v>43076</v>
      </c>
      <c r="N1337" s="156">
        <v>43083</v>
      </c>
      <c r="O1337" s="153" t="s">
        <v>2529</v>
      </c>
      <c r="P1337" s="61"/>
      <c r="Q1337" s="61" t="s">
        <v>2125</v>
      </c>
      <c r="R1337" s="606" t="s">
        <v>2530</v>
      </c>
      <c r="S1337" s="316" t="s">
        <v>2943</v>
      </c>
      <c r="T1337" s="858"/>
    </row>
    <row r="1338" spans="1:20" ht="20.100000000000001" customHeight="1">
      <c r="A1338" s="1256" t="s">
        <v>2971</v>
      </c>
      <c r="B1338" s="1138" t="s">
        <v>2527</v>
      </c>
      <c r="C1338" s="1138" t="s">
        <v>3546</v>
      </c>
      <c r="D1338" s="1006">
        <f>D46+970</f>
        <v>2145</v>
      </c>
      <c r="E1338" s="1006">
        <f>E46+970</f>
        <v>2220</v>
      </c>
      <c r="F1338" s="1006">
        <f>F46+970</f>
        <v>2220</v>
      </c>
      <c r="G1338" s="609" t="s">
        <v>1689</v>
      </c>
      <c r="H1338" s="160" t="s">
        <v>1311</v>
      </c>
      <c r="I1338" s="37" t="s">
        <v>2526</v>
      </c>
      <c r="J1338" s="37" t="s">
        <v>2525</v>
      </c>
      <c r="K1338" s="5">
        <v>30</v>
      </c>
      <c r="L1338" s="607" t="s">
        <v>653</v>
      </c>
      <c r="M1338" s="156">
        <v>43076</v>
      </c>
      <c r="N1338" s="156">
        <v>43083</v>
      </c>
      <c r="O1338" s="153" t="s">
        <v>2529</v>
      </c>
      <c r="P1338" s="61"/>
      <c r="Q1338" s="61" t="s">
        <v>2125</v>
      </c>
      <c r="R1338" s="606" t="s">
        <v>2528</v>
      </c>
      <c r="S1338" s="316" t="s">
        <v>2943</v>
      </c>
      <c r="T1338" s="858"/>
    </row>
    <row r="1339" spans="1:20" ht="20.100000000000001" customHeight="1">
      <c r="A1339" s="1256" t="s">
        <v>2971</v>
      </c>
      <c r="B1339" s="1138" t="s">
        <v>2527</v>
      </c>
      <c r="C1339" s="1138" t="s">
        <v>3545</v>
      </c>
      <c r="D1339" s="1006">
        <f>D4+900</f>
        <v>2075</v>
      </c>
      <c r="E1339" s="1006">
        <f>E4+900</f>
        <v>2150</v>
      </c>
      <c r="F1339" s="1006">
        <f>F4+900</f>
        <v>2150</v>
      </c>
      <c r="G1339" s="609" t="s">
        <v>1689</v>
      </c>
      <c r="H1339" s="160" t="s">
        <v>645</v>
      </c>
      <c r="I1339" s="37" t="s">
        <v>2127</v>
      </c>
      <c r="J1339" s="37" t="s">
        <v>2525</v>
      </c>
      <c r="K1339" s="5">
        <v>20</v>
      </c>
      <c r="L1339" s="607" t="s">
        <v>653</v>
      </c>
      <c r="M1339" s="156">
        <v>43076</v>
      </c>
      <c r="N1339" s="156">
        <v>43083</v>
      </c>
      <c r="O1339" s="153" t="s">
        <v>2529</v>
      </c>
      <c r="P1339" s="61"/>
      <c r="Q1339" s="61" t="s">
        <v>2125</v>
      </c>
      <c r="R1339" s="606" t="s">
        <v>2530</v>
      </c>
      <c r="S1339" s="316" t="s">
        <v>2943</v>
      </c>
      <c r="T1339" s="858"/>
    </row>
    <row r="1340" spans="1:20" ht="20.100000000000001" customHeight="1">
      <c r="A1340" s="1256" t="s">
        <v>2971</v>
      </c>
      <c r="B1340" s="1138" t="s">
        <v>2527</v>
      </c>
      <c r="C1340" s="1138" t="s">
        <v>3545</v>
      </c>
      <c r="D1340" s="1006">
        <f>D46+970</f>
        <v>2145</v>
      </c>
      <c r="E1340" s="1006">
        <f>E46+970</f>
        <v>2220</v>
      </c>
      <c r="F1340" s="1006">
        <f>F46+970</f>
        <v>2220</v>
      </c>
      <c r="G1340" s="609" t="s">
        <v>1689</v>
      </c>
      <c r="H1340" s="160" t="s">
        <v>1311</v>
      </c>
      <c r="I1340" s="37" t="s">
        <v>2526</v>
      </c>
      <c r="J1340" s="37" t="s">
        <v>2525</v>
      </c>
      <c r="K1340" s="5">
        <v>30</v>
      </c>
      <c r="L1340" s="607" t="s">
        <v>653</v>
      </c>
      <c r="M1340" s="156">
        <v>43076</v>
      </c>
      <c r="N1340" s="156">
        <v>43083</v>
      </c>
      <c r="O1340" s="153" t="s">
        <v>2529</v>
      </c>
      <c r="P1340" s="61"/>
      <c r="Q1340" s="61" t="s">
        <v>2125</v>
      </c>
      <c r="R1340" s="606" t="s">
        <v>2528</v>
      </c>
      <c r="S1340" s="316" t="s">
        <v>2943</v>
      </c>
      <c r="T1340" s="858"/>
    </row>
    <row r="1341" spans="1:20" ht="20.100000000000001" customHeight="1">
      <c r="A1341" s="925" t="s">
        <v>2971</v>
      </c>
      <c r="B1341" s="899" t="s">
        <v>2527</v>
      </c>
      <c r="C1341" s="899" t="s">
        <v>4303</v>
      </c>
      <c r="D1341" s="1008">
        <f>D59+1937</f>
        <v>3587</v>
      </c>
      <c r="E1341" s="1008">
        <f>E59+1937</f>
        <v>3937</v>
      </c>
      <c r="F1341" s="1008">
        <f>F59+1937</f>
        <v>3937</v>
      </c>
      <c r="G1341" s="608" t="s">
        <v>94</v>
      </c>
      <c r="H1341" s="168" t="s">
        <v>1102</v>
      </c>
      <c r="I1341" s="37" t="s">
        <v>2540</v>
      </c>
      <c r="J1341" s="37" t="s">
        <v>2525</v>
      </c>
      <c r="K1341" s="5" t="s">
        <v>968</v>
      </c>
      <c r="L1341" s="607" t="s">
        <v>653</v>
      </c>
      <c r="M1341" s="108">
        <v>43087</v>
      </c>
      <c r="N1341" s="108">
        <v>43094</v>
      </c>
      <c r="O1341" s="61" t="s">
        <v>2444</v>
      </c>
      <c r="P1341" s="7"/>
      <c r="Q1341" s="7"/>
      <c r="R1341" s="606" t="s">
        <v>2524</v>
      </c>
      <c r="S1341" s="322" t="s">
        <v>1176</v>
      </c>
      <c r="T1341" s="858"/>
    </row>
    <row r="1342" spans="1:20" ht="20.100000000000001" customHeight="1">
      <c r="A1342" s="925" t="s">
        <v>2971</v>
      </c>
      <c r="B1342" s="899" t="s">
        <v>2527</v>
      </c>
      <c r="C1342" s="899" t="s">
        <v>4302</v>
      </c>
      <c r="D1342" s="1006">
        <f>D4+1182</f>
        <v>2357</v>
      </c>
      <c r="E1342" s="1006">
        <f>E4+1182</f>
        <v>2432</v>
      </c>
      <c r="F1342" s="1006">
        <f>F4+1182</f>
        <v>2432</v>
      </c>
      <c r="G1342" s="609" t="s">
        <v>1689</v>
      </c>
      <c r="H1342" s="160" t="s">
        <v>645</v>
      </c>
      <c r="I1342" s="37" t="s">
        <v>2127</v>
      </c>
      <c r="J1342" s="37" t="s">
        <v>2525</v>
      </c>
      <c r="K1342" s="5">
        <v>20</v>
      </c>
      <c r="L1342" s="607" t="s">
        <v>653</v>
      </c>
      <c r="M1342" s="156">
        <v>43076</v>
      </c>
      <c r="N1342" s="156">
        <v>43083</v>
      </c>
      <c r="O1342" s="153" t="s">
        <v>2529</v>
      </c>
      <c r="P1342" s="61"/>
      <c r="Q1342" s="61" t="s">
        <v>2125</v>
      </c>
      <c r="R1342" s="606" t="s">
        <v>2530</v>
      </c>
      <c r="S1342" s="316" t="s">
        <v>2943</v>
      </c>
      <c r="T1342" s="858"/>
    </row>
    <row r="1343" spans="1:20" ht="20.100000000000001" customHeight="1">
      <c r="A1343" s="1256" t="s">
        <v>2971</v>
      </c>
      <c r="B1343" s="1138" t="s">
        <v>2527</v>
      </c>
      <c r="C1343" s="1138" t="s">
        <v>4301</v>
      </c>
      <c r="D1343" s="1006">
        <f>D18+3800+50</f>
        <v>5400</v>
      </c>
      <c r="E1343" s="1006">
        <f>E18+3800+100</f>
        <v>5700</v>
      </c>
      <c r="F1343" s="1006">
        <f>F18+3800+100</f>
        <v>5700</v>
      </c>
      <c r="G1343" s="608" t="s">
        <v>94</v>
      </c>
      <c r="H1343" s="56" t="s">
        <v>657</v>
      </c>
      <c r="I1343" s="5" t="s">
        <v>2127</v>
      </c>
      <c r="J1343" s="37" t="s">
        <v>2525</v>
      </c>
      <c r="K1343" s="5">
        <v>24</v>
      </c>
      <c r="L1343" s="607" t="s">
        <v>653</v>
      </c>
      <c r="M1343" s="108">
        <v>43087</v>
      </c>
      <c r="N1343" s="108">
        <v>43094</v>
      </c>
      <c r="O1343" s="61" t="s">
        <v>2444</v>
      </c>
      <c r="P1343" s="7"/>
      <c r="Q1343" s="7"/>
      <c r="R1343" s="606" t="s">
        <v>2126</v>
      </c>
      <c r="S1343" s="322" t="s">
        <v>1176</v>
      </c>
      <c r="T1343" s="858"/>
    </row>
    <row r="1344" spans="1:20" ht="20.100000000000001" customHeight="1">
      <c r="A1344" s="1256" t="s">
        <v>2971</v>
      </c>
      <c r="B1344" s="1138" t="s">
        <v>2527</v>
      </c>
      <c r="C1344" s="1138" t="s">
        <v>4301</v>
      </c>
      <c r="D1344" s="1006">
        <f>D41+4005+50</f>
        <v>5605</v>
      </c>
      <c r="E1344" s="1006">
        <f>E41+4005+100</f>
        <v>5905</v>
      </c>
      <c r="F1344" s="1006">
        <f>F41+4005+100</f>
        <v>5905</v>
      </c>
      <c r="G1344" s="608" t="s">
        <v>94</v>
      </c>
      <c r="H1344" s="168" t="s">
        <v>1102</v>
      </c>
      <c r="I1344" s="37" t="s">
        <v>2526</v>
      </c>
      <c r="J1344" s="37" t="s">
        <v>2525</v>
      </c>
      <c r="K1344" s="16">
        <v>26</v>
      </c>
      <c r="L1344" s="607" t="s">
        <v>653</v>
      </c>
      <c r="M1344" s="108">
        <v>43087</v>
      </c>
      <c r="N1344" s="108">
        <v>43094</v>
      </c>
      <c r="O1344" s="61" t="s">
        <v>2444</v>
      </c>
      <c r="P1344" s="7"/>
      <c r="Q1344" s="7"/>
      <c r="R1344" s="606" t="s">
        <v>2524</v>
      </c>
      <c r="S1344" s="322" t="s">
        <v>1176</v>
      </c>
      <c r="T1344" s="858"/>
    </row>
    <row r="1345" spans="1:20" ht="20.100000000000001" customHeight="1">
      <c r="A1345" s="1256" t="s">
        <v>3340</v>
      </c>
      <c r="B1345" s="1138" t="s">
        <v>2527</v>
      </c>
      <c r="C1345" s="1138" t="s">
        <v>4300</v>
      </c>
      <c r="D1345" s="1008">
        <f>D4+4053</f>
        <v>5228</v>
      </c>
      <c r="E1345" s="1008">
        <f>E4+4053</f>
        <v>5303</v>
      </c>
      <c r="F1345" s="1008">
        <f>F4+4053</f>
        <v>5303</v>
      </c>
      <c r="G1345" s="609" t="s">
        <v>1689</v>
      </c>
      <c r="H1345" s="160" t="s">
        <v>645</v>
      </c>
      <c r="I1345" s="37" t="s">
        <v>2127</v>
      </c>
      <c r="J1345" s="37" t="s">
        <v>2525</v>
      </c>
      <c r="K1345" s="5">
        <v>20</v>
      </c>
      <c r="L1345" s="607" t="s">
        <v>653</v>
      </c>
      <c r="M1345" s="156">
        <v>43076</v>
      </c>
      <c r="N1345" s="156">
        <v>43083</v>
      </c>
      <c r="O1345" s="153" t="s">
        <v>2529</v>
      </c>
      <c r="P1345" s="61"/>
      <c r="Q1345" s="61" t="s">
        <v>2125</v>
      </c>
      <c r="R1345" s="606" t="s">
        <v>2530</v>
      </c>
      <c r="S1345" s="316" t="s">
        <v>2943</v>
      </c>
      <c r="T1345" s="858"/>
    </row>
    <row r="1346" spans="1:20" ht="20.100000000000001" customHeight="1">
      <c r="A1346" s="1256" t="s">
        <v>2971</v>
      </c>
      <c r="B1346" s="1138" t="s">
        <v>2527</v>
      </c>
      <c r="C1346" s="1138" t="s">
        <v>4300</v>
      </c>
      <c r="D1346" s="1008">
        <f>D18+4600+50</f>
        <v>6200</v>
      </c>
      <c r="E1346" s="1008">
        <f>E18+4600+100</f>
        <v>6500</v>
      </c>
      <c r="F1346" s="1008">
        <f>F18+4600+100</f>
        <v>6500</v>
      </c>
      <c r="G1346" s="608" t="s">
        <v>94</v>
      </c>
      <c r="H1346" s="56" t="s">
        <v>657</v>
      </c>
      <c r="I1346" s="5" t="s">
        <v>2127</v>
      </c>
      <c r="J1346" s="37" t="s">
        <v>2525</v>
      </c>
      <c r="K1346" s="5">
        <v>26</v>
      </c>
      <c r="L1346" s="607" t="s">
        <v>653</v>
      </c>
      <c r="M1346" s="108">
        <v>43087</v>
      </c>
      <c r="N1346" s="108">
        <v>43094</v>
      </c>
      <c r="O1346" s="61" t="s">
        <v>2444</v>
      </c>
      <c r="P1346" s="7"/>
      <c r="Q1346" s="7"/>
      <c r="R1346" s="606" t="s">
        <v>2126</v>
      </c>
      <c r="S1346" s="322" t="s">
        <v>1176</v>
      </c>
      <c r="T1346" s="858"/>
    </row>
    <row r="1347" spans="1:20" ht="20.100000000000001" customHeight="1">
      <c r="A1347" s="1256" t="s">
        <v>2971</v>
      </c>
      <c r="B1347" s="1138" t="s">
        <v>2527</v>
      </c>
      <c r="C1347" s="1138" t="s">
        <v>4300</v>
      </c>
      <c r="D1347" s="1011">
        <f>D41+4410+50</f>
        <v>6010</v>
      </c>
      <c r="E1347" s="1011">
        <f>E41+4410+100</f>
        <v>6310</v>
      </c>
      <c r="F1347" s="1011">
        <f>F41+4410+100</f>
        <v>6310</v>
      </c>
      <c r="G1347" s="608" t="s">
        <v>94</v>
      </c>
      <c r="H1347" s="168" t="s">
        <v>1102</v>
      </c>
      <c r="I1347" s="37" t="s">
        <v>2526</v>
      </c>
      <c r="J1347" s="37" t="s">
        <v>2525</v>
      </c>
      <c r="K1347" s="16">
        <v>26</v>
      </c>
      <c r="L1347" s="607" t="s">
        <v>653</v>
      </c>
      <c r="M1347" s="108">
        <v>43087</v>
      </c>
      <c r="N1347" s="108">
        <v>43094</v>
      </c>
      <c r="O1347" s="61" t="s">
        <v>2444</v>
      </c>
      <c r="P1347" s="7"/>
      <c r="Q1347" s="7"/>
      <c r="R1347" s="606" t="s">
        <v>2524</v>
      </c>
      <c r="S1347" s="322" t="s">
        <v>1176</v>
      </c>
      <c r="T1347" s="858"/>
    </row>
    <row r="1348" spans="1:20" ht="20.100000000000001" customHeight="1">
      <c r="A1348" s="1256" t="s">
        <v>2971</v>
      </c>
      <c r="B1348" s="1138" t="s">
        <v>2527</v>
      </c>
      <c r="C1348" s="1245" t="s">
        <v>4300</v>
      </c>
      <c r="D1348" s="1010"/>
      <c r="E1348" s="1010"/>
      <c r="F1348" s="1010"/>
      <c r="G1348" s="780" t="s">
        <v>76</v>
      </c>
      <c r="H1348" s="56" t="s">
        <v>659</v>
      </c>
      <c r="I1348" s="5" t="s">
        <v>2543</v>
      </c>
      <c r="J1348" s="5"/>
      <c r="K1348" s="34">
        <v>45</v>
      </c>
      <c r="L1348" s="607" t="s">
        <v>653</v>
      </c>
      <c r="M1348" s="6">
        <v>43087</v>
      </c>
      <c r="N1348" s="6">
        <v>43093</v>
      </c>
      <c r="O1348" s="61" t="s">
        <v>3401</v>
      </c>
      <c r="P1348" s="61"/>
      <c r="Q1348" s="61"/>
      <c r="R1348" s="606"/>
      <c r="S1348" s="315" t="s">
        <v>3341</v>
      </c>
      <c r="T1348" s="858"/>
    </row>
    <row r="1349" spans="1:20" ht="20.100000000000001" customHeight="1">
      <c r="A1349" s="1256" t="s">
        <v>2971</v>
      </c>
      <c r="B1349" s="1138" t="s">
        <v>2527</v>
      </c>
      <c r="C1349" s="1138" t="s">
        <v>3544</v>
      </c>
      <c r="D1349" s="1009">
        <f>D4+3030</f>
        <v>4205</v>
      </c>
      <c r="E1349" s="1009">
        <f>E4+3030</f>
        <v>4280</v>
      </c>
      <c r="F1349" s="1009">
        <f>F4+3030</f>
        <v>4280</v>
      </c>
      <c r="G1349" s="609" t="s">
        <v>1689</v>
      </c>
      <c r="H1349" s="160" t="s">
        <v>645</v>
      </c>
      <c r="I1349" s="37" t="s">
        <v>2127</v>
      </c>
      <c r="J1349" s="37" t="s">
        <v>2525</v>
      </c>
      <c r="K1349" s="5">
        <v>20</v>
      </c>
      <c r="L1349" s="607" t="s">
        <v>653</v>
      </c>
      <c r="M1349" s="156">
        <v>43076</v>
      </c>
      <c r="N1349" s="156">
        <v>43083</v>
      </c>
      <c r="O1349" s="153" t="s">
        <v>2529</v>
      </c>
      <c r="P1349" s="61"/>
      <c r="Q1349" s="61" t="s">
        <v>2125</v>
      </c>
      <c r="R1349" s="606" t="s">
        <v>2530</v>
      </c>
      <c r="S1349" s="316" t="s">
        <v>2943</v>
      </c>
      <c r="T1349" s="858"/>
    </row>
    <row r="1350" spans="1:20" ht="20.100000000000001" customHeight="1">
      <c r="A1350" s="1256" t="s">
        <v>2971</v>
      </c>
      <c r="B1350" s="1138" t="s">
        <v>2527</v>
      </c>
      <c r="C1350" s="1138" t="s">
        <v>3544</v>
      </c>
      <c r="D1350" s="1006">
        <f>D18+2600+50</f>
        <v>4200</v>
      </c>
      <c r="E1350" s="1006">
        <f>E18+2600+100</f>
        <v>4500</v>
      </c>
      <c r="F1350" s="1006">
        <f>F18+2600+100</f>
        <v>4500</v>
      </c>
      <c r="G1350" s="608" t="s">
        <v>94</v>
      </c>
      <c r="H1350" s="56" t="s">
        <v>657</v>
      </c>
      <c r="I1350" s="5" t="s">
        <v>2127</v>
      </c>
      <c r="J1350" s="37" t="s">
        <v>1211</v>
      </c>
      <c r="K1350" s="5">
        <v>26</v>
      </c>
      <c r="L1350" s="607" t="s">
        <v>653</v>
      </c>
      <c r="M1350" s="108">
        <v>43087</v>
      </c>
      <c r="N1350" s="108">
        <v>43094</v>
      </c>
      <c r="O1350" s="61" t="s">
        <v>2444</v>
      </c>
      <c r="P1350" s="7"/>
      <c r="Q1350" s="7"/>
      <c r="R1350" s="606" t="s">
        <v>2126</v>
      </c>
      <c r="S1350" s="322" t="s">
        <v>1176</v>
      </c>
      <c r="T1350" s="858"/>
    </row>
    <row r="1351" spans="1:20" ht="20.100000000000001" customHeight="1">
      <c r="A1351" s="1256" t="s">
        <v>2971</v>
      </c>
      <c r="B1351" s="1138" t="s">
        <v>2527</v>
      </c>
      <c r="C1351" s="1138" t="s">
        <v>3544</v>
      </c>
      <c r="D1351" s="1006">
        <f>D41+2425+50</f>
        <v>4025</v>
      </c>
      <c r="E1351" s="1006">
        <f>E41+2330+100</f>
        <v>4230</v>
      </c>
      <c r="F1351" s="1006">
        <f>F41+2320+100</f>
        <v>4220</v>
      </c>
      <c r="G1351" s="608" t="s">
        <v>94</v>
      </c>
      <c r="H1351" s="168" t="s">
        <v>1102</v>
      </c>
      <c r="I1351" s="5" t="s">
        <v>2526</v>
      </c>
      <c r="J1351" s="37" t="s">
        <v>1211</v>
      </c>
      <c r="K1351" s="16">
        <v>26</v>
      </c>
      <c r="L1351" s="607" t="s">
        <v>653</v>
      </c>
      <c r="M1351" s="108">
        <v>43087</v>
      </c>
      <c r="N1351" s="108">
        <v>43094</v>
      </c>
      <c r="O1351" s="61" t="s">
        <v>2444</v>
      </c>
      <c r="P1351" s="7"/>
      <c r="Q1351" s="7"/>
      <c r="R1351" s="606" t="s">
        <v>2524</v>
      </c>
      <c r="S1351" s="322" t="s">
        <v>1176</v>
      </c>
      <c r="T1351" s="858"/>
    </row>
    <row r="1352" spans="1:20" ht="20.100000000000001" customHeight="1">
      <c r="A1352" s="1256" t="s">
        <v>2971</v>
      </c>
      <c r="B1352" s="1138" t="s">
        <v>2527</v>
      </c>
      <c r="C1352" s="1138" t="s">
        <v>3544</v>
      </c>
      <c r="D1352" s="1006">
        <f>D18+3380+50</f>
        <v>4980</v>
      </c>
      <c r="E1352" s="1006">
        <f>E18+3380+100</f>
        <v>5280</v>
      </c>
      <c r="F1352" s="1006">
        <f>F18+3380+100</f>
        <v>5280</v>
      </c>
      <c r="G1352" s="608" t="s">
        <v>94</v>
      </c>
      <c r="H1352" s="56" t="s">
        <v>657</v>
      </c>
      <c r="I1352" s="5" t="s">
        <v>2127</v>
      </c>
      <c r="J1352" s="37" t="s">
        <v>2525</v>
      </c>
      <c r="K1352" s="16">
        <v>23</v>
      </c>
      <c r="L1352" s="607" t="s">
        <v>653</v>
      </c>
      <c r="M1352" s="108">
        <v>43087</v>
      </c>
      <c r="N1352" s="108">
        <v>43094</v>
      </c>
      <c r="O1352" s="61" t="s">
        <v>2444</v>
      </c>
      <c r="P1352" s="7"/>
      <c r="Q1352" s="7"/>
      <c r="R1352" s="606" t="s">
        <v>2126</v>
      </c>
      <c r="S1352" s="322" t="s">
        <v>1176</v>
      </c>
      <c r="T1352" s="858"/>
    </row>
    <row r="1353" spans="1:20" ht="20.100000000000001" customHeight="1">
      <c r="A1353" s="1256" t="s">
        <v>2971</v>
      </c>
      <c r="B1353" s="1138" t="s">
        <v>2527</v>
      </c>
      <c r="C1353" s="1138" t="s">
        <v>3544</v>
      </c>
      <c r="D1353" s="1006">
        <f>D41+3010+50</f>
        <v>4610</v>
      </c>
      <c r="E1353" s="1006">
        <f>E41+3010+100</f>
        <v>4910</v>
      </c>
      <c r="F1353" s="1006">
        <f>F41+3010+100</f>
        <v>4910</v>
      </c>
      <c r="G1353" s="608" t="s">
        <v>94</v>
      </c>
      <c r="H1353" s="168" t="s">
        <v>1102</v>
      </c>
      <c r="I1353" s="37" t="s">
        <v>2526</v>
      </c>
      <c r="J1353" s="37" t="s">
        <v>2525</v>
      </c>
      <c r="K1353" s="16">
        <v>26</v>
      </c>
      <c r="L1353" s="607" t="s">
        <v>653</v>
      </c>
      <c r="M1353" s="108">
        <v>43087</v>
      </c>
      <c r="N1353" s="108">
        <v>43094</v>
      </c>
      <c r="O1353" s="61" t="s">
        <v>2444</v>
      </c>
      <c r="P1353" s="7"/>
      <c r="Q1353" s="7"/>
      <c r="R1353" s="606" t="s">
        <v>2524</v>
      </c>
      <c r="S1353" s="322" t="s">
        <v>1176</v>
      </c>
      <c r="T1353" s="858"/>
    </row>
    <row r="1354" spans="1:20" ht="20.100000000000001" customHeight="1">
      <c r="A1354" s="925" t="s">
        <v>2971</v>
      </c>
      <c r="B1354" s="899" t="s">
        <v>2527</v>
      </c>
      <c r="C1354" s="899" t="s">
        <v>3543</v>
      </c>
      <c r="D1354" s="1006">
        <f>D4+2795</f>
        <v>3970</v>
      </c>
      <c r="E1354" s="1006">
        <f>E4+2795</f>
        <v>4045</v>
      </c>
      <c r="F1354" s="1006">
        <f>F4+2795</f>
        <v>4045</v>
      </c>
      <c r="G1354" s="609" t="s">
        <v>1689</v>
      </c>
      <c r="H1354" s="160" t="s">
        <v>645</v>
      </c>
      <c r="I1354" s="37" t="s">
        <v>2127</v>
      </c>
      <c r="J1354" s="37" t="s">
        <v>2525</v>
      </c>
      <c r="K1354" s="5">
        <v>20</v>
      </c>
      <c r="L1354" s="607" t="s">
        <v>653</v>
      </c>
      <c r="M1354" s="156">
        <v>43076</v>
      </c>
      <c r="N1354" s="156">
        <v>43083</v>
      </c>
      <c r="O1354" s="153" t="s">
        <v>2529</v>
      </c>
      <c r="P1354" s="61"/>
      <c r="Q1354" s="61" t="s">
        <v>2125</v>
      </c>
      <c r="R1354" s="606" t="s">
        <v>2530</v>
      </c>
      <c r="S1354" s="316" t="s">
        <v>2943</v>
      </c>
      <c r="T1354" s="858"/>
    </row>
    <row r="1355" spans="1:20" ht="20.100000000000001" customHeight="1">
      <c r="A1355" s="1256" t="s">
        <v>2971</v>
      </c>
      <c r="B1355" s="1138" t="s">
        <v>2527</v>
      </c>
      <c r="C1355" s="1138" t="s">
        <v>3542</v>
      </c>
      <c r="D1355" s="1006">
        <f>D18+630+50</f>
        <v>2230</v>
      </c>
      <c r="E1355" s="1006">
        <f>E18+630+100</f>
        <v>2530</v>
      </c>
      <c r="F1355" s="1006">
        <f>F18+630+100</f>
        <v>2530</v>
      </c>
      <c r="G1355" s="608" t="s">
        <v>94</v>
      </c>
      <c r="H1355" s="56" t="s">
        <v>657</v>
      </c>
      <c r="I1355" s="5" t="s">
        <v>2127</v>
      </c>
      <c r="J1355" s="37" t="s">
        <v>2525</v>
      </c>
      <c r="K1355" s="16">
        <v>21</v>
      </c>
      <c r="L1355" s="607" t="s">
        <v>653</v>
      </c>
      <c r="M1355" s="108">
        <v>43087</v>
      </c>
      <c r="N1355" s="108">
        <v>43094</v>
      </c>
      <c r="O1355" s="61" t="s">
        <v>2444</v>
      </c>
      <c r="P1355" s="7"/>
      <c r="Q1355" s="7"/>
      <c r="R1355" s="606" t="s">
        <v>2126</v>
      </c>
      <c r="S1355" s="322" t="s">
        <v>1176</v>
      </c>
      <c r="T1355" s="858"/>
    </row>
    <row r="1356" spans="1:20" ht="20.100000000000001" customHeight="1">
      <c r="A1356" s="1256" t="s">
        <v>2971</v>
      </c>
      <c r="B1356" s="1138" t="s">
        <v>2527</v>
      </c>
      <c r="C1356" s="1138" t="s">
        <v>3542</v>
      </c>
      <c r="D1356" s="1006">
        <f>D41+1031+50</f>
        <v>2631</v>
      </c>
      <c r="E1356" s="1006">
        <f>E41+1031+100</f>
        <v>2931</v>
      </c>
      <c r="F1356" s="1006">
        <f>F41+1031+100</f>
        <v>2931</v>
      </c>
      <c r="G1356" s="608" t="s">
        <v>94</v>
      </c>
      <c r="H1356" s="168" t="s">
        <v>1102</v>
      </c>
      <c r="I1356" s="37" t="s">
        <v>2526</v>
      </c>
      <c r="J1356" s="37" t="s">
        <v>2525</v>
      </c>
      <c r="K1356" s="16">
        <v>26</v>
      </c>
      <c r="L1356" s="607" t="s">
        <v>653</v>
      </c>
      <c r="M1356" s="108">
        <v>43087</v>
      </c>
      <c r="N1356" s="108">
        <v>43094</v>
      </c>
      <c r="O1356" s="61" t="s">
        <v>2444</v>
      </c>
      <c r="P1356" s="7"/>
      <c r="Q1356" s="7"/>
      <c r="R1356" s="606" t="s">
        <v>2524</v>
      </c>
      <c r="S1356" s="322" t="s">
        <v>1176</v>
      </c>
      <c r="T1356" s="858"/>
    </row>
    <row r="1357" spans="1:20" ht="20.100000000000001" customHeight="1">
      <c r="A1357" s="1256" t="s">
        <v>3340</v>
      </c>
      <c r="B1357" s="1138" t="s">
        <v>2527</v>
      </c>
      <c r="C1357" s="1138" t="s">
        <v>3541</v>
      </c>
      <c r="D1357" s="1006">
        <f>D4+2991</f>
        <v>4166</v>
      </c>
      <c r="E1357" s="1006">
        <f>E4+2991</f>
        <v>4241</v>
      </c>
      <c r="F1357" s="1006">
        <f>F4+2991</f>
        <v>4241</v>
      </c>
      <c r="G1357" s="609" t="s">
        <v>1689</v>
      </c>
      <c r="H1357" s="160" t="s">
        <v>645</v>
      </c>
      <c r="I1357" s="37" t="s">
        <v>2127</v>
      </c>
      <c r="J1357" s="37" t="s">
        <v>2525</v>
      </c>
      <c r="K1357" s="5">
        <v>20</v>
      </c>
      <c r="L1357" s="607" t="s">
        <v>653</v>
      </c>
      <c r="M1357" s="156">
        <v>43076</v>
      </c>
      <c r="N1357" s="156">
        <v>43083</v>
      </c>
      <c r="O1357" s="153" t="s">
        <v>2529</v>
      </c>
      <c r="P1357" s="61"/>
      <c r="Q1357" s="61" t="s">
        <v>2125</v>
      </c>
      <c r="R1357" s="606" t="s">
        <v>2530</v>
      </c>
      <c r="S1357" s="316" t="s">
        <v>2943</v>
      </c>
      <c r="T1357" s="858"/>
    </row>
    <row r="1358" spans="1:20" ht="20.100000000000001" customHeight="1">
      <c r="A1358" s="1256" t="s">
        <v>2971</v>
      </c>
      <c r="B1358" s="1138" t="s">
        <v>2527</v>
      </c>
      <c r="C1358" s="1138" t="s">
        <v>3541</v>
      </c>
      <c r="D1358" s="1006">
        <f>D18+2600+50</f>
        <v>4200</v>
      </c>
      <c r="E1358" s="1006">
        <f>E18+2600+100</f>
        <v>4500</v>
      </c>
      <c r="F1358" s="1006">
        <f>F18+2600+100</f>
        <v>4500</v>
      </c>
      <c r="G1358" s="608" t="s">
        <v>94</v>
      </c>
      <c r="H1358" s="56" t="s">
        <v>657</v>
      </c>
      <c r="I1358" s="5" t="s">
        <v>2127</v>
      </c>
      <c r="J1358" s="37" t="s">
        <v>2525</v>
      </c>
      <c r="K1358" s="16">
        <v>21</v>
      </c>
      <c r="L1358" s="607" t="s">
        <v>653</v>
      </c>
      <c r="M1358" s="108">
        <v>43087</v>
      </c>
      <c r="N1358" s="108">
        <v>43094</v>
      </c>
      <c r="O1358" s="61" t="s">
        <v>2444</v>
      </c>
      <c r="P1358" s="7"/>
      <c r="Q1358" s="7"/>
      <c r="R1358" s="606" t="s">
        <v>2126</v>
      </c>
      <c r="S1358" s="322" t="s">
        <v>1176</v>
      </c>
      <c r="T1358" s="858"/>
    </row>
    <row r="1359" spans="1:20" ht="20.100000000000001" customHeight="1">
      <c r="A1359" s="1256" t="s">
        <v>2971</v>
      </c>
      <c r="B1359" s="1138" t="s">
        <v>2527</v>
      </c>
      <c r="C1359" s="1138" t="s">
        <v>3541</v>
      </c>
      <c r="D1359" s="1006">
        <f>D41+2638+50</f>
        <v>4238</v>
      </c>
      <c r="E1359" s="1006">
        <f>E41+2638+100</f>
        <v>4538</v>
      </c>
      <c r="F1359" s="1006">
        <f>F41+2638+100</f>
        <v>4538</v>
      </c>
      <c r="G1359" s="608" t="s">
        <v>94</v>
      </c>
      <c r="H1359" s="168" t="s">
        <v>1102</v>
      </c>
      <c r="I1359" s="37" t="s">
        <v>2526</v>
      </c>
      <c r="J1359" s="37" t="s">
        <v>2525</v>
      </c>
      <c r="K1359" s="16">
        <v>26</v>
      </c>
      <c r="L1359" s="607" t="s">
        <v>653</v>
      </c>
      <c r="M1359" s="108">
        <v>43087</v>
      </c>
      <c r="N1359" s="108">
        <v>43094</v>
      </c>
      <c r="O1359" s="61" t="s">
        <v>2444</v>
      </c>
      <c r="P1359" s="7"/>
      <c r="Q1359" s="7"/>
      <c r="R1359" s="606" t="s">
        <v>2524</v>
      </c>
      <c r="S1359" s="322" t="s">
        <v>1176</v>
      </c>
      <c r="T1359" s="858"/>
    </row>
    <row r="1360" spans="1:20" ht="20.100000000000001" customHeight="1">
      <c r="A1360" s="1256" t="s">
        <v>2971</v>
      </c>
      <c r="B1360" s="1138" t="s">
        <v>2527</v>
      </c>
      <c r="C1360" s="1138" t="s">
        <v>3541</v>
      </c>
      <c r="D1360" s="1006">
        <f>D59+2767</f>
        <v>4417</v>
      </c>
      <c r="E1360" s="1006">
        <f>E59+2767</f>
        <v>4767</v>
      </c>
      <c r="F1360" s="1006">
        <f>F59+2767</f>
        <v>4767</v>
      </c>
      <c r="G1360" s="608" t="s">
        <v>94</v>
      </c>
      <c r="H1360" s="168" t="s">
        <v>1102</v>
      </c>
      <c r="I1360" s="37" t="s">
        <v>2540</v>
      </c>
      <c r="J1360" s="37" t="s">
        <v>2525</v>
      </c>
      <c r="K1360" s="16" t="s">
        <v>680</v>
      </c>
      <c r="L1360" s="607" t="s">
        <v>653</v>
      </c>
      <c r="M1360" s="108">
        <v>43087</v>
      </c>
      <c r="N1360" s="108">
        <v>43094</v>
      </c>
      <c r="O1360" s="61" t="s">
        <v>2444</v>
      </c>
      <c r="P1360" s="7"/>
      <c r="Q1360" s="7"/>
      <c r="R1360" s="606" t="s">
        <v>2524</v>
      </c>
      <c r="S1360" s="322" t="s">
        <v>1176</v>
      </c>
      <c r="T1360" s="858"/>
    </row>
    <row r="1361" spans="1:20" ht="20.100000000000001" customHeight="1">
      <c r="A1361" s="1256" t="s">
        <v>2971</v>
      </c>
      <c r="B1361" s="1138" t="s">
        <v>2527</v>
      </c>
      <c r="C1361" s="1138" t="s">
        <v>3540</v>
      </c>
      <c r="D1361" s="1006">
        <f>D4+1055</f>
        <v>2230</v>
      </c>
      <c r="E1361" s="1006">
        <f>E4+1161</f>
        <v>2411</v>
      </c>
      <c r="F1361" s="1006">
        <f>F4+1161</f>
        <v>2411</v>
      </c>
      <c r="G1361" s="609" t="s">
        <v>1689</v>
      </c>
      <c r="H1361" s="160" t="s">
        <v>645</v>
      </c>
      <c r="I1361" s="37" t="s">
        <v>2127</v>
      </c>
      <c r="J1361" s="37" t="s">
        <v>1211</v>
      </c>
      <c r="K1361" s="5">
        <v>20</v>
      </c>
      <c r="L1361" s="607" t="s">
        <v>653</v>
      </c>
      <c r="M1361" s="156">
        <v>43076</v>
      </c>
      <c r="N1361" s="156">
        <v>43083</v>
      </c>
      <c r="O1361" s="153" t="s">
        <v>2529</v>
      </c>
      <c r="P1361" s="61"/>
      <c r="Q1361" s="61" t="s">
        <v>2133</v>
      </c>
      <c r="R1361" s="606" t="s">
        <v>2530</v>
      </c>
      <c r="S1361" s="316" t="s">
        <v>2943</v>
      </c>
      <c r="T1361" s="858"/>
    </row>
    <row r="1362" spans="1:20" ht="20.100000000000001" customHeight="1">
      <c r="A1362" s="1256" t="s">
        <v>2971</v>
      </c>
      <c r="B1362" s="1138" t="s">
        <v>2527</v>
      </c>
      <c r="C1362" s="1138" t="s">
        <v>3540</v>
      </c>
      <c r="D1362" s="1006">
        <f>D46+1046</f>
        <v>2221</v>
      </c>
      <c r="E1362" s="1006">
        <f>E46+1227</f>
        <v>2477</v>
      </c>
      <c r="F1362" s="1006">
        <f>F46+1227</f>
        <v>2477</v>
      </c>
      <c r="G1362" s="609" t="s">
        <v>1689</v>
      </c>
      <c r="H1362" s="160" t="s">
        <v>1311</v>
      </c>
      <c r="I1362" s="37" t="s">
        <v>2526</v>
      </c>
      <c r="J1362" s="37" t="s">
        <v>1211</v>
      </c>
      <c r="K1362" s="5">
        <v>30</v>
      </c>
      <c r="L1362" s="607" t="s">
        <v>653</v>
      </c>
      <c r="M1362" s="156">
        <v>43076</v>
      </c>
      <c r="N1362" s="156">
        <v>43083</v>
      </c>
      <c r="O1362" s="153" t="s">
        <v>2529</v>
      </c>
      <c r="P1362" s="61"/>
      <c r="Q1362" s="61" t="s">
        <v>2128</v>
      </c>
      <c r="R1362" s="606" t="s">
        <v>2528</v>
      </c>
      <c r="S1362" s="316" t="s">
        <v>2943</v>
      </c>
      <c r="T1362" s="858"/>
    </row>
    <row r="1363" spans="1:20" ht="20.100000000000001" customHeight="1">
      <c r="A1363" s="1256" t="s">
        <v>2971</v>
      </c>
      <c r="B1363" s="1138" t="s">
        <v>2527</v>
      </c>
      <c r="C1363" s="1138" t="s">
        <v>3539</v>
      </c>
      <c r="D1363" s="1006">
        <f>D4+1379</f>
        <v>2554</v>
      </c>
      <c r="E1363" s="1006">
        <f>E4+1379</f>
        <v>2629</v>
      </c>
      <c r="F1363" s="1006">
        <f>F4+1379</f>
        <v>2629</v>
      </c>
      <c r="G1363" s="609" t="s">
        <v>1689</v>
      </c>
      <c r="H1363" s="160" t="s">
        <v>645</v>
      </c>
      <c r="I1363" s="37" t="s">
        <v>2127</v>
      </c>
      <c r="J1363" s="37" t="s">
        <v>2525</v>
      </c>
      <c r="K1363" s="5">
        <v>20</v>
      </c>
      <c r="L1363" s="607" t="s">
        <v>653</v>
      </c>
      <c r="M1363" s="156">
        <v>43076</v>
      </c>
      <c r="N1363" s="156">
        <v>43083</v>
      </c>
      <c r="O1363" s="153" t="s">
        <v>2529</v>
      </c>
      <c r="P1363" s="61"/>
      <c r="Q1363" s="61" t="s">
        <v>2125</v>
      </c>
      <c r="R1363" s="606" t="s">
        <v>2530</v>
      </c>
      <c r="S1363" s="316" t="s">
        <v>2943</v>
      </c>
      <c r="T1363" s="858"/>
    </row>
    <row r="1364" spans="1:20" ht="20.100000000000001" customHeight="1">
      <c r="A1364" s="1256" t="s">
        <v>2971</v>
      </c>
      <c r="B1364" s="1138" t="s">
        <v>2527</v>
      </c>
      <c r="C1364" s="1138" t="s">
        <v>3539</v>
      </c>
      <c r="D1364" s="1006">
        <f>D18+1960+50</f>
        <v>3560</v>
      </c>
      <c r="E1364" s="1006">
        <f>E18+1960+100</f>
        <v>3860</v>
      </c>
      <c r="F1364" s="1006">
        <f>F18+1960+100</f>
        <v>3860</v>
      </c>
      <c r="G1364" s="608" t="s">
        <v>94</v>
      </c>
      <c r="H1364" s="56" t="s">
        <v>657</v>
      </c>
      <c r="I1364" s="5" t="s">
        <v>2127</v>
      </c>
      <c r="J1364" s="37" t="s">
        <v>2525</v>
      </c>
      <c r="K1364" s="5">
        <v>22</v>
      </c>
      <c r="L1364" s="607" t="s">
        <v>653</v>
      </c>
      <c r="M1364" s="108">
        <v>43087</v>
      </c>
      <c r="N1364" s="108">
        <v>43094</v>
      </c>
      <c r="O1364" s="61" t="s">
        <v>2444</v>
      </c>
      <c r="P1364" s="7"/>
      <c r="Q1364" s="7"/>
      <c r="R1364" s="606" t="s">
        <v>2126</v>
      </c>
      <c r="S1364" s="322" t="s">
        <v>1176</v>
      </c>
      <c r="T1364" s="858"/>
    </row>
    <row r="1365" spans="1:20" ht="20.100000000000001" customHeight="1">
      <c r="A1365" s="1256" t="s">
        <v>2971</v>
      </c>
      <c r="B1365" s="1138" t="s">
        <v>2527</v>
      </c>
      <c r="C1365" s="1138" t="s">
        <v>3539</v>
      </c>
      <c r="D1365" s="1006">
        <f>D41+1950+50</f>
        <v>3550</v>
      </c>
      <c r="E1365" s="1006">
        <f>E41+1950+100</f>
        <v>3850</v>
      </c>
      <c r="F1365" s="1006">
        <f>F41+1950+100</f>
        <v>3850</v>
      </c>
      <c r="G1365" s="608" t="s">
        <v>94</v>
      </c>
      <c r="H1365" s="168" t="s">
        <v>1102</v>
      </c>
      <c r="I1365" s="37" t="s">
        <v>2526</v>
      </c>
      <c r="J1365" s="37" t="s">
        <v>2525</v>
      </c>
      <c r="K1365" s="16">
        <v>26</v>
      </c>
      <c r="L1365" s="607" t="s">
        <v>653</v>
      </c>
      <c r="M1365" s="108">
        <v>43087</v>
      </c>
      <c r="N1365" s="108">
        <v>43094</v>
      </c>
      <c r="O1365" s="61" t="s">
        <v>2444</v>
      </c>
      <c r="P1365" s="7"/>
      <c r="Q1365" s="7"/>
      <c r="R1365" s="606" t="s">
        <v>2524</v>
      </c>
      <c r="S1365" s="322" t="s">
        <v>1176</v>
      </c>
      <c r="T1365" s="858"/>
    </row>
    <row r="1366" spans="1:20" ht="20.100000000000001" customHeight="1">
      <c r="A1366" s="1256" t="s">
        <v>2971</v>
      </c>
      <c r="B1366" s="1138" t="s">
        <v>2527</v>
      </c>
      <c r="C1366" s="1138" t="s">
        <v>3538</v>
      </c>
      <c r="D1366" s="1006">
        <f>D46+887</f>
        <v>2062</v>
      </c>
      <c r="E1366" s="1006">
        <f>E46+927</f>
        <v>2177</v>
      </c>
      <c r="F1366" s="1006">
        <f>F46+927</f>
        <v>2177</v>
      </c>
      <c r="G1366" s="609" t="s">
        <v>1689</v>
      </c>
      <c r="H1366" s="160" t="s">
        <v>1311</v>
      </c>
      <c r="I1366" s="37" t="s">
        <v>2526</v>
      </c>
      <c r="J1366" s="37" t="s">
        <v>1211</v>
      </c>
      <c r="K1366" s="5">
        <v>30</v>
      </c>
      <c r="L1366" s="607" t="s">
        <v>653</v>
      </c>
      <c r="M1366" s="156">
        <v>43076</v>
      </c>
      <c r="N1366" s="156">
        <v>43083</v>
      </c>
      <c r="O1366" s="153" t="s">
        <v>2529</v>
      </c>
      <c r="P1366" s="61"/>
      <c r="Q1366" s="61" t="s">
        <v>2128</v>
      </c>
      <c r="R1366" s="606" t="s">
        <v>2528</v>
      </c>
      <c r="S1366" s="316" t="s">
        <v>2943</v>
      </c>
      <c r="T1366" s="858"/>
    </row>
    <row r="1367" spans="1:20" ht="20.100000000000001" customHeight="1">
      <c r="A1367" s="1256" t="s">
        <v>2971</v>
      </c>
      <c r="B1367" s="1138" t="s">
        <v>2527</v>
      </c>
      <c r="C1367" s="1138" t="s">
        <v>3538</v>
      </c>
      <c r="D1367" s="1006">
        <f>D41+1050+50</f>
        <v>2650</v>
      </c>
      <c r="E1367" s="1006">
        <f>E41+1130+100</f>
        <v>3030</v>
      </c>
      <c r="F1367" s="1006">
        <f>F41+1130+100</f>
        <v>3030</v>
      </c>
      <c r="G1367" s="608" t="s">
        <v>94</v>
      </c>
      <c r="H1367" s="168" t="s">
        <v>1102</v>
      </c>
      <c r="I1367" s="5" t="s">
        <v>2526</v>
      </c>
      <c r="J1367" s="37" t="s">
        <v>1211</v>
      </c>
      <c r="K1367" s="16">
        <v>26</v>
      </c>
      <c r="L1367" s="607" t="s">
        <v>653</v>
      </c>
      <c r="M1367" s="108">
        <v>43087</v>
      </c>
      <c r="N1367" s="108">
        <v>43094</v>
      </c>
      <c r="O1367" s="61" t="s">
        <v>2444</v>
      </c>
      <c r="P1367" s="7"/>
      <c r="Q1367" s="7"/>
      <c r="R1367" s="606" t="s">
        <v>2524</v>
      </c>
      <c r="S1367" s="322" t="s">
        <v>1176</v>
      </c>
      <c r="T1367" s="858"/>
    </row>
    <row r="1368" spans="1:20" ht="20.100000000000001" customHeight="1">
      <c r="A1368" s="1256" t="s">
        <v>2971</v>
      </c>
      <c r="B1368" s="1138" t="s">
        <v>2527</v>
      </c>
      <c r="C1368" s="1138" t="s">
        <v>3538</v>
      </c>
      <c r="D1368" s="1006">
        <f>D18+1280+50</f>
        <v>2880</v>
      </c>
      <c r="E1368" s="1006">
        <f>E18+1380+100</f>
        <v>3280</v>
      </c>
      <c r="F1368" s="1006">
        <f>F18+1380+100</f>
        <v>3280</v>
      </c>
      <c r="G1368" s="608" t="s">
        <v>94</v>
      </c>
      <c r="H1368" s="56" t="s">
        <v>657</v>
      </c>
      <c r="I1368" s="5" t="s">
        <v>2127</v>
      </c>
      <c r="J1368" s="37" t="s">
        <v>1211</v>
      </c>
      <c r="K1368" s="34">
        <v>25</v>
      </c>
      <c r="L1368" s="607" t="s">
        <v>653</v>
      </c>
      <c r="M1368" s="108">
        <v>43087</v>
      </c>
      <c r="N1368" s="108">
        <v>43094</v>
      </c>
      <c r="O1368" s="61" t="s">
        <v>2444</v>
      </c>
      <c r="P1368" s="7"/>
      <c r="Q1368" s="7"/>
      <c r="R1368" s="606" t="s">
        <v>2126</v>
      </c>
      <c r="S1368" s="322" t="s">
        <v>1176</v>
      </c>
      <c r="T1368" s="858"/>
    </row>
    <row r="1369" spans="1:20" ht="20.100000000000001" customHeight="1">
      <c r="A1369" s="1256" t="s">
        <v>2971</v>
      </c>
      <c r="B1369" s="1138" t="s">
        <v>2527</v>
      </c>
      <c r="C1369" s="1138" t="s">
        <v>3538</v>
      </c>
      <c r="D1369" s="1006">
        <f>D4+1064</f>
        <v>2239</v>
      </c>
      <c r="E1369" s="1006">
        <f>E4+1064</f>
        <v>2314</v>
      </c>
      <c r="F1369" s="1006">
        <f>F4+1064</f>
        <v>2314</v>
      </c>
      <c r="G1369" s="609" t="s">
        <v>1689</v>
      </c>
      <c r="H1369" s="160" t="s">
        <v>645</v>
      </c>
      <c r="I1369" s="37" t="s">
        <v>2127</v>
      </c>
      <c r="J1369" s="37" t="s">
        <v>2525</v>
      </c>
      <c r="K1369" s="5">
        <v>20</v>
      </c>
      <c r="L1369" s="607" t="s">
        <v>653</v>
      </c>
      <c r="M1369" s="156">
        <v>43076</v>
      </c>
      <c r="N1369" s="156">
        <v>43083</v>
      </c>
      <c r="O1369" s="153" t="s">
        <v>2529</v>
      </c>
      <c r="P1369" s="61"/>
      <c r="Q1369" s="61" t="s">
        <v>2125</v>
      </c>
      <c r="R1369" s="606" t="s">
        <v>2530</v>
      </c>
      <c r="S1369" s="316" t="s">
        <v>2943</v>
      </c>
      <c r="T1369" s="858"/>
    </row>
    <row r="1370" spans="1:20" ht="20.100000000000001" customHeight="1">
      <c r="A1370" s="1256" t="s">
        <v>2971</v>
      </c>
      <c r="B1370" s="1138" t="s">
        <v>2527</v>
      </c>
      <c r="C1370" s="1138" t="s">
        <v>3538</v>
      </c>
      <c r="D1370" s="1006">
        <f>D41+1217+50</f>
        <v>2817</v>
      </c>
      <c r="E1370" s="1006">
        <f>E41+1217+100</f>
        <v>3117</v>
      </c>
      <c r="F1370" s="1006">
        <f>F41+1217+100</f>
        <v>3117</v>
      </c>
      <c r="G1370" s="608" t="s">
        <v>94</v>
      </c>
      <c r="H1370" s="168" t="s">
        <v>1102</v>
      </c>
      <c r="I1370" s="5" t="s">
        <v>2526</v>
      </c>
      <c r="J1370" s="37" t="s">
        <v>2525</v>
      </c>
      <c r="K1370" s="16">
        <v>26</v>
      </c>
      <c r="L1370" s="607" t="s">
        <v>653</v>
      </c>
      <c r="M1370" s="108">
        <v>43087</v>
      </c>
      <c r="N1370" s="108">
        <v>43094</v>
      </c>
      <c r="O1370" s="61" t="s">
        <v>2444</v>
      </c>
      <c r="P1370" s="7"/>
      <c r="Q1370" s="7"/>
      <c r="R1370" s="606" t="s">
        <v>2524</v>
      </c>
      <c r="S1370" s="322" t="s">
        <v>1176</v>
      </c>
      <c r="T1370" s="858"/>
    </row>
    <row r="1371" spans="1:20" ht="20.100000000000001" customHeight="1">
      <c r="A1371" s="1256" t="s">
        <v>2971</v>
      </c>
      <c r="B1371" s="1138" t="s">
        <v>2527</v>
      </c>
      <c r="C1371" s="1138" t="s">
        <v>3538</v>
      </c>
      <c r="D1371" s="1006">
        <f>D18+1180+50</f>
        <v>2780</v>
      </c>
      <c r="E1371" s="1006">
        <f>E18+1180+100</f>
        <v>3080</v>
      </c>
      <c r="F1371" s="1006">
        <f>F18+1180+100</f>
        <v>3080</v>
      </c>
      <c r="G1371" s="608" t="s">
        <v>94</v>
      </c>
      <c r="H1371" s="56" t="s">
        <v>657</v>
      </c>
      <c r="I1371" s="5" t="s">
        <v>2127</v>
      </c>
      <c r="J1371" s="37" t="s">
        <v>2525</v>
      </c>
      <c r="K1371" s="16">
        <v>21</v>
      </c>
      <c r="L1371" s="607" t="s">
        <v>653</v>
      </c>
      <c r="M1371" s="108">
        <v>43087</v>
      </c>
      <c r="N1371" s="108">
        <v>43094</v>
      </c>
      <c r="O1371" s="61" t="s">
        <v>2444</v>
      </c>
      <c r="P1371" s="7"/>
      <c r="Q1371" s="7"/>
      <c r="R1371" s="606" t="s">
        <v>2126</v>
      </c>
      <c r="S1371" s="322" t="s">
        <v>1176</v>
      </c>
      <c r="T1371" s="858"/>
    </row>
    <row r="1372" spans="1:20" ht="20.100000000000001" customHeight="1">
      <c r="A1372" s="925" t="s">
        <v>2971</v>
      </c>
      <c r="B1372" s="899" t="s">
        <v>2527</v>
      </c>
      <c r="C1372" s="899" t="s">
        <v>3537</v>
      </c>
      <c r="D1372" s="1006">
        <f>D46+970</f>
        <v>2145</v>
      </c>
      <c r="E1372" s="1006">
        <f>E46+970</f>
        <v>2220</v>
      </c>
      <c r="F1372" s="1006">
        <f>F46+970</f>
        <v>2220</v>
      </c>
      <c r="G1372" s="609" t="s">
        <v>1689</v>
      </c>
      <c r="H1372" s="160" t="s">
        <v>1311</v>
      </c>
      <c r="I1372" s="37" t="s">
        <v>2526</v>
      </c>
      <c r="J1372" s="37" t="s">
        <v>2525</v>
      </c>
      <c r="K1372" s="5">
        <v>30</v>
      </c>
      <c r="L1372" s="607" t="s">
        <v>653</v>
      </c>
      <c r="M1372" s="156">
        <v>43076</v>
      </c>
      <c r="N1372" s="156">
        <v>43083</v>
      </c>
      <c r="O1372" s="153" t="s">
        <v>2529</v>
      </c>
      <c r="P1372" s="61"/>
      <c r="Q1372" s="61" t="s">
        <v>2125</v>
      </c>
      <c r="R1372" s="606" t="s">
        <v>2528</v>
      </c>
      <c r="S1372" s="316" t="s">
        <v>2943</v>
      </c>
      <c r="T1372" s="858"/>
    </row>
    <row r="1373" spans="1:20" ht="20.100000000000001" customHeight="1">
      <c r="A1373" s="925" t="s">
        <v>2971</v>
      </c>
      <c r="B1373" s="899" t="s">
        <v>2527</v>
      </c>
      <c r="C1373" s="899" t="s">
        <v>3536</v>
      </c>
      <c r="D1373" s="1006"/>
      <c r="E1373" s="1006"/>
      <c r="F1373" s="1006"/>
      <c r="G1373" s="608" t="s">
        <v>94</v>
      </c>
      <c r="H1373" s="168" t="s">
        <v>1102</v>
      </c>
      <c r="I1373" s="5" t="s">
        <v>2526</v>
      </c>
      <c r="J1373" s="37" t="s">
        <v>2525</v>
      </c>
      <c r="K1373" s="16">
        <v>26</v>
      </c>
      <c r="L1373" s="607" t="s">
        <v>653</v>
      </c>
      <c r="M1373" s="108">
        <v>43087</v>
      </c>
      <c r="N1373" s="108">
        <v>43094</v>
      </c>
      <c r="O1373" s="61" t="s">
        <v>2444</v>
      </c>
      <c r="P1373" s="7"/>
      <c r="Q1373" s="7"/>
      <c r="R1373" s="606" t="s">
        <v>2524</v>
      </c>
      <c r="S1373" s="322" t="s">
        <v>1176</v>
      </c>
      <c r="T1373" s="858"/>
    </row>
    <row r="1374" spans="1:20" ht="20.100000000000001" customHeight="1">
      <c r="A1374" s="1256" t="s">
        <v>2971</v>
      </c>
      <c r="B1374" s="1138" t="s">
        <v>2527</v>
      </c>
      <c r="C1374" s="1138" t="s">
        <v>3535</v>
      </c>
      <c r="D1374" s="1006">
        <f>D4+2294</f>
        <v>3469</v>
      </c>
      <c r="E1374" s="1006">
        <f>E4+2431</f>
        <v>3681</v>
      </c>
      <c r="F1374" s="1006">
        <f>F4+2431</f>
        <v>3681</v>
      </c>
      <c r="G1374" s="609" t="s">
        <v>1689</v>
      </c>
      <c r="H1374" s="160" t="s">
        <v>645</v>
      </c>
      <c r="I1374" s="37" t="s">
        <v>2127</v>
      </c>
      <c r="J1374" s="37" t="s">
        <v>1211</v>
      </c>
      <c r="K1374" s="5">
        <v>20</v>
      </c>
      <c r="L1374" s="607" t="s">
        <v>653</v>
      </c>
      <c r="M1374" s="156">
        <v>43076</v>
      </c>
      <c r="N1374" s="156">
        <v>43083</v>
      </c>
      <c r="O1374" s="153" t="s">
        <v>2529</v>
      </c>
      <c r="P1374" s="61"/>
      <c r="Q1374" s="61" t="s">
        <v>2133</v>
      </c>
      <c r="R1374" s="606" t="s">
        <v>2530</v>
      </c>
      <c r="S1374" s="316" t="s">
        <v>2943</v>
      </c>
      <c r="T1374" s="858"/>
    </row>
    <row r="1375" spans="1:20" ht="20.100000000000001" customHeight="1">
      <c r="A1375" s="1256" t="s">
        <v>2971</v>
      </c>
      <c r="B1375" s="1138" t="s">
        <v>2527</v>
      </c>
      <c r="C1375" s="1138" t="s">
        <v>3535</v>
      </c>
      <c r="D1375" s="1006">
        <f>D4+2637</f>
        <v>3812</v>
      </c>
      <c r="E1375" s="1006">
        <f>E4+2637</f>
        <v>3887</v>
      </c>
      <c r="F1375" s="1006">
        <f>F4+2637</f>
        <v>3887</v>
      </c>
      <c r="G1375" s="609" t="s">
        <v>1689</v>
      </c>
      <c r="H1375" s="160" t="s">
        <v>645</v>
      </c>
      <c r="I1375" s="37" t="s">
        <v>2127</v>
      </c>
      <c r="J1375" s="37" t="s">
        <v>2525</v>
      </c>
      <c r="K1375" s="5">
        <v>20</v>
      </c>
      <c r="L1375" s="607" t="s">
        <v>653</v>
      </c>
      <c r="M1375" s="156">
        <v>43076</v>
      </c>
      <c r="N1375" s="156">
        <v>43083</v>
      </c>
      <c r="O1375" s="153" t="s">
        <v>2529</v>
      </c>
      <c r="P1375" s="61"/>
      <c r="Q1375" s="61" t="s">
        <v>2125</v>
      </c>
      <c r="R1375" s="606" t="s">
        <v>2530</v>
      </c>
      <c r="S1375" s="316" t="s">
        <v>2943</v>
      </c>
      <c r="T1375" s="858"/>
    </row>
    <row r="1376" spans="1:20" ht="20.100000000000001" customHeight="1">
      <c r="A1376" s="1256" t="s">
        <v>2971</v>
      </c>
      <c r="B1376" s="1138" t="s">
        <v>2527</v>
      </c>
      <c r="C1376" s="1138" t="s">
        <v>3535</v>
      </c>
      <c r="D1376" s="1006">
        <f>D46+2649</f>
        <v>3824</v>
      </c>
      <c r="E1376" s="1006">
        <f>E46+2649</f>
        <v>3899</v>
      </c>
      <c r="F1376" s="1006">
        <f>F46+2649</f>
        <v>3899</v>
      </c>
      <c r="G1376" s="609" t="s">
        <v>1689</v>
      </c>
      <c r="H1376" s="160" t="s">
        <v>1311</v>
      </c>
      <c r="I1376" s="37" t="s">
        <v>2526</v>
      </c>
      <c r="J1376" s="37" t="s">
        <v>2525</v>
      </c>
      <c r="K1376" s="5">
        <v>30</v>
      </c>
      <c r="L1376" s="607" t="s">
        <v>653</v>
      </c>
      <c r="M1376" s="156">
        <v>43076</v>
      </c>
      <c r="N1376" s="156">
        <v>43083</v>
      </c>
      <c r="O1376" s="153" t="s">
        <v>2529</v>
      </c>
      <c r="P1376" s="61"/>
      <c r="Q1376" s="61" t="s">
        <v>2125</v>
      </c>
      <c r="R1376" s="606" t="s">
        <v>2528</v>
      </c>
      <c r="S1376" s="316" t="s">
        <v>2943</v>
      </c>
      <c r="T1376" s="858"/>
    </row>
    <row r="1377" spans="1:20" ht="20.100000000000001" customHeight="1">
      <c r="A1377" s="1256" t="s">
        <v>2971</v>
      </c>
      <c r="B1377" s="1138" t="s">
        <v>2527</v>
      </c>
      <c r="C1377" s="1138" t="s">
        <v>3535</v>
      </c>
      <c r="D1377" s="1006">
        <f>D18+2680+50</f>
        <v>4280</v>
      </c>
      <c r="E1377" s="1006">
        <f>E18+2680+100</f>
        <v>4580</v>
      </c>
      <c r="F1377" s="1006">
        <f>F18+2680+100</f>
        <v>4580</v>
      </c>
      <c r="G1377" s="608" t="s">
        <v>94</v>
      </c>
      <c r="H1377" s="56" t="s">
        <v>657</v>
      </c>
      <c r="I1377" s="5" t="s">
        <v>2127</v>
      </c>
      <c r="J1377" s="37" t="s">
        <v>2525</v>
      </c>
      <c r="K1377" s="5">
        <v>22</v>
      </c>
      <c r="L1377" s="607" t="s">
        <v>653</v>
      </c>
      <c r="M1377" s="108">
        <v>43087</v>
      </c>
      <c r="N1377" s="108">
        <v>43094</v>
      </c>
      <c r="O1377" s="61" t="s">
        <v>2444</v>
      </c>
      <c r="P1377" s="7"/>
      <c r="Q1377" s="7"/>
      <c r="R1377" s="606" t="s">
        <v>2126</v>
      </c>
      <c r="S1377" s="322" t="s">
        <v>1176</v>
      </c>
      <c r="T1377" s="858"/>
    </row>
    <row r="1378" spans="1:20" ht="20.100000000000001" customHeight="1">
      <c r="A1378" s="1256" t="s">
        <v>2971</v>
      </c>
      <c r="B1378" s="1138" t="s">
        <v>2527</v>
      </c>
      <c r="C1378" s="1138" t="s">
        <v>3535</v>
      </c>
      <c r="D1378" s="1006">
        <f>D41+2630+50</f>
        <v>4230</v>
      </c>
      <c r="E1378" s="1006">
        <f>E41+2630+100</f>
        <v>4530</v>
      </c>
      <c r="F1378" s="1006">
        <f>F41+2630+100</f>
        <v>4530</v>
      </c>
      <c r="G1378" s="608" t="s">
        <v>94</v>
      </c>
      <c r="H1378" s="168" t="s">
        <v>1102</v>
      </c>
      <c r="I1378" s="37" t="s">
        <v>2526</v>
      </c>
      <c r="J1378" s="37" t="s">
        <v>2525</v>
      </c>
      <c r="K1378" s="16">
        <v>26</v>
      </c>
      <c r="L1378" s="607" t="s">
        <v>653</v>
      </c>
      <c r="M1378" s="108">
        <v>43087</v>
      </c>
      <c r="N1378" s="108">
        <v>43094</v>
      </c>
      <c r="O1378" s="61" t="s">
        <v>2444</v>
      </c>
      <c r="P1378" s="7"/>
      <c r="Q1378" s="7"/>
      <c r="R1378" s="606" t="s">
        <v>2524</v>
      </c>
      <c r="S1378" s="322" t="s">
        <v>1176</v>
      </c>
      <c r="T1378" s="858"/>
    </row>
    <row r="1379" spans="1:20" ht="20.100000000000001" customHeight="1">
      <c r="A1379" s="1256" t="s">
        <v>2971</v>
      </c>
      <c r="B1379" s="1138" t="s">
        <v>2527</v>
      </c>
      <c r="C1379" s="1138" t="s">
        <v>3535</v>
      </c>
      <c r="D1379" s="1006">
        <f>D59+3797</f>
        <v>5447</v>
      </c>
      <c r="E1379" s="1006">
        <f>E59+3797</f>
        <v>5797</v>
      </c>
      <c r="F1379" s="1006">
        <f>F59+3797</f>
        <v>5797</v>
      </c>
      <c r="G1379" s="608" t="s">
        <v>94</v>
      </c>
      <c r="H1379" s="168" t="s">
        <v>1102</v>
      </c>
      <c r="I1379" s="37" t="s">
        <v>2540</v>
      </c>
      <c r="J1379" s="37" t="s">
        <v>2525</v>
      </c>
      <c r="K1379" s="16" t="s">
        <v>660</v>
      </c>
      <c r="L1379" s="607" t="s">
        <v>653</v>
      </c>
      <c r="M1379" s="108">
        <v>43087</v>
      </c>
      <c r="N1379" s="108">
        <v>43094</v>
      </c>
      <c r="O1379" s="61" t="s">
        <v>2444</v>
      </c>
      <c r="P1379" s="7"/>
      <c r="Q1379" s="7"/>
      <c r="R1379" s="606" t="s">
        <v>2524</v>
      </c>
      <c r="S1379" s="322" t="s">
        <v>1176</v>
      </c>
      <c r="T1379" s="858"/>
    </row>
    <row r="1380" spans="1:20" ht="20.100000000000001" customHeight="1">
      <c r="A1380" s="1256" t="s">
        <v>2971</v>
      </c>
      <c r="B1380" s="1138" t="s">
        <v>2527</v>
      </c>
      <c r="C1380" s="1138" t="s">
        <v>4485</v>
      </c>
      <c r="D1380" s="1006">
        <f>D4+3266</f>
        <v>4441</v>
      </c>
      <c r="E1380" s="1006">
        <f>E4+3266</f>
        <v>4516</v>
      </c>
      <c r="F1380" s="1006">
        <f>F4+3266</f>
        <v>4516</v>
      </c>
      <c r="G1380" s="609" t="s">
        <v>1689</v>
      </c>
      <c r="H1380" s="160" t="s">
        <v>645</v>
      </c>
      <c r="I1380" s="37" t="s">
        <v>2127</v>
      </c>
      <c r="J1380" s="37" t="s">
        <v>2525</v>
      </c>
      <c r="K1380" s="5">
        <v>20</v>
      </c>
      <c r="L1380" s="607" t="s">
        <v>653</v>
      </c>
      <c r="M1380" s="156">
        <v>43076</v>
      </c>
      <c r="N1380" s="156">
        <v>43083</v>
      </c>
      <c r="O1380" s="153" t="s">
        <v>2529</v>
      </c>
      <c r="P1380" s="61"/>
      <c r="Q1380" s="61" t="s">
        <v>2125</v>
      </c>
      <c r="R1380" s="606" t="s">
        <v>2530</v>
      </c>
      <c r="S1380" s="316" t="s">
        <v>2943</v>
      </c>
      <c r="T1380" s="858"/>
    </row>
    <row r="1381" spans="1:20" ht="20.100000000000001" customHeight="1">
      <c r="A1381" s="1256" t="s">
        <v>2971</v>
      </c>
      <c r="B1381" s="1138" t="s">
        <v>2527</v>
      </c>
      <c r="C1381" s="1138" t="s">
        <v>4485</v>
      </c>
      <c r="D1381" s="1006">
        <f>D46+2767</f>
        <v>3942</v>
      </c>
      <c r="E1381" s="1006">
        <f>E46+2767</f>
        <v>4017</v>
      </c>
      <c r="F1381" s="1006">
        <f>F46+2767</f>
        <v>4017</v>
      </c>
      <c r="G1381" s="609" t="s">
        <v>1689</v>
      </c>
      <c r="H1381" s="160" t="s">
        <v>1311</v>
      </c>
      <c r="I1381" s="37" t="s">
        <v>2526</v>
      </c>
      <c r="J1381" s="37" t="s">
        <v>2525</v>
      </c>
      <c r="K1381" s="5">
        <v>30</v>
      </c>
      <c r="L1381" s="607" t="s">
        <v>653</v>
      </c>
      <c r="M1381" s="156">
        <v>43076</v>
      </c>
      <c r="N1381" s="156">
        <v>43083</v>
      </c>
      <c r="O1381" s="153" t="s">
        <v>2529</v>
      </c>
      <c r="P1381" s="61"/>
      <c r="Q1381" s="61" t="s">
        <v>2125</v>
      </c>
      <c r="R1381" s="606" t="s">
        <v>2528</v>
      </c>
      <c r="S1381" s="316" t="s">
        <v>2943</v>
      </c>
      <c r="T1381" s="858"/>
    </row>
    <row r="1382" spans="1:20" ht="20.100000000000001" customHeight="1">
      <c r="A1382" s="1256" t="s">
        <v>2971</v>
      </c>
      <c r="B1382" s="1138" t="s">
        <v>2527</v>
      </c>
      <c r="C1382" s="1138" t="s">
        <v>4485</v>
      </c>
      <c r="D1382" s="1006">
        <f>D63+2858</f>
        <v>4133</v>
      </c>
      <c r="E1382" s="1006">
        <f>E63+2858</f>
        <v>2858</v>
      </c>
      <c r="F1382" s="1006">
        <f>F63+2858</f>
        <v>4308</v>
      </c>
      <c r="G1382" s="609" t="s">
        <v>1689</v>
      </c>
      <c r="H1382" s="160" t="s">
        <v>1539</v>
      </c>
      <c r="I1382" s="37" t="s">
        <v>2540</v>
      </c>
      <c r="J1382" s="37" t="s">
        <v>2525</v>
      </c>
      <c r="K1382" s="5" t="s">
        <v>728</v>
      </c>
      <c r="L1382" s="607"/>
      <c r="M1382" s="156">
        <v>43076</v>
      </c>
      <c r="N1382" s="156">
        <v>43083</v>
      </c>
      <c r="O1382" s="153" t="s">
        <v>2529</v>
      </c>
      <c r="P1382" s="61"/>
      <c r="Q1382" s="61" t="s">
        <v>2541</v>
      </c>
      <c r="R1382" s="606" t="s">
        <v>1965</v>
      </c>
      <c r="S1382" s="316" t="s">
        <v>2943</v>
      </c>
      <c r="T1382" s="858"/>
    </row>
    <row r="1383" spans="1:20" ht="20.100000000000001" customHeight="1">
      <c r="A1383" s="1256" t="s">
        <v>2971</v>
      </c>
      <c r="B1383" s="1138" t="s">
        <v>2527</v>
      </c>
      <c r="C1383" s="1138" t="s">
        <v>4485</v>
      </c>
      <c r="D1383" s="1006">
        <f>D18+3630+50</f>
        <v>5230</v>
      </c>
      <c r="E1383" s="1006">
        <f>E18+3630+100</f>
        <v>5530</v>
      </c>
      <c r="F1383" s="1006">
        <f>F18+3630+100</f>
        <v>5530</v>
      </c>
      <c r="G1383" s="608" t="s">
        <v>94</v>
      </c>
      <c r="H1383" s="56" t="s">
        <v>657</v>
      </c>
      <c r="I1383" s="5" t="s">
        <v>2127</v>
      </c>
      <c r="J1383" s="37" t="s">
        <v>2525</v>
      </c>
      <c r="K1383" s="16">
        <v>23</v>
      </c>
      <c r="L1383" s="607" t="s">
        <v>653</v>
      </c>
      <c r="M1383" s="108">
        <v>43087</v>
      </c>
      <c r="N1383" s="108">
        <v>43094</v>
      </c>
      <c r="O1383" s="61" t="s">
        <v>2444</v>
      </c>
      <c r="P1383" s="7"/>
      <c r="Q1383" s="7"/>
      <c r="R1383" s="606" t="s">
        <v>2126</v>
      </c>
      <c r="S1383" s="322" t="s">
        <v>1176</v>
      </c>
      <c r="T1383" s="858"/>
    </row>
    <row r="1384" spans="1:20" ht="20.100000000000001" customHeight="1">
      <c r="A1384" s="1256" t="s">
        <v>2971</v>
      </c>
      <c r="B1384" s="1138" t="s">
        <v>2527</v>
      </c>
      <c r="C1384" s="1138" t="s">
        <v>4485</v>
      </c>
      <c r="D1384" s="1006">
        <f>D41+3460+50</f>
        <v>5060</v>
      </c>
      <c r="E1384" s="1006">
        <f>E41+3460+100</f>
        <v>5360</v>
      </c>
      <c r="F1384" s="1006">
        <f>F41+3460+100</f>
        <v>5360</v>
      </c>
      <c r="G1384" s="608" t="s">
        <v>94</v>
      </c>
      <c r="H1384" s="168" t="s">
        <v>1102</v>
      </c>
      <c r="I1384" s="37" t="s">
        <v>2526</v>
      </c>
      <c r="J1384" s="37" t="s">
        <v>2525</v>
      </c>
      <c r="K1384" s="16">
        <v>26</v>
      </c>
      <c r="L1384" s="607" t="s">
        <v>653</v>
      </c>
      <c r="M1384" s="108">
        <v>43087</v>
      </c>
      <c r="N1384" s="108">
        <v>43094</v>
      </c>
      <c r="O1384" s="61" t="s">
        <v>2444</v>
      </c>
      <c r="P1384" s="7"/>
      <c r="Q1384" s="7"/>
      <c r="R1384" s="606" t="s">
        <v>2524</v>
      </c>
      <c r="S1384" s="322" t="s">
        <v>1176</v>
      </c>
      <c r="T1384" s="858"/>
    </row>
    <row r="1385" spans="1:20" ht="20.100000000000001" customHeight="1">
      <c r="A1385" s="1256" t="s">
        <v>2971</v>
      </c>
      <c r="B1385" s="1138" t="s">
        <v>2527</v>
      </c>
      <c r="C1385" s="1138" t="s">
        <v>4485</v>
      </c>
      <c r="D1385" s="1006">
        <f>D59+3442</f>
        <v>5092</v>
      </c>
      <c r="E1385" s="1006">
        <f>E59+3442</f>
        <v>5442</v>
      </c>
      <c r="F1385" s="1006">
        <f>F59+3442</f>
        <v>5442</v>
      </c>
      <c r="G1385" s="608" t="s">
        <v>94</v>
      </c>
      <c r="H1385" s="168" t="s">
        <v>1102</v>
      </c>
      <c r="I1385" s="37" t="s">
        <v>2540</v>
      </c>
      <c r="J1385" s="37" t="s">
        <v>2525</v>
      </c>
      <c r="K1385" s="16" t="s">
        <v>660</v>
      </c>
      <c r="L1385" s="607" t="s">
        <v>653</v>
      </c>
      <c r="M1385" s="108">
        <v>43087</v>
      </c>
      <c r="N1385" s="108">
        <v>43094</v>
      </c>
      <c r="O1385" s="61" t="s">
        <v>2444</v>
      </c>
      <c r="P1385" s="7"/>
      <c r="Q1385" s="7"/>
      <c r="R1385" s="606" t="s">
        <v>2524</v>
      </c>
      <c r="S1385" s="322" t="s">
        <v>1176</v>
      </c>
      <c r="T1385" s="858"/>
    </row>
    <row r="1386" spans="1:20" ht="20.100000000000001" customHeight="1">
      <c r="A1386" s="1256" t="s">
        <v>2972</v>
      </c>
      <c r="B1386" s="1138" t="s">
        <v>2527</v>
      </c>
      <c r="C1386" s="1138" t="s">
        <v>4484</v>
      </c>
      <c r="D1386" s="1006">
        <f>D4+900</f>
        <v>2075</v>
      </c>
      <c r="E1386" s="1006">
        <f>E4+900</f>
        <v>2150</v>
      </c>
      <c r="F1386" s="1006">
        <f>F4+900</f>
        <v>2150</v>
      </c>
      <c r="G1386" s="609" t="s">
        <v>1689</v>
      </c>
      <c r="H1386" s="160" t="s">
        <v>645</v>
      </c>
      <c r="I1386" s="37" t="s">
        <v>2127</v>
      </c>
      <c r="J1386" s="37" t="s">
        <v>2525</v>
      </c>
      <c r="K1386" s="5">
        <v>20</v>
      </c>
      <c r="L1386" s="607" t="s">
        <v>653</v>
      </c>
      <c r="M1386" s="156">
        <v>43076</v>
      </c>
      <c r="N1386" s="156">
        <v>43083</v>
      </c>
      <c r="O1386" s="153" t="s">
        <v>2529</v>
      </c>
      <c r="P1386" s="61"/>
      <c r="Q1386" s="61" t="s">
        <v>2125</v>
      </c>
      <c r="R1386" s="606" t="s">
        <v>2530</v>
      </c>
      <c r="S1386" s="316" t="s">
        <v>2943</v>
      </c>
      <c r="T1386" s="858"/>
    </row>
    <row r="1387" spans="1:20" ht="20.100000000000001" customHeight="1">
      <c r="A1387" s="1256" t="s">
        <v>2971</v>
      </c>
      <c r="B1387" s="1138" t="s">
        <v>2527</v>
      </c>
      <c r="C1387" s="1138" t="s">
        <v>4484</v>
      </c>
      <c r="D1387" s="1006">
        <f>D46+970</f>
        <v>2145</v>
      </c>
      <c r="E1387" s="1006">
        <f>E46+970</f>
        <v>2220</v>
      </c>
      <c r="F1387" s="1006">
        <f>F46+970</f>
        <v>2220</v>
      </c>
      <c r="G1387" s="609" t="s">
        <v>1689</v>
      </c>
      <c r="H1387" s="160" t="s">
        <v>1311</v>
      </c>
      <c r="I1387" s="37" t="s">
        <v>2526</v>
      </c>
      <c r="J1387" s="37" t="s">
        <v>2525</v>
      </c>
      <c r="K1387" s="5">
        <v>30</v>
      </c>
      <c r="L1387" s="607" t="s">
        <v>653</v>
      </c>
      <c r="M1387" s="156">
        <v>43076</v>
      </c>
      <c r="N1387" s="156">
        <v>43083</v>
      </c>
      <c r="O1387" s="153" t="s">
        <v>2529</v>
      </c>
      <c r="P1387" s="61"/>
      <c r="Q1387" s="61" t="s">
        <v>2125</v>
      </c>
      <c r="R1387" s="606" t="s">
        <v>2528</v>
      </c>
      <c r="S1387" s="316" t="s">
        <v>2943</v>
      </c>
      <c r="T1387" s="858"/>
    </row>
    <row r="1388" spans="1:20" ht="20.100000000000001" customHeight="1">
      <c r="A1388" s="1256" t="s">
        <v>2129</v>
      </c>
      <c r="B1388" s="1138" t="s">
        <v>2527</v>
      </c>
      <c r="C1388" s="1138" t="s">
        <v>4483</v>
      </c>
      <c r="D1388" s="1006">
        <f>D18+2300+50</f>
        <v>3900</v>
      </c>
      <c r="E1388" s="1006">
        <f>E18+2300+100</f>
        <v>4200</v>
      </c>
      <c r="F1388" s="1006">
        <f>F18+2300+100</f>
        <v>4200</v>
      </c>
      <c r="G1388" s="608" t="s">
        <v>94</v>
      </c>
      <c r="H1388" s="56" t="s">
        <v>657</v>
      </c>
      <c r="I1388" s="5" t="s">
        <v>2127</v>
      </c>
      <c r="J1388" s="37" t="s">
        <v>1211</v>
      </c>
      <c r="K1388" s="5">
        <v>26</v>
      </c>
      <c r="L1388" s="607" t="s">
        <v>653</v>
      </c>
      <c r="M1388" s="108">
        <v>43087</v>
      </c>
      <c r="N1388" s="108">
        <v>43094</v>
      </c>
      <c r="O1388" s="61" t="s">
        <v>2444</v>
      </c>
      <c r="P1388" s="7"/>
      <c r="Q1388" s="7"/>
      <c r="R1388" s="606" t="s">
        <v>2126</v>
      </c>
      <c r="S1388" s="322" t="s">
        <v>1176</v>
      </c>
      <c r="T1388" s="858"/>
    </row>
    <row r="1389" spans="1:20" ht="20.100000000000001" customHeight="1">
      <c r="A1389" s="1256" t="s">
        <v>2129</v>
      </c>
      <c r="B1389" s="1138" t="s">
        <v>2527</v>
      </c>
      <c r="C1389" s="1138" t="s">
        <v>4483</v>
      </c>
      <c r="D1389" s="1006">
        <f>D41+2260+50</f>
        <v>3860</v>
      </c>
      <c r="E1389" s="1006">
        <f>E41+2260+100</f>
        <v>4160</v>
      </c>
      <c r="F1389" s="1006">
        <f>F41+2260+100</f>
        <v>4160</v>
      </c>
      <c r="G1389" s="608" t="s">
        <v>94</v>
      </c>
      <c r="H1389" s="168" t="s">
        <v>1102</v>
      </c>
      <c r="I1389" s="5" t="s">
        <v>2526</v>
      </c>
      <c r="J1389" s="37" t="s">
        <v>1211</v>
      </c>
      <c r="K1389" s="16">
        <v>26</v>
      </c>
      <c r="L1389" s="607" t="s">
        <v>653</v>
      </c>
      <c r="M1389" s="108">
        <v>43087</v>
      </c>
      <c r="N1389" s="108">
        <v>43094</v>
      </c>
      <c r="O1389" s="61" t="s">
        <v>2444</v>
      </c>
      <c r="P1389" s="7"/>
      <c r="Q1389" s="7"/>
      <c r="R1389" s="606" t="s">
        <v>2524</v>
      </c>
      <c r="S1389" s="322" t="s">
        <v>1176</v>
      </c>
      <c r="T1389" s="858"/>
    </row>
    <row r="1390" spans="1:20" ht="20.100000000000001" customHeight="1">
      <c r="A1390" s="1256" t="s">
        <v>2971</v>
      </c>
      <c r="B1390" s="1138" t="s">
        <v>2527</v>
      </c>
      <c r="C1390" s="1138" t="s">
        <v>4482</v>
      </c>
      <c r="D1390" s="1006">
        <f>D18+555+50</f>
        <v>2155</v>
      </c>
      <c r="E1390" s="1006">
        <f>E18+555+100</f>
        <v>2455</v>
      </c>
      <c r="F1390" s="1006">
        <f>F18+555+100</f>
        <v>2455</v>
      </c>
      <c r="G1390" s="608" t="s">
        <v>94</v>
      </c>
      <c r="H1390" s="56" t="s">
        <v>657</v>
      </c>
      <c r="I1390" s="5" t="s">
        <v>2127</v>
      </c>
      <c r="J1390" s="37" t="s">
        <v>2525</v>
      </c>
      <c r="K1390" s="16">
        <v>21</v>
      </c>
      <c r="L1390" s="607" t="s">
        <v>653</v>
      </c>
      <c r="M1390" s="108">
        <v>43087</v>
      </c>
      <c r="N1390" s="108">
        <v>43094</v>
      </c>
      <c r="O1390" s="61" t="s">
        <v>2444</v>
      </c>
      <c r="P1390" s="7"/>
      <c r="Q1390" s="7"/>
      <c r="R1390" s="606" t="s">
        <v>2126</v>
      </c>
      <c r="S1390" s="322" t="s">
        <v>1176</v>
      </c>
      <c r="T1390" s="858"/>
    </row>
    <row r="1391" spans="1:20" ht="20.100000000000001" customHeight="1">
      <c r="A1391" s="1256" t="s">
        <v>2971</v>
      </c>
      <c r="B1391" s="1138" t="s">
        <v>2527</v>
      </c>
      <c r="C1391" s="1138" t="s">
        <v>4482</v>
      </c>
      <c r="D1391" s="1006">
        <f>D41+1212+50</f>
        <v>2812</v>
      </c>
      <c r="E1391" s="1006">
        <f>E41+1212+100</f>
        <v>3112</v>
      </c>
      <c r="F1391" s="1006">
        <f>F41+1212+100</f>
        <v>3112</v>
      </c>
      <c r="G1391" s="608" t="s">
        <v>94</v>
      </c>
      <c r="H1391" s="168" t="s">
        <v>1102</v>
      </c>
      <c r="I1391" s="37" t="s">
        <v>2526</v>
      </c>
      <c r="J1391" s="37" t="s">
        <v>2525</v>
      </c>
      <c r="K1391" s="16">
        <v>26</v>
      </c>
      <c r="L1391" s="607" t="s">
        <v>653</v>
      </c>
      <c r="M1391" s="108">
        <v>43087</v>
      </c>
      <c r="N1391" s="108">
        <v>43094</v>
      </c>
      <c r="O1391" s="61" t="s">
        <v>2444</v>
      </c>
      <c r="P1391" s="7"/>
      <c r="Q1391" s="7"/>
      <c r="R1391" s="606" t="s">
        <v>2524</v>
      </c>
      <c r="S1391" s="322" t="s">
        <v>1176</v>
      </c>
      <c r="T1391" s="858"/>
    </row>
    <row r="1392" spans="1:20" ht="20.100000000000001" customHeight="1">
      <c r="A1392" s="1256" t="s">
        <v>2971</v>
      </c>
      <c r="B1392" s="1138" t="s">
        <v>2527</v>
      </c>
      <c r="C1392" s="1138" t="s">
        <v>4481</v>
      </c>
      <c r="D1392" s="1006">
        <f>D4+900</f>
        <v>2075</v>
      </c>
      <c r="E1392" s="1006">
        <f>E4+900</f>
        <v>2150</v>
      </c>
      <c r="F1392" s="1006">
        <f>F4+900</f>
        <v>2150</v>
      </c>
      <c r="G1392" s="609" t="s">
        <v>1689</v>
      </c>
      <c r="H1392" s="160" t="s">
        <v>645</v>
      </c>
      <c r="I1392" s="37" t="s">
        <v>2127</v>
      </c>
      <c r="J1392" s="37" t="s">
        <v>2525</v>
      </c>
      <c r="K1392" s="5">
        <v>20</v>
      </c>
      <c r="L1392" s="607" t="s">
        <v>653</v>
      </c>
      <c r="M1392" s="156">
        <v>43076</v>
      </c>
      <c r="N1392" s="156">
        <v>43083</v>
      </c>
      <c r="O1392" s="153" t="s">
        <v>2529</v>
      </c>
      <c r="P1392" s="61"/>
      <c r="Q1392" s="61" t="s">
        <v>2125</v>
      </c>
      <c r="R1392" s="606" t="s">
        <v>2530</v>
      </c>
      <c r="S1392" s="316" t="s">
        <v>2943</v>
      </c>
      <c r="T1392" s="858"/>
    </row>
    <row r="1393" spans="1:20" ht="20.100000000000001" customHeight="1">
      <c r="A1393" s="1256" t="s">
        <v>2971</v>
      </c>
      <c r="B1393" s="1138" t="s">
        <v>2527</v>
      </c>
      <c r="C1393" s="1138" t="s">
        <v>4481</v>
      </c>
      <c r="D1393" s="1006">
        <f>D46+970</f>
        <v>2145</v>
      </c>
      <c r="E1393" s="1006">
        <f>E46+970</f>
        <v>2220</v>
      </c>
      <c r="F1393" s="1006">
        <f>F46+970</f>
        <v>2220</v>
      </c>
      <c r="G1393" s="609" t="s">
        <v>1689</v>
      </c>
      <c r="H1393" s="160" t="s">
        <v>1311</v>
      </c>
      <c r="I1393" s="37" t="s">
        <v>2526</v>
      </c>
      <c r="J1393" s="37" t="s">
        <v>2525</v>
      </c>
      <c r="K1393" s="5">
        <v>30</v>
      </c>
      <c r="L1393" s="607" t="s">
        <v>653</v>
      </c>
      <c r="M1393" s="156">
        <v>43076</v>
      </c>
      <c r="N1393" s="156">
        <v>43083</v>
      </c>
      <c r="O1393" s="153" t="s">
        <v>2529</v>
      </c>
      <c r="P1393" s="61"/>
      <c r="Q1393" s="61" t="s">
        <v>2125</v>
      </c>
      <c r="R1393" s="606" t="s">
        <v>2528</v>
      </c>
      <c r="S1393" s="316" t="s">
        <v>2943</v>
      </c>
      <c r="T1393" s="858"/>
    </row>
    <row r="1394" spans="1:20" ht="20.100000000000001" customHeight="1">
      <c r="A1394" s="1256" t="s">
        <v>2971</v>
      </c>
      <c r="B1394" s="1138" t="s">
        <v>2527</v>
      </c>
      <c r="C1394" s="1138" t="s">
        <v>4480</v>
      </c>
      <c r="D1394" s="1006">
        <f>D4+900</f>
        <v>2075</v>
      </c>
      <c r="E1394" s="1006">
        <f>E4+900</f>
        <v>2150</v>
      </c>
      <c r="F1394" s="1006">
        <f>F4+900</f>
        <v>2150</v>
      </c>
      <c r="G1394" s="609" t="s">
        <v>1689</v>
      </c>
      <c r="H1394" s="160" t="s">
        <v>645</v>
      </c>
      <c r="I1394" s="37" t="s">
        <v>2127</v>
      </c>
      <c r="J1394" s="37" t="s">
        <v>2525</v>
      </c>
      <c r="K1394" s="5">
        <v>20</v>
      </c>
      <c r="L1394" s="607" t="s">
        <v>653</v>
      </c>
      <c r="M1394" s="156">
        <v>43076</v>
      </c>
      <c r="N1394" s="156">
        <v>43083</v>
      </c>
      <c r="O1394" s="153" t="s">
        <v>2529</v>
      </c>
      <c r="P1394" s="61"/>
      <c r="Q1394" s="61" t="s">
        <v>2125</v>
      </c>
      <c r="R1394" s="606" t="s">
        <v>2530</v>
      </c>
      <c r="S1394" s="316" t="s">
        <v>2943</v>
      </c>
      <c r="T1394" s="858"/>
    </row>
    <row r="1395" spans="1:20" ht="20.100000000000001" customHeight="1">
      <c r="A1395" s="1256" t="s">
        <v>2971</v>
      </c>
      <c r="B1395" s="1138" t="s">
        <v>2527</v>
      </c>
      <c r="C1395" s="1138" t="s">
        <v>4480</v>
      </c>
      <c r="D1395" s="1006">
        <f>D46+970</f>
        <v>2145</v>
      </c>
      <c r="E1395" s="1006">
        <f>E46+970</f>
        <v>2220</v>
      </c>
      <c r="F1395" s="1006">
        <f>F46+970</f>
        <v>2220</v>
      </c>
      <c r="G1395" s="609" t="s">
        <v>1689</v>
      </c>
      <c r="H1395" s="160" t="s">
        <v>1311</v>
      </c>
      <c r="I1395" s="37" t="s">
        <v>2526</v>
      </c>
      <c r="J1395" s="37" t="s">
        <v>2525</v>
      </c>
      <c r="K1395" s="5">
        <v>30</v>
      </c>
      <c r="L1395" s="607" t="s">
        <v>653</v>
      </c>
      <c r="M1395" s="156">
        <v>43076</v>
      </c>
      <c r="N1395" s="156">
        <v>43083</v>
      </c>
      <c r="O1395" s="153" t="s">
        <v>2529</v>
      </c>
      <c r="P1395" s="61"/>
      <c r="Q1395" s="61" t="s">
        <v>2125</v>
      </c>
      <c r="R1395" s="606" t="s">
        <v>2528</v>
      </c>
      <c r="S1395" s="316" t="s">
        <v>2943</v>
      </c>
      <c r="T1395" s="858"/>
    </row>
    <row r="1396" spans="1:20" ht="20.100000000000001" customHeight="1">
      <c r="A1396" s="1256" t="s">
        <v>2971</v>
      </c>
      <c r="B1396" s="1138" t="s">
        <v>2527</v>
      </c>
      <c r="C1396" s="1138" t="s">
        <v>4479</v>
      </c>
      <c r="D1396" s="1006">
        <f>D4+553</f>
        <v>1728</v>
      </c>
      <c r="E1396" s="1006">
        <f>E4+658</f>
        <v>1908</v>
      </c>
      <c r="F1396" s="1006">
        <f>F4+658</f>
        <v>1908</v>
      </c>
      <c r="G1396" s="609" t="s">
        <v>1689</v>
      </c>
      <c r="H1396" s="160" t="s">
        <v>645</v>
      </c>
      <c r="I1396" s="37" t="s">
        <v>2127</v>
      </c>
      <c r="J1396" s="37" t="s">
        <v>2539</v>
      </c>
      <c r="K1396" s="5">
        <v>20</v>
      </c>
      <c r="L1396" s="607" t="s">
        <v>653</v>
      </c>
      <c r="M1396" s="156">
        <v>43076</v>
      </c>
      <c r="N1396" s="156">
        <v>43083</v>
      </c>
      <c r="O1396" s="153" t="s">
        <v>2529</v>
      </c>
      <c r="P1396" s="61"/>
      <c r="Q1396" s="61" t="s">
        <v>2133</v>
      </c>
      <c r="R1396" s="606" t="s">
        <v>2530</v>
      </c>
      <c r="S1396" s="316" t="s">
        <v>2943</v>
      </c>
      <c r="T1396" s="858"/>
    </row>
    <row r="1397" spans="1:20" ht="20.100000000000001" customHeight="1">
      <c r="A1397" s="1256" t="s">
        <v>2971</v>
      </c>
      <c r="B1397" s="1138" t="s">
        <v>2527</v>
      </c>
      <c r="C1397" s="1138" t="s">
        <v>4479</v>
      </c>
      <c r="D1397" s="1006">
        <f>D30+840</f>
        <v>2390</v>
      </c>
      <c r="E1397" s="1006">
        <f>E30+1105</f>
        <v>2905</v>
      </c>
      <c r="F1397" s="1006">
        <f>F30+1105</f>
        <v>2905</v>
      </c>
      <c r="G1397" s="615" t="s">
        <v>51</v>
      </c>
      <c r="H1397" s="160" t="s">
        <v>2532</v>
      </c>
      <c r="I1397" s="37" t="s">
        <v>2127</v>
      </c>
      <c r="J1397" s="37" t="s">
        <v>2539</v>
      </c>
      <c r="K1397" s="5"/>
      <c r="L1397" s="607" t="s">
        <v>653</v>
      </c>
      <c r="M1397" s="611">
        <v>43086</v>
      </c>
      <c r="N1397" s="611">
        <v>43100</v>
      </c>
      <c r="O1397" s="61" t="s">
        <v>3291</v>
      </c>
      <c r="P1397" s="52"/>
      <c r="Q1397" s="61" t="s">
        <v>3534</v>
      </c>
      <c r="R1397" s="610"/>
      <c r="S1397" s="315" t="s">
        <v>3290</v>
      </c>
      <c r="T1397" s="858"/>
    </row>
    <row r="1398" spans="1:20" ht="20.100000000000001" customHeight="1">
      <c r="A1398" s="1256" t="s">
        <v>2971</v>
      </c>
      <c r="B1398" s="1138" t="s">
        <v>2527</v>
      </c>
      <c r="C1398" s="1138" t="s">
        <v>4479</v>
      </c>
      <c r="D1398" s="1006">
        <f>D53+500</f>
        <v>2050</v>
      </c>
      <c r="E1398" s="1006">
        <f>E53+700</f>
        <v>2500</v>
      </c>
      <c r="F1398" s="1006">
        <f>F53+700</f>
        <v>2500</v>
      </c>
      <c r="G1398" s="615" t="s">
        <v>51</v>
      </c>
      <c r="H1398" s="160" t="s">
        <v>645</v>
      </c>
      <c r="I1398" s="37" t="s">
        <v>2526</v>
      </c>
      <c r="J1398" s="37" t="s">
        <v>2539</v>
      </c>
      <c r="K1398" s="5"/>
      <c r="L1398" s="607" t="s">
        <v>653</v>
      </c>
      <c r="M1398" s="611">
        <v>43086</v>
      </c>
      <c r="N1398" s="611">
        <v>43100</v>
      </c>
      <c r="O1398" s="61" t="s">
        <v>3291</v>
      </c>
      <c r="P1398" s="52"/>
      <c r="Q1398" s="61"/>
      <c r="R1398" s="610"/>
      <c r="S1398" s="315" t="s">
        <v>3290</v>
      </c>
      <c r="T1398" s="858"/>
    </row>
    <row r="1399" spans="1:20" ht="20.100000000000001" customHeight="1">
      <c r="A1399" s="1256" t="s">
        <v>2971</v>
      </c>
      <c r="B1399" s="1138" t="s">
        <v>2527</v>
      </c>
      <c r="C1399" s="1138" t="s">
        <v>4479</v>
      </c>
      <c r="D1399" s="1006">
        <f>D4+880</f>
        <v>2055</v>
      </c>
      <c r="E1399" s="1006">
        <f>E4+985</f>
        <v>2235</v>
      </c>
      <c r="F1399" s="1006">
        <f>F4+985</f>
        <v>2235</v>
      </c>
      <c r="G1399" s="609" t="s">
        <v>1689</v>
      </c>
      <c r="H1399" s="160" t="s">
        <v>645</v>
      </c>
      <c r="I1399" s="37" t="s">
        <v>2127</v>
      </c>
      <c r="J1399" s="37" t="s">
        <v>1211</v>
      </c>
      <c r="K1399" s="5">
        <v>20</v>
      </c>
      <c r="L1399" s="607" t="s">
        <v>653</v>
      </c>
      <c r="M1399" s="156">
        <v>43076</v>
      </c>
      <c r="N1399" s="156">
        <v>43083</v>
      </c>
      <c r="O1399" s="153" t="s">
        <v>2529</v>
      </c>
      <c r="P1399" s="61"/>
      <c r="Q1399" s="61" t="s">
        <v>2133</v>
      </c>
      <c r="R1399" s="606" t="s">
        <v>2530</v>
      </c>
      <c r="S1399" s="316" t="s">
        <v>2943</v>
      </c>
      <c r="T1399" s="858"/>
    </row>
    <row r="1400" spans="1:20" ht="20.100000000000001" customHeight="1">
      <c r="A1400" s="1256" t="s">
        <v>2971</v>
      </c>
      <c r="B1400" s="1138" t="s">
        <v>2527</v>
      </c>
      <c r="C1400" s="1138" t="s">
        <v>4479</v>
      </c>
      <c r="D1400" s="1006">
        <f>D30+1165</f>
        <v>2715</v>
      </c>
      <c r="E1400" s="1006">
        <f>E30+1405</f>
        <v>3205</v>
      </c>
      <c r="F1400" s="1006">
        <f>F30+1405</f>
        <v>3205</v>
      </c>
      <c r="G1400" s="615" t="s">
        <v>51</v>
      </c>
      <c r="H1400" s="160" t="s">
        <v>2532</v>
      </c>
      <c r="I1400" s="37" t="s">
        <v>2127</v>
      </c>
      <c r="J1400" s="37" t="s">
        <v>1211</v>
      </c>
      <c r="K1400" s="5"/>
      <c r="L1400" s="607" t="s">
        <v>653</v>
      </c>
      <c r="M1400" s="611">
        <v>43086</v>
      </c>
      <c r="N1400" s="611">
        <v>43100</v>
      </c>
      <c r="O1400" s="61" t="s">
        <v>3291</v>
      </c>
      <c r="P1400" s="52"/>
      <c r="Q1400" s="61" t="s">
        <v>3533</v>
      </c>
      <c r="R1400" s="610"/>
      <c r="S1400" s="315" t="s">
        <v>3290</v>
      </c>
      <c r="T1400" s="858"/>
    </row>
    <row r="1401" spans="1:20" ht="20.100000000000001" customHeight="1">
      <c r="A1401" s="1256" t="s">
        <v>2971</v>
      </c>
      <c r="B1401" s="1138" t="s">
        <v>2527</v>
      </c>
      <c r="C1401" s="1138" t="s">
        <v>4479</v>
      </c>
      <c r="D1401" s="1006">
        <f>D53+1050</f>
        <v>2600</v>
      </c>
      <c r="E1401" s="1006">
        <f>E53+1200</f>
        <v>3000</v>
      </c>
      <c r="F1401" s="1006">
        <f>F53+1200</f>
        <v>3000</v>
      </c>
      <c r="G1401" s="615" t="s">
        <v>51</v>
      </c>
      <c r="H1401" s="160" t="s">
        <v>645</v>
      </c>
      <c r="I1401" s="37" t="s">
        <v>2526</v>
      </c>
      <c r="J1401" s="37" t="s">
        <v>1211</v>
      </c>
      <c r="K1401" s="5"/>
      <c r="L1401" s="607" t="s">
        <v>653</v>
      </c>
      <c r="M1401" s="611">
        <v>43086</v>
      </c>
      <c r="N1401" s="611">
        <v>43100</v>
      </c>
      <c r="O1401" s="61" t="s">
        <v>3291</v>
      </c>
      <c r="P1401" s="52"/>
      <c r="Q1401" s="61" t="s">
        <v>2599</v>
      </c>
      <c r="R1401" s="610"/>
      <c r="S1401" s="315" t="s">
        <v>3290</v>
      </c>
      <c r="T1401" s="858"/>
    </row>
    <row r="1402" spans="1:20" ht="20.100000000000001" customHeight="1">
      <c r="A1402" s="1256" t="s">
        <v>2971</v>
      </c>
      <c r="B1402" s="1138" t="s">
        <v>2527</v>
      </c>
      <c r="C1402" s="1138" t="s">
        <v>4479</v>
      </c>
      <c r="D1402" s="1006">
        <f>D4+900</f>
        <v>2075</v>
      </c>
      <c r="E1402" s="1006">
        <f>E4+900</f>
        <v>2150</v>
      </c>
      <c r="F1402" s="1006">
        <f>F4+900</f>
        <v>2150</v>
      </c>
      <c r="G1402" s="609" t="s">
        <v>1689</v>
      </c>
      <c r="H1402" s="160" t="s">
        <v>645</v>
      </c>
      <c r="I1402" s="37" t="s">
        <v>2127</v>
      </c>
      <c r="J1402" s="37" t="s">
        <v>2525</v>
      </c>
      <c r="K1402" s="5">
        <v>20</v>
      </c>
      <c r="L1402" s="607" t="s">
        <v>653</v>
      </c>
      <c r="M1402" s="156">
        <v>43076</v>
      </c>
      <c r="N1402" s="156">
        <v>43083</v>
      </c>
      <c r="O1402" s="153" t="s">
        <v>2529</v>
      </c>
      <c r="P1402" s="61"/>
      <c r="Q1402" s="61" t="s">
        <v>2125</v>
      </c>
      <c r="R1402" s="606" t="s">
        <v>2530</v>
      </c>
      <c r="S1402" s="316" t="s">
        <v>2943</v>
      </c>
      <c r="T1402" s="858"/>
    </row>
    <row r="1403" spans="1:20" ht="20.100000000000001" customHeight="1">
      <c r="A1403" s="1256" t="s">
        <v>2971</v>
      </c>
      <c r="B1403" s="1138" t="s">
        <v>2527</v>
      </c>
      <c r="C1403" s="1138" t="s">
        <v>4479</v>
      </c>
      <c r="D1403" s="1006">
        <f>D46+970</f>
        <v>2145</v>
      </c>
      <c r="E1403" s="1006">
        <f>E46+970</f>
        <v>2220</v>
      </c>
      <c r="F1403" s="1006">
        <f>F46+970</f>
        <v>2220</v>
      </c>
      <c r="G1403" s="609" t="s">
        <v>1689</v>
      </c>
      <c r="H1403" s="160" t="s">
        <v>1311</v>
      </c>
      <c r="I1403" s="37" t="s">
        <v>2526</v>
      </c>
      <c r="J1403" s="37" t="s">
        <v>2525</v>
      </c>
      <c r="K1403" s="5">
        <v>30</v>
      </c>
      <c r="L1403" s="607" t="s">
        <v>653</v>
      </c>
      <c r="M1403" s="156">
        <v>43076</v>
      </c>
      <c r="N1403" s="156">
        <v>43083</v>
      </c>
      <c r="O1403" s="153" t="s">
        <v>2529</v>
      </c>
      <c r="P1403" s="61"/>
      <c r="Q1403" s="61" t="s">
        <v>2125</v>
      </c>
      <c r="R1403" s="606" t="s">
        <v>2528</v>
      </c>
      <c r="S1403" s="316" t="s">
        <v>2943</v>
      </c>
      <c r="T1403" s="858"/>
    </row>
    <row r="1404" spans="1:20" ht="20.100000000000001" customHeight="1">
      <c r="A1404" s="1256" t="s">
        <v>2971</v>
      </c>
      <c r="B1404" s="1138" t="s">
        <v>2527</v>
      </c>
      <c r="C1404" s="1138" t="s">
        <v>4479</v>
      </c>
      <c r="D1404" s="1006">
        <f>D30+1750</f>
        <v>3300</v>
      </c>
      <c r="E1404" s="1006">
        <f>E30+1750</f>
        <v>3550</v>
      </c>
      <c r="F1404" s="1006">
        <f>F30+1750</f>
        <v>3550</v>
      </c>
      <c r="G1404" s="615" t="s">
        <v>51</v>
      </c>
      <c r="H1404" s="160" t="s">
        <v>2532</v>
      </c>
      <c r="I1404" s="37" t="s">
        <v>2127</v>
      </c>
      <c r="J1404" s="37" t="s">
        <v>2525</v>
      </c>
      <c r="K1404" s="5"/>
      <c r="L1404" s="607" t="s">
        <v>653</v>
      </c>
      <c r="M1404" s="611">
        <v>43086</v>
      </c>
      <c r="N1404" s="611">
        <v>43100</v>
      </c>
      <c r="O1404" s="61" t="s">
        <v>3291</v>
      </c>
      <c r="P1404" s="52"/>
      <c r="Q1404" s="61" t="s">
        <v>2466</v>
      </c>
      <c r="R1404" s="610"/>
      <c r="S1404" s="315" t="s">
        <v>3290</v>
      </c>
      <c r="T1404" s="858"/>
    </row>
    <row r="1405" spans="1:20" ht="20.100000000000001" customHeight="1">
      <c r="A1405" s="1256" t="s">
        <v>2971</v>
      </c>
      <c r="B1405" s="1138" t="s">
        <v>2527</v>
      </c>
      <c r="C1405" s="1138" t="s">
        <v>4479</v>
      </c>
      <c r="D1405" s="1006">
        <f>D53+1750</f>
        <v>3300</v>
      </c>
      <c r="E1405" s="1006">
        <f>E53+1750</f>
        <v>3550</v>
      </c>
      <c r="F1405" s="1006">
        <f>F53+1750</f>
        <v>3550</v>
      </c>
      <c r="G1405" s="615" t="s">
        <v>51</v>
      </c>
      <c r="H1405" s="160" t="s">
        <v>645</v>
      </c>
      <c r="I1405" s="37" t="s">
        <v>2526</v>
      </c>
      <c r="J1405" s="37" t="s">
        <v>2525</v>
      </c>
      <c r="K1405" s="5"/>
      <c r="L1405" s="607" t="s">
        <v>653</v>
      </c>
      <c r="M1405" s="611">
        <v>43086</v>
      </c>
      <c r="N1405" s="611">
        <v>43100</v>
      </c>
      <c r="O1405" s="61" t="s">
        <v>3291</v>
      </c>
      <c r="P1405" s="52"/>
      <c r="Q1405" s="61" t="s">
        <v>2466</v>
      </c>
      <c r="R1405" s="610"/>
      <c r="S1405" s="315" t="s">
        <v>3290</v>
      </c>
      <c r="T1405" s="858"/>
    </row>
    <row r="1406" spans="1:20" ht="20.100000000000001" customHeight="1">
      <c r="A1406" s="1256" t="s">
        <v>2971</v>
      </c>
      <c r="B1406" s="1138" t="s">
        <v>2527</v>
      </c>
      <c r="C1406" s="1138" t="s">
        <v>4478</v>
      </c>
      <c r="D1406" s="1006">
        <f>D46+1093</f>
        <v>2268</v>
      </c>
      <c r="E1406" s="1006">
        <f>E46+1274</f>
        <v>2524</v>
      </c>
      <c r="F1406" s="1006">
        <f>F46+1274</f>
        <v>2524</v>
      </c>
      <c r="G1406" s="609" t="s">
        <v>1689</v>
      </c>
      <c r="H1406" s="160" t="s">
        <v>1311</v>
      </c>
      <c r="I1406" s="37" t="s">
        <v>2526</v>
      </c>
      <c r="J1406" s="37" t="s">
        <v>1211</v>
      </c>
      <c r="K1406" s="5">
        <v>30</v>
      </c>
      <c r="L1406" s="607" t="s">
        <v>653</v>
      </c>
      <c r="M1406" s="156">
        <v>43076</v>
      </c>
      <c r="N1406" s="156">
        <v>43083</v>
      </c>
      <c r="O1406" s="153" t="s">
        <v>2529</v>
      </c>
      <c r="P1406" s="61"/>
      <c r="Q1406" s="61" t="s">
        <v>2128</v>
      </c>
      <c r="R1406" s="606" t="s">
        <v>2528</v>
      </c>
      <c r="S1406" s="316" t="s">
        <v>2943</v>
      </c>
      <c r="T1406" s="858"/>
    </row>
    <row r="1407" spans="1:20" ht="20.100000000000001" customHeight="1">
      <c r="A1407" s="1256" t="s">
        <v>2971</v>
      </c>
      <c r="B1407" s="1138" t="s">
        <v>2527</v>
      </c>
      <c r="C1407" s="1138" t="s">
        <v>4478</v>
      </c>
      <c r="D1407" s="1006">
        <f>D4+1055</f>
        <v>2230</v>
      </c>
      <c r="E1407" s="1006">
        <f>E4+1161</f>
        <v>2411</v>
      </c>
      <c r="F1407" s="1006">
        <f>F4+1161</f>
        <v>2411</v>
      </c>
      <c r="G1407" s="609" t="s">
        <v>1689</v>
      </c>
      <c r="H1407" s="160" t="s">
        <v>645</v>
      </c>
      <c r="I1407" s="37" t="s">
        <v>2127</v>
      </c>
      <c r="J1407" s="37" t="s">
        <v>1211</v>
      </c>
      <c r="K1407" s="5">
        <v>20</v>
      </c>
      <c r="L1407" s="607" t="s">
        <v>653</v>
      </c>
      <c r="M1407" s="156">
        <v>43076</v>
      </c>
      <c r="N1407" s="156">
        <v>43083</v>
      </c>
      <c r="O1407" s="153" t="s">
        <v>2529</v>
      </c>
      <c r="P1407" s="61"/>
      <c r="Q1407" s="61" t="s">
        <v>2133</v>
      </c>
      <c r="R1407" s="606" t="s">
        <v>2530</v>
      </c>
      <c r="S1407" s="316" t="s">
        <v>2943</v>
      </c>
      <c r="T1407" s="858"/>
    </row>
    <row r="1408" spans="1:20" ht="20.100000000000001" customHeight="1">
      <c r="A1408" s="1256" t="s">
        <v>2971</v>
      </c>
      <c r="B1408" s="1138" t="s">
        <v>2527</v>
      </c>
      <c r="C1408" s="1138" t="s">
        <v>4478</v>
      </c>
      <c r="D1408" s="1006">
        <f>D41+1180+50</f>
        <v>2780</v>
      </c>
      <c r="E1408" s="1006">
        <f>E41+1190+100</f>
        <v>3090</v>
      </c>
      <c r="F1408" s="1006">
        <f>F41+1190+100</f>
        <v>3090</v>
      </c>
      <c r="G1408" s="608" t="s">
        <v>94</v>
      </c>
      <c r="H1408" s="168" t="s">
        <v>1102</v>
      </c>
      <c r="I1408" s="5" t="s">
        <v>2526</v>
      </c>
      <c r="J1408" s="37" t="s">
        <v>1211</v>
      </c>
      <c r="K1408" s="16">
        <v>26</v>
      </c>
      <c r="L1408" s="607" t="s">
        <v>653</v>
      </c>
      <c r="M1408" s="108">
        <v>43087</v>
      </c>
      <c r="N1408" s="108">
        <v>43094</v>
      </c>
      <c r="O1408" s="61" t="s">
        <v>2444</v>
      </c>
      <c r="P1408" s="7"/>
      <c r="Q1408" s="7"/>
      <c r="R1408" s="606" t="s">
        <v>2524</v>
      </c>
      <c r="S1408" s="322" t="s">
        <v>1176</v>
      </c>
      <c r="T1408" s="858"/>
    </row>
    <row r="1409" spans="1:20" ht="20.100000000000001" customHeight="1">
      <c r="A1409" s="1256" t="s">
        <v>2971</v>
      </c>
      <c r="B1409" s="1138" t="s">
        <v>2527</v>
      </c>
      <c r="C1409" s="1138" t="s">
        <v>4478</v>
      </c>
      <c r="D1409" s="1006">
        <f>D18+1210+50</f>
        <v>2810</v>
      </c>
      <c r="E1409" s="1006">
        <f>E18+1210+100</f>
        <v>3110</v>
      </c>
      <c r="F1409" s="1006">
        <f>F18+1210+100</f>
        <v>3110</v>
      </c>
      <c r="G1409" s="608" t="s">
        <v>94</v>
      </c>
      <c r="H1409" s="56" t="s">
        <v>657</v>
      </c>
      <c r="I1409" s="5" t="s">
        <v>2127</v>
      </c>
      <c r="J1409" s="37" t="s">
        <v>1211</v>
      </c>
      <c r="K1409" s="5">
        <v>26</v>
      </c>
      <c r="L1409" s="607" t="s">
        <v>653</v>
      </c>
      <c r="M1409" s="108">
        <v>43087</v>
      </c>
      <c r="N1409" s="108">
        <v>43094</v>
      </c>
      <c r="O1409" s="61" t="s">
        <v>2444</v>
      </c>
      <c r="P1409" s="7"/>
      <c r="Q1409" s="7"/>
      <c r="R1409" s="606" t="s">
        <v>2126</v>
      </c>
      <c r="S1409" s="322" t="s">
        <v>1176</v>
      </c>
      <c r="T1409" s="858"/>
    </row>
    <row r="1410" spans="1:20" ht="20.100000000000001" customHeight="1">
      <c r="A1410" s="1256" t="s">
        <v>2971</v>
      </c>
      <c r="B1410" s="1138" t="s">
        <v>2527</v>
      </c>
      <c r="C1410" s="1138" t="s">
        <v>4478</v>
      </c>
      <c r="D1410" s="1006">
        <f>D4+1222</f>
        <v>2397</v>
      </c>
      <c r="E1410" s="1006">
        <f>E4+1222</f>
        <v>2472</v>
      </c>
      <c r="F1410" s="1006">
        <f>F4+1222</f>
        <v>2472</v>
      </c>
      <c r="G1410" s="609" t="s">
        <v>1689</v>
      </c>
      <c r="H1410" s="160" t="s">
        <v>645</v>
      </c>
      <c r="I1410" s="37" t="s">
        <v>2127</v>
      </c>
      <c r="J1410" s="37" t="s">
        <v>2525</v>
      </c>
      <c r="K1410" s="5">
        <v>20</v>
      </c>
      <c r="L1410" s="607" t="s">
        <v>653</v>
      </c>
      <c r="M1410" s="156">
        <v>43076</v>
      </c>
      <c r="N1410" s="156">
        <v>43083</v>
      </c>
      <c r="O1410" s="153" t="s">
        <v>2529</v>
      </c>
      <c r="P1410" s="61"/>
      <c r="Q1410" s="61" t="s">
        <v>2125</v>
      </c>
      <c r="R1410" s="606" t="s">
        <v>2530</v>
      </c>
      <c r="S1410" s="316" t="s">
        <v>2943</v>
      </c>
      <c r="T1410" s="858"/>
    </row>
    <row r="1411" spans="1:20" ht="20.100000000000001" customHeight="1">
      <c r="A1411" s="1256" t="s">
        <v>2971</v>
      </c>
      <c r="B1411" s="1138" t="s">
        <v>2527</v>
      </c>
      <c r="C1411" s="1138" t="s">
        <v>4478</v>
      </c>
      <c r="D1411" s="1006">
        <f>D46+1627</f>
        <v>2802</v>
      </c>
      <c r="E1411" s="1006">
        <f>E46+1627</f>
        <v>2877</v>
      </c>
      <c r="F1411" s="1006">
        <f>F46+1627</f>
        <v>2877</v>
      </c>
      <c r="G1411" s="609" t="s">
        <v>1689</v>
      </c>
      <c r="H1411" s="160" t="s">
        <v>1311</v>
      </c>
      <c r="I1411" s="37" t="s">
        <v>2526</v>
      </c>
      <c r="J1411" s="37" t="s">
        <v>2525</v>
      </c>
      <c r="K1411" s="5">
        <v>30</v>
      </c>
      <c r="L1411" s="607" t="s">
        <v>653</v>
      </c>
      <c r="M1411" s="156">
        <v>43076</v>
      </c>
      <c r="N1411" s="156">
        <v>43083</v>
      </c>
      <c r="O1411" s="153" t="s">
        <v>2529</v>
      </c>
      <c r="P1411" s="61"/>
      <c r="Q1411" s="61" t="s">
        <v>2125</v>
      </c>
      <c r="R1411" s="606" t="s">
        <v>2528</v>
      </c>
      <c r="S1411" s="316" t="s">
        <v>2943</v>
      </c>
      <c r="T1411" s="858"/>
    </row>
    <row r="1412" spans="1:20" ht="20.100000000000001" customHeight="1">
      <c r="A1412" s="1256" t="s">
        <v>2971</v>
      </c>
      <c r="B1412" s="1138" t="s">
        <v>2527</v>
      </c>
      <c r="C1412" s="1138" t="s">
        <v>4478</v>
      </c>
      <c r="D1412" s="1006">
        <f>D41+1311+50</f>
        <v>2911</v>
      </c>
      <c r="E1412" s="1006">
        <f>E41+1311+100</f>
        <v>3211</v>
      </c>
      <c r="F1412" s="1006">
        <f>F41+1311+100</f>
        <v>3211</v>
      </c>
      <c r="G1412" s="608" t="s">
        <v>94</v>
      </c>
      <c r="H1412" s="168" t="s">
        <v>1102</v>
      </c>
      <c r="I1412" s="5" t="s">
        <v>2526</v>
      </c>
      <c r="J1412" s="37" t="s">
        <v>2525</v>
      </c>
      <c r="K1412" s="16">
        <v>26</v>
      </c>
      <c r="L1412" s="607" t="s">
        <v>653</v>
      </c>
      <c r="M1412" s="108">
        <v>43087</v>
      </c>
      <c r="N1412" s="108">
        <v>43094</v>
      </c>
      <c r="O1412" s="61" t="s">
        <v>2444</v>
      </c>
      <c r="P1412" s="7"/>
      <c r="Q1412" s="7"/>
      <c r="R1412" s="606" t="s">
        <v>2524</v>
      </c>
      <c r="S1412" s="322" t="s">
        <v>1176</v>
      </c>
      <c r="T1412" s="858"/>
    </row>
    <row r="1413" spans="1:20" ht="20.100000000000001" customHeight="1">
      <c r="A1413" s="1256" t="s">
        <v>2971</v>
      </c>
      <c r="B1413" s="1138" t="s">
        <v>2527</v>
      </c>
      <c r="C1413" s="1138" t="s">
        <v>4478</v>
      </c>
      <c r="D1413" s="1006">
        <f>D18+1600+50</f>
        <v>3200</v>
      </c>
      <c r="E1413" s="1006">
        <f>E18+1600+100</f>
        <v>3500</v>
      </c>
      <c r="F1413" s="1006">
        <f>F18+1600+100</f>
        <v>3500</v>
      </c>
      <c r="G1413" s="608" t="s">
        <v>94</v>
      </c>
      <c r="H1413" s="56" t="s">
        <v>657</v>
      </c>
      <c r="I1413" s="5" t="s">
        <v>2127</v>
      </c>
      <c r="J1413" s="37" t="s">
        <v>2525</v>
      </c>
      <c r="K1413" s="5">
        <v>22</v>
      </c>
      <c r="L1413" s="607" t="s">
        <v>653</v>
      </c>
      <c r="M1413" s="108">
        <v>43087</v>
      </c>
      <c r="N1413" s="108">
        <v>43094</v>
      </c>
      <c r="O1413" s="61" t="s">
        <v>2444</v>
      </c>
      <c r="P1413" s="7"/>
      <c r="Q1413" s="7"/>
      <c r="R1413" s="606" t="s">
        <v>2126</v>
      </c>
      <c r="S1413" s="322" t="s">
        <v>1176</v>
      </c>
      <c r="T1413" s="858"/>
    </row>
    <row r="1414" spans="1:20" ht="20.100000000000001" customHeight="1">
      <c r="A1414" s="1256" t="s">
        <v>2971</v>
      </c>
      <c r="B1414" s="1138" t="s">
        <v>2527</v>
      </c>
      <c r="C1414" s="1138" t="s">
        <v>4477</v>
      </c>
      <c r="D1414" s="1006">
        <f>D46+2806</f>
        <v>3981</v>
      </c>
      <c r="E1414" s="1006">
        <f>E46+2806</f>
        <v>4056</v>
      </c>
      <c r="F1414" s="1006">
        <f>F46+2806</f>
        <v>4056</v>
      </c>
      <c r="G1414" s="609" t="s">
        <v>1689</v>
      </c>
      <c r="H1414" s="160" t="s">
        <v>1311</v>
      </c>
      <c r="I1414" s="37" t="s">
        <v>2526</v>
      </c>
      <c r="J1414" s="37" t="s">
        <v>2525</v>
      </c>
      <c r="K1414" s="5">
        <v>30</v>
      </c>
      <c r="L1414" s="607" t="s">
        <v>653</v>
      </c>
      <c r="M1414" s="156">
        <v>43076</v>
      </c>
      <c r="N1414" s="156">
        <v>43083</v>
      </c>
      <c r="O1414" s="153" t="s">
        <v>2529</v>
      </c>
      <c r="P1414" s="61"/>
      <c r="Q1414" s="61" t="s">
        <v>2125</v>
      </c>
      <c r="R1414" s="606" t="s">
        <v>2528</v>
      </c>
      <c r="S1414" s="316" t="s">
        <v>2943</v>
      </c>
      <c r="T1414" s="858"/>
    </row>
    <row r="1415" spans="1:20" ht="20.100000000000001" customHeight="1">
      <c r="A1415" s="1256" t="s">
        <v>2971</v>
      </c>
      <c r="B1415" s="1138" t="s">
        <v>2527</v>
      </c>
      <c r="C1415" s="1138" t="s">
        <v>4477</v>
      </c>
      <c r="D1415" s="1006">
        <f>D18+1950+50</f>
        <v>3550</v>
      </c>
      <c r="E1415" s="1006">
        <f>E18+1950+100</f>
        <v>3850</v>
      </c>
      <c r="F1415" s="1006">
        <f>F18+1950+100</f>
        <v>3850</v>
      </c>
      <c r="G1415" s="608" t="s">
        <v>94</v>
      </c>
      <c r="H1415" s="56" t="s">
        <v>657</v>
      </c>
      <c r="I1415" s="5" t="s">
        <v>2127</v>
      </c>
      <c r="J1415" s="37" t="s">
        <v>2525</v>
      </c>
      <c r="K1415" s="16">
        <v>21</v>
      </c>
      <c r="L1415" s="607" t="s">
        <v>653</v>
      </c>
      <c r="M1415" s="108">
        <v>43087</v>
      </c>
      <c r="N1415" s="108">
        <v>43094</v>
      </c>
      <c r="O1415" s="61" t="s">
        <v>2444</v>
      </c>
      <c r="P1415" s="7"/>
      <c r="Q1415" s="7"/>
      <c r="R1415" s="606" t="s">
        <v>2126</v>
      </c>
      <c r="S1415" s="322" t="s">
        <v>1176</v>
      </c>
      <c r="T1415" s="858"/>
    </row>
    <row r="1416" spans="1:20" ht="20.100000000000001" customHeight="1">
      <c r="A1416" s="1256" t="s">
        <v>2971</v>
      </c>
      <c r="B1416" s="1138" t="s">
        <v>2527</v>
      </c>
      <c r="C1416" s="1138" t="s">
        <v>4477</v>
      </c>
      <c r="D1416" s="1006">
        <f>D41+1950+50</f>
        <v>3550</v>
      </c>
      <c r="E1416" s="1006">
        <f>E41+1950+100</f>
        <v>3850</v>
      </c>
      <c r="F1416" s="1006">
        <f>F41+1950+100</f>
        <v>3850</v>
      </c>
      <c r="G1416" s="608" t="s">
        <v>94</v>
      </c>
      <c r="H1416" s="168" t="s">
        <v>1102</v>
      </c>
      <c r="I1416" s="37" t="s">
        <v>2526</v>
      </c>
      <c r="J1416" s="37" t="s">
        <v>2525</v>
      </c>
      <c r="K1416" s="16">
        <v>26</v>
      </c>
      <c r="L1416" s="607" t="s">
        <v>653</v>
      </c>
      <c r="M1416" s="108">
        <v>43087</v>
      </c>
      <c r="N1416" s="108">
        <v>43094</v>
      </c>
      <c r="O1416" s="61" t="s">
        <v>2444</v>
      </c>
      <c r="P1416" s="7"/>
      <c r="Q1416" s="7"/>
      <c r="R1416" s="606" t="s">
        <v>2524</v>
      </c>
      <c r="S1416" s="322" t="s">
        <v>1176</v>
      </c>
      <c r="T1416" s="858"/>
    </row>
    <row r="1417" spans="1:20" ht="20.100000000000001" customHeight="1">
      <c r="A1417" s="1256" t="s">
        <v>2971</v>
      </c>
      <c r="B1417" s="1138" t="s">
        <v>2527</v>
      </c>
      <c r="C1417" s="1138" t="s">
        <v>4476</v>
      </c>
      <c r="D1417" s="1006">
        <f>D4+1772</f>
        <v>2947</v>
      </c>
      <c r="E1417" s="1006">
        <f>E4+1772</f>
        <v>3022</v>
      </c>
      <c r="F1417" s="1006">
        <f>F4+1772</f>
        <v>3022</v>
      </c>
      <c r="G1417" s="609" t="s">
        <v>1689</v>
      </c>
      <c r="H1417" s="160" t="s">
        <v>645</v>
      </c>
      <c r="I1417" s="37" t="s">
        <v>2127</v>
      </c>
      <c r="J1417" s="37" t="s">
        <v>2525</v>
      </c>
      <c r="K1417" s="5">
        <v>20</v>
      </c>
      <c r="L1417" s="607" t="s">
        <v>653</v>
      </c>
      <c r="M1417" s="156">
        <v>43076</v>
      </c>
      <c r="N1417" s="156">
        <v>43083</v>
      </c>
      <c r="O1417" s="153" t="s">
        <v>2529</v>
      </c>
      <c r="P1417" s="61"/>
      <c r="Q1417" s="61" t="s">
        <v>2125</v>
      </c>
      <c r="R1417" s="606" t="s">
        <v>2530</v>
      </c>
      <c r="S1417" s="316" t="s">
        <v>2943</v>
      </c>
      <c r="T1417" s="858"/>
    </row>
    <row r="1418" spans="1:20" ht="20.100000000000001" customHeight="1">
      <c r="A1418" s="1256" t="s">
        <v>2971</v>
      </c>
      <c r="B1418" s="1138" t="s">
        <v>2527</v>
      </c>
      <c r="C1418" s="1138" t="s">
        <v>4476</v>
      </c>
      <c r="D1418" s="1006">
        <f>D18+1780+50</f>
        <v>3380</v>
      </c>
      <c r="E1418" s="1006">
        <f>E18+1780+100</f>
        <v>3680</v>
      </c>
      <c r="F1418" s="1006">
        <f>F18+1780+100</f>
        <v>3680</v>
      </c>
      <c r="G1418" s="608" t="s">
        <v>94</v>
      </c>
      <c r="H1418" s="56" t="s">
        <v>657</v>
      </c>
      <c r="I1418" s="5" t="s">
        <v>2127</v>
      </c>
      <c r="J1418" s="37" t="s">
        <v>2525</v>
      </c>
      <c r="K1418" s="5">
        <v>22</v>
      </c>
      <c r="L1418" s="607" t="s">
        <v>653</v>
      </c>
      <c r="M1418" s="108">
        <v>43087</v>
      </c>
      <c r="N1418" s="108">
        <v>43094</v>
      </c>
      <c r="O1418" s="61" t="s">
        <v>2444</v>
      </c>
      <c r="P1418" s="7"/>
      <c r="Q1418" s="7"/>
      <c r="R1418" s="606" t="s">
        <v>2126</v>
      </c>
      <c r="S1418" s="322" t="s">
        <v>1176</v>
      </c>
      <c r="T1418" s="858"/>
    </row>
    <row r="1419" spans="1:20" ht="20.100000000000001" customHeight="1">
      <c r="A1419" s="1256" t="s">
        <v>2971</v>
      </c>
      <c r="B1419" s="1138" t="s">
        <v>2527</v>
      </c>
      <c r="C1419" s="1138" t="s">
        <v>4476</v>
      </c>
      <c r="D1419" s="1006">
        <f>D41+2040+50</f>
        <v>3640</v>
      </c>
      <c r="E1419" s="1006">
        <f>E41+2040+100</f>
        <v>3940</v>
      </c>
      <c r="F1419" s="1006">
        <f>F41+2040+100</f>
        <v>3940</v>
      </c>
      <c r="G1419" s="608" t="s">
        <v>94</v>
      </c>
      <c r="H1419" s="168" t="s">
        <v>1102</v>
      </c>
      <c r="I1419" s="37" t="s">
        <v>2526</v>
      </c>
      <c r="J1419" s="37" t="s">
        <v>2525</v>
      </c>
      <c r="K1419" s="16">
        <v>26</v>
      </c>
      <c r="L1419" s="607" t="s">
        <v>653</v>
      </c>
      <c r="M1419" s="108">
        <v>43087</v>
      </c>
      <c r="N1419" s="108">
        <v>43094</v>
      </c>
      <c r="O1419" s="61" t="s">
        <v>2444</v>
      </c>
      <c r="P1419" s="7"/>
      <c r="Q1419" s="7"/>
      <c r="R1419" s="606" t="s">
        <v>2524</v>
      </c>
      <c r="S1419" s="322" t="s">
        <v>1176</v>
      </c>
      <c r="T1419" s="858"/>
    </row>
    <row r="1420" spans="1:20" ht="20.100000000000001" customHeight="1">
      <c r="A1420" s="1271" t="s">
        <v>2971</v>
      </c>
      <c r="B1420" s="1142" t="s">
        <v>2527</v>
      </c>
      <c r="C1420" s="1142" t="s">
        <v>3532</v>
      </c>
      <c r="D1420" s="1006">
        <f t="shared" ref="D1420:F1421" si="6">D1182</f>
        <v>2380</v>
      </c>
      <c r="E1420" s="1006">
        <f t="shared" si="6"/>
        <v>2685</v>
      </c>
      <c r="F1420" s="1006">
        <f t="shared" si="6"/>
        <v>2685</v>
      </c>
      <c r="G1420" s="608" t="s">
        <v>51</v>
      </c>
      <c r="H1420" s="160" t="s">
        <v>2532</v>
      </c>
      <c r="I1420" s="37" t="s">
        <v>2127</v>
      </c>
      <c r="J1420" s="37" t="s">
        <v>1211</v>
      </c>
      <c r="K1420" s="5"/>
      <c r="L1420" s="607" t="s">
        <v>653</v>
      </c>
      <c r="M1420" s="611">
        <v>43086</v>
      </c>
      <c r="N1420" s="611">
        <v>43100</v>
      </c>
      <c r="O1420" s="61" t="s">
        <v>3291</v>
      </c>
      <c r="P1420" s="52"/>
      <c r="Q1420" s="61" t="s">
        <v>3381</v>
      </c>
      <c r="R1420" s="610"/>
      <c r="S1420" s="315" t="s">
        <v>3290</v>
      </c>
      <c r="T1420" s="858"/>
    </row>
    <row r="1421" spans="1:20" ht="20.100000000000001" customHeight="1">
      <c r="A1421" s="1272" t="s">
        <v>2971</v>
      </c>
      <c r="B1421" s="1160" t="s">
        <v>2527</v>
      </c>
      <c r="C1421" s="1160" t="s">
        <v>3532</v>
      </c>
      <c r="D1421" s="1006">
        <f t="shared" si="6"/>
        <v>2275</v>
      </c>
      <c r="E1421" s="1006">
        <f t="shared" si="6"/>
        <v>2675</v>
      </c>
      <c r="F1421" s="1006">
        <f t="shared" si="6"/>
        <v>2675</v>
      </c>
      <c r="G1421" s="608" t="s">
        <v>51</v>
      </c>
      <c r="H1421" s="160" t="s">
        <v>645</v>
      </c>
      <c r="I1421" s="37" t="s">
        <v>2526</v>
      </c>
      <c r="J1421" s="37" t="s">
        <v>1211</v>
      </c>
      <c r="K1421" s="5"/>
      <c r="L1421" s="607" t="s">
        <v>653</v>
      </c>
      <c r="M1421" s="611">
        <v>43086</v>
      </c>
      <c r="N1421" s="611">
        <v>43100</v>
      </c>
      <c r="O1421" s="61" t="s">
        <v>3291</v>
      </c>
      <c r="P1421" s="52"/>
      <c r="Q1421" s="61" t="s">
        <v>2599</v>
      </c>
      <c r="R1421" s="610"/>
      <c r="S1421" s="315" t="s">
        <v>3290</v>
      </c>
      <c r="T1421" s="858"/>
    </row>
    <row r="1422" spans="1:20" ht="20.100000000000001" customHeight="1">
      <c r="A1422" s="1272" t="s">
        <v>2971</v>
      </c>
      <c r="B1422" s="1160" t="s">
        <v>2527</v>
      </c>
      <c r="C1422" s="1160" t="s">
        <v>3532</v>
      </c>
      <c r="D1422" s="1006">
        <f t="shared" ref="D1422:F1423" si="7">D1200</f>
        <v>2700</v>
      </c>
      <c r="E1422" s="1006">
        <f t="shared" si="7"/>
        <v>2770</v>
      </c>
      <c r="F1422" s="1006">
        <f t="shared" si="7"/>
        <v>2770</v>
      </c>
      <c r="G1422" s="608" t="s">
        <v>51</v>
      </c>
      <c r="H1422" s="160" t="s">
        <v>2532</v>
      </c>
      <c r="I1422" s="37" t="s">
        <v>2127</v>
      </c>
      <c r="J1422" s="37" t="s">
        <v>2525</v>
      </c>
      <c r="K1422" s="5"/>
      <c r="L1422" s="607" t="s">
        <v>653</v>
      </c>
      <c r="M1422" s="611">
        <v>43086</v>
      </c>
      <c r="N1422" s="611">
        <v>43100</v>
      </c>
      <c r="O1422" s="61" t="s">
        <v>3291</v>
      </c>
      <c r="P1422" s="52"/>
      <c r="Q1422" s="61" t="s">
        <v>2466</v>
      </c>
      <c r="R1422" s="610"/>
      <c r="S1422" s="315" t="s">
        <v>3290</v>
      </c>
      <c r="T1422" s="858"/>
    </row>
    <row r="1423" spans="1:20" ht="20.100000000000001" customHeight="1">
      <c r="A1423" s="1272" t="s">
        <v>2971</v>
      </c>
      <c r="B1423" s="1160" t="s">
        <v>2527</v>
      </c>
      <c r="C1423" s="1160" t="s">
        <v>3532</v>
      </c>
      <c r="D1423" s="1006">
        <f t="shared" si="7"/>
        <v>2900</v>
      </c>
      <c r="E1423" s="1006">
        <f t="shared" si="7"/>
        <v>2945</v>
      </c>
      <c r="F1423" s="1006">
        <f t="shared" si="7"/>
        <v>2945</v>
      </c>
      <c r="G1423" s="608" t="s">
        <v>51</v>
      </c>
      <c r="H1423" s="160" t="s">
        <v>645</v>
      </c>
      <c r="I1423" s="37" t="s">
        <v>2526</v>
      </c>
      <c r="J1423" s="37" t="s">
        <v>2525</v>
      </c>
      <c r="K1423" s="5"/>
      <c r="L1423" s="607" t="s">
        <v>653</v>
      </c>
      <c r="M1423" s="611">
        <v>43086</v>
      </c>
      <c r="N1423" s="611">
        <v>43100</v>
      </c>
      <c r="O1423" s="61" t="s">
        <v>3291</v>
      </c>
      <c r="P1423" s="52"/>
      <c r="Q1423" s="61" t="s">
        <v>2466</v>
      </c>
      <c r="R1423" s="610"/>
      <c r="S1423" s="315" t="s">
        <v>3290</v>
      </c>
      <c r="T1423" s="858"/>
    </row>
    <row r="1424" spans="1:20" ht="20.100000000000001" customHeight="1">
      <c r="A1424" s="1272" t="s">
        <v>2971</v>
      </c>
      <c r="B1424" s="1160" t="s">
        <v>2527</v>
      </c>
      <c r="C1424" s="1160" t="s">
        <v>3532</v>
      </c>
      <c r="D1424" s="1006">
        <f>D4+900</f>
        <v>2075</v>
      </c>
      <c r="E1424" s="1006">
        <f>E4+900</f>
        <v>2150</v>
      </c>
      <c r="F1424" s="1006">
        <f>F4+900</f>
        <v>2150</v>
      </c>
      <c r="G1424" s="609" t="s">
        <v>1689</v>
      </c>
      <c r="H1424" s="160" t="s">
        <v>645</v>
      </c>
      <c r="I1424" s="37" t="s">
        <v>2127</v>
      </c>
      <c r="J1424" s="37" t="s">
        <v>2525</v>
      </c>
      <c r="K1424" s="5">
        <v>20</v>
      </c>
      <c r="L1424" s="607" t="s">
        <v>653</v>
      </c>
      <c r="M1424" s="156">
        <v>43076</v>
      </c>
      <c r="N1424" s="156">
        <v>43083</v>
      </c>
      <c r="O1424" s="153" t="s">
        <v>2529</v>
      </c>
      <c r="P1424" s="61"/>
      <c r="Q1424" s="61" t="s">
        <v>2125</v>
      </c>
      <c r="R1424" s="606" t="s">
        <v>2530</v>
      </c>
      <c r="S1424" s="316" t="s">
        <v>2943</v>
      </c>
      <c r="T1424" s="858"/>
    </row>
    <row r="1425" spans="1:20" ht="20.100000000000001" customHeight="1">
      <c r="A1425" s="1273" t="s">
        <v>2971</v>
      </c>
      <c r="B1425" s="1161" t="s">
        <v>2527</v>
      </c>
      <c r="C1425" s="1161" t="s">
        <v>3532</v>
      </c>
      <c r="D1425" s="1006">
        <f>D46+970</f>
        <v>2145</v>
      </c>
      <c r="E1425" s="1006">
        <f>E46+970</f>
        <v>2220</v>
      </c>
      <c r="F1425" s="1006">
        <f>F46+970</f>
        <v>2220</v>
      </c>
      <c r="G1425" s="609" t="s">
        <v>1689</v>
      </c>
      <c r="H1425" s="160" t="s">
        <v>1311</v>
      </c>
      <c r="I1425" s="37" t="s">
        <v>2526</v>
      </c>
      <c r="J1425" s="37" t="s">
        <v>2525</v>
      </c>
      <c r="K1425" s="5">
        <v>30</v>
      </c>
      <c r="L1425" s="607" t="s">
        <v>653</v>
      </c>
      <c r="M1425" s="156">
        <v>43076</v>
      </c>
      <c r="N1425" s="156">
        <v>43083</v>
      </c>
      <c r="O1425" s="153" t="s">
        <v>2529</v>
      </c>
      <c r="P1425" s="61"/>
      <c r="Q1425" s="61" t="s">
        <v>2125</v>
      </c>
      <c r="R1425" s="606" t="s">
        <v>2528</v>
      </c>
      <c r="S1425" s="316" t="s">
        <v>2943</v>
      </c>
      <c r="T1425" s="858"/>
    </row>
    <row r="1426" spans="1:20" ht="20.100000000000001" customHeight="1">
      <c r="A1426" s="1256" t="s">
        <v>2971</v>
      </c>
      <c r="B1426" s="1138" t="s">
        <v>2527</v>
      </c>
      <c r="C1426" s="1138" t="s">
        <v>3531</v>
      </c>
      <c r="D1426" s="1006">
        <f>D30+720</f>
        <v>2270</v>
      </c>
      <c r="E1426" s="1006">
        <f>E30+770</f>
        <v>2570</v>
      </c>
      <c r="F1426" s="1006">
        <f>F30+770</f>
        <v>2570</v>
      </c>
      <c r="G1426" s="615" t="s">
        <v>51</v>
      </c>
      <c r="H1426" s="160" t="s">
        <v>2532</v>
      </c>
      <c r="I1426" s="37" t="s">
        <v>2127</v>
      </c>
      <c r="J1426" s="37" t="s">
        <v>1211</v>
      </c>
      <c r="K1426" s="5"/>
      <c r="L1426" s="607" t="s">
        <v>653</v>
      </c>
      <c r="M1426" s="611">
        <v>43086</v>
      </c>
      <c r="N1426" s="611">
        <v>43100</v>
      </c>
      <c r="O1426" s="61" t="s">
        <v>3291</v>
      </c>
      <c r="P1426" s="52"/>
      <c r="Q1426" s="61" t="s">
        <v>3057</v>
      </c>
      <c r="R1426" s="610"/>
      <c r="S1426" s="315" t="s">
        <v>3290</v>
      </c>
      <c r="T1426" s="858"/>
    </row>
    <row r="1427" spans="1:20" ht="20.100000000000001" customHeight="1">
      <c r="A1427" s="1256" t="s">
        <v>2971</v>
      </c>
      <c r="B1427" s="1138" t="s">
        <v>2527</v>
      </c>
      <c r="C1427" s="1138" t="s">
        <v>3531</v>
      </c>
      <c r="D1427" s="1006">
        <f>D30+850</f>
        <v>2400</v>
      </c>
      <c r="E1427" s="1006">
        <f>E30+850</f>
        <v>2650</v>
      </c>
      <c r="F1427" s="1006">
        <f>F30+850</f>
        <v>2650</v>
      </c>
      <c r="G1427" s="615" t="s">
        <v>51</v>
      </c>
      <c r="H1427" s="160" t="s">
        <v>2532</v>
      </c>
      <c r="I1427" s="37" t="s">
        <v>2127</v>
      </c>
      <c r="J1427" s="37" t="s">
        <v>2525</v>
      </c>
      <c r="K1427" s="5"/>
      <c r="L1427" s="607" t="s">
        <v>653</v>
      </c>
      <c r="M1427" s="611">
        <v>43086</v>
      </c>
      <c r="N1427" s="611">
        <v>43100</v>
      </c>
      <c r="O1427" s="61" t="s">
        <v>3291</v>
      </c>
      <c r="P1427" s="52"/>
      <c r="Q1427" s="61" t="s">
        <v>2466</v>
      </c>
      <c r="R1427" s="610"/>
      <c r="S1427" s="315" t="s">
        <v>3290</v>
      </c>
      <c r="T1427" s="858"/>
    </row>
    <row r="1428" spans="1:20" ht="20.100000000000001" customHeight="1">
      <c r="A1428" s="1256" t="s">
        <v>2971</v>
      </c>
      <c r="B1428" s="1138" t="s">
        <v>2527</v>
      </c>
      <c r="C1428" s="1138" t="s">
        <v>3531</v>
      </c>
      <c r="D1428" s="1006">
        <f>D4+789</f>
        <v>1964</v>
      </c>
      <c r="E1428" s="1006">
        <f>E4+789</f>
        <v>2039</v>
      </c>
      <c r="F1428" s="1006">
        <f>F4+789</f>
        <v>2039</v>
      </c>
      <c r="G1428" s="609" t="s">
        <v>1689</v>
      </c>
      <c r="H1428" s="160" t="s">
        <v>645</v>
      </c>
      <c r="I1428" s="37" t="s">
        <v>2127</v>
      </c>
      <c r="J1428" s="37" t="s">
        <v>2525</v>
      </c>
      <c r="K1428" s="5">
        <v>20</v>
      </c>
      <c r="L1428" s="607" t="s">
        <v>653</v>
      </c>
      <c r="M1428" s="156">
        <v>43076</v>
      </c>
      <c r="N1428" s="156">
        <v>43083</v>
      </c>
      <c r="O1428" s="153" t="s">
        <v>2529</v>
      </c>
      <c r="P1428" s="61"/>
      <c r="Q1428" s="61" t="s">
        <v>2125</v>
      </c>
      <c r="R1428" s="606" t="s">
        <v>2530</v>
      </c>
      <c r="S1428" s="316" t="s">
        <v>2943</v>
      </c>
      <c r="T1428" s="858"/>
    </row>
    <row r="1429" spans="1:20" ht="20.100000000000001" customHeight="1">
      <c r="A1429" s="1256" t="s">
        <v>2971</v>
      </c>
      <c r="B1429" s="1138" t="s">
        <v>2527</v>
      </c>
      <c r="C1429" s="1138" t="s">
        <v>3531</v>
      </c>
      <c r="D1429" s="1006">
        <f>D46+1233</f>
        <v>2408</v>
      </c>
      <c r="E1429" s="1006">
        <f>E46+1233</f>
        <v>2483</v>
      </c>
      <c r="F1429" s="1006">
        <f>F46+1233</f>
        <v>2483</v>
      </c>
      <c r="G1429" s="609" t="s">
        <v>1689</v>
      </c>
      <c r="H1429" s="160" t="s">
        <v>1311</v>
      </c>
      <c r="I1429" s="37" t="s">
        <v>2526</v>
      </c>
      <c r="J1429" s="37" t="s">
        <v>2525</v>
      </c>
      <c r="K1429" s="5">
        <v>30</v>
      </c>
      <c r="L1429" s="607" t="s">
        <v>653</v>
      </c>
      <c r="M1429" s="156">
        <v>43076</v>
      </c>
      <c r="N1429" s="156">
        <v>43083</v>
      </c>
      <c r="O1429" s="153" t="s">
        <v>2529</v>
      </c>
      <c r="P1429" s="61"/>
      <c r="Q1429" s="61" t="s">
        <v>2125</v>
      </c>
      <c r="R1429" s="606" t="s">
        <v>2528</v>
      </c>
      <c r="S1429" s="316" t="s">
        <v>2943</v>
      </c>
      <c r="T1429" s="858"/>
    </row>
    <row r="1430" spans="1:20" ht="20.100000000000001" customHeight="1">
      <c r="A1430" s="925" t="s">
        <v>2971</v>
      </c>
      <c r="B1430" s="899" t="s">
        <v>2527</v>
      </c>
      <c r="C1430" s="899" t="s">
        <v>3530</v>
      </c>
      <c r="D1430" s="1006">
        <f>D46+1391</f>
        <v>2566</v>
      </c>
      <c r="E1430" s="1006">
        <f>E46+1391</f>
        <v>2641</v>
      </c>
      <c r="F1430" s="1006">
        <f>F46+1391</f>
        <v>2641</v>
      </c>
      <c r="G1430" s="609" t="s">
        <v>1689</v>
      </c>
      <c r="H1430" s="160" t="s">
        <v>1311</v>
      </c>
      <c r="I1430" s="37" t="s">
        <v>2526</v>
      </c>
      <c r="J1430" s="37" t="s">
        <v>2525</v>
      </c>
      <c r="K1430" s="5">
        <v>30</v>
      </c>
      <c r="L1430" s="607" t="s">
        <v>653</v>
      </c>
      <c r="M1430" s="156">
        <v>43076</v>
      </c>
      <c r="N1430" s="156">
        <v>43083</v>
      </c>
      <c r="O1430" s="153" t="s">
        <v>2529</v>
      </c>
      <c r="P1430" s="61"/>
      <c r="Q1430" s="61" t="s">
        <v>2125</v>
      </c>
      <c r="R1430" s="606" t="s">
        <v>2528</v>
      </c>
      <c r="S1430" s="316" t="s">
        <v>2943</v>
      </c>
      <c r="T1430" s="858"/>
    </row>
    <row r="1431" spans="1:20" ht="20.100000000000001" customHeight="1">
      <c r="A1431" s="1256" t="s">
        <v>2971</v>
      </c>
      <c r="B1431" s="1138" t="s">
        <v>2527</v>
      </c>
      <c r="C1431" s="1138" t="s">
        <v>3529</v>
      </c>
      <c r="D1431" s="1006">
        <f>D18+1400+50</f>
        <v>3000</v>
      </c>
      <c r="E1431" s="1006">
        <f>E18+1580+100</f>
        <v>3480</v>
      </c>
      <c r="F1431" s="1006">
        <f>F18+1580+100</f>
        <v>3480</v>
      </c>
      <c r="G1431" s="608" t="s">
        <v>94</v>
      </c>
      <c r="H1431" s="56" t="s">
        <v>657</v>
      </c>
      <c r="I1431" s="5" t="s">
        <v>2127</v>
      </c>
      <c r="J1431" s="37" t="s">
        <v>1211</v>
      </c>
      <c r="K1431" s="5">
        <v>26</v>
      </c>
      <c r="L1431" s="607" t="s">
        <v>653</v>
      </c>
      <c r="M1431" s="108">
        <v>43087</v>
      </c>
      <c r="N1431" s="108">
        <v>43094</v>
      </c>
      <c r="O1431" s="61" t="s">
        <v>2444</v>
      </c>
      <c r="P1431" s="7"/>
      <c r="Q1431" s="7"/>
      <c r="R1431" s="606" t="s">
        <v>2126</v>
      </c>
      <c r="S1431" s="322" t="s">
        <v>1176</v>
      </c>
      <c r="T1431" s="858"/>
    </row>
    <row r="1432" spans="1:20" ht="20.100000000000001" customHeight="1">
      <c r="A1432" s="1256" t="s">
        <v>2971</v>
      </c>
      <c r="B1432" s="1138" t="s">
        <v>2527</v>
      </c>
      <c r="C1432" s="1138" t="s">
        <v>3529</v>
      </c>
      <c r="D1432" s="1006">
        <f>D41+1500+50</f>
        <v>3100</v>
      </c>
      <c r="E1432" s="1006">
        <f>E41+1640+100</f>
        <v>3540</v>
      </c>
      <c r="F1432" s="1006">
        <f>F41+1640+100</f>
        <v>3540</v>
      </c>
      <c r="G1432" s="608" t="s">
        <v>94</v>
      </c>
      <c r="H1432" s="168" t="s">
        <v>1102</v>
      </c>
      <c r="I1432" s="5" t="s">
        <v>2526</v>
      </c>
      <c r="J1432" s="37" t="s">
        <v>1211</v>
      </c>
      <c r="K1432" s="16">
        <v>26</v>
      </c>
      <c r="L1432" s="607" t="s">
        <v>653</v>
      </c>
      <c r="M1432" s="108">
        <v>43087</v>
      </c>
      <c r="N1432" s="108">
        <v>43094</v>
      </c>
      <c r="O1432" s="61" t="s">
        <v>2444</v>
      </c>
      <c r="P1432" s="7"/>
      <c r="Q1432" s="7"/>
      <c r="R1432" s="606" t="s">
        <v>2524</v>
      </c>
      <c r="S1432" s="322" t="s">
        <v>1176</v>
      </c>
      <c r="T1432" s="858"/>
    </row>
    <row r="1433" spans="1:20" ht="20.100000000000001" customHeight="1">
      <c r="A1433" s="1256" t="s">
        <v>2971</v>
      </c>
      <c r="B1433" s="1138" t="s">
        <v>2527</v>
      </c>
      <c r="C1433" s="1138" t="s">
        <v>3529</v>
      </c>
      <c r="D1433" s="1006">
        <f>D41+1210+50</f>
        <v>2810</v>
      </c>
      <c r="E1433" s="1006">
        <f>E41+1210+100</f>
        <v>3110</v>
      </c>
      <c r="F1433" s="1006">
        <f>F41+1210+100</f>
        <v>3110</v>
      </c>
      <c r="G1433" s="608" t="s">
        <v>94</v>
      </c>
      <c r="H1433" s="168" t="s">
        <v>1102</v>
      </c>
      <c r="I1433" s="37" t="s">
        <v>2526</v>
      </c>
      <c r="J1433" s="37" t="s">
        <v>2525</v>
      </c>
      <c r="K1433" s="16">
        <v>26</v>
      </c>
      <c r="L1433" s="607" t="s">
        <v>653</v>
      </c>
      <c r="M1433" s="108">
        <v>43087</v>
      </c>
      <c r="N1433" s="108">
        <v>43094</v>
      </c>
      <c r="O1433" s="61" t="s">
        <v>2444</v>
      </c>
      <c r="P1433" s="7"/>
      <c r="Q1433" s="7"/>
      <c r="R1433" s="606" t="s">
        <v>2524</v>
      </c>
      <c r="S1433" s="322" t="s">
        <v>1176</v>
      </c>
      <c r="T1433" s="858"/>
    </row>
    <row r="1434" spans="1:20" ht="20.100000000000001" customHeight="1">
      <c r="A1434" s="925" t="s">
        <v>2971</v>
      </c>
      <c r="B1434" s="899" t="s">
        <v>2527</v>
      </c>
      <c r="C1434" s="899" t="s">
        <v>3528</v>
      </c>
      <c r="D1434" s="1006">
        <f>D46+1391</f>
        <v>2566</v>
      </c>
      <c r="E1434" s="1006">
        <f>E46+1391</f>
        <v>2641</v>
      </c>
      <c r="F1434" s="1006">
        <f>F46+1391</f>
        <v>2641</v>
      </c>
      <c r="G1434" s="609" t="s">
        <v>1689</v>
      </c>
      <c r="H1434" s="160" t="s">
        <v>1311</v>
      </c>
      <c r="I1434" s="37" t="s">
        <v>2526</v>
      </c>
      <c r="J1434" s="37" t="s">
        <v>2525</v>
      </c>
      <c r="K1434" s="5">
        <v>30</v>
      </c>
      <c r="L1434" s="607" t="s">
        <v>653</v>
      </c>
      <c r="M1434" s="156">
        <v>43076</v>
      </c>
      <c r="N1434" s="156">
        <v>43083</v>
      </c>
      <c r="O1434" s="153" t="s">
        <v>2529</v>
      </c>
      <c r="P1434" s="61"/>
      <c r="Q1434" s="61" t="s">
        <v>2125</v>
      </c>
      <c r="R1434" s="606" t="s">
        <v>2528</v>
      </c>
      <c r="S1434" s="316" t="s">
        <v>2943</v>
      </c>
      <c r="T1434" s="858"/>
    </row>
    <row r="1435" spans="1:20" ht="20.100000000000001" customHeight="1">
      <c r="A1435" s="925" t="s">
        <v>2971</v>
      </c>
      <c r="B1435" s="899" t="s">
        <v>2527</v>
      </c>
      <c r="C1435" s="899" t="s">
        <v>3527</v>
      </c>
      <c r="D1435" s="1006">
        <f>D4+1878</f>
        <v>3053</v>
      </c>
      <c r="E1435" s="1006">
        <f>E4+1878</f>
        <v>3128</v>
      </c>
      <c r="F1435" s="1006">
        <f>F4+1878</f>
        <v>3128</v>
      </c>
      <c r="G1435" s="609" t="s">
        <v>1689</v>
      </c>
      <c r="H1435" s="160" t="s">
        <v>645</v>
      </c>
      <c r="I1435" s="37" t="s">
        <v>2127</v>
      </c>
      <c r="J1435" s="37" t="s">
        <v>2525</v>
      </c>
      <c r="K1435" s="5">
        <v>20</v>
      </c>
      <c r="L1435" s="607" t="s">
        <v>653</v>
      </c>
      <c r="M1435" s="156">
        <v>43076</v>
      </c>
      <c r="N1435" s="156">
        <v>43083</v>
      </c>
      <c r="O1435" s="153" t="s">
        <v>2529</v>
      </c>
      <c r="P1435" s="61"/>
      <c r="Q1435" s="61" t="s">
        <v>2125</v>
      </c>
      <c r="R1435" s="606" t="s">
        <v>2530</v>
      </c>
      <c r="S1435" s="316" t="s">
        <v>2943</v>
      </c>
      <c r="T1435" s="858"/>
    </row>
    <row r="1436" spans="1:20" ht="20.100000000000001" customHeight="1">
      <c r="A1436" s="1256" t="s">
        <v>2971</v>
      </c>
      <c r="B1436" s="1138" t="s">
        <v>2527</v>
      </c>
      <c r="C1436" s="1138" t="s">
        <v>3526</v>
      </c>
      <c r="D1436" s="1006">
        <f>D41+1300+50</f>
        <v>2900</v>
      </c>
      <c r="E1436" s="1006">
        <f>E41+1380+100</f>
        <v>3280</v>
      </c>
      <c r="F1436" s="1006">
        <f>F41+1380+100</f>
        <v>3280</v>
      </c>
      <c r="G1436" s="608" t="s">
        <v>94</v>
      </c>
      <c r="H1436" s="168" t="s">
        <v>1102</v>
      </c>
      <c r="I1436" s="5" t="s">
        <v>2526</v>
      </c>
      <c r="J1436" s="37" t="s">
        <v>1211</v>
      </c>
      <c r="K1436" s="16">
        <v>26</v>
      </c>
      <c r="L1436" s="607" t="s">
        <v>653</v>
      </c>
      <c r="M1436" s="108">
        <v>43087</v>
      </c>
      <c r="N1436" s="108">
        <v>43094</v>
      </c>
      <c r="O1436" s="61" t="s">
        <v>2444</v>
      </c>
      <c r="P1436" s="7"/>
      <c r="Q1436" s="7"/>
      <c r="R1436" s="606" t="s">
        <v>2524</v>
      </c>
      <c r="S1436" s="322" t="s">
        <v>1176</v>
      </c>
      <c r="T1436" s="858"/>
    </row>
    <row r="1437" spans="1:20" ht="20.100000000000001" customHeight="1">
      <c r="A1437" s="1256" t="s">
        <v>2971</v>
      </c>
      <c r="B1437" s="1138" t="s">
        <v>2527</v>
      </c>
      <c r="C1437" s="1138" t="s">
        <v>3526</v>
      </c>
      <c r="D1437" s="1006">
        <f>D18+850+50</f>
        <v>2450</v>
      </c>
      <c r="E1437" s="1006">
        <f>E18+950+100</f>
        <v>2850</v>
      </c>
      <c r="F1437" s="1006">
        <f>F18+950+100</f>
        <v>2850</v>
      </c>
      <c r="G1437" s="608" t="s">
        <v>94</v>
      </c>
      <c r="H1437" s="56" t="s">
        <v>657</v>
      </c>
      <c r="I1437" s="5" t="s">
        <v>2127</v>
      </c>
      <c r="J1437" s="37" t="s">
        <v>1211</v>
      </c>
      <c r="K1437" s="34" t="s">
        <v>728</v>
      </c>
      <c r="L1437" s="607" t="s">
        <v>653</v>
      </c>
      <c r="M1437" s="108">
        <v>43087</v>
      </c>
      <c r="N1437" s="108">
        <v>43094</v>
      </c>
      <c r="O1437" s="61" t="s">
        <v>2444</v>
      </c>
      <c r="P1437" s="7"/>
      <c r="Q1437" s="7"/>
      <c r="R1437" s="606" t="s">
        <v>2126</v>
      </c>
      <c r="S1437" s="322" t="s">
        <v>1176</v>
      </c>
      <c r="T1437" s="858"/>
    </row>
    <row r="1438" spans="1:20" ht="20.100000000000001" customHeight="1">
      <c r="A1438" s="1256" t="s">
        <v>2971</v>
      </c>
      <c r="B1438" s="1138" t="s">
        <v>2527</v>
      </c>
      <c r="C1438" s="1138" t="s">
        <v>3526</v>
      </c>
      <c r="D1438" s="1006">
        <f>D18+1180+50</f>
        <v>2780</v>
      </c>
      <c r="E1438" s="1006">
        <f>E18+1180+100</f>
        <v>3080</v>
      </c>
      <c r="F1438" s="1006">
        <f>F18+1180+100</f>
        <v>3080</v>
      </c>
      <c r="G1438" s="608" t="s">
        <v>94</v>
      </c>
      <c r="H1438" s="56" t="s">
        <v>657</v>
      </c>
      <c r="I1438" s="5" t="s">
        <v>2127</v>
      </c>
      <c r="J1438" s="37" t="s">
        <v>2525</v>
      </c>
      <c r="K1438" s="16">
        <v>21</v>
      </c>
      <c r="L1438" s="607" t="s">
        <v>653</v>
      </c>
      <c r="M1438" s="108">
        <v>43087</v>
      </c>
      <c r="N1438" s="108">
        <v>43094</v>
      </c>
      <c r="O1438" s="61" t="s">
        <v>2444</v>
      </c>
      <c r="P1438" s="7"/>
      <c r="Q1438" s="7"/>
      <c r="R1438" s="606" t="s">
        <v>2126</v>
      </c>
      <c r="S1438" s="322" t="s">
        <v>1176</v>
      </c>
      <c r="T1438" s="858"/>
    </row>
    <row r="1439" spans="1:20" ht="20.100000000000001" customHeight="1">
      <c r="A1439" s="1256" t="s">
        <v>2971</v>
      </c>
      <c r="B1439" s="1138" t="s">
        <v>2527</v>
      </c>
      <c r="C1439" s="1138" t="s">
        <v>3526</v>
      </c>
      <c r="D1439" s="1006">
        <f>D41+1262+50</f>
        <v>2862</v>
      </c>
      <c r="E1439" s="1006">
        <f>E41+1262+100</f>
        <v>3162</v>
      </c>
      <c r="F1439" s="1006">
        <f>F41+1262+100</f>
        <v>3162</v>
      </c>
      <c r="G1439" s="608" t="s">
        <v>94</v>
      </c>
      <c r="H1439" s="168" t="s">
        <v>1102</v>
      </c>
      <c r="I1439" s="37" t="s">
        <v>2526</v>
      </c>
      <c r="J1439" s="37" t="s">
        <v>2525</v>
      </c>
      <c r="K1439" s="16">
        <v>26</v>
      </c>
      <c r="L1439" s="607" t="s">
        <v>653</v>
      </c>
      <c r="M1439" s="108">
        <v>43087</v>
      </c>
      <c r="N1439" s="108">
        <v>43094</v>
      </c>
      <c r="O1439" s="61" t="s">
        <v>2444</v>
      </c>
      <c r="P1439" s="7"/>
      <c r="Q1439" s="7"/>
      <c r="R1439" s="606" t="s">
        <v>2524</v>
      </c>
      <c r="S1439" s="322" t="s">
        <v>1176</v>
      </c>
      <c r="T1439" s="858"/>
    </row>
    <row r="1440" spans="1:20" ht="20.100000000000001" customHeight="1">
      <c r="A1440" s="1256" t="s">
        <v>2971</v>
      </c>
      <c r="B1440" s="1138" t="s">
        <v>2527</v>
      </c>
      <c r="C1440" s="1138" t="s">
        <v>3525</v>
      </c>
      <c r="D1440" s="1008">
        <f>D46+3435</f>
        <v>4610</v>
      </c>
      <c r="E1440" s="1008">
        <f>E46+3435</f>
        <v>4685</v>
      </c>
      <c r="F1440" s="1008">
        <f>F46+3435</f>
        <v>4685</v>
      </c>
      <c r="G1440" s="609" t="s">
        <v>1689</v>
      </c>
      <c r="H1440" s="160" t="s">
        <v>1311</v>
      </c>
      <c r="I1440" s="37" t="s">
        <v>2526</v>
      </c>
      <c r="J1440" s="37" t="s">
        <v>2525</v>
      </c>
      <c r="K1440" s="5">
        <v>30</v>
      </c>
      <c r="L1440" s="607" t="s">
        <v>653</v>
      </c>
      <c r="M1440" s="156">
        <v>43076</v>
      </c>
      <c r="N1440" s="156">
        <v>43083</v>
      </c>
      <c r="O1440" s="153" t="s">
        <v>2529</v>
      </c>
      <c r="P1440" s="61"/>
      <c r="Q1440" s="61" t="s">
        <v>2125</v>
      </c>
      <c r="R1440" s="606" t="s">
        <v>2528</v>
      </c>
      <c r="S1440" s="316" t="s">
        <v>2943</v>
      </c>
      <c r="T1440" s="858"/>
    </row>
    <row r="1441" spans="1:20" ht="20.100000000000001" customHeight="1">
      <c r="A1441" s="1256" t="s">
        <v>2971</v>
      </c>
      <c r="B1441" s="1138" t="s">
        <v>2527</v>
      </c>
      <c r="C1441" s="1138" t="s">
        <v>3525</v>
      </c>
      <c r="D1441" s="1008">
        <f>D18+2700+50</f>
        <v>4300</v>
      </c>
      <c r="E1441" s="1008">
        <f>E18+2700+100</f>
        <v>4600</v>
      </c>
      <c r="F1441" s="1008">
        <f>F18+2700+100</f>
        <v>4600</v>
      </c>
      <c r="G1441" s="608" t="s">
        <v>94</v>
      </c>
      <c r="H1441" s="56" t="s">
        <v>657</v>
      </c>
      <c r="I1441" s="5" t="s">
        <v>2127</v>
      </c>
      <c r="J1441" s="37" t="s">
        <v>2525</v>
      </c>
      <c r="K1441" s="16">
        <v>23</v>
      </c>
      <c r="L1441" s="607" t="s">
        <v>653</v>
      </c>
      <c r="M1441" s="108">
        <v>43087</v>
      </c>
      <c r="N1441" s="108">
        <v>43094</v>
      </c>
      <c r="O1441" s="61" t="s">
        <v>2444</v>
      </c>
      <c r="P1441" s="7"/>
      <c r="Q1441" s="7"/>
      <c r="R1441" s="606" t="s">
        <v>2126</v>
      </c>
      <c r="S1441" s="322" t="s">
        <v>1176</v>
      </c>
      <c r="T1441" s="858"/>
    </row>
    <row r="1442" spans="1:20" ht="20.100000000000001" customHeight="1">
      <c r="A1442" s="1256" t="s">
        <v>2971</v>
      </c>
      <c r="B1442" s="1138" t="s">
        <v>2527</v>
      </c>
      <c r="C1442" s="1138" t="s">
        <v>3525</v>
      </c>
      <c r="D1442" s="1008">
        <f>D41+2810+50</f>
        <v>4410</v>
      </c>
      <c r="E1442" s="1008">
        <f>E41+2810+100</f>
        <v>4710</v>
      </c>
      <c r="F1442" s="1008">
        <f>F41+2810+100</f>
        <v>4710</v>
      </c>
      <c r="G1442" s="608" t="s">
        <v>94</v>
      </c>
      <c r="H1442" s="168" t="s">
        <v>1102</v>
      </c>
      <c r="I1442" s="37" t="s">
        <v>2526</v>
      </c>
      <c r="J1442" s="37" t="s">
        <v>2525</v>
      </c>
      <c r="K1442" s="16">
        <v>26</v>
      </c>
      <c r="L1442" s="607" t="s">
        <v>653</v>
      </c>
      <c r="M1442" s="108">
        <v>43087</v>
      </c>
      <c r="N1442" s="108">
        <v>43094</v>
      </c>
      <c r="O1442" s="61" t="s">
        <v>2444</v>
      </c>
      <c r="P1442" s="7"/>
      <c r="Q1442" s="7"/>
      <c r="R1442" s="606" t="s">
        <v>2524</v>
      </c>
      <c r="S1442" s="322" t="s">
        <v>1176</v>
      </c>
      <c r="T1442" s="858"/>
    </row>
    <row r="1443" spans="1:20" ht="20.100000000000001" customHeight="1">
      <c r="A1443" s="1256" t="s">
        <v>2971</v>
      </c>
      <c r="B1443" s="1138" t="s">
        <v>2527</v>
      </c>
      <c r="C1443" s="1138" t="s">
        <v>3525</v>
      </c>
      <c r="D1443" s="1008">
        <f>D59+3227</f>
        <v>4877</v>
      </c>
      <c r="E1443" s="1008">
        <f>E59+3227</f>
        <v>5227</v>
      </c>
      <c r="F1443" s="1008">
        <f>F59+3227</f>
        <v>5227</v>
      </c>
      <c r="G1443" s="608" t="s">
        <v>94</v>
      </c>
      <c r="H1443" s="168" t="s">
        <v>1102</v>
      </c>
      <c r="I1443" s="37" t="s">
        <v>2540</v>
      </c>
      <c r="J1443" s="37" t="s">
        <v>2525</v>
      </c>
      <c r="K1443" s="16" t="s">
        <v>680</v>
      </c>
      <c r="L1443" s="607" t="s">
        <v>653</v>
      </c>
      <c r="M1443" s="108">
        <v>43087</v>
      </c>
      <c r="N1443" s="108">
        <v>43094</v>
      </c>
      <c r="O1443" s="61" t="s">
        <v>2444</v>
      </c>
      <c r="P1443" s="7"/>
      <c r="Q1443" s="7"/>
      <c r="R1443" s="606" t="s">
        <v>2524</v>
      </c>
      <c r="S1443" s="322" t="s">
        <v>1176</v>
      </c>
      <c r="T1443" s="858"/>
    </row>
    <row r="1444" spans="1:20" ht="20.100000000000001" customHeight="1">
      <c r="A1444" s="1256" t="s">
        <v>2971</v>
      </c>
      <c r="B1444" s="1138" t="s">
        <v>2527</v>
      </c>
      <c r="C1444" s="1138" t="s">
        <v>5403</v>
      </c>
      <c r="D1444" s="1008">
        <f>D4+900</f>
        <v>2075</v>
      </c>
      <c r="E1444" s="1008">
        <f>E4+900</f>
        <v>2150</v>
      </c>
      <c r="F1444" s="1008">
        <f>F4+900</f>
        <v>2150</v>
      </c>
      <c r="G1444" s="609" t="s">
        <v>1689</v>
      </c>
      <c r="H1444" s="160" t="s">
        <v>645</v>
      </c>
      <c r="I1444" s="37" t="s">
        <v>2127</v>
      </c>
      <c r="J1444" s="37" t="s">
        <v>2525</v>
      </c>
      <c r="K1444" s="5">
        <v>20</v>
      </c>
      <c r="L1444" s="607" t="s">
        <v>653</v>
      </c>
      <c r="M1444" s="156">
        <v>43076</v>
      </c>
      <c r="N1444" s="156">
        <v>43083</v>
      </c>
      <c r="O1444" s="153" t="s">
        <v>2529</v>
      </c>
      <c r="P1444" s="61"/>
      <c r="Q1444" s="61" t="s">
        <v>2125</v>
      </c>
      <c r="R1444" s="606" t="s">
        <v>2530</v>
      </c>
      <c r="S1444" s="316" t="s">
        <v>2943</v>
      </c>
      <c r="T1444" s="858"/>
    </row>
    <row r="1445" spans="1:20" ht="20.100000000000001" customHeight="1">
      <c r="A1445" s="1256" t="s">
        <v>2971</v>
      </c>
      <c r="B1445" s="1138" t="s">
        <v>2527</v>
      </c>
      <c r="C1445" s="1138" t="s">
        <v>5403</v>
      </c>
      <c r="D1445" s="1008">
        <f>D46+970</f>
        <v>2145</v>
      </c>
      <c r="E1445" s="1008">
        <f>E46+970</f>
        <v>2220</v>
      </c>
      <c r="F1445" s="1008">
        <f>F46+970</f>
        <v>2220</v>
      </c>
      <c r="G1445" s="609" t="s">
        <v>1689</v>
      </c>
      <c r="H1445" s="160" t="s">
        <v>1311</v>
      </c>
      <c r="I1445" s="37" t="s">
        <v>2526</v>
      </c>
      <c r="J1445" s="37" t="s">
        <v>2525</v>
      </c>
      <c r="K1445" s="5">
        <v>30</v>
      </c>
      <c r="L1445" s="607" t="s">
        <v>653</v>
      </c>
      <c r="M1445" s="156">
        <v>43076</v>
      </c>
      <c r="N1445" s="156">
        <v>43083</v>
      </c>
      <c r="O1445" s="153" t="s">
        <v>2529</v>
      </c>
      <c r="P1445" s="61"/>
      <c r="Q1445" s="61" t="s">
        <v>2125</v>
      </c>
      <c r="R1445" s="606" t="s">
        <v>2528</v>
      </c>
      <c r="S1445" s="316" t="s">
        <v>2943</v>
      </c>
      <c r="T1445" s="858"/>
    </row>
    <row r="1446" spans="1:20" ht="20.100000000000001" customHeight="1">
      <c r="A1446" s="1256" t="s">
        <v>2971</v>
      </c>
      <c r="B1446" s="1138" t="s">
        <v>2527</v>
      </c>
      <c r="C1446" s="1138" t="s">
        <v>5402</v>
      </c>
      <c r="D1446" s="1008">
        <f>D46+3671</f>
        <v>4846</v>
      </c>
      <c r="E1446" s="1008">
        <f>E46+3671</f>
        <v>4921</v>
      </c>
      <c r="F1446" s="1008">
        <f>F46+3671</f>
        <v>4921</v>
      </c>
      <c r="G1446" s="609" t="s">
        <v>1689</v>
      </c>
      <c r="H1446" s="160" t="s">
        <v>1311</v>
      </c>
      <c r="I1446" s="37" t="s">
        <v>2526</v>
      </c>
      <c r="J1446" s="37" t="s">
        <v>2525</v>
      </c>
      <c r="K1446" s="5">
        <v>30</v>
      </c>
      <c r="L1446" s="607" t="s">
        <v>653</v>
      </c>
      <c r="M1446" s="156">
        <v>43076</v>
      </c>
      <c r="N1446" s="156">
        <v>43083</v>
      </c>
      <c r="O1446" s="153" t="s">
        <v>2529</v>
      </c>
      <c r="P1446" s="61"/>
      <c r="Q1446" s="61" t="s">
        <v>2125</v>
      </c>
      <c r="R1446" s="606" t="s">
        <v>2528</v>
      </c>
      <c r="S1446" s="316" t="s">
        <v>2943</v>
      </c>
      <c r="T1446" s="858"/>
    </row>
    <row r="1447" spans="1:20" ht="20.100000000000001" customHeight="1">
      <c r="A1447" s="1256" t="s">
        <v>2971</v>
      </c>
      <c r="B1447" s="1138" t="s">
        <v>2527</v>
      </c>
      <c r="C1447" s="1138" t="s">
        <v>5402</v>
      </c>
      <c r="D1447" s="1008">
        <f>D63+1988</f>
        <v>3263</v>
      </c>
      <c r="E1447" s="1008">
        <f>E63+1988</f>
        <v>1988</v>
      </c>
      <c r="F1447" s="1008">
        <f>F63+1988</f>
        <v>3438</v>
      </c>
      <c r="G1447" s="609" t="s">
        <v>1689</v>
      </c>
      <c r="H1447" s="160" t="s">
        <v>1539</v>
      </c>
      <c r="I1447" s="37" t="s">
        <v>2540</v>
      </c>
      <c r="J1447" s="37" t="s">
        <v>2525</v>
      </c>
      <c r="K1447" s="5" t="s">
        <v>728</v>
      </c>
      <c r="L1447" s="607"/>
      <c r="M1447" s="156">
        <v>43076</v>
      </c>
      <c r="N1447" s="156">
        <v>43083</v>
      </c>
      <c r="O1447" s="153" t="s">
        <v>2529</v>
      </c>
      <c r="P1447" s="61"/>
      <c r="Q1447" s="61" t="s">
        <v>2541</v>
      </c>
      <c r="R1447" s="606" t="s">
        <v>1965</v>
      </c>
      <c r="S1447" s="316" t="s">
        <v>2943</v>
      </c>
      <c r="T1447" s="858"/>
    </row>
    <row r="1448" spans="1:20" ht="20.100000000000001" customHeight="1">
      <c r="A1448" s="1256" t="s">
        <v>2971</v>
      </c>
      <c r="B1448" s="1138" t="s">
        <v>2527</v>
      </c>
      <c r="C1448" s="1138" t="s">
        <v>5402</v>
      </c>
      <c r="D1448" s="1008">
        <f>D18+2730+50</f>
        <v>4330</v>
      </c>
      <c r="E1448" s="1008">
        <f>E18+2730+100</f>
        <v>4630</v>
      </c>
      <c r="F1448" s="1008">
        <f>F18+2730+100</f>
        <v>4630</v>
      </c>
      <c r="G1448" s="608" t="s">
        <v>94</v>
      </c>
      <c r="H1448" s="56" t="s">
        <v>657</v>
      </c>
      <c r="I1448" s="5" t="s">
        <v>2127</v>
      </c>
      <c r="J1448" s="37" t="s">
        <v>2525</v>
      </c>
      <c r="K1448" s="16">
        <v>23</v>
      </c>
      <c r="L1448" s="607" t="s">
        <v>653</v>
      </c>
      <c r="M1448" s="108">
        <v>43087</v>
      </c>
      <c r="N1448" s="108">
        <v>43094</v>
      </c>
      <c r="O1448" s="61" t="s">
        <v>2444</v>
      </c>
      <c r="P1448" s="7"/>
      <c r="Q1448" s="7"/>
      <c r="R1448" s="606" t="s">
        <v>2126</v>
      </c>
      <c r="S1448" s="322" t="s">
        <v>1176</v>
      </c>
      <c r="T1448" s="858"/>
    </row>
    <row r="1449" spans="1:20" ht="20.100000000000001" customHeight="1">
      <c r="A1449" s="1256" t="s">
        <v>2971</v>
      </c>
      <c r="B1449" s="1138" t="s">
        <v>2527</v>
      </c>
      <c r="C1449" s="1138" t="s">
        <v>5402</v>
      </c>
      <c r="D1449" s="1008">
        <f>D41+2705+50</f>
        <v>4305</v>
      </c>
      <c r="E1449" s="1008">
        <f>E41+2705+100</f>
        <v>4605</v>
      </c>
      <c r="F1449" s="1008">
        <f>F41+2705+100</f>
        <v>4605</v>
      </c>
      <c r="G1449" s="608" t="s">
        <v>94</v>
      </c>
      <c r="H1449" s="168" t="s">
        <v>1102</v>
      </c>
      <c r="I1449" s="37" t="s">
        <v>2526</v>
      </c>
      <c r="J1449" s="37" t="s">
        <v>2525</v>
      </c>
      <c r="K1449" s="16">
        <v>26</v>
      </c>
      <c r="L1449" s="607" t="s">
        <v>653</v>
      </c>
      <c r="M1449" s="108">
        <v>43087</v>
      </c>
      <c r="N1449" s="108">
        <v>43094</v>
      </c>
      <c r="O1449" s="61" t="s">
        <v>2444</v>
      </c>
      <c r="P1449" s="7"/>
      <c r="Q1449" s="7"/>
      <c r="R1449" s="606" t="s">
        <v>2524</v>
      </c>
      <c r="S1449" s="322" t="s">
        <v>1176</v>
      </c>
      <c r="T1449" s="858"/>
    </row>
    <row r="1450" spans="1:20" ht="20.100000000000001" customHeight="1">
      <c r="A1450" s="1256" t="s">
        <v>2971</v>
      </c>
      <c r="B1450" s="1138" t="s">
        <v>2527</v>
      </c>
      <c r="C1450" s="1138" t="s">
        <v>5402</v>
      </c>
      <c r="D1450" s="1008">
        <f>D59+2227</f>
        <v>3877</v>
      </c>
      <c r="E1450" s="1008">
        <f>E59+2227</f>
        <v>4227</v>
      </c>
      <c r="F1450" s="1008">
        <f>F59+2227</f>
        <v>4227</v>
      </c>
      <c r="G1450" s="608" t="s">
        <v>94</v>
      </c>
      <c r="H1450" s="168" t="s">
        <v>1102</v>
      </c>
      <c r="I1450" s="37" t="s">
        <v>2540</v>
      </c>
      <c r="J1450" s="37" t="s">
        <v>2525</v>
      </c>
      <c r="K1450" s="16" t="s">
        <v>968</v>
      </c>
      <c r="L1450" s="607" t="s">
        <v>653</v>
      </c>
      <c r="M1450" s="108">
        <v>43087</v>
      </c>
      <c r="N1450" s="108">
        <v>43094</v>
      </c>
      <c r="O1450" s="61" t="s">
        <v>2444</v>
      </c>
      <c r="P1450" s="7"/>
      <c r="Q1450" s="7"/>
      <c r="R1450" s="606" t="s">
        <v>2524</v>
      </c>
      <c r="S1450" s="322" t="s">
        <v>1176</v>
      </c>
      <c r="T1450" s="858"/>
    </row>
    <row r="1451" spans="1:20" ht="20.100000000000001" customHeight="1">
      <c r="A1451" s="1256" t="s">
        <v>2971</v>
      </c>
      <c r="B1451" s="1138" t="s">
        <v>2527</v>
      </c>
      <c r="C1451" s="1138" t="s">
        <v>5401</v>
      </c>
      <c r="D1451" s="1007">
        <f>D4+1396</f>
        <v>2571</v>
      </c>
      <c r="E1451" s="1007">
        <f>E4+1396</f>
        <v>2646</v>
      </c>
      <c r="F1451" s="1007">
        <f>F4+1396</f>
        <v>2646</v>
      </c>
      <c r="G1451" s="609" t="s">
        <v>1689</v>
      </c>
      <c r="H1451" s="160" t="s">
        <v>645</v>
      </c>
      <c r="I1451" s="37" t="s">
        <v>2127</v>
      </c>
      <c r="J1451" s="37" t="s">
        <v>2525</v>
      </c>
      <c r="K1451" s="5">
        <v>20</v>
      </c>
      <c r="L1451" s="607" t="s">
        <v>653</v>
      </c>
      <c r="M1451" s="156">
        <v>43076</v>
      </c>
      <c r="N1451" s="156">
        <v>43083</v>
      </c>
      <c r="O1451" s="153" t="s">
        <v>2529</v>
      </c>
      <c r="P1451" s="61"/>
      <c r="Q1451" s="61" t="s">
        <v>2125</v>
      </c>
      <c r="R1451" s="606" t="s">
        <v>2530</v>
      </c>
      <c r="S1451" s="316" t="s">
        <v>2943</v>
      </c>
      <c r="T1451" s="858"/>
    </row>
    <row r="1452" spans="1:20" ht="20.100000000000001" customHeight="1">
      <c r="A1452" s="1256" t="s">
        <v>2971</v>
      </c>
      <c r="B1452" s="1138" t="s">
        <v>2527</v>
      </c>
      <c r="C1452" s="1138" t="s">
        <v>5401</v>
      </c>
      <c r="D1452" s="1007">
        <f>D46+2934</f>
        <v>4109</v>
      </c>
      <c r="E1452" s="1007">
        <f>E46+2934</f>
        <v>4184</v>
      </c>
      <c r="F1452" s="1007">
        <f>F46+2934</f>
        <v>4184</v>
      </c>
      <c r="G1452" s="609" t="s">
        <v>1689</v>
      </c>
      <c r="H1452" s="160" t="s">
        <v>1311</v>
      </c>
      <c r="I1452" s="37" t="s">
        <v>2526</v>
      </c>
      <c r="J1452" s="37" t="s">
        <v>2525</v>
      </c>
      <c r="K1452" s="5">
        <v>30</v>
      </c>
      <c r="L1452" s="607" t="s">
        <v>653</v>
      </c>
      <c r="M1452" s="156">
        <v>43076</v>
      </c>
      <c r="N1452" s="156">
        <v>43083</v>
      </c>
      <c r="O1452" s="153" t="s">
        <v>2529</v>
      </c>
      <c r="P1452" s="61"/>
      <c r="Q1452" s="61" t="s">
        <v>2125</v>
      </c>
      <c r="R1452" s="606" t="s">
        <v>2528</v>
      </c>
      <c r="S1452" s="316" t="s">
        <v>2943</v>
      </c>
      <c r="T1452" s="858"/>
    </row>
    <row r="1453" spans="1:20" ht="20.100000000000001" customHeight="1">
      <c r="A1453" s="1256" t="s">
        <v>2971</v>
      </c>
      <c r="B1453" s="1138" t="s">
        <v>2527</v>
      </c>
      <c r="C1453" s="1138" t="s">
        <v>5401</v>
      </c>
      <c r="D1453" s="1008">
        <f>D41+1240+50</f>
        <v>2840</v>
      </c>
      <c r="E1453" s="1008">
        <f>E41+1250+100</f>
        <v>3150</v>
      </c>
      <c r="F1453" s="1008">
        <f>F41+1250+100</f>
        <v>3150</v>
      </c>
      <c r="G1453" s="608" t="s">
        <v>94</v>
      </c>
      <c r="H1453" s="168" t="s">
        <v>1102</v>
      </c>
      <c r="I1453" s="5" t="s">
        <v>2526</v>
      </c>
      <c r="J1453" s="37" t="s">
        <v>1211</v>
      </c>
      <c r="K1453" s="16">
        <v>26</v>
      </c>
      <c r="L1453" s="607" t="s">
        <v>653</v>
      </c>
      <c r="M1453" s="108">
        <v>43087</v>
      </c>
      <c r="N1453" s="108">
        <v>43094</v>
      </c>
      <c r="O1453" s="61" t="s">
        <v>2444</v>
      </c>
      <c r="P1453" s="7"/>
      <c r="Q1453" s="7"/>
      <c r="R1453" s="606" t="s">
        <v>2524</v>
      </c>
      <c r="S1453" s="322" t="s">
        <v>1176</v>
      </c>
      <c r="T1453" s="858"/>
    </row>
    <row r="1454" spans="1:20" ht="20.100000000000001" customHeight="1">
      <c r="A1454" s="1256" t="s">
        <v>2971</v>
      </c>
      <c r="B1454" s="1138" t="s">
        <v>2527</v>
      </c>
      <c r="C1454" s="1138" t="s">
        <v>5401</v>
      </c>
      <c r="D1454" s="1008">
        <f>D18+1270+50</f>
        <v>2870</v>
      </c>
      <c r="E1454" s="1008">
        <f>E18+1270+100</f>
        <v>3170</v>
      </c>
      <c r="F1454" s="1008">
        <f>F18+1270+100</f>
        <v>3170</v>
      </c>
      <c r="G1454" s="608" t="s">
        <v>94</v>
      </c>
      <c r="H1454" s="56" t="s">
        <v>657</v>
      </c>
      <c r="I1454" s="5" t="s">
        <v>2127</v>
      </c>
      <c r="J1454" s="37" t="s">
        <v>1211</v>
      </c>
      <c r="K1454" s="5">
        <v>26</v>
      </c>
      <c r="L1454" s="607" t="s">
        <v>653</v>
      </c>
      <c r="M1454" s="108">
        <v>43087</v>
      </c>
      <c r="N1454" s="108">
        <v>43094</v>
      </c>
      <c r="O1454" s="61" t="s">
        <v>2444</v>
      </c>
      <c r="P1454" s="7"/>
      <c r="Q1454" s="7"/>
      <c r="R1454" s="606" t="s">
        <v>2126</v>
      </c>
      <c r="S1454" s="322" t="s">
        <v>1176</v>
      </c>
      <c r="T1454" s="858"/>
    </row>
    <row r="1455" spans="1:20" ht="20.100000000000001" customHeight="1">
      <c r="A1455" s="1256" t="s">
        <v>2971</v>
      </c>
      <c r="B1455" s="1138" t="s">
        <v>2527</v>
      </c>
      <c r="C1455" s="1138" t="s">
        <v>5401</v>
      </c>
      <c r="D1455" s="1008">
        <f>D18+1780+50</f>
        <v>3380</v>
      </c>
      <c r="E1455" s="1008">
        <f>E18+1780+100</f>
        <v>3680</v>
      </c>
      <c r="F1455" s="1008">
        <f>F18+1780+100</f>
        <v>3680</v>
      </c>
      <c r="G1455" s="608" t="s">
        <v>94</v>
      </c>
      <c r="H1455" s="56" t="s">
        <v>657</v>
      </c>
      <c r="I1455" s="5" t="s">
        <v>2127</v>
      </c>
      <c r="J1455" s="37" t="s">
        <v>2525</v>
      </c>
      <c r="K1455" s="5">
        <v>22</v>
      </c>
      <c r="L1455" s="607" t="s">
        <v>653</v>
      </c>
      <c r="M1455" s="108">
        <v>43087</v>
      </c>
      <c r="N1455" s="108">
        <v>43094</v>
      </c>
      <c r="O1455" s="61" t="s">
        <v>2444</v>
      </c>
      <c r="P1455" s="7"/>
      <c r="Q1455" s="7"/>
      <c r="R1455" s="606" t="s">
        <v>2126</v>
      </c>
      <c r="S1455" s="322" t="s">
        <v>1176</v>
      </c>
      <c r="T1455" s="858"/>
    </row>
    <row r="1456" spans="1:20" ht="20.100000000000001" customHeight="1">
      <c r="A1456" s="925" t="s">
        <v>2971</v>
      </c>
      <c r="B1456" s="899" t="s">
        <v>2527</v>
      </c>
      <c r="C1456" s="899" t="s">
        <v>5400</v>
      </c>
      <c r="D1456" s="1008">
        <f>D4+1355</f>
        <v>2530</v>
      </c>
      <c r="E1456" s="1008">
        <f>E4+1355</f>
        <v>2605</v>
      </c>
      <c r="F1456" s="1008">
        <f>F4+1355</f>
        <v>2605</v>
      </c>
      <c r="G1456" s="609" t="s">
        <v>1689</v>
      </c>
      <c r="H1456" s="160" t="s">
        <v>645</v>
      </c>
      <c r="I1456" s="37" t="s">
        <v>2127</v>
      </c>
      <c r="J1456" s="37" t="s">
        <v>2525</v>
      </c>
      <c r="K1456" s="5">
        <v>20</v>
      </c>
      <c r="L1456" s="607" t="s">
        <v>653</v>
      </c>
      <c r="M1456" s="156">
        <v>43076</v>
      </c>
      <c r="N1456" s="156">
        <v>43083</v>
      </c>
      <c r="O1456" s="153" t="s">
        <v>2529</v>
      </c>
      <c r="P1456" s="61"/>
      <c r="Q1456" s="61" t="s">
        <v>2125</v>
      </c>
      <c r="R1456" s="606" t="s">
        <v>2530</v>
      </c>
      <c r="S1456" s="316" t="s">
        <v>2943</v>
      </c>
      <c r="T1456" s="858"/>
    </row>
    <row r="1457" spans="1:20" ht="20.100000000000001" customHeight="1">
      <c r="A1457" s="1256" t="s">
        <v>2971</v>
      </c>
      <c r="B1457" s="1138" t="s">
        <v>2527</v>
      </c>
      <c r="C1457" s="1138" t="s">
        <v>5399</v>
      </c>
      <c r="D1457" s="1008">
        <f>D4+946</f>
        <v>2121</v>
      </c>
      <c r="E1457" s="1008">
        <f>E4+1079</f>
        <v>2329</v>
      </c>
      <c r="F1457" s="1008">
        <f>F4+1079</f>
        <v>2329</v>
      </c>
      <c r="G1457" s="609" t="s">
        <v>1689</v>
      </c>
      <c r="H1457" s="160" t="s">
        <v>645</v>
      </c>
      <c r="I1457" s="37" t="s">
        <v>2127</v>
      </c>
      <c r="J1457" s="37" t="s">
        <v>1211</v>
      </c>
      <c r="K1457" s="5">
        <v>20</v>
      </c>
      <c r="L1457" s="607" t="s">
        <v>653</v>
      </c>
      <c r="M1457" s="156">
        <v>43076</v>
      </c>
      <c r="N1457" s="156">
        <v>43083</v>
      </c>
      <c r="O1457" s="153" t="s">
        <v>2529</v>
      </c>
      <c r="P1457" s="61"/>
      <c r="Q1457" s="61" t="s">
        <v>2133</v>
      </c>
      <c r="R1457" s="606" t="s">
        <v>2530</v>
      </c>
      <c r="S1457" s="316" t="s">
        <v>2943</v>
      </c>
      <c r="T1457" s="858"/>
    </row>
    <row r="1458" spans="1:20" ht="20.100000000000001" customHeight="1">
      <c r="A1458" s="1256" t="s">
        <v>2971</v>
      </c>
      <c r="B1458" s="1138" t="s">
        <v>2527</v>
      </c>
      <c r="C1458" s="1138" t="s">
        <v>5399</v>
      </c>
      <c r="D1458" s="1007">
        <f>D46+911</f>
        <v>2086</v>
      </c>
      <c r="E1458" s="1007">
        <f>E46+1053</f>
        <v>2303</v>
      </c>
      <c r="F1458" s="1007">
        <f>F46+1053</f>
        <v>2303</v>
      </c>
      <c r="G1458" s="609" t="s">
        <v>1689</v>
      </c>
      <c r="H1458" s="160" t="s">
        <v>1311</v>
      </c>
      <c r="I1458" s="37" t="s">
        <v>2526</v>
      </c>
      <c r="J1458" s="37" t="s">
        <v>1211</v>
      </c>
      <c r="K1458" s="5">
        <v>30</v>
      </c>
      <c r="L1458" s="607" t="s">
        <v>653</v>
      </c>
      <c r="M1458" s="156">
        <v>43076</v>
      </c>
      <c r="N1458" s="156">
        <v>43083</v>
      </c>
      <c r="O1458" s="153" t="s">
        <v>2529</v>
      </c>
      <c r="P1458" s="61"/>
      <c r="Q1458" s="61" t="s">
        <v>2128</v>
      </c>
      <c r="R1458" s="606" t="s">
        <v>2528</v>
      </c>
      <c r="S1458" s="316" t="s">
        <v>2943</v>
      </c>
      <c r="T1458" s="858"/>
    </row>
    <row r="1459" spans="1:20" ht="20.100000000000001" customHeight="1">
      <c r="A1459" s="1256" t="s">
        <v>2971</v>
      </c>
      <c r="B1459" s="1138" t="s">
        <v>2527</v>
      </c>
      <c r="C1459" s="1138" t="s">
        <v>5399</v>
      </c>
      <c r="D1459" s="1007">
        <f>D18+1140+50</f>
        <v>2740</v>
      </c>
      <c r="E1459" s="1007">
        <f>E18+1140+100</f>
        <v>3040</v>
      </c>
      <c r="F1459" s="1007">
        <f>F18+1140+100</f>
        <v>3040</v>
      </c>
      <c r="G1459" s="608" t="s">
        <v>94</v>
      </c>
      <c r="H1459" s="56" t="s">
        <v>657</v>
      </c>
      <c r="I1459" s="5" t="s">
        <v>2127</v>
      </c>
      <c r="J1459" s="37" t="s">
        <v>1211</v>
      </c>
      <c r="K1459" s="5">
        <v>26</v>
      </c>
      <c r="L1459" s="607" t="s">
        <v>653</v>
      </c>
      <c r="M1459" s="108">
        <v>43087</v>
      </c>
      <c r="N1459" s="108">
        <v>43094</v>
      </c>
      <c r="O1459" s="61" t="s">
        <v>2444</v>
      </c>
      <c r="P1459" s="7"/>
      <c r="Q1459" s="7"/>
      <c r="R1459" s="606" t="s">
        <v>2126</v>
      </c>
      <c r="S1459" s="322" t="s">
        <v>1176</v>
      </c>
      <c r="T1459" s="858"/>
    </row>
    <row r="1460" spans="1:20" ht="20.100000000000001" customHeight="1">
      <c r="A1460" s="1256" t="s">
        <v>2971</v>
      </c>
      <c r="B1460" s="1138" t="s">
        <v>2527</v>
      </c>
      <c r="C1460" s="1138" t="s">
        <v>5399</v>
      </c>
      <c r="D1460" s="1007">
        <f>D41+1120+50</f>
        <v>2720</v>
      </c>
      <c r="E1460" s="1007">
        <f>E41+1130+100</f>
        <v>3030</v>
      </c>
      <c r="F1460" s="1007">
        <f>F41+1130+100</f>
        <v>3030</v>
      </c>
      <c r="G1460" s="608" t="s">
        <v>94</v>
      </c>
      <c r="H1460" s="168" t="s">
        <v>1102</v>
      </c>
      <c r="I1460" s="5" t="s">
        <v>2526</v>
      </c>
      <c r="J1460" s="37" t="s">
        <v>1211</v>
      </c>
      <c r="K1460" s="16">
        <v>26</v>
      </c>
      <c r="L1460" s="607" t="s">
        <v>653</v>
      </c>
      <c r="M1460" s="108">
        <v>43087</v>
      </c>
      <c r="N1460" s="108">
        <v>43094</v>
      </c>
      <c r="O1460" s="61" t="s">
        <v>2444</v>
      </c>
      <c r="P1460" s="7"/>
      <c r="Q1460" s="7"/>
      <c r="R1460" s="606" t="s">
        <v>2524</v>
      </c>
      <c r="S1460" s="322" t="s">
        <v>1176</v>
      </c>
      <c r="T1460" s="858"/>
    </row>
    <row r="1461" spans="1:20" ht="20.100000000000001" customHeight="1">
      <c r="A1461" s="1256" t="s">
        <v>2971</v>
      </c>
      <c r="B1461" s="1138" t="s">
        <v>2527</v>
      </c>
      <c r="C1461" s="1138" t="s">
        <v>5399</v>
      </c>
      <c r="D1461" s="1007">
        <f>D30+1350</f>
        <v>2900</v>
      </c>
      <c r="E1461" s="1007">
        <f>E30+1350</f>
        <v>3150</v>
      </c>
      <c r="F1461" s="1007">
        <f>F30+1350</f>
        <v>3150</v>
      </c>
      <c r="G1461" s="608" t="s">
        <v>51</v>
      </c>
      <c r="H1461" s="160" t="s">
        <v>2532</v>
      </c>
      <c r="I1461" s="37" t="s">
        <v>2127</v>
      </c>
      <c r="J1461" s="37" t="s">
        <v>2525</v>
      </c>
      <c r="K1461" s="5"/>
      <c r="L1461" s="607" t="s">
        <v>653</v>
      </c>
      <c r="M1461" s="611">
        <v>43086</v>
      </c>
      <c r="N1461" s="611">
        <v>43100</v>
      </c>
      <c r="O1461" s="61" t="s">
        <v>3291</v>
      </c>
      <c r="P1461" s="52"/>
      <c r="Q1461" s="61" t="s">
        <v>2466</v>
      </c>
      <c r="R1461" s="610"/>
      <c r="S1461" s="315" t="s">
        <v>3290</v>
      </c>
      <c r="T1461" s="858"/>
    </row>
    <row r="1462" spans="1:20" ht="20.100000000000001" customHeight="1">
      <c r="A1462" s="1256" t="s">
        <v>2971</v>
      </c>
      <c r="B1462" s="1138" t="s">
        <v>2527</v>
      </c>
      <c r="C1462" s="1138" t="s">
        <v>5398</v>
      </c>
      <c r="D1462" s="1008">
        <f>D4+906</f>
        <v>2081</v>
      </c>
      <c r="E1462" s="1008">
        <f>E4+1011</f>
        <v>2261</v>
      </c>
      <c r="F1462" s="1008">
        <f>F4+1011</f>
        <v>2261</v>
      </c>
      <c r="G1462" s="609" t="s">
        <v>1689</v>
      </c>
      <c r="H1462" s="160" t="s">
        <v>645</v>
      </c>
      <c r="I1462" s="37" t="s">
        <v>2127</v>
      </c>
      <c r="J1462" s="37" t="s">
        <v>1211</v>
      </c>
      <c r="K1462" s="5">
        <v>20</v>
      </c>
      <c r="L1462" s="607" t="s">
        <v>653</v>
      </c>
      <c r="M1462" s="156">
        <v>43076</v>
      </c>
      <c r="N1462" s="156">
        <v>43083</v>
      </c>
      <c r="O1462" s="153" t="s">
        <v>2529</v>
      </c>
      <c r="P1462" s="61"/>
      <c r="Q1462" s="61" t="s">
        <v>2133</v>
      </c>
      <c r="R1462" s="606" t="s">
        <v>2530</v>
      </c>
      <c r="S1462" s="316" t="s">
        <v>2943</v>
      </c>
      <c r="T1462" s="858"/>
    </row>
    <row r="1463" spans="1:20" ht="20.100000000000001" customHeight="1">
      <c r="A1463" s="1256" t="s">
        <v>2971</v>
      </c>
      <c r="B1463" s="1138" t="s">
        <v>2527</v>
      </c>
      <c r="C1463" s="1138" t="s">
        <v>5398</v>
      </c>
      <c r="D1463" s="1008">
        <f>D46+1053</f>
        <v>2228</v>
      </c>
      <c r="E1463" s="1008">
        <f>E46+1234</f>
        <v>2484</v>
      </c>
      <c r="F1463" s="1008">
        <f>F46+1234</f>
        <v>2484</v>
      </c>
      <c r="G1463" s="609" t="s">
        <v>1689</v>
      </c>
      <c r="H1463" s="160" t="s">
        <v>1311</v>
      </c>
      <c r="I1463" s="37" t="s">
        <v>2526</v>
      </c>
      <c r="J1463" s="37" t="s">
        <v>1211</v>
      </c>
      <c r="K1463" s="5">
        <v>30</v>
      </c>
      <c r="L1463" s="607" t="s">
        <v>653</v>
      </c>
      <c r="M1463" s="156">
        <v>43076</v>
      </c>
      <c r="N1463" s="156">
        <v>43083</v>
      </c>
      <c r="O1463" s="153" t="s">
        <v>2529</v>
      </c>
      <c r="P1463" s="61"/>
      <c r="Q1463" s="61" t="s">
        <v>2128</v>
      </c>
      <c r="R1463" s="606" t="s">
        <v>2528</v>
      </c>
      <c r="S1463" s="316" t="s">
        <v>2943</v>
      </c>
      <c r="T1463" s="858"/>
    </row>
    <row r="1464" spans="1:20" ht="20.100000000000001" customHeight="1">
      <c r="A1464" s="1256" t="s">
        <v>2971</v>
      </c>
      <c r="B1464" s="1138" t="s">
        <v>2527</v>
      </c>
      <c r="C1464" s="1138" t="s">
        <v>5397</v>
      </c>
      <c r="D1464" s="1008">
        <f>D4+900</f>
        <v>2075</v>
      </c>
      <c r="E1464" s="1008">
        <f>E4+900</f>
        <v>2150</v>
      </c>
      <c r="F1464" s="1008">
        <f>F4+900</f>
        <v>2150</v>
      </c>
      <c r="G1464" s="609" t="s">
        <v>1689</v>
      </c>
      <c r="H1464" s="160" t="s">
        <v>645</v>
      </c>
      <c r="I1464" s="37" t="s">
        <v>2127</v>
      </c>
      <c r="J1464" s="37" t="s">
        <v>2525</v>
      </c>
      <c r="K1464" s="5">
        <v>20</v>
      </c>
      <c r="L1464" s="607" t="s">
        <v>653</v>
      </c>
      <c r="M1464" s="156">
        <v>43076</v>
      </c>
      <c r="N1464" s="156">
        <v>43083</v>
      </c>
      <c r="O1464" s="153" t="s">
        <v>2529</v>
      </c>
      <c r="P1464" s="61"/>
      <c r="Q1464" s="61" t="s">
        <v>2125</v>
      </c>
      <c r="R1464" s="606" t="s">
        <v>2530</v>
      </c>
      <c r="S1464" s="316" t="s">
        <v>2943</v>
      </c>
      <c r="T1464" s="858"/>
    </row>
    <row r="1465" spans="1:20" ht="20.100000000000001" customHeight="1">
      <c r="A1465" s="1256" t="s">
        <v>2971</v>
      </c>
      <c r="B1465" s="1138" t="s">
        <v>2527</v>
      </c>
      <c r="C1465" s="1138" t="s">
        <v>5397</v>
      </c>
      <c r="D1465" s="1008">
        <f>D46+970</f>
        <v>2145</v>
      </c>
      <c r="E1465" s="1008">
        <f>E46+970</f>
        <v>2220</v>
      </c>
      <c r="F1465" s="1008">
        <f>F46+970</f>
        <v>2220</v>
      </c>
      <c r="G1465" s="609" t="s">
        <v>1689</v>
      </c>
      <c r="H1465" s="160" t="s">
        <v>1311</v>
      </c>
      <c r="I1465" s="37" t="s">
        <v>2526</v>
      </c>
      <c r="J1465" s="37" t="s">
        <v>2525</v>
      </c>
      <c r="K1465" s="5">
        <v>30</v>
      </c>
      <c r="L1465" s="607" t="s">
        <v>653</v>
      </c>
      <c r="M1465" s="156">
        <v>43076</v>
      </c>
      <c r="N1465" s="156">
        <v>43083</v>
      </c>
      <c r="O1465" s="153" t="s">
        <v>2529</v>
      </c>
      <c r="P1465" s="61"/>
      <c r="Q1465" s="61" t="s">
        <v>2125</v>
      </c>
      <c r="R1465" s="606" t="s">
        <v>2528</v>
      </c>
      <c r="S1465" s="316" t="s">
        <v>2943</v>
      </c>
      <c r="T1465" s="858"/>
    </row>
    <row r="1466" spans="1:20" ht="20.100000000000001" customHeight="1">
      <c r="A1466" s="1256" t="s">
        <v>2971</v>
      </c>
      <c r="B1466" s="1138" t="s">
        <v>2527</v>
      </c>
      <c r="C1466" s="1138" t="s">
        <v>5396</v>
      </c>
      <c r="D1466" s="1006">
        <f>D4+916</f>
        <v>2091</v>
      </c>
      <c r="E1466" s="1006">
        <f>E4+970</f>
        <v>2220</v>
      </c>
      <c r="F1466" s="1006">
        <f>F4+970</f>
        <v>2220</v>
      </c>
      <c r="G1466" s="609" t="s">
        <v>1689</v>
      </c>
      <c r="H1466" s="160" t="s">
        <v>645</v>
      </c>
      <c r="I1466" s="37" t="s">
        <v>2127</v>
      </c>
      <c r="J1466" s="37" t="s">
        <v>1211</v>
      </c>
      <c r="K1466" s="5">
        <v>20</v>
      </c>
      <c r="L1466" s="607" t="s">
        <v>653</v>
      </c>
      <c r="M1466" s="156">
        <v>43076</v>
      </c>
      <c r="N1466" s="156">
        <v>43083</v>
      </c>
      <c r="O1466" s="153" t="s">
        <v>2529</v>
      </c>
      <c r="P1466" s="61"/>
      <c r="Q1466" s="61" t="s">
        <v>2133</v>
      </c>
      <c r="R1466" s="606" t="s">
        <v>2530</v>
      </c>
      <c r="S1466" s="316" t="s">
        <v>2943</v>
      </c>
      <c r="T1466" s="858"/>
    </row>
    <row r="1467" spans="1:20" ht="20.100000000000001" customHeight="1">
      <c r="A1467" s="1256" t="s">
        <v>2971</v>
      </c>
      <c r="B1467" s="1138" t="s">
        <v>2527</v>
      </c>
      <c r="C1467" s="1138" t="s">
        <v>5396</v>
      </c>
      <c r="D1467" s="1006">
        <f>D41+1350+50</f>
        <v>2950</v>
      </c>
      <c r="E1467" s="1006">
        <f>E41+1430+100</f>
        <v>3330</v>
      </c>
      <c r="F1467" s="1006">
        <f>F41+1430+100</f>
        <v>3330</v>
      </c>
      <c r="G1467" s="608" t="s">
        <v>94</v>
      </c>
      <c r="H1467" s="168" t="s">
        <v>1102</v>
      </c>
      <c r="I1467" s="5" t="s">
        <v>2526</v>
      </c>
      <c r="J1467" s="37" t="s">
        <v>1211</v>
      </c>
      <c r="K1467" s="16">
        <v>26</v>
      </c>
      <c r="L1467" s="607" t="s">
        <v>653</v>
      </c>
      <c r="M1467" s="108">
        <v>43087</v>
      </c>
      <c r="N1467" s="108">
        <v>43094</v>
      </c>
      <c r="O1467" s="61" t="s">
        <v>2444</v>
      </c>
      <c r="P1467" s="7"/>
      <c r="Q1467" s="7"/>
      <c r="R1467" s="606" t="s">
        <v>2524</v>
      </c>
      <c r="S1467" s="322" t="s">
        <v>1176</v>
      </c>
      <c r="T1467" s="858"/>
    </row>
    <row r="1468" spans="1:20" ht="20.100000000000001" customHeight="1">
      <c r="A1468" s="1256" t="s">
        <v>2971</v>
      </c>
      <c r="B1468" s="1138" t="s">
        <v>2527</v>
      </c>
      <c r="C1468" s="1138" t="s">
        <v>5396</v>
      </c>
      <c r="D1468" s="1006">
        <f>D18+850+50</f>
        <v>2450</v>
      </c>
      <c r="E1468" s="1006">
        <f>E18+950+100</f>
        <v>2850</v>
      </c>
      <c r="F1468" s="1006">
        <f>F18+950+100</f>
        <v>2850</v>
      </c>
      <c r="G1468" s="608" t="s">
        <v>94</v>
      </c>
      <c r="H1468" s="56" t="s">
        <v>657</v>
      </c>
      <c r="I1468" s="5" t="s">
        <v>2127</v>
      </c>
      <c r="J1468" s="37" t="s">
        <v>1211</v>
      </c>
      <c r="K1468" s="34">
        <v>25</v>
      </c>
      <c r="L1468" s="607" t="s">
        <v>653</v>
      </c>
      <c r="M1468" s="108">
        <v>43087</v>
      </c>
      <c r="N1468" s="108">
        <v>43094</v>
      </c>
      <c r="O1468" s="61" t="s">
        <v>2444</v>
      </c>
      <c r="P1468" s="7"/>
      <c r="Q1468" s="7"/>
      <c r="R1468" s="606" t="s">
        <v>2126</v>
      </c>
      <c r="S1468" s="322" t="s">
        <v>1176</v>
      </c>
      <c r="T1468" s="858"/>
    </row>
    <row r="1469" spans="1:20" ht="20.100000000000001" customHeight="1">
      <c r="A1469" s="1256" t="s">
        <v>2971</v>
      </c>
      <c r="B1469" s="1138" t="s">
        <v>2527</v>
      </c>
      <c r="C1469" s="1138" t="s">
        <v>5396</v>
      </c>
      <c r="D1469" s="1006">
        <f>D136+1000</f>
        <v>2600</v>
      </c>
      <c r="E1469" s="1006">
        <f>E136+1000</f>
        <v>3000</v>
      </c>
      <c r="F1469" s="1006">
        <f>F136+1000</f>
        <v>3000</v>
      </c>
      <c r="G1469" s="613" t="s">
        <v>33</v>
      </c>
      <c r="H1469" s="56" t="s">
        <v>681</v>
      </c>
      <c r="I1469" s="37" t="s">
        <v>2526</v>
      </c>
      <c r="J1469" s="37" t="s">
        <v>1211</v>
      </c>
      <c r="K1469" s="16">
        <v>20</v>
      </c>
      <c r="L1469" s="607" t="s">
        <v>653</v>
      </c>
      <c r="M1469" s="159">
        <v>43080</v>
      </c>
      <c r="N1469" s="159">
        <v>43086</v>
      </c>
      <c r="O1469" s="153" t="s">
        <v>2445</v>
      </c>
      <c r="P1469" s="61"/>
      <c r="Q1469" s="7"/>
      <c r="R1469" s="606" t="s">
        <v>2538</v>
      </c>
      <c r="S1469" s="316" t="s">
        <v>3333</v>
      </c>
      <c r="T1469" s="858"/>
    </row>
    <row r="1470" spans="1:20" ht="20.100000000000001" customHeight="1">
      <c r="A1470" s="1256" t="s">
        <v>2971</v>
      </c>
      <c r="B1470" s="1138" t="s">
        <v>2527</v>
      </c>
      <c r="C1470" s="1138" t="s">
        <v>5396</v>
      </c>
      <c r="D1470" s="1006">
        <f>D135+1100</f>
        <v>2700</v>
      </c>
      <c r="E1470" s="1006">
        <f>E135+1100</f>
        <v>3100</v>
      </c>
      <c r="F1470" s="1006">
        <f>F135+1100</f>
        <v>3100</v>
      </c>
      <c r="G1470" s="613" t="s">
        <v>33</v>
      </c>
      <c r="H1470" s="56" t="s">
        <v>2535</v>
      </c>
      <c r="I1470" s="37" t="s">
        <v>2127</v>
      </c>
      <c r="J1470" s="37" t="s">
        <v>1211</v>
      </c>
      <c r="K1470" s="16">
        <v>20</v>
      </c>
      <c r="L1470" s="607" t="s">
        <v>653</v>
      </c>
      <c r="M1470" s="159">
        <v>43080</v>
      </c>
      <c r="N1470" s="159">
        <v>43086</v>
      </c>
      <c r="O1470" s="153" t="s">
        <v>2445</v>
      </c>
      <c r="P1470" s="61"/>
      <c r="Q1470" s="7"/>
      <c r="R1470" s="606" t="s">
        <v>2542</v>
      </c>
      <c r="S1470" s="316" t="s">
        <v>3333</v>
      </c>
      <c r="T1470" s="858"/>
    </row>
    <row r="1471" spans="1:20" ht="20.100000000000001" customHeight="1">
      <c r="A1471" s="1256" t="s">
        <v>2971</v>
      </c>
      <c r="B1471" s="1138" t="s">
        <v>2527</v>
      </c>
      <c r="C1471" s="1138" t="s">
        <v>5396</v>
      </c>
      <c r="D1471" s="1006">
        <f>D46+1155</f>
        <v>2330</v>
      </c>
      <c r="E1471" s="1006">
        <f>E46+1155</f>
        <v>2405</v>
      </c>
      <c r="F1471" s="1006">
        <f>F46+1155</f>
        <v>2405</v>
      </c>
      <c r="G1471" s="609" t="s">
        <v>1689</v>
      </c>
      <c r="H1471" s="160" t="s">
        <v>1311</v>
      </c>
      <c r="I1471" s="37" t="s">
        <v>2526</v>
      </c>
      <c r="J1471" s="37" t="s">
        <v>2525</v>
      </c>
      <c r="K1471" s="5">
        <v>30</v>
      </c>
      <c r="L1471" s="607" t="s">
        <v>653</v>
      </c>
      <c r="M1471" s="156">
        <v>43076</v>
      </c>
      <c r="N1471" s="156">
        <v>43083</v>
      </c>
      <c r="O1471" s="153" t="s">
        <v>2529</v>
      </c>
      <c r="P1471" s="61"/>
      <c r="Q1471" s="61" t="s">
        <v>2125</v>
      </c>
      <c r="R1471" s="606" t="s">
        <v>2528</v>
      </c>
      <c r="S1471" s="316" t="s">
        <v>2943</v>
      </c>
      <c r="T1471" s="858"/>
    </row>
    <row r="1472" spans="1:20" ht="20.100000000000001" customHeight="1">
      <c r="A1472" s="1256" t="s">
        <v>2971</v>
      </c>
      <c r="B1472" s="1138" t="s">
        <v>2527</v>
      </c>
      <c r="C1472" s="1138" t="s">
        <v>5396</v>
      </c>
      <c r="D1472" s="1006">
        <f>D18+1180+50</f>
        <v>2780</v>
      </c>
      <c r="E1472" s="1006">
        <f>E18+1180+100</f>
        <v>3080</v>
      </c>
      <c r="F1472" s="1006">
        <f>F18+1180+100</f>
        <v>3080</v>
      </c>
      <c r="G1472" s="608" t="s">
        <v>94</v>
      </c>
      <c r="H1472" s="56" t="s">
        <v>657</v>
      </c>
      <c r="I1472" s="5" t="s">
        <v>2127</v>
      </c>
      <c r="J1472" s="37" t="s">
        <v>2525</v>
      </c>
      <c r="K1472" s="16">
        <v>21</v>
      </c>
      <c r="L1472" s="607" t="s">
        <v>653</v>
      </c>
      <c r="M1472" s="108">
        <v>43087</v>
      </c>
      <c r="N1472" s="108">
        <v>43094</v>
      </c>
      <c r="O1472" s="61" t="s">
        <v>2444</v>
      </c>
      <c r="P1472" s="7"/>
      <c r="Q1472" s="7"/>
      <c r="R1472" s="606" t="s">
        <v>2126</v>
      </c>
      <c r="S1472" s="322" t="s">
        <v>1176</v>
      </c>
      <c r="T1472" s="858"/>
    </row>
    <row r="1473" spans="1:20" ht="20.100000000000001" customHeight="1">
      <c r="A1473" s="1256" t="s">
        <v>2971</v>
      </c>
      <c r="B1473" s="1138" t="s">
        <v>2527</v>
      </c>
      <c r="C1473" s="1138" t="s">
        <v>5396</v>
      </c>
      <c r="D1473" s="1006">
        <f>D41+1153+50</f>
        <v>2753</v>
      </c>
      <c r="E1473" s="1006">
        <f>E41+1153+100</f>
        <v>3053</v>
      </c>
      <c r="F1473" s="1006">
        <f>F41+1153+100</f>
        <v>3053</v>
      </c>
      <c r="G1473" s="608" t="s">
        <v>94</v>
      </c>
      <c r="H1473" s="168" t="s">
        <v>1102</v>
      </c>
      <c r="I1473" s="37" t="s">
        <v>2526</v>
      </c>
      <c r="J1473" s="37" t="s">
        <v>2525</v>
      </c>
      <c r="K1473" s="16">
        <v>26</v>
      </c>
      <c r="L1473" s="607" t="s">
        <v>653</v>
      </c>
      <c r="M1473" s="108">
        <v>43087</v>
      </c>
      <c r="N1473" s="108">
        <v>43094</v>
      </c>
      <c r="O1473" s="61" t="s">
        <v>2444</v>
      </c>
      <c r="P1473" s="7"/>
      <c r="Q1473" s="7"/>
      <c r="R1473" s="606" t="s">
        <v>2524</v>
      </c>
      <c r="S1473" s="322" t="s">
        <v>1176</v>
      </c>
      <c r="T1473" s="858"/>
    </row>
    <row r="1474" spans="1:20" ht="20.100000000000001" customHeight="1">
      <c r="A1474" s="1256" t="s">
        <v>2971</v>
      </c>
      <c r="B1474" s="1138" t="s">
        <v>2527</v>
      </c>
      <c r="C1474" s="1138" t="s">
        <v>5396</v>
      </c>
      <c r="D1474" s="1006">
        <f t="shared" ref="D1474:F1475" si="8">D135+1400</f>
        <v>3000</v>
      </c>
      <c r="E1474" s="1006">
        <f t="shared" si="8"/>
        <v>3400</v>
      </c>
      <c r="F1474" s="1006">
        <f t="shared" si="8"/>
        <v>3400</v>
      </c>
      <c r="G1474" s="613" t="s">
        <v>33</v>
      </c>
      <c r="H1474" s="56" t="s">
        <v>2535</v>
      </c>
      <c r="I1474" s="37" t="s">
        <v>2127</v>
      </c>
      <c r="J1474" s="37" t="s">
        <v>2525</v>
      </c>
      <c r="K1474" s="16">
        <v>20</v>
      </c>
      <c r="L1474" s="607" t="s">
        <v>653</v>
      </c>
      <c r="M1474" s="159">
        <v>43080</v>
      </c>
      <c r="N1474" s="159">
        <v>43086</v>
      </c>
      <c r="O1474" s="153" t="s">
        <v>2445</v>
      </c>
      <c r="P1474" s="61"/>
      <c r="Q1474" s="7"/>
      <c r="R1474" s="606" t="s">
        <v>2542</v>
      </c>
      <c r="S1474" s="316" t="s">
        <v>3333</v>
      </c>
      <c r="T1474" s="858"/>
    </row>
    <row r="1475" spans="1:20" ht="20.100000000000001" customHeight="1">
      <c r="A1475" s="1256" t="s">
        <v>2971</v>
      </c>
      <c r="B1475" s="1138" t="s">
        <v>2527</v>
      </c>
      <c r="C1475" s="1138" t="s">
        <v>5396</v>
      </c>
      <c r="D1475" s="1006">
        <f t="shared" si="8"/>
        <v>3000</v>
      </c>
      <c r="E1475" s="1006">
        <f t="shared" si="8"/>
        <v>3400</v>
      </c>
      <c r="F1475" s="1006">
        <f t="shared" si="8"/>
        <v>3400</v>
      </c>
      <c r="G1475" s="613" t="s">
        <v>33</v>
      </c>
      <c r="H1475" s="56" t="s">
        <v>681</v>
      </c>
      <c r="I1475" s="37" t="s">
        <v>2526</v>
      </c>
      <c r="J1475" s="37" t="s">
        <v>2525</v>
      </c>
      <c r="K1475" s="16">
        <v>20</v>
      </c>
      <c r="L1475" s="607" t="s">
        <v>653</v>
      </c>
      <c r="M1475" s="159">
        <v>43080</v>
      </c>
      <c r="N1475" s="159">
        <v>43086</v>
      </c>
      <c r="O1475" s="153" t="s">
        <v>2445</v>
      </c>
      <c r="P1475" s="61"/>
      <c r="Q1475" s="7"/>
      <c r="R1475" s="606" t="s">
        <v>2538</v>
      </c>
      <c r="S1475" s="316" t="s">
        <v>3333</v>
      </c>
      <c r="T1475" s="858"/>
    </row>
    <row r="1476" spans="1:20" ht="20.100000000000001" customHeight="1">
      <c r="A1476" s="1271" t="s">
        <v>2971</v>
      </c>
      <c r="B1476" s="1142" t="s">
        <v>2527</v>
      </c>
      <c r="C1476" s="1142" t="s">
        <v>2816</v>
      </c>
      <c r="D1476" s="1006">
        <f t="shared" ref="D1476:F1477" si="9">D1182+100</f>
        <v>2480</v>
      </c>
      <c r="E1476" s="1006">
        <f t="shared" si="9"/>
        <v>2785</v>
      </c>
      <c r="F1476" s="1006">
        <f t="shared" si="9"/>
        <v>2785</v>
      </c>
      <c r="G1476" s="608" t="s">
        <v>51</v>
      </c>
      <c r="H1476" s="160" t="s">
        <v>2532</v>
      </c>
      <c r="I1476" s="37" t="s">
        <v>2127</v>
      </c>
      <c r="J1476" s="37" t="s">
        <v>1211</v>
      </c>
      <c r="K1476" s="5"/>
      <c r="L1476" s="607" t="s">
        <v>653</v>
      </c>
      <c r="M1476" s="611">
        <v>43086</v>
      </c>
      <c r="N1476" s="611">
        <v>43100</v>
      </c>
      <c r="O1476" s="61" t="s">
        <v>3291</v>
      </c>
      <c r="P1476" s="52"/>
      <c r="Q1476" s="61" t="s">
        <v>3381</v>
      </c>
      <c r="R1476" s="610"/>
      <c r="S1476" s="315" t="s">
        <v>3290</v>
      </c>
      <c r="T1476" s="858"/>
    </row>
    <row r="1477" spans="1:20" ht="20.100000000000001" customHeight="1">
      <c r="A1477" s="1272" t="s">
        <v>2971</v>
      </c>
      <c r="B1477" s="1160" t="s">
        <v>2527</v>
      </c>
      <c r="C1477" s="1160" t="s">
        <v>2816</v>
      </c>
      <c r="D1477" s="1006">
        <f t="shared" si="9"/>
        <v>2375</v>
      </c>
      <c r="E1477" s="1006">
        <f t="shared" si="9"/>
        <v>2775</v>
      </c>
      <c r="F1477" s="1006">
        <f t="shared" si="9"/>
        <v>2775</v>
      </c>
      <c r="G1477" s="608" t="s">
        <v>51</v>
      </c>
      <c r="H1477" s="160" t="s">
        <v>645</v>
      </c>
      <c r="I1477" s="37" t="s">
        <v>2526</v>
      </c>
      <c r="J1477" s="37" t="s">
        <v>1211</v>
      </c>
      <c r="K1477" s="5"/>
      <c r="L1477" s="607" t="s">
        <v>653</v>
      </c>
      <c r="M1477" s="611">
        <v>43086</v>
      </c>
      <c r="N1477" s="611">
        <v>43100</v>
      </c>
      <c r="O1477" s="61" t="s">
        <v>3291</v>
      </c>
      <c r="P1477" s="52"/>
      <c r="Q1477" s="61" t="s">
        <v>2599</v>
      </c>
      <c r="R1477" s="610"/>
      <c r="S1477" s="315" t="s">
        <v>3290</v>
      </c>
      <c r="T1477" s="858"/>
    </row>
    <row r="1478" spans="1:20" ht="20.100000000000001" customHeight="1">
      <c r="A1478" s="1272" t="s">
        <v>2971</v>
      </c>
      <c r="B1478" s="1160" t="s">
        <v>2527</v>
      </c>
      <c r="C1478" s="1160" t="s">
        <v>2816</v>
      </c>
      <c r="D1478" s="1006">
        <f t="shared" ref="D1478:F1479" si="10">D1200+100</f>
        <v>2800</v>
      </c>
      <c r="E1478" s="1006">
        <f t="shared" si="10"/>
        <v>2870</v>
      </c>
      <c r="F1478" s="1006">
        <f t="shared" si="10"/>
        <v>2870</v>
      </c>
      <c r="G1478" s="608" t="s">
        <v>51</v>
      </c>
      <c r="H1478" s="160" t="s">
        <v>2532</v>
      </c>
      <c r="I1478" s="37" t="s">
        <v>2127</v>
      </c>
      <c r="J1478" s="37" t="s">
        <v>2525</v>
      </c>
      <c r="K1478" s="5"/>
      <c r="L1478" s="607" t="s">
        <v>653</v>
      </c>
      <c r="M1478" s="611">
        <v>43086</v>
      </c>
      <c r="N1478" s="611">
        <v>43100</v>
      </c>
      <c r="O1478" s="61" t="s">
        <v>3291</v>
      </c>
      <c r="P1478" s="52"/>
      <c r="Q1478" s="61" t="s">
        <v>2466</v>
      </c>
      <c r="R1478" s="610"/>
      <c r="S1478" s="315" t="s">
        <v>3290</v>
      </c>
      <c r="T1478" s="858"/>
    </row>
    <row r="1479" spans="1:20" ht="20.100000000000001" customHeight="1">
      <c r="A1479" s="1273" t="s">
        <v>2971</v>
      </c>
      <c r="B1479" s="1161" t="s">
        <v>2527</v>
      </c>
      <c r="C1479" s="1161" t="s">
        <v>2816</v>
      </c>
      <c r="D1479" s="1006">
        <f t="shared" si="10"/>
        <v>3000</v>
      </c>
      <c r="E1479" s="1006">
        <f t="shared" si="10"/>
        <v>3045</v>
      </c>
      <c r="F1479" s="1006">
        <f t="shared" si="10"/>
        <v>3045</v>
      </c>
      <c r="G1479" s="608" t="s">
        <v>51</v>
      </c>
      <c r="H1479" s="160" t="s">
        <v>645</v>
      </c>
      <c r="I1479" s="37" t="s">
        <v>2526</v>
      </c>
      <c r="J1479" s="37" t="s">
        <v>2525</v>
      </c>
      <c r="K1479" s="5"/>
      <c r="L1479" s="607" t="s">
        <v>653</v>
      </c>
      <c r="M1479" s="611">
        <v>43086</v>
      </c>
      <c r="N1479" s="611">
        <v>43100</v>
      </c>
      <c r="O1479" s="61" t="s">
        <v>3291</v>
      </c>
      <c r="P1479" s="52"/>
      <c r="Q1479" s="61" t="s">
        <v>2466</v>
      </c>
      <c r="R1479" s="610"/>
      <c r="S1479" s="315" t="s">
        <v>3290</v>
      </c>
      <c r="T1479" s="858"/>
    </row>
    <row r="1480" spans="1:20" ht="20.100000000000001" customHeight="1">
      <c r="A1480" s="1256" t="s">
        <v>2971</v>
      </c>
      <c r="B1480" s="1138" t="s">
        <v>2527</v>
      </c>
      <c r="C1480" s="1138" t="s">
        <v>2714</v>
      </c>
      <c r="D1480" s="1006">
        <f>D4+1001</f>
        <v>2176</v>
      </c>
      <c r="E1480" s="1006">
        <f>E4+1001</f>
        <v>2251</v>
      </c>
      <c r="F1480" s="1006">
        <f>F4+1001</f>
        <v>2251</v>
      </c>
      <c r="G1480" s="609" t="s">
        <v>1689</v>
      </c>
      <c r="H1480" s="160" t="s">
        <v>645</v>
      </c>
      <c r="I1480" s="37" t="s">
        <v>2127</v>
      </c>
      <c r="J1480" s="37" t="s">
        <v>2525</v>
      </c>
      <c r="K1480" s="5">
        <v>20</v>
      </c>
      <c r="L1480" s="607" t="s">
        <v>653</v>
      </c>
      <c r="M1480" s="156">
        <v>43076</v>
      </c>
      <c r="N1480" s="156">
        <v>43083</v>
      </c>
      <c r="O1480" s="153" t="s">
        <v>2529</v>
      </c>
      <c r="P1480" s="61"/>
      <c r="Q1480" s="61" t="s">
        <v>2125</v>
      </c>
      <c r="R1480" s="606" t="s">
        <v>2530</v>
      </c>
      <c r="S1480" s="316" t="s">
        <v>2943</v>
      </c>
      <c r="T1480" s="858"/>
    </row>
    <row r="1481" spans="1:20" ht="20.100000000000001" customHeight="1">
      <c r="A1481" s="1256" t="s">
        <v>2971</v>
      </c>
      <c r="B1481" s="1138" t="s">
        <v>2527</v>
      </c>
      <c r="C1481" s="1138" t="s">
        <v>2714</v>
      </c>
      <c r="D1481" s="1006">
        <f>D46+1076</f>
        <v>2251</v>
      </c>
      <c r="E1481" s="1006">
        <f>E46+1076</f>
        <v>2326</v>
      </c>
      <c r="F1481" s="1006">
        <f>F46+1076</f>
        <v>2326</v>
      </c>
      <c r="G1481" s="609" t="s">
        <v>1689</v>
      </c>
      <c r="H1481" s="160" t="s">
        <v>1311</v>
      </c>
      <c r="I1481" s="37" t="s">
        <v>2526</v>
      </c>
      <c r="J1481" s="37" t="s">
        <v>2525</v>
      </c>
      <c r="K1481" s="5">
        <v>30</v>
      </c>
      <c r="L1481" s="607" t="s">
        <v>653</v>
      </c>
      <c r="M1481" s="156">
        <v>43076</v>
      </c>
      <c r="N1481" s="156">
        <v>43083</v>
      </c>
      <c r="O1481" s="153" t="s">
        <v>2529</v>
      </c>
      <c r="P1481" s="61"/>
      <c r="Q1481" s="61" t="s">
        <v>2125</v>
      </c>
      <c r="R1481" s="606" t="s">
        <v>2528</v>
      </c>
      <c r="S1481" s="316" t="s">
        <v>2943</v>
      </c>
      <c r="T1481" s="858"/>
    </row>
    <row r="1482" spans="1:20" ht="20.100000000000001" customHeight="1">
      <c r="A1482" s="1256" t="s">
        <v>2971</v>
      </c>
      <c r="B1482" s="1138" t="s">
        <v>2527</v>
      </c>
      <c r="C1482" s="1138" t="s">
        <v>2713</v>
      </c>
      <c r="D1482" s="1006">
        <f>D4+1001</f>
        <v>2176</v>
      </c>
      <c r="E1482" s="1006">
        <f>E4+1001</f>
        <v>2251</v>
      </c>
      <c r="F1482" s="1006">
        <f>F4+1001</f>
        <v>2251</v>
      </c>
      <c r="G1482" s="609" t="s">
        <v>1689</v>
      </c>
      <c r="H1482" s="160" t="s">
        <v>645</v>
      </c>
      <c r="I1482" s="37" t="s">
        <v>2127</v>
      </c>
      <c r="J1482" s="37" t="s">
        <v>2525</v>
      </c>
      <c r="K1482" s="5">
        <v>20</v>
      </c>
      <c r="L1482" s="607" t="s">
        <v>653</v>
      </c>
      <c r="M1482" s="156">
        <v>43076</v>
      </c>
      <c r="N1482" s="156">
        <v>43083</v>
      </c>
      <c r="O1482" s="153" t="s">
        <v>2529</v>
      </c>
      <c r="P1482" s="61"/>
      <c r="Q1482" s="61" t="s">
        <v>2125</v>
      </c>
      <c r="R1482" s="606" t="s">
        <v>2530</v>
      </c>
      <c r="S1482" s="316" t="s">
        <v>2943</v>
      </c>
      <c r="T1482" s="858"/>
    </row>
    <row r="1483" spans="1:20" ht="20.100000000000001" customHeight="1">
      <c r="A1483" s="1256" t="s">
        <v>2971</v>
      </c>
      <c r="B1483" s="1138" t="s">
        <v>2527</v>
      </c>
      <c r="C1483" s="1138" t="s">
        <v>2713</v>
      </c>
      <c r="D1483" s="1006">
        <f>D46+1076</f>
        <v>2251</v>
      </c>
      <c r="E1483" s="1006">
        <f>E46+1076</f>
        <v>2326</v>
      </c>
      <c r="F1483" s="1006">
        <f>F46+1076</f>
        <v>2326</v>
      </c>
      <c r="G1483" s="609" t="s">
        <v>1689</v>
      </c>
      <c r="H1483" s="160" t="s">
        <v>1311</v>
      </c>
      <c r="I1483" s="37" t="s">
        <v>2526</v>
      </c>
      <c r="J1483" s="37" t="s">
        <v>2525</v>
      </c>
      <c r="K1483" s="5">
        <v>30</v>
      </c>
      <c r="L1483" s="607" t="s">
        <v>653</v>
      </c>
      <c r="M1483" s="156">
        <v>43076</v>
      </c>
      <c r="N1483" s="156">
        <v>43083</v>
      </c>
      <c r="O1483" s="153" t="s">
        <v>2529</v>
      </c>
      <c r="P1483" s="61"/>
      <c r="Q1483" s="61" t="s">
        <v>2125</v>
      </c>
      <c r="R1483" s="606" t="s">
        <v>2528</v>
      </c>
      <c r="S1483" s="316" t="s">
        <v>2943</v>
      </c>
      <c r="T1483" s="858"/>
    </row>
    <row r="1484" spans="1:20" ht="20.100000000000001" customHeight="1">
      <c r="A1484" s="925" t="s">
        <v>2971</v>
      </c>
      <c r="B1484" s="899" t="s">
        <v>2527</v>
      </c>
      <c r="C1484" s="899" t="s">
        <v>2712</v>
      </c>
      <c r="D1484" s="1006">
        <f>D41+1410+50</f>
        <v>3010</v>
      </c>
      <c r="E1484" s="1006">
        <f>E41+1410+100</f>
        <v>3310</v>
      </c>
      <c r="F1484" s="1006">
        <f>F41+1410+100</f>
        <v>3310</v>
      </c>
      <c r="G1484" s="608" t="s">
        <v>94</v>
      </c>
      <c r="H1484" s="168" t="s">
        <v>1102</v>
      </c>
      <c r="I1484" s="37" t="s">
        <v>2526</v>
      </c>
      <c r="J1484" s="37" t="s">
        <v>2525</v>
      </c>
      <c r="K1484" s="16">
        <v>26</v>
      </c>
      <c r="L1484" s="607" t="s">
        <v>653</v>
      </c>
      <c r="M1484" s="108">
        <v>43087</v>
      </c>
      <c r="N1484" s="108">
        <v>43094</v>
      </c>
      <c r="O1484" s="61" t="s">
        <v>2444</v>
      </c>
      <c r="P1484" s="7"/>
      <c r="Q1484" s="7"/>
      <c r="R1484" s="606" t="s">
        <v>2524</v>
      </c>
      <c r="S1484" s="322" t="s">
        <v>1176</v>
      </c>
      <c r="T1484" s="858"/>
    </row>
    <row r="1485" spans="1:20" ht="20.100000000000001" customHeight="1">
      <c r="A1485" s="925" t="s">
        <v>2971</v>
      </c>
      <c r="B1485" s="899" t="s">
        <v>2527</v>
      </c>
      <c r="C1485" s="899" t="s">
        <v>2821</v>
      </c>
      <c r="D1485" s="1006">
        <f>D46+970</f>
        <v>2145</v>
      </c>
      <c r="E1485" s="1006">
        <f>E46+970</f>
        <v>2220</v>
      </c>
      <c r="F1485" s="1006">
        <f>F46+970</f>
        <v>2220</v>
      </c>
      <c r="G1485" s="609" t="s">
        <v>1689</v>
      </c>
      <c r="H1485" s="160" t="s">
        <v>1311</v>
      </c>
      <c r="I1485" s="37" t="s">
        <v>2526</v>
      </c>
      <c r="J1485" s="37" t="s">
        <v>2525</v>
      </c>
      <c r="K1485" s="5">
        <v>30</v>
      </c>
      <c r="L1485" s="607" t="s">
        <v>653</v>
      </c>
      <c r="M1485" s="156">
        <v>43076</v>
      </c>
      <c r="N1485" s="156">
        <v>43083</v>
      </c>
      <c r="O1485" s="153" t="s">
        <v>2529</v>
      </c>
      <c r="P1485" s="61"/>
      <c r="Q1485" s="61" t="s">
        <v>2125</v>
      </c>
      <c r="R1485" s="606" t="s">
        <v>2528</v>
      </c>
      <c r="S1485" s="316" t="s">
        <v>2943</v>
      </c>
      <c r="T1485" s="858"/>
    </row>
    <row r="1486" spans="1:20" ht="20.100000000000001" customHeight="1">
      <c r="A1486" s="925" t="s">
        <v>2971</v>
      </c>
      <c r="B1486" s="899" t="s">
        <v>2527</v>
      </c>
      <c r="C1486" s="899" t="s">
        <v>2711</v>
      </c>
      <c r="D1486" s="1006">
        <f>D18+805+50</f>
        <v>2405</v>
      </c>
      <c r="E1486" s="1006">
        <f>E18+955+100</f>
        <v>2855</v>
      </c>
      <c r="F1486" s="1006">
        <f>F18+955+100</f>
        <v>2855</v>
      </c>
      <c r="G1486" s="608" t="s">
        <v>94</v>
      </c>
      <c r="H1486" s="56" t="s">
        <v>657</v>
      </c>
      <c r="I1486" s="5" t="s">
        <v>2127</v>
      </c>
      <c r="J1486" s="37" t="s">
        <v>1211</v>
      </c>
      <c r="K1486" s="5">
        <v>26</v>
      </c>
      <c r="L1486" s="607" t="s">
        <v>653</v>
      </c>
      <c r="M1486" s="108">
        <v>43087</v>
      </c>
      <c r="N1486" s="108">
        <v>43094</v>
      </c>
      <c r="O1486" s="61" t="s">
        <v>2444</v>
      </c>
      <c r="P1486" s="7"/>
      <c r="Q1486" s="7"/>
      <c r="R1486" s="606" t="s">
        <v>2126</v>
      </c>
      <c r="S1486" s="322" t="s">
        <v>1176</v>
      </c>
      <c r="T1486" s="858"/>
    </row>
    <row r="1487" spans="1:20" ht="20.100000000000001" customHeight="1">
      <c r="A1487" s="925" t="s">
        <v>2971</v>
      </c>
      <c r="B1487" s="899" t="s">
        <v>2527</v>
      </c>
      <c r="C1487" s="899" t="s">
        <v>2710</v>
      </c>
      <c r="D1487" s="1006">
        <f>D63+3322</f>
        <v>4597</v>
      </c>
      <c r="E1487" s="1006">
        <f>E63+3322</f>
        <v>3322</v>
      </c>
      <c r="F1487" s="1006">
        <f>F63+3322</f>
        <v>4772</v>
      </c>
      <c r="G1487" s="609" t="s">
        <v>1689</v>
      </c>
      <c r="H1487" s="160" t="s">
        <v>1539</v>
      </c>
      <c r="I1487" s="5" t="s">
        <v>2540</v>
      </c>
      <c r="J1487" s="37" t="s">
        <v>2525</v>
      </c>
      <c r="K1487" s="5" t="s">
        <v>728</v>
      </c>
      <c r="L1487" s="607"/>
      <c r="M1487" s="156">
        <v>43076</v>
      </c>
      <c r="N1487" s="156">
        <v>43083</v>
      </c>
      <c r="O1487" s="153" t="s">
        <v>2529</v>
      </c>
      <c r="P1487" s="7"/>
      <c r="Q1487" s="61" t="s">
        <v>2541</v>
      </c>
      <c r="R1487" s="606" t="s">
        <v>1965</v>
      </c>
      <c r="S1487" s="316" t="s">
        <v>2943</v>
      </c>
      <c r="T1487" s="858"/>
    </row>
    <row r="1488" spans="1:20" ht="20.100000000000001" customHeight="1">
      <c r="A1488" s="1256" t="s">
        <v>2971</v>
      </c>
      <c r="B1488" s="1138" t="s">
        <v>2527</v>
      </c>
      <c r="C1488" s="1138" t="s">
        <v>2709</v>
      </c>
      <c r="D1488" s="1006">
        <f>D4+907</f>
        <v>2082</v>
      </c>
      <c r="E1488" s="1006">
        <f>E4+907</f>
        <v>2157</v>
      </c>
      <c r="F1488" s="1006">
        <f>F4+907</f>
        <v>2157</v>
      </c>
      <c r="G1488" s="609" t="s">
        <v>1689</v>
      </c>
      <c r="H1488" s="160" t="s">
        <v>645</v>
      </c>
      <c r="I1488" s="37" t="s">
        <v>2127</v>
      </c>
      <c r="J1488" s="37" t="s">
        <v>2525</v>
      </c>
      <c r="K1488" s="5">
        <v>20</v>
      </c>
      <c r="L1488" s="607" t="s">
        <v>653</v>
      </c>
      <c r="M1488" s="156">
        <v>43076</v>
      </c>
      <c r="N1488" s="156">
        <v>43083</v>
      </c>
      <c r="O1488" s="153" t="s">
        <v>2529</v>
      </c>
      <c r="P1488" s="61"/>
      <c r="Q1488" s="61" t="s">
        <v>2125</v>
      </c>
      <c r="R1488" s="606" t="s">
        <v>2530</v>
      </c>
      <c r="S1488" s="316" t="s">
        <v>2943</v>
      </c>
      <c r="T1488" s="858"/>
    </row>
    <row r="1489" spans="1:20" ht="20.100000000000001" customHeight="1">
      <c r="A1489" s="1256" t="s">
        <v>2971</v>
      </c>
      <c r="B1489" s="1138" t="s">
        <v>2527</v>
      </c>
      <c r="C1489" s="1138" t="s">
        <v>2709</v>
      </c>
      <c r="D1489" s="1006">
        <f>D46+1430</f>
        <v>2605</v>
      </c>
      <c r="E1489" s="1006">
        <f>E46+1430</f>
        <v>2680</v>
      </c>
      <c r="F1489" s="1006">
        <f>F46+1430</f>
        <v>2680</v>
      </c>
      <c r="G1489" s="609" t="s">
        <v>1689</v>
      </c>
      <c r="H1489" s="160" t="s">
        <v>1311</v>
      </c>
      <c r="I1489" s="37" t="s">
        <v>2526</v>
      </c>
      <c r="J1489" s="37" t="s">
        <v>2525</v>
      </c>
      <c r="K1489" s="5">
        <v>30</v>
      </c>
      <c r="L1489" s="607" t="s">
        <v>653</v>
      </c>
      <c r="M1489" s="156">
        <v>43076</v>
      </c>
      <c r="N1489" s="156">
        <v>43083</v>
      </c>
      <c r="O1489" s="153" t="s">
        <v>2529</v>
      </c>
      <c r="P1489" s="61"/>
      <c r="Q1489" s="61" t="s">
        <v>2125</v>
      </c>
      <c r="R1489" s="606" t="s">
        <v>2528</v>
      </c>
      <c r="S1489" s="316" t="s">
        <v>2943</v>
      </c>
      <c r="T1489" s="858"/>
    </row>
    <row r="1490" spans="1:20" ht="20.100000000000001" customHeight="1">
      <c r="A1490" s="1256" t="s">
        <v>2971</v>
      </c>
      <c r="B1490" s="1138" t="s">
        <v>2527</v>
      </c>
      <c r="C1490" s="1138" t="s">
        <v>2709</v>
      </c>
      <c r="D1490" s="1006">
        <f>D18+1100+50</f>
        <v>2700</v>
      </c>
      <c r="E1490" s="1006">
        <f>E18+1200+100</f>
        <v>3100</v>
      </c>
      <c r="F1490" s="1006">
        <f>F18+1200+100</f>
        <v>3100</v>
      </c>
      <c r="G1490" s="608" t="s">
        <v>94</v>
      </c>
      <c r="H1490" s="56" t="s">
        <v>657</v>
      </c>
      <c r="I1490" s="5" t="s">
        <v>2127</v>
      </c>
      <c r="J1490" s="37" t="s">
        <v>1211</v>
      </c>
      <c r="K1490" s="5">
        <v>26</v>
      </c>
      <c r="L1490" s="607" t="s">
        <v>653</v>
      </c>
      <c r="M1490" s="108">
        <v>43087</v>
      </c>
      <c r="N1490" s="108">
        <v>43094</v>
      </c>
      <c r="O1490" s="61" t="s">
        <v>2444</v>
      </c>
      <c r="P1490" s="7"/>
      <c r="Q1490" s="7"/>
      <c r="R1490" s="606" t="s">
        <v>2126</v>
      </c>
      <c r="S1490" s="322" t="s">
        <v>1176</v>
      </c>
      <c r="T1490" s="858"/>
    </row>
    <row r="1491" spans="1:20" ht="20.100000000000001" customHeight="1">
      <c r="A1491" s="1256" t="s">
        <v>2971</v>
      </c>
      <c r="B1491" s="1138" t="s">
        <v>2527</v>
      </c>
      <c r="C1491" s="1138" t="s">
        <v>2708</v>
      </c>
      <c r="D1491" s="1006">
        <f>D4+1182</f>
        <v>2357</v>
      </c>
      <c r="E1491" s="1006">
        <f>E4+1182</f>
        <v>2432</v>
      </c>
      <c r="F1491" s="1006">
        <f>F4+1182</f>
        <v>2432</v>
      </c>
      <c r="G1491" s="609" t="s">
        <v>1689</v>
      </c>
      <c r="H1491" s="160" t="s">
        <v>645</v>
      </c>
      <c r="I1491" s="37" t="s">
        <v>2127</v>
      </c>
      <c r="J1491" s="37" t="s">
        <v>2525</v>
      </c>
      <c r="K1491" s="5">
        <v>20</v>
      </c>
      <c r="L1491" s="607" t="s">
        <v>653</v>
      </c>
      <c r="M1491" s="156">
        <v>43076</v>
      </c>
      <c r="N1491" s="156">
        <v>43083</v>
      </c>
      <c r="O1491" s="153" t="s">
        <v>2529</v>
      </c>
      <c r="P1491" s="61"/>
      <c r="Q1491" s="61" t="s">
        <v>2125</v>
      </c>
      <c r="R1491" s="606" t="s">
        <v>2530</v>
      </c>
      <c r="S1491" s="316" t="s">
        <v>2943</v>
      </c>
      <c r="T1491" s="858"/>
    </row>
    <row r="1492" spans="1:20" ht="20.100000000000001" customHeight="1">
      <c r="A1492" s="1256" t="s">
        <v>2971</v>
      </c>
      <c r="B1492" s="1138" t="s">
        <v>2527</v>
      </c>
      <c r="C1492" s="1138" t="s">
        <v>2708</v>
      </c>
      <c r="D1492" s="1006">
        <f>D46+1147</f>
        <v>2322</v>
      </c>
      <c r="E1492" s="1006">
        <f>E46+1147</f>
        <v>2397</v>
      </c>
      <c r="F1492" s="1006">
        <f>F46+1147</f>
        <v>2397</v>
      </c>
      <c r="G1492" s="609" t="s">
        <v>1689</v>
      </c>
      <c r="H1492" s="160" t="s">
        <v>1311</v>
      </c>
      <c r="I1492" s="37" t="s">
        <v>2526</v>
      </c>
      <c r="J1492" s="37" t="s">
        <v>2525</v>
      </c>
      <c r="K1492" s="5">
        <v>30</v>
      </c>
      <c r="L1492" s="607" t="s">
        <v>653</v>
      </c>
      <c r="M1492" s="156">
        <v>43076</v>
      </c>
      <c r="N1492" s="156">
        <v>43083</v>
      </c>
      <c r="O1492" s="153" t="s">
        <v>2529</v>
      </c>
      <c r="P1492" s="61"/>
      <c r="Q1492" s="61" t="s">
        <v>2125</v>
      </c>
      <c r="R1492" s="606" t="s">
        <v>2528</v>
      </c>
      <c r="S1492" s="316" t="s">
        <v>2943</v>
      </c>
      <c r="T1492" s="858"/>
    </row>
    <row r="1493" spans="1:20" ht="20.100000000000001" customHeight="1">
      <c r="A1493" s="1256" t="s">
        <v>2971</v>
      </c>
      <c r="B1493" s="1138" t="s">
        <v>2527</v>
      </c>
      <c r="C1493" s="1138" t="s">
        <v>2707</v>
      </c>
      <c r="D1493" s="1006"/>
      <c r="E1493" s="1006"/>
      <c r="F1493" s="1006"/>
      <c r="G1493" s="615" t="s">
        <v>51</v>
      </c>
      <c r="H1493" s="160" t="s">
        <v>2532</v>
      </c>
      <c r="I1493" s="37" t="s">
        <v>2127</v>
      </c>
      <c r="J1493" s="37" t="s">
        <v>2539</v>
      </c>
      <c r="K1493" s="5"/>
      <c r="L1493" s="607" t="s">
        <v>653</v>
      </c>
      <c r="M1493" s="611">
        <v>43086</v>
      </c>
      <c r="N1493" s="611">
        <v>43100</v>
      </c>
      <c r="O1493" s="61" t="s">
        <v>3291</v>
      </c>
      <c r="P1493" s="52"/>
      <c r="Q1493" s="61" t="s">
        <v>3382</v>
      </c>
      <c r="R1493" s="610"/>
      <c r="S1493" s="315" t="s">
        <v>3290</v>
      </c>
      <c r="T1493" s="858"/>
    </row>
    <row r="1494" spans="1:20" ht="20.100000000000001" customHeight="1">
      <c r="A1494" s="1256" t="s">
        <v>2971</v>
      </c>
      <c r="B1494" s="1138" t="s">
        <v>2527</v>
      </c>
      <c r="C1494" s="1138" t="s">
        <v>2707</v>
      </c>
      <c r="D1494" s="1006">
        <f>D4+916</f>
        <v>2091</v>
      </c>
      <c r="E1494" s="1006">
        <f>E4+970</f>
        <v>2220</v>
      </c>
      <c r="F1494" s="1006">
        <f>F4+970</f>
        <v>2220</v>
      </c>
      <c r="G1494" s="609" t="s">
        <v>1689</v>
      </c>
      <c r="H1494" s="160" t="s">
        <v>645</v>
      </c>
      <c r="I1494" s="37" t="s">
        <v>2127</v>
      </c>
      <c r="J1494" s="37" t="s">
        <v>1211</v>
      </c>
      <c r="K1494" s="5">
        <v>20</v>
      </c>
      <c r="L1494" s="607" t="s">
        <v>653</v>
      </c>
      <c r="M1494" s="156">
        <v>43076</v>
      </c>
      <c r="N1494" s="156">
        <v>43083</v>
      </c>
      <c r="O1494" s="153" t="s">
        <v>2529</v>
      </c>
      <c r="P1494" s="61"/>
      <c r="Q1494" s="61" t="s">
        <v>2133</v>
      </c>
      <c r="R1494" s="606" t="s">
        <v>2530</v>
      </c>
      <c r="S1494" s="316" t="s">
        <v>2943</v>
      </c>
      <c r="T1494" s="858"/>
    </row>
    <row r="1495" spans="1:20" ht="20.100000000000001" customHeight="1">
      <c r="A1495" s="1256" t="s">
        <v>2971</v>
      </c>
      <c r="B1495" s="1138" t="s">
        <v>2527</v>
      </c>
      <c r="C1495" s="1138" t="s">
        <v>2707</v>
      </c>
      <c r="D1495" s="1006">
        <f>D46+1083</f>
        <v>2258</v>
      </c>
      <c r="E1495" s="1006">
        <f>E46+1124</f>
        <v>2374</v>
      </c>
      <c r="F1495" s="1006">
        <f>F46+1124</f>
        <v>2374</v>
      </c>
      <c r="G1495" s="609" t="s">
        <v>1689</v>
      </c>
      <c r="H1495" s="160" t="s">
        <v>1311</v>
      </c>
      <c r="I1495" s="37" t="s">
        <v>2526</v>
      </c>
      <c r="J1495" s="37" t="s">
        <v>1211</v>
      </c>
      <c r="K1495" s="5">
        <v>30</v>
      </c>
      <c r="L1495" s="607" t="s">
        <v>653</v>
      </c>
      <c r="M1495" s="156">
        <v>43076</v>
      </c>
      <c r="N1495" s="156">
        <v>43083</v>
      </c>
      <c r="O1495" s="153" t="s">
        <v>2529</v>
      </c>
      <c r="P1495" s="61"/>
      <c r="Q1495" s="61" t="s">
        <v>2128</v>
      </c>
      <c r="R1495" s="606" t="s">
        <v>2528</v>
      </c>
      <c r="S1495" s="316" t="s">
        <v>2943</v>
      </c>
      <c r="T1495" s="858"/>
    </row>
    <row r="1496" spans="1:20" ht="20.100000000000001" customHeight="1">
      <c r="A1496" s="1256" t="s">
        <v>2971</v>
      </c>
      <c r="B1496" s="1138" t="s">
        <v>2527</v>
      </c>
      <c r="C1496" s="1138" t="s">
        <v>2707</v>
      </c>
      <c r="D1496" s="1006"/>
      <c r="E1496" s="1006"/>
      <c r="F1496" s="1006"/>
      <c r="G1496" s="615" t="s">
        <v>51</v>
      </c>
      <c r="H1496" s="160" t="s">
        <v>2532</v>
      </c>
      <c r="I1496" s="37" t="s">
        <v>2127</v>
      </c>
      <c r="J1496" s="37" t="s">
        <v>1211</v>
      </c>
      <c r="K1496" s="5"/>
      <c r="L1496" s="607" t="s">
        <v>653</v>
      </c>
      <c r="M1496" s="611">
        <v>43086</v>
      </c>
      <c r="N1496" s="611">
        <v>43100</v>
      </c>
      <c r="O1496" s="61" t="s">
        <v>3291</v>
      </c>
      <c r="P1496" s="52"/>
      <c r="Q1496" s="61" t="s">
        <v>3383</v>
      </c>
      <c r="R1496" s="610"/>
      <c r="S1496" s="315" t="s">
        <v>3290</v>
      </c>
      <c r="T1496" s="858"/>
    </row>
    <row r="1497" spans="1:20" ht="20.100000000000001" customHeight="1">
      <c r="A1497" s="1256" t="s">
        <v>2971</v>
      </c>
      <c r="B1497" s="1138" t="s">
        <v>2527</v>
      </c>
      <c r="C1497" s="1138" t="s">
        <v>2707</v>
      </c>
      <c r="D1497" s="1006">
        <f>D41+1370+50</f>
        <v>2970</v>
      </c>
      <c r="E1497" s="1006">
        <f>E41+1450+100</f>
        <v>3350</v>
      </c>
      <c r="F1497" s="1006">
        <f>F41+1450+100</f>
        <v>3350</v>
      </c>
      <c r="G1497" s="608" t="s">
        <v>94</v>
      </c>
      <c r="H1497" s="168" t="s">
        <v>1102</v>
      </c>
      <c r="I1497" s="5" t="s">
        <v>2526</v>
      </c>
      <c r="J1497" s="37" t="s">
        <v>1211</v>
      </c>
      <c r="K1497" s="16">
        <v>26</v>
      </c>
      <c r="L1497" s="607" t="s">
        <v>653</v>
      </c>
      <c r="M1497" s="108">
        <v>43087</v>
      </c>
      <c r="N1497" s="108">
        <v>43094</v>
      </c>
      <c r="O1497" s="61" t="s">
        <v>2444</v>
      </c>
      <c r="P1497" s="7"/>
      <c r="Q1497" s="7"/>
      <c r="R1497" s="606" t="s">
        <v>2524</v>
      </c>
      <c r="S1497" s="322" t="s">
        <v>1176</v>
      </c>
      <c r="T1497" s="858"/>
    </row>
    <row r="1498" spans="1:20" ht="20.100000000000001" customHeight="1">
      <c r="A1498" s="1256" t="s">
        <v>2971</v>
      </c>
      <c r="B1498" s="1138" t="s">
        <v>2527</v>
      </c>
      <c r="C1498" s="1138" t="s">
        <v>2707</v>
      </c>
      <c r="D1498" s="1006">
        <f>D18+850+50</f>
        <v>2450</v>
      </c>
      <c r="E1498" s="1006">
        <f>E18+950+100</f>
        <v>2850</v>
      </c>
      <c r="F1498" s="1006">
        <f>F18+950+100</f>
        <v>2850</v>
      </c>
      <c r="G1498" s="608" t="s">
        <v>94</v>
      </c>
      <c r="H1498" s="56" t="s">
        <v>657</v>
      </c>
      <c r="I1498" s="5" t="s">
        <v>2127</v>
      </c>
      <c r="J1498" s="37" t="s">
        <v>1211</v>
      </c>
      <c r="K1498" s="34">
        <v>25</v>
      </c>
      <c r="L1498" s="607" t="s">
        <v>653</v>
      </c>
      <c r="M1498" s="108">
        <v>43087</v>
      </c>
      <c r="N1498" s="108">
        <v>43094</v>
      </c>
      <c r="O1498" s="61" t="s">
        <v>2444</v>
      </c>
      <c r="P1498" s="7"/>
      <c r="Q1498" s="7"/>
      <c r="R1498" s="606" t="s">
        <v>2126</v>
      </c>
      <c r="S1498" s="322" t="s">
        <v>1176</v>
      </c>
      <c r="T1498" s="858"/>
    </row>
    <row r="1499" spans="1:20" ht="20.100000000000001" customHeight="1">
      <c r="A1499" s="1256" t="s">
        <v>2971</v>
      </c>
      <c r="B1499" s="1138" t="s">
        <v>2527</v>
      </c>
      <c r="C1499" s="1138" t="s">
        <v>2707</v>
      </c>
      <c r="D1499" s="1006">
        <f>D135+1100</f>
        <v>2700</v>
      </c>
      <c r="E1499" s="1006">
        <f>E135+1100</f>
        <v>3100</v>
      </c>
      <c r="F1499" s="1006">
        <f>F135+1100</f>
        <v>3100</v>
      </c>
      <c r="G1499" s="618" t="s">
        <v>33</v>
      </c>
      <c r="H1499" s="56" t="s">
        <v>2535</v>
      </c>
      <c r="I1499" s="37" t="s">
        <v>2127</v>
      </c>
      <c r="J1499" s="37" t="s">
        <v>1211</v>
      </c>
      <c r="K1499" s="16">
        <v>20</v>
      </c>
      <c r="L1499" s="607" t="s">
        <v>653</v>
      </c>
      <c r="M1499" s="159">
        <v>43080</v>
      </c>
      <c r="N1499" s="159">
        <v>43086</v>
      </c>
      <c r="O1499" s="153" t="s">
        <v>2445</v>
      </c>
      <c r="P1499" s="61"/>
      <c r="Q1499" s="7"/>
      <c r="R1499" s="606" t="s">
        <v>2542</v>
      </c>
      <c r="S1499" s="316" t="s">
        <v>3333</v>
      </c>
      <c r="T1499" s="858"/>
    </row>
    <row r="1500" spans="1:20" ht="20.100000000000001" customHeight="1">
      <c r="A1500" s="1256" t="s">
        <v>2971</v>
      </c>
      <c r="B1500" s="1138" t="s">
        <v>2527</v>
      </c>
      <c r="C1500" s="1138" t="s">
        <v>2707</v>
      </c>
      <c r="D1500" s="1006">
        <f>D136+1500</f>
        <v>3100</v>
      </c>
      <c r="E1500" s="1006">
        <f>E136+1500</f>
        <v>3500</v>
      </c>
      <c r="F1500" s="1006">
        <f>F136+1500</f>
        <v>3500</v>
      </c>
      <c r="G1500" s="618" t="s">
        <v>33</v>
      </c>
      <c r="H1500" s="56">
        <v>5</v>
      </c>
      <c r="I1500" s="37" t="s">
        <v>2526</v>
      </c>
      <c r="J1500" s="37" t="s">
        <v>2525</v>
      </c>
      <c r="K1500" s="5" t="s">
        <v>830</v>
      </c>
      <c r="L1500" s="607" t="s">
        <v>653</v>
      </c>
      <c r="M1500" s="159">
        <v>43080</v>
      </c>
      <c r="N1500" s="159">
        <v>43086</v>
      </c>
      <c r="O1500" s="153" t="s">
        <v>2445</v>
      </c>
      <c r="P1500" s="61"/>
      <c r="Q1500" s="7"/>
      <c r="R1500" s="606" t="s">
        <v>2538</v>
      </c>
      <c r="S1500" s="316" t="s">
        <v>3333</v>
      </c>
      <c r="T1500" s="858"/>
    </row>
    <row r="1501" spans="1:20" ht="20.100000000000001" customHeight="1">
      <c r="A1501" s="1256" t="s">
        <v>2971</v>
      </c>
      <c r="B1501" s="1138" t="s">
        <v>2527</v>
      </c>
      <c r="C1501" s="1138" t="s">
        <v>2707</v>
      </c>
      <c r="D1501" s="1006">
        <f>D30+1200</f>
        <v>2750</v>
      </c>
      <c r="E1501" s="1006">
        <f>E30+1190</f>
        <v>2990</v>
      </c>
      <c r="F1501" s="1006">
        <f>F30+1190</f>
        <v>2990</v>
      </c>
      <c r="G1501" s="615" t="s">
        <v>51</v>
      </c>
      <c r="H1501" s="160" t="s">
        <v>2532</v>
      </c>
      <c r="I1501" s="37" t="s">
        <v>2127</v>
      </c>
      <c r="J1501" s="37" t="s">
        <v>2525</v>
      </c>
      <c r="K1501" s="5"/>
      <c r="L1501" s="607" t="s">
        <v>653</v>
      </c>
      <c r="M1501" s="611">
        <v>43086</v>
      </c>
      <c r="N1501" s="611">
        <v>43100</v>
      </c>
      <c r="O1501" s="61" t="s">
        <v>3291</v>
      </c>
      <c r="P1501" s="52"/>
      <c r="Q1501" s="61" t="s">
        <v>2466</v>
      </c>
      <c r="R1501" s="610"/>
      <c r="S1501" s="315" t="s">
        <v>3290</v>
      </c>
      <c r="T1501" s="858"/>
    </row>
    <row r="1502" spans="1:20" ht="20.100000000000001" customHeight="1">
      <c r="A1502" s="1256" t="s">
        <v>2971</v>
      </c>
      <c r="B1502" s="1138" t="s">
        <v>2527</v>
      </c>
      <c r="C1502" s="1138" t="s">
        <v>2707</v>
      </c>
      <c r="D1502" s="1006">
        <f>D4+1143</f>
        <v>2318</v>
      </c>
      <c r="E1502" s="1006">
        <f>E4+1143</f>
        <v>2393</v>
      </c>
      <c r="F1502" s="1006">
        <f>F4+1143</f>
        <v>2393</v>
      </c>
      <c r="G1502" s="609" t="s">
        <v>1689</v>
      </c>
      <c r="H1502" s="160" t="s">
        <v>645</v>
      </c>
      <c r="I1502" s="37" t="s">
        <v>2127</v>
      </c>
      <c r="J1502" s="37" t="s">
        <v>2525</v>
      </c>
      <c r="K1502" s="5">
        <v>20</v>
      </c>
      <c r="L1502" s="607" t="s">
        <v>653</v>
      </c>
      <c r="M1502" s="156">
        <v>43076</v>
      </c>
      <c r="N1502" s="156">
        <v>43083</v>
      </c>
      <c r="O1502" s="153" t="s">
        <v>2529</v>
      </c>
      <c r="P1502" s="61"/>
      <c r="Q1502" s="61" t="s">
        <v>2125</v>
      </c>
      <c r="R1502" s="606" t="s">
        <v>2530</v>
      </c>
      <c r="S1502" s="316" t="s">
        <v>2943</v>
      </c>
      <c r="T1502" s="858"/>
    </row>
    <row r="1503" spans="1:20" ht="20.100000000000001" customHeight="1">
      <c r="A1503" s="1256" t="s">
        <v>2971</v>
      </c>
      <c r="B1503" s="1138" t="s">
        <v>2527</v>
      </c>
      <c r="C1503" s="1138" t="s">
        <v>2707</v>
      </c>
      <c r="D1503" s="1006">
        <f>D46+1233</f>
        <v>2408</v>
      </c>
      <c r="E1503" s="1006">
        <f>E46+1233</f>
        <v>2483</v>
      </c>
      <c r="F1503" s="1006">
        <f>F46+1233</f>
        <v>2483</v>
      </c>
      <c r="G1503" s="609" t="s">
        <v>1689</v>
      </c>
      <c r="H1503" s="160" t="s">
        <v>1311</v>
      </c>
      <c r="I1503" s="37" t="s">
        <v>2526</v>
      </c>
      <c r="J1503" s="37" t="s">
        <v>2525</v>
      </c>
      <c r="K1503" s="5">
        <v>30</v>
      </c>
      <c r="L1503" s="607" t="s">
        <v>653</v>
      </c>
      <c r="M1503" s="156">
        <v>43076</v>
      </c>
      <c r="N1503" s="156">
        <v>43083</v>
      </c>
      <c r="O1503" s="153" t="s">
        <v>2529</v>
      </c>
      <c r="P1503" s="61"/>
      <c r="Q1503" s="61" t="s">
        <v>2125</v>
      </c>
      <c r="R1503" s="606" t="s">
        <v>2528</v>
      </c>
      <c r="S1503" s="316" t="s">
        <v>2943</v>
      </c>
      <c r="T1503" s="858"/>
    </row>
    <row r="1504" spans="1:20" ht="20.100000000000001" customHeight="1">
      <c r="A1504" s="1256" t="s">
        <v>2971</v>
      </c>
      <c r="B1504" s="1138" t="s">
        <v>2527</v>
      </c>
      <c r="C1504" s="1138" t="s">
        <v>2707</v>
      </c>
      <c r="D1504" s="1006">
        <f>D18+1200+50</f>
        <v>2800</v>
      </c>
      <c r="E1504" s="1006">
        <f>E18+1200+100</f>
        <v>3100</v>
      </c>
      <c r="F1504" s="1006">
        <f>F18+1200+100</f>
        <v>3100</v>
      </c>
      <c r="G1504" s="608" t="s">
        <v>94</v>
      </c>
      <c r="H1504" s="56" t="s">
        <v>657</v>
      </c>
      <c r="I1504" s="5" t="s">
        <v>2127</v>
      </c>
      <c r="J1504" s="37" t="s">
        <v>2525</v>
      </c>
      <c r="K1504" s="16">
        <v>21</v>
      </c>
      <c r="L1504" s="607" t="s">
        <v>653</v>
      </c>
      <c r="M1504" s="108">
        <v>43087</v>
      </c>
      <c r="N1504" s="108">
        <v>43094</v>
      </c>
      <c r="O1504" s="61" t="s">
        <v>2444</v>
      </c>
      <c r="P1504" s="7"/>
      <c r="Q1504" s="7"/>
      <c r="R1504" s="606" t="s">
        <v>2126</v>
      </c>
      <c r="S1504" s="322" t="s">
        <v>1176</v>
      </c>
      <c r="T1504" s="858"/>
    </row>
    <row r="1505" spans="1:20" ht="20.100000000000001" customHeight="1">
      <c r="A1505" s="1256" t="s">
        <v>2971</v>
      </c>
      <c r="B1505" s="1138" t="s">
        <v>2527</v>
      </c>
      <c r="C1505" s="1138" t="s">
        <v>2707</v>
      </c>
      <c r="D1505" s="1006">
        <f>D41+1204+50</f>
        <v>2804</v>
      </c>
      <c r="E1505" s="1006">
        <f>E41+1204+100</f>
        <v>3104</v>
      </c>
      <c r="F1505" s="1006">
        <f>F41+1204+100</f>
        <v>3104</v>
      </c>
      <c r="G1505" s="608" t="s">
        <v>94</v>
      </c>
      <c r="H1505" s="168" t="s">
        <v>1102</v>
      </c>
      <c r="I1505" s="37" t="s">
        <v>2526</v>
      </c>
      <c r="J1505" s="37" t="s">
        <v>2525</v>
      </c>
      <c r="K1505" s="16">
        <v>26</v>
      </c>
      <c r="L1505" s="607" t="s">
        <v>653</v>
      </c>
      <c r="M1505" s="108">
        <v>43087</v>
      </c>
      <c r="N1505" s="108">
        <v>43094</v>
      </c>
      <c r="O1505" s="61" t="s">
        <v>2444</v>
      </c>
      <c r="P1505" s="7"/>
      <c r="Q1505" s="7"/>
      <c r="R1505" s="606" t="s">
        <v>2524</v>
      </c>
      <c r="S1505" s="322" t="s">
        <v>1176</v>
      </c>
      <c r="T1505" s="858"/>
    </row>
    <row r="1506" spans="1:20" ht="20.100000000000001" customHeight="1">
      <c r="A1506" s="1256" t="s">
        <v>2971</v>
      </c>
      <c r="B1506" s="1138" t="s">
        <v>2527</v>
      </c>
      <c r="C1506" s="1138" t="s">
        <v>2706</v>
      </c>
      <c r="D1506" s="1006">
        <f>D136+800</f>
        <v>2400</v>
      </c>
      <c r="E1506" s="1006">
        <f>E136+900</f>
        <v>2900</v>
      </c>
      <c r="F1506" s="1006">
        <f>F136+900</f>
        <v>2900</v>
      </c>
      <c r="G1506" s="613" t="s">
        <v>33</v>
      </c>
      <c r="H1506" s="56">
        <v>5</v>
      </c>
      <c r="I1506" s="37" t="s">
        <v>2526</v>
      </c>
      <c r="J1506" s="37" t="s">
        <v>1211</v>
      </c>
      <c r="K1506" s="5" t="s">
        <v>830</v>
      </c>
      <c r="L1506" s="607" t="s">
        <v>653</v>
      </c>
      <c r="M1506" s="159">
        <v>43080</v>
      </c>
      <c r="N1506" s="159">
        <v>43086</v>
      </c>
      <c r="O1506" s="153" t="s">
        <v>2445</v>
      </c>
      <c r="P1506" s="61"/>
      <c r="Q1506" s="7"/>
      <c r="R1506" s="606" t="s">
        <v>2538</v>
      </c>
      <c r="S1506" s="316" t="s">
        <v>3333</v>
      </c>
      <c r="T1506" s="858"/>
    </row>
    <row r="1507" spans="1:20" ht="20.100000000000001" customHeight="1">
      <c r="A1507" s="1256" t="s">
        <v>2971</v>
      </c>
      <c r="B1507" s="1138" t="s">
        <v>2527</v>
      </c>
      <c r="C1507" s="1138" t="s">
        <v>2706</v>
      </c>
      <c r="D1507" s="1006">
        <f>D135+850</f>
        <v>2450</v>
      </c>
      <c r="E1507" s="1006">
        <f>E135+1000</f>
        <v>3000</v>
      </c>
      <c r="F1507" s="1006">
        <f>F135+1000</f>
        <v>3000</v>
      </c>
      <c r="G1507" s="613" t="s">
        <v>33</v>
      </c>
      <c r="H1507" s="56" t="s">
        <v>2535</v>
      </c>
      <c r="I1507" s="37" t="s">
        <v>2127</v>
      </c>
      <c r="J1507" s="37" t="s">
        <v>1211</v>
      </c>
      <c r="K1507" s="16">
        <v>20</v>
      </c>
      <c r="L1507" s="607" t="s">
        <v>653</v>
      </c>
      <c r="M1507" s="159">
        <v>43080</v>
      </c>
      <c r="N1507" s="159">
        <v>43086</v>
      </c>
      <c r="O1507" s="153" t="s">
        <v>2445</v>
      </c>
      <c r="P1507" s="61"/>
      <c r="Q1507" s="7"/>
      <c r="R1507" s="606" t="s">
        <v>2542</v>
      </c>
      <c r="S1507" s="316" t="s">
        <v>3333</v>
      </c>
      <c r="T1507" s="858"/>
    </row>
    <row r="1508" spans="1:20" ht="20.100000000000001" customHeight="1">
      <c r="A1508" s="1256" t="s">
        <v>2971</v>
      </c>
      <c r="B1508" s="1138" t="s">
        <v>2527</v>
      </c>
      <c r="C1508" s="1138" t="s">
        <v>2706</v>
      </c>
      <c r="D1508" s="1006">
        <f>D4+1104</f>
        <v>2279</v>
      </c>
      <c r="E1508" s="1006">
        <f>E4+1104</f>
        <v>2354</v>
      </c>
      <c r="F1508" s="1006">
        <f>F4+1104</f>
        <v>2354</v>
      </c>
      <c r="G1508" s="609" t="s">
        <v>1689</v>
      </c>
      <c r="H1508" s="160" t="s">
        <v>645</v>
      </c>
      <c r="I1508" s="37" t="s">
        <v>2127</v>
      </c>
      <c r="J1508" s="37" t="s">
        <v>2525</v>
      </c>
      <c r="K1508" s="5">
        <v>20</v>
      </c>
      <c r="L1508" s="607" t="s">
        <v>653</v>
      </c>
      <c r="M1508" s="156">
        <v>43076</v>
      </c>
      <c r="N1508" s="156">
        <v>43083</v>
      </c>
      <c r="O1508" s="153" t="s">
        <v>2529</v>
      </c>
      <c r="P1508" s="61"/>
      <c r="Q1508" s="61" t="s">
        <v>2125</v>
      </c>
      <c r="R1508" s="606" t="s">
        <v>2530</v>
      </c>
      <c r="S1508" s="316" t="s">
        <v>2943</v>
      </c>
      <c r="T1508" s="858"/>
    </row>
    <row r="1509" spans="1:20" ht="20.100000000000001" customHeight="1">
      <c r="A1509" s="1256" t="s">
        <v>2971</v>
      </c>
      <c r="B1509" s="1138" t="s">
        <v>2527</v>
      </c>
      <c r="C1509" s="1138" t="s">
        <v>2706</v>
      </c>
      <c r="D1509" s="1006">
        <f>D135+1950</f>
        <v>3550</v>
      </c>
      <c r="E1509" s="1006">
        <f>E135+1950</f>
        <v>3950</v>
      </c>
      <c r="F1509" s="1006">
        <f>F135+1950</f>
        <v>3950</v>
      </c>
      <c r="G1509" s="613" t="s">
        <v>33</v>
      </c>
      <c r="H1509" s="56" t="s">
        <v>2535</v>
      </c>
      <c r="I1509" s="37" t="s">
        <v>2127</v>
      </c>
      <c r="J1509" s="37" t="s">
        <v>2525</v>
      </c>
      <c r="K1509" s="16">
        <v>20</v>
      </c>
      <c r="L1509" s="607" t="s">
        <v>653</v>
      </c>
      <c r="M1509" s="159">
        <v>43080</v>
      </c>
      <c r="N1509" s="159">
        <v>43086</v>
      </c>
      <c r="O1509" s="153" t="s">
        <v>2445</v>
      </c>
      <c r="P1509" s="61"/>
      <c r="Q1509" s="7"/>
      <c r="R1509" s="606" t="s">
        <v>2542</v>
      </c>
      <c r="S1509" s="316" t="s">
        <v>3333</v>
      </c>
      <c r="T1509" s="858"/>
    </row>
    <row r="1510" spans="1:20" ht="20.100000000000001" customHeight="1">
      <c r="A1510" s="1256" t="s">
        <v>3340</v>
      </c>
      <c r="B1510" s="1138" t="s">
        <v>2527</v>
      </c>
      <c r="C1510" s="1138" t="s">
        <v>2705</v>
      </c>
      <c r="D1510" s="1008">
        <f>D63+4134</f>
        <v>5409</v>
      </c>
      <c r="E1510" s="1008">
        <f>E63+4134</f>
        <v>4134</v>
      </c>
      <c r="F1510" s="1008">
        <f>F63+4134</f>
        <v>5584</v>
      </c>
      <c r="G1510" s="609" t="s">
        <v>1689</v>
      </c>
      <c r="H1510" s="160" t="s">
        <v>1539</v>
      </c>
      <c r="I1510" s="5" t="s">
        <v>2540</v>
      </c>
      <c r="J1510" s="37" t="s">
        <v>2525</v>
      </c>
      <c r="K1510" s="5" t="s">
        <v>728</v>
      </c>
      <c r="L1510" s="607"/>
      <c r="M1510" s="156">
        <v>43076</v>
      </c>
      <c r="N1510" s="156">
        <v>43083</v>
      </c>
      <c r="O1510" s="153" t="s">
        <v>2529</v>
      </c>
      <c r="P1510" s="7"/>
      <c r="Q1510" s="61" t="s">
        <v>2541</v>
      </c>
      <c r="R1510" s="606" t="s">
        <v>1965</v>
      </c>
      <c r="S1510" s="316" t="s">
        <v>2943</v>
      </c>
      <c r="T1510" s="858"/>
    </row>
    <row r="1511" spans="1:20" ht="20.100000000000001" customHeight="1">
      <c r="A1511" s="1256" t="s">
        <v>3340</v>
      </c>
      <c r="B1511" s="1138" t="s">
        <v>2527</v>
      </c>
      <c r="C1511" s="1138" t="s">
        <v>2705</v>
      </c>
      <c r="D1511" s="1008">
        <f>D59+4257</f>
        <v>5907</v>
      </c>
      <c r="E1511" s="1008">
        <f>E59+4257</f>
        <v>6257</v>
      </c>
      <c r="F1511" s="1008">
        <f>F59+4257</f>
        <v>6257</v>
      </c>
      <c r="G1511" s="615" t="s">
        <v>22</v>
      </c>
      <c r="H1511" s="168" t="s">
        <v>1102</v>
      </c>
      <c r="I1511" s="37" t="s">
        <v>2540</v>
      </c>
      <c r="J1511" s="37" t="s">
        <v>2525</v>
      </c>
      <c r="K1511" s="5" t="s">
        <v>660</v>
      </c>
      <c r="L1511" s="607" t="s">
        <v>653</v>
      </c>
      <c r="M1511" s="108">
        <v>43087</v>
      </c>
      <c r="N1511" s="108">
        <v>43094</v>
      </c>
      <c r="O1511" s="61" t="s">
        <v>2444</v>
      </c>
      <c r="P1511" s="7"/>
      <c r="Q1511" s="7"/>
      <c r="R1511" s="606" t="s">
        <v>2524</v>
      </c>
      <c r="S1511" s="322" t="s">
        <v>1176</v>
      </c>
      <c r="T1511" s="858"/>
    </row>
    <row r="1512" spans="1:20" ht="20.100000000000001" customHeight="1">
      <c r="A1512" s="1256" t="s">
        <v>2971</v>
      </c>
      <c r="B1512" s="1138" t="s">
        <v>2527</v>
      </c>
      <c r="C1512" s="1138" t="s">
        <v>2704</v>
      </c>
      <c r="D1512" s="1006">
        <f>D46+3671</f>
        <v>4846</v>
      </c>
      <c r="E1512" s="1006">
        <f>E46+3671</f>
        <v>4921</v>
      </c>
      <c r="F1512" s="1006">
        <f>F46+3671</f>
        <v>4921</v>
      </c>
      <c r="G1512" s="609" t="s">
        <v>1689</v>
      </c>
      <c r="H1512" s="160" t="s">
        <v>1311</v>
      </c>
      <c r="I1512" s="37" t="s">
        <v>2526</v>
      </c>
      <c r="J1512" s="37" t="s">
        <v>2525</v>
      </c>
      <c r="K1512" s="5">
        <v>30</v>
      </c>
      <c r="L1512" s="607" t="s">
        <v>653</v>
      </c>
      <c r="M1512" s="156">
        <v>43076</v>
      </c>
      <c r="N1512" s="156">
        <v>43083</v>
      </c>
      <c r="O1512" s="153" t="s">
        <v>2529</v>
      </c>
      <c r="P1512" s="61"/>
      <c r="Q1512" s="61" t="s">
        <v>2125</v>
      </c>
      <c r="R1512" s="606" t="s">
        <v>2528</v>
      </c>
      <c r="S1512" s="316" t="s">
        <v>2943</v>
      </c>
      <c r="T1512" s="858"/>
    </row>
    <row r="1513" spans="1:20" ht="20.100000000000001" customHeight="1">
      <c r="A1513" s="1256" t="s">
        <v>2971</v>
      </c>
      <c r="B1513" s="1138" t="s">
        <v>2527</v>
      </c>
      <c r="C1513" s="1138" t="s">
        <v>2704</v>
      </c>
      <c r="D1513" s="1006">
        <f>D18+2150+50</f>
        <v>3750</v>
      </c>
      <c r="E1513" s="1006">
        <f>E18+2150+100</f>
        <v>4050</v>
      </c>
      <c r="F1513" s="1006">
        <f>F18+2150+100</f>
        <v>4050</v>
      </c>
      <c r="G1513" s="608" t="s">
        <v>94</v>
      </c>
      <c r="H1513" s="56" t="s">
        <v>657</v>
      </c>
      <c r="I1513" s="5" t="s">
        <v>2127</v>
      </c>
      <c r="J1513" s="37" t="s">
        <v>2525</v>
      </c>
      <c r="K1513" s="16">
        <v>21</v>
      </c>
      <c r="L1513" s="607" t="s">
        <v>653</v>
      </c>
      <c r="M1513" s="108">
        <v>43087</v>
      </c>
      <c r="N1513" s="108">
        <v>43094</v>
      </c>
      <c r="O1513" s="61" t="s">
        <v>2444</v>
      </c>
      <c r="P1513" s="7"/>
      <c r="Q1513" s="7"/>
      <c r="R1513" s="606" t="s">
        <v>2126</v>
      </c>
      <c r="S1513" s="322" t="s">
        <v>1176</v>
      </c>
      <c r="T1513" s="858"/>
    </row>
    <row r="1514" spans="1:20" ht="20.100000000000001" customHeight="1">
      <c r="A1514" s="1256" t="s">
        <v>2971</v>
      </c>
      <c r="B1514" s="1138" t="s">
        <v>2527</v>
      </c>
      <c r="C1514" s="1138" t="s">
        <v>2704</v>
      </c>
      <c r="D1514" s="1006">
        <f>D41+2210+50</f>
        <v>3810</v>
      </c>
      <c r="E1514" s="1006">
        <f>E41+2210+100</f>
        <v>4110</v>
      </c>
      <c r="F1514" s="1006">
        <f>F41+2210+100</f>
        <v>4110</v>
      </c>
      <c r="G1514" s="608" t="s">
        <v>94</v>
      </c>
      <c r="H1514" s="168" t="s">
        <v>1102</v>
      </c>
      <c r="I1514" s="37" t="s">
        <v>2526</v>
      </c>
      <c r="J1514" s="37" t="s">
        <v>2525</v>
      </c>
      <c r="K1514" s="16">
        <v>26</v>
      </c>
      <c r="L1514" s="607" t="s">
        <v>653</v>
      </c>
      <c r="M1514" s="108">
        <v>43087</v>
      </c>
      <c r="N1514" s="108">
        <v>43094</v>
      </c>
      <c r="O1514" s="61" t="s">
        <v>2444</v>
      </c>
      <c r="P1514" s="7"/>
      <c r="Q1514" s="7"/>
      <c r="R1514" s="606" t="s">
        <v>2524</v>
      </c>
      <c r="S1514" s="322" t="s">
        <v>1176</v>
      </c>
      <c r="T1514" s="858"/>
    </row>
    <row r="1515" spans="1:20" ht="20.100000000000001" customHeight="1">
      <c r="A1515" s="1271" t="s">
        <v>2971</v>
      </c>
      <c r="B1515" s="1142" t="s">
        <v>2527</v>
      </c>
      <c r="C1515" s="1142" t="s">
        <v>3011</v>
      </c>
      <c r="D1515" s="1006">
        <f t="shared" ref="D1515:F1516" si="11">D1182+100</f>
        <v>2480</v>
      </c>
      <c r="E1515" s="1006">
        <f t="shared" si="11"/>
        <v>2785</v>
      </c>
      <c r="F1515" s="1006">
        <f t="shared" si="11"/>
        <v>2785</v>
      </c>
      <c r="G1515" s="608" t="s">
        <v>51</v>
      </c>
      <c r="H1515" s="160" t="s">
        <v>2532</v>
      </c>
      <c r="I1515" s="37" t="s">
        <v>2127</v>
      </c>
      <c r="J1515" s="37" t="s">
        <v>1211</v>
      </c>
      <c r="K1515" s="5"/>
      <c r="L1515" s="607" t="s">
        <v>653</v>
      </c>
      <c r="M1515" s="611">
        <v>43086</v>
      </c>
      <c r="N1515" s="611">
        <v>43100</v>
      </c>
      <c r="O1515" s="61" t="s">
        <v>3291</v>
      </c>
      <c r="P1515" s="52"/>
      <c r="Q1515" s="61" t="s">
        <v>3381</v>
      </c>
      <c r="R1515" s="610"/>
      <c r="S1515" s="315" t="s">
        <v>3290</v>
      </c>
      <c r="T1515" s="858"/>
    </row>
    <row r="1516" spans="1:20" ht="20.100000000000001" customHeight="1">
      <c r="A1516" s="1272" t="s">
        <v>2971</v>
      </c>
      <c r="B1516" s="1160" t="s">
        <v>2527</v>
      </c>
      <c r="C1516" s="1160" t="s">
        <v>3011</v>
      </c>
      <c r="D1516" s="1006">
        <f t="shared" si="11"/>
        <v>2375</v>
      </c>
      <c r="E1516" s="1006">
        <f t="shared" si="11"/>
        <v>2775</v>
      </c>
      <c r="F1516" s="1006">
        <f t="shared" si="11"/>
        <v>2775</v>
      </c>
      <c r="G1516" s="608" t="s">
        <v>51</v>
      </c>
      <c r="H1516" s="160" t="s">
        <v>645</v>
      </c>
      <c r="I1516" s="37" t="s">
        <v>2526</v>
      </c>
      <c r="J1516" s="37" t="s">
        <v>1211</v>
      </c>
      <c r="K1516" s="5"/>
      <c r="L1516" s="607" t="s">
        <v>653</v>
      </c>
      <c r="M1516" s="611">
        <v>43086</v>
      </c>
      <c r="N1516" s="611">
        <v>43100</v>
      </c>
      <c r="O1516" s="61" t="s">
        <v>3291</v>
      </c>
      <c r="P1516" s="52"/>
      <c r="Q1516" s="61" t="s">
        <v>2599</v>
      </c>
      <c r="R1516" s="610"/>
      <c r="S1516" s="315" t="s">
        <v>3290</v>
      </c>
      <c r="T1516" s="858"/>
    </row>
    <row r="1517" spans="1:20" ht="20.100000000000001" customHeight="1">
      <c r="A1517" s="1272" t="s">
        <v>2971</v>
      </c>
      <c r="B1517" s="1160" t="s">
        <v>2527</v>
      </c>
      <c r="C1517" s="1160" t="s">
        <v>3011</v>
      </c>
      <c r="D1517" s="1006">
        <f t="shared" ref="D1517:F1518" si="12">D1200+100</f>
        <v>2800</v>
      </c>
      <c r="E1517" s="1006">
        <f t="shared" si="12"/>
        <v>2870</v>
      </c>
      <c r="F1517" s="1006">
        <f t="shared" si="12"/>
        <v>2870</v>
      </c>
      <c r="G1517" s="608" t="s">
        <v>51</v>
      </c>
      <c r="H1517" s="160" t="s">
        <v>2532</v>
      </c>
      <c r="I1517" s="37" t="s">
        <v>2127</v>
      </c>
      <c r="J1517" s="37" t="s">
        <v>2525</v>
      </c>
      <c r="K1517" s="5"/>
      <c r="L1517" s="607" t="s">
        <v>653</v>
      </c>
      <c r="M1517" s="611">
        <v>43086</v>
      </c>
      <c r="N1517" s="611">
        <v>43100</v>
      </c>
      <c r="O1517" s="61" t="s">
        <v>3291</v>
      </c>
      <c r="P1517" s="52"/>
      <c r="Q1517" s="61" t="s">
        <v>2466</v>
      </c>
      <c r="R1517" s="610"/>
      <c r="S1517" s="315" t="s">
        <v>3290</v>
      </c>
      <c r="T1517" s="858"/>
    </row>
    <row r="1518" spans="1:20" ht="20.100000000000001" customHeight="1">
      <c r="A1518" s="1273" t="s">
        <v>2971</v>
      </c>
      <c r="B1518" s="1161" t="s">
        <v>2527</v>
      </c>
      <c r="C1518" s="1161" t="s">
        <v>3011</v>
      </c>
      <c r="D1518" s="1006">
        <f t="shared" si="12"/>
        <v>3000</v>
      </c>
      <c r="E1518" s="1006">
        <f t="shared" si="12"/>
        <v>3045</v>
      </c>
      <c r="F1518" s="1006">
        <f t="shared" si="12"/>
        <v>3045</v>
      </c>
      <c r="G1518" s="608" t="s">
        <v>51</v>
      </c>
      <c r="H1518" s="160" t="s">
        <v>645</v>
      </c>
      <c r="I1518" s="37" t="s">
        <v>2526</v>
      </c>
      <c r="J1518" s="37" t="s">
        <v>2525</v>
      </c>
      <c r="K1518" s="5"/>
      <c r="L1518" s="607" t="s">
        <v>653</v>
      </c>
      <c r="M1518" s="611">
        <v>43086</v>
      </c>
      <c r="N1518" s="611">
        <v>43100</v>
      </c>
      <c r="O1518" s="61" t="s">
        <v>3291</v>
      </c>
      <c r="P1518" s="52"/>
      <c r="Q1518" s="61" t="s">
        <v>2466</v>
      </c>
      <c r="R1518" s="610"/>
      <c r="S1518" s="315" t="s">
        <v>3290</v>
      </c>
      <c r="T1518" s="858"/>
    </row>
    <row r="1519" spans="1:20" ht="20.100000000000001" customHeight="1">
      <c r="A1519" s="1256" t="s">
        <v>2971</v>
      </c>
      <c r="B1519" s="1138" t="s">
        <v>2527</v>
      </c>
      <c r="C1519" s="1138" t="s">
        <v>3396</v>
      </c>
      <c r="D1519" s="1006">
        <f>D4+900</f>
        <v>2075</v>
      </c>
      <c r="E1519" s="1006">
        <f>E4+900</f>
        <v>2150</v>
      </c>
      <c r="F1519" s="1006">
        <f>F4+900</f>
        <v>2150</v>
      </c>
      <c r="G1519" s="609" t="s">
        <v>1689</v>
      </c>
      <c r="H1519" s="160" t="s">
        <v>645</v>
      </c>
      <c r="I1519" s="37" t="s">
        <v>2127</v>
      </c>
      <c r="J1519" s="37" t="s">
        <v>2525</v>
      </c>
      <c r="K1519" s="5">
        <v>20</v>
      </c>
      <c r="L1519" s="607" t="s">
        <v>653</v>
      </c>
      <c r="M1519" s="156">
        <v>43076</v>
      </c>
      <c r="N1519" s="156">
        <v>43083</v>
      </c>
      <c r="O1519" s="153" t="s">
        <v>2529</v>
      </c>
      <c r="P1519" s="61"/>
      <c r="Q1519" s="61" t="s">
        <v>2125</v>
      </c>
      <c r="R1519" s="606" t="s">
        <v>2530</v>
      </c>
      <c r="S1519" s="316" t="s">
        <v>2943</v>
      </c>
      <c r="T1519" s="858"/>
    </row>
    <row r="1520" spans="1:20" ht="20.100000000000001" customHeight="1">
      <c r="A1520" s="1256" t="s">
        <v>2971</v>
      </c>
      <c r="B1520" s="1138" t="s">
        <v>2527</v>
      </c>
      <c r="C1520" s="1138" t="s">
        <v>3396</v>
      </c>
      <c r="D1520" s="1006">
        <f>D46+970</f>
        <v>2145</v>
      </c>
      <c r="E1520" s="1006">
        <f>E46+970</f>
        <v>2220</v>
      </c>
      <c r="F1520" s="1006">
        <f>F46+970</f>
        <v>2220</v>
      </c>
      <c r="G1520" s="609" t="s">
        <v>1689</v>
      </c>
      <c r="H1520" s="160" t="s">
        <v>1311</v>
      </c>
      <c r="I1520" s="37" t="s">
        <v>2526</v>
      </c>
      <c r="J1520" s="37" t="s">
        <v>2525</v>
      </c>
      <c r="K1520" s="5">
        <v>30</v>
      </c>
      <c r="L1520" s="607" t="s">
        <v>653</v>
      </c>
      <c r="M1520" s="156">
        <v>43076</v>
      </c>
      <c r="N1520" s="156">
        <v>43083</v>
      </c>
      <c r="O1520" s="153" t="s">
        <v>2529</v>
      </c>
      <c r="P1520" s="61"/>
      <c r="Q1520" s="61" t="s">
        <v>2125</v>
      </c>
      <c r="R1520" s="606" t="s">
        <v>2528</v>
      </c>
      <c r="S1520" s="316" t="s">
        <v>2943</v>
      </c>
      <c r="T1520" s="858"/>
    </row>
    <row r="1521" spans="1:20" ht="20.100000000000001" customHeight="1">
      <c r="A1521" s="925" t="s">
        <v>2971</v>
      </c>
      <c r="B1521" s="899" t="s">
        <v>2527</v>
      </c>
      <c r="C1521" s="899" t="s">
        <v>3395</v>
      </c>
      <c r="D1521" s="1006">
        <f>D41+2056+50</f>
        <v>3656</v>
      </c>
      <c r="E1521" s="1006">
        <f>E41+2056+100</f>
        <v>3956</v>
      </c>
      <c r="F1521" s="1006">
        <f>F41+2056+100</f>
        <v>3956</v>
      </c>
      <c r="G1521" s="608" t="s">
        <v>94</v>
      </c>
      <c r="H1521" s="168" t="s">
        <v>1102</v>
      </c>
      <c r="I1521" s="37" t="s">
        <v>2526</v>
      </c>
      <c r="J1521" s="37" t="s">
        <v>2525</v>
      </c>
      <c r="K1521" s="16">
        <v>26</v>
      </c>
      <c r="L1521" s="607" t="s">
        <v>653</v>
      </c>
      <c r="M1521" s="108">
        <v>43087</v>
      </c>
      <c r="N1521" s="108">
        <v>43094</v>
      </c>
      <c r="O1521" s="61" t="s">
        <v>2444</v>
      </c>
      <c r="P1521" s="7"/>
      <c r="Q1521" s="7"/>
      <c r="R1521" s="606" t="s">
        <v>2524</v>
      </c>
      <c r="S1521" s="322" t="s">
        <v>1176</v>
      </c>
      <c r="T1521" s="858"/>
    </row>
    <row r="1522" spans="1:20" ht="20.100000000000001" customHeight="1">
      <c r="A1522" s="1256" t="s">
        <v>2971</v>
      </c>
      <c r="B1522" s="1138" t="s">
        <v>2527</v>
      </c>
      <c r="C1522" s="1138" t="s">
        <v>3394</v>
      </c>
      <c r="D1522" s="1006">
        <f>D4+1904</f>
        <v>3079</v>
      </c>
      <c r="E1522" s="1006">
        <f>E4+1904</f>
        <v>3154</v>
      </c>
      <c r="F1522" s="1006">
        <f>F4+1904</f>
        <v>3154</v>
      </c>
      <c r="G1522" s="609" t="s">
        <v>1689</v>
      </c>
      <c r="H1522" s="160" t="s">
        <v>645</v>
      </c>
      <c r="I1522" s="37" t="s">
        <v>2127</v>
      </c>
      <c r="J1522" s="37" t="s">
        <v>2525</v>
      </c>
      <c r="K1522" s="5">
        <v>20</v>
      </c>
      <c r="L1522" s="607" t="s">
        <v>653</v>
      </c>
      <c r="M1522" s="156">
        <v>43076</v>
      </c>
      <c r="N1522" s="156">
        <v>43083</v>
      </c>
      <c r="O1522" s="153" t="s">
        <v>2529</v>
      </c>
      <c r="P1522" s="61"/>
      <c r="Q1522" s="61" t="s">
        <v>2125</v>
      </c>
      <c r="R1522" s="606" t="s">
        <v>2530</v>
      </c>
      <c r="S1522" s="316" t="s">
        <v>2943</v>
      </c>
      <c r="T1522" s="858"/>
    </row>
    <row r="1523" spans="1:20" ht="20.100000000000001" customHeight="1">
      <c r="A1523" s="1256" t="s">
        <v>2971</v>
      </c>
      <c r="B1523" s="1138" t="s">
        <v>2527</v>
      </c>
      <c r="C1523" s="1138" t="s">
        <v>3394</v>
      </c>
      <c r="D1523" s="1006">
        <f>D18+2709+50</f>
        <v>4309</v>
      </c>
      <c r="E1523" s="1006">
        <f>E18+2709+100</f>
        <v>4609</v>
      </c>
      <c r="F1523" s="1006">
        <f>F18+2709+100</f>
        <v>4609</v>
      </c>
      <c r="G1523" s="608" t="s">
        <v>94</v>
      </c>
      <c r="H1523" s="56" t="s">
        <v>657</v>
      </c>
      <c r="I1523" s="5" t="s">
        <v>2127</v>
      </c>
      <c r="J1523" s="37" t="s">
        <v>2525</v>
      </c>
      <c r="K1523" s="5">
        <v>22</v>
      </c>
      <c r="L1523" s="607" t="s">
        <v>653</v>
      </c>
      <c r="M1523" s="108">
        <v>43087</v>
      </c>
      <c r="N1523" s="108">
        <v>43094</v>
      </c>
      <c r="O1523" s="61" t="s">
        <v>2444</v>
      </c>
      <c r="P1523" s="7"/>
      <c r="Q1523" s="7"/>
      <c r="R1523" s="606" t="s">
        <v>2126</v>
      </c>
      <c r="S1523" s="322" t="s">
        <v>1176</v>
      </c>
      <c r="T1523" s="858"/>
    </row>
    <row r="1524" spans="1:20" ht="20.100000000000001" customHeight="1">
      <c r="A1524" s="1256" t="s">
        <v>2971</v>
      </c>
      <c r="B1524" s="1138" t="s">
        <v>2527</v>
      </c>
      <c r="C1524" s="1138" t="s">
        <v>3394</v>
      </c>
      <c r="D1524" s="1006">
        <f>D41+2720+50</f>
        <v>4320</v>
      </c>
      <c r="E1524" s="1006">
        <f>E41+2720+100</f>
        <v>4620</v>
      </c>
      <c r="F1524" s="1006">
        <f>F41+2720+100</f>
        <v>4620</v>
      </c>
      <c r="G1524" s="608" t="s">
        <v>94</v>
      </c>
      <c r="H1524" s="168" t="s">
        <v>1102</v>
      </c>
      <c r="I1524" s="37" t="s">
        <v>2526</v>
      </c>
      <c r="J1524" s="37" t="s">
        <v>2525</v>
      </c>
      <c r="K1524" s="16">
        <v>26</v>
      </c>
      <c r="L1524" s="607" t="s">
        <v>653</v>
      </c>
      <c r="M1524" s="108">
        <v>43087</v>
      </c>
      <c r="N1524" s="108">
        <v>43094</v>
      </c>
      <c r="O1524" s="61" t="s">
        <v>2444</v>
      </c>
      <c r="P1524" s="7"/>
      <c r="Q1524" s="7"/>
      <c r="R1524" s="606" t="s">
        <v>2524</v>
      </c>
      <c r="S1524" s="322" t="s">
        <v>1176</v>
      </c>
      <c r="T1524" s="858"/>
    </row>
    <row r="1525" spans="1:20" ht="20.100000000000001" customHeight="1">
      <c r="A1525" s="1256" t="s">
        <v>2971</v>
      </c>
      <c r="B1525" s="1138" t="s">
        <v>2527</v>
      </c>
      <c r="C1525" s="1138" t="s">
        <v>3393</v>
      </c>
      <c r="D1525" s="1006">
        <f>D18+4000+50</f>
        <v>5600</v>
      </c>
      <c r="E1525" s="1006">
        <f>E18+4000+100</f>
        <v>5900</v>
      </c>
      <c r="F1525" s="1006">
        <f>F18+4000+100</f>
        <v>5900</v>
      </c>
      <c r="G1525" s="608" t="s">
        <v>94</v>
      </c>
      <c r="H1525" s="56" t="s">
        <v>657</v>
      </c>
      <c r="I1525" s="5" t="s">
        <v>2127</v>
      </c>
      <c r="J1525" s="37" t="s">
        <v>2525</v>
      </c>
      <c r="K1525" s="5">
        <v>24</v>
      </c>
      <c r="L1525" s="607" t="s">
        <v>653</v>
      </c>
      <c r="M1525" s="108">
        <v>43087</v>
      </c>
      <c r="N1525" s="108">
        <v>43094</v>
      </c>
      <c r="O1525" s="61" t="s">
        <v>2444</v>
      </c>
      <c r="P1525" s="7"/>
      <c r="Q1525" s="7"/>
      <c r="R1525" s="606" t="s">
        <v>2126</v>
      </c>
      <c r="S1525" s="322" t="s">
        <v>1176</v>
      </c>
      <c r="T1525" s="858"/>
    </row>
    <row r="1526" spans="1:20" ht="20.100000000000001" customHeight="1">
      <c r="A1526" s="1256" t="s">
        <v>2971</v>
      </c>
      <c r="B1526" s="1138" t="s">
        <v>2527</v>
      </c>
      <c r="C1526" s="1138" t="s">
        <v>3393</v>
      </c>
      <c r="D1526" s="1006">
        <f>D41+3960+50</f>
        <v>5560</v>
      </c>
      <c r="E1526" s="1006">
        <f>E41+3960+100</f>
        <v>5860</v>
      </c>
      <c r="F1526" s="1006">
        <f>F41+3960+100</f>
        <v>5860</v>
      </c>
      <c r="G1526" s="608" t="s">
        <v>94</v>
      </c>
      <c r="H1526" s="168" t="s">
        <v>1102</v>
      </c>
      <c r="I1526" s="37" t="s">
        <v>2526</v>
      </c>
      <c r="J1526" s="37" t="s">
        <v>2525</v>
      </c>
      <c r="K1526" s="16">
        <v>26</v>
      </c>
      <c r="L1526" s="607" t="s">
        <v>653</v>
      </c>
      <c r="M1526" s="108">
        <v>43087</v>
      </c>
      <c r="N1526" s="108">
        <v>43094</v>
      </c>
      <c r="O1526" s="61" t="s">
        <v>2444</v>
      </c>
      <c r="P1526" s="7"/>
      <c r="Q1526" s="7"/>
      <c r="R1526" s="606" t="s">
        <v>2524</v>
      </c>
      <c r="S1526" s="322" t="s">
        <v>1176</v>
      </c>
      <c r="T1526" s="858"/>
    </row>
    <row r="1527" spans="1:20" ht="20.100000000000001" customHeight="1">
      <c r="A1527" s="1256" t="s">
        <v>2971</v>
      </c>
      <c r="B1527" s="1138" t="s">
        <v>2527</v>
      </c>
      <c r="C1527" s="1138" t="s">
        <v>3392</v>
      </c>
      <c r="D1527" s="1006">
        <f>D61+760</f>
        <v>2310</v>
      </c>
      <c r="E1527" s="1006">
        <f>E61+760</f>
        <v>2560</v>
      </c>
      <c r="F1527" s="1006">
        <f>F61+760</f>
        <v>2560</v>
      </c>
      <c r="G1527" s="608" t="s">
        <v>51</v>
      </c>
      <c r="H1527" s="160" t="s">
        <v>1539</v>
      </c>
      <c r="I1527" s="5" t="s">
        <v>2540</v>
      </c>
      <c r="J1527" s="37" t="s">
        <v>2525</v>
      </c>
      <c r="K1527" s="5"/>
      <c r="L1527" s="607" t="s">
        <v>653</v>
      </c>
      <c r="M1527" s="611">
        <v>43086</v>
      </c>
      <c r="N1527" s="611">
        <v>43100</v>
      </c>
      <c r="O1527" s="61" t="s">
        <v>3291</v>
      </c>
      <c r="P1527" s="52"/>
      <c r="Q1527" s="61" t="s">
        <v>2132</v>
      </c>
      <c r="R1527" s="610"/>
      <c r="S1527" s="315" t="s">
        <v>3290</v>
      </c>
      <c r="T1527" s="858"/>
    </row>
    <row r="1528" spans="1:20" ht="20.100000000000001" customHeight="1">
      <c r="A1528" s="1256" t="s">
        <v>2971</v>
      </c>
      <c r="B1528" s="1138" t="s">
        <v>2527</v>
      </c>
      <c r="C1528" s="1138" t="s">
        <v>3392</v>
      </c>
      <c r="D1528" s="1008">
        <f>D63+689</f>
        <v>1964</v>
      </c>
      <c r="E1528" s="1008">
        <f>E63+689</f>
        <v>689</v>
      </c>
      <c r="F1528" s="1008">
        <f>F63+689</f>
        <v>2139</v>
      </c>
      <c r="G1528" s="609" t="s">
        <v>1689</v>
      </c>
      <c r="H1528" s="160" t="s">
        <v>1539</v>
      </c>
      <c r="I1528" s="19" t="s">
        <v>2540</v>
      </c>
      <c r="J1528" s="37" t="s">
        <v>2525</v>
      </c>
      <c r="K1528" s="5" t="s">
        <v>728</v>
      </c>
      <c r="L1528" s="607"/>
      <c r="M1528" s="156">
        <v>43076</v>
      </c>
      <c r="N1528" s="156">
        <v>43083</v>
      </c>
      <c r="O1528" s="153" t="s">
        <v>2529</v>
      </c>
      <c r="P1528" s="7"/>
      <c r="Q1528" s="61" t="s">
        <v>2541</v>
      </c>
      <c r="R1528" s="606" t="s">
        <v>1965</v>
      </c>
      <c r="S1528" s="316" t="s">
        <v>2943</v>
      </c>
      <c r="T1528" s="858"/>
    </row>
    <row r="1529" spans="1:20" ht="20.100000000000001" customHeight="1">
      <c r="A1529" s="1256" t="s">
        <v>2971</v>
      </c>
      <c r="B1529" s="1138" t="s">
        <v>2527</v>
      </c>
      <c r="C1529" s="1138" t="s">
        <v>3392</v>
      </c>
      <c r="D1529" s="1008">
        <f>D59+787</f>
        <v>2437</v>
      </c>
      <c r="E1529" s="1008">
        <f>E59+787</f>
        <v>2787</v>
      </c>
      <c r="F1529" s="1008">
        <f>F59+787</f>
        <v>2787</v>
      </c>
      <c r="G1529" s="615" t="s">
        <v>22</v>
      </c>
      <c r="H1529" s="168" t="s">
        <v>1102</v>
      </c>
      <c r="I1529" s="37" t="s">
        <v>2540</v>
      </c>
      <c r="J1529" s="37" t="s">
        <v>2525</v>
      </c>
      <c r="K1529" s="5" t="s">
        <v>968</v>
      </c>
      <c r="L1529" s="607" t="s">
        <v>653</v>
      </c>
      <c r="M1529" s="108">
        <v>43087</v>
      </c>
      <c r="N1529" s="108">
        <v>43094</v>
      </c>
      <c r="O1529" s="61" t="s">
        <v>2444</v>
      </c>
      <c r="P1529" s="7"/>
      <c r="Q1529" s="7"/>
      <c r="R1529" s="606" t="s">
        <v>2524</v>
      </c>
      <c r="S1529" s="322" t="s">
        <v>1176</v>
      </c>
      <c r="T1529" s="858"/>
    </row>
    <row r="1530" spans="1:20" ht="20.100000000000001" customHeight="1">
      <c r="A1530" s="1256" t="s">
        <v>2971</v>
      </c>
      <c r="B1530" s="1138" t="s">
        <v>2527</v>
      </c>
      <c r="C1530" s="1138" t="s">
        <v>4299</v>
      </c>
      <c r="D1530" s="1006">
        <f>D4+900</f>
        <v>2075</v>
      </c>
      <c r="E1530" s="1006">
        <f>E4+900</f>
        <v>2150</v>
      </c>
      <c r="F1530" s="1006">
        <f>F4+900</f>
        <v>2150</v>
      </c>
      <c r="G1530" s="609" t="s">
        <v>1689</v>
      </c>
      <c r="H1530" s="160" t="s">
        <v>645</v>
      </c>
      <c r="I1530" s="50" t="s">
        <v>2127</v>
      </c>
      <c r="J1530" s="37" t="s">
        <v>2525</v>
      </c>
      <c r="K1530" s="5">
        <v>20</v>
      </c>
      <c r="L1530" s="607" t="s">
        <v>653</v>
      </c>
      <c r="M1530" s="156">
        <v>43076</v>
      </c>
      <c r="N1530" s="156">
        <v>43083</v>
      </c>
      <c r="O1530" s="153" t="s">
        <v>2529</v>
      </c>
      <c r="P1530" s="61"/>
      <c r="Q1530" s="61" t="s">
        <v>2125</v>
      </c>
      <c r="R1530" s="606" t="s">
        <v>2530</v>
      </c>
      <c r="S1530" s="316" t="s">
        <v>2943</v>
      </c>
      <c r="T1530" s="858"/>
    </row>
    <row r="1531" spans="1:20" ht="20.100000000000001" customHeight="1">
      <c r="A1531" s="1256" t="s">
        <v>2971</v>
      </c>
      <c r="B1531" s="1138" t="s">
        <v>2527</v>
      </c>
      <c r="C1531" s="1138" t="s">
        <v>4299</v>
      </c>
      <c r="D1531" s="1006">
        <f>D46+970</f>
        <v>2145</v>
      </c>
      <c r="E1531" s="1006">
        <f>E46+970</f>
        <v>2220</v>
      </c>
      <c r="F1531" s="1006">
        <f>F46+970</f>
        <v>2220</v>
      </c>
      <c r="G1531" s="609" t="s">
        <v>1689</v>
      </c>
      <c r="H1531" s="160" t="s">
        <v>1311</v>
      </c>
      <c r="I1531" s="37" t="s">
        <v>2526</v>
      </c>
      <c r="J1531" s="37" t="s">
        <v>2525</v>
      </c>
      <c r="K1531" s="5">
        <v>30</v>
      </c>
      <c r="L1531" s="607" t="s">
        <v>653</v>
      </c>
      <c r="M1531" s="156">
        <v>43076</v>
      </c>
      <c r="N1531" s="156">
        <v>43083</v>
      </c>
      <c r="O1531" s="153" t="s">
        <v>2529</v>
      </c>
      <c r="P1531" s="61"/>
      <c r="Q1531" s="61" t="s">
        <v>2125</v>
      </c>
      <c r="R1531" s="606" t="s">
        <v>2528</v>
      </c>
      <c r="S1531" s="316" t="s">
        <v>2943</v>
      </c>
      <c r="T1531" s="858"/>
    </row>
    <row r="1532" spans="1:20" ht="20.100000000000001" customHeight="1">
      <c r="A1532" s="1256" t="s">
        <v>2971</v>
      </c>
      <c r="B1532" s="1138" t="s">
        <v>2527</v>
      </c>
      <c r="C1532" s="1138" t="s">
        <v>4298</v>
      </c>
      <c r="D1532" s="1006">
        <f>D18+2600+50</f>
        <v>4200</v>
      </c>
      <c r="E1532" s="1006">
        <f>E18+2600+100</f>
        <v>4500</v>
      </c>
      <c r="F1532" s="1006">
        <f>F18+2600+100</f>
        <v>4500</v>
      </c>
      <c r="G1532" s="608" t="s">
        <v>94</v>
      </c>
      <c r="H1532" s="56" t="s">
        <v>657</v>
      </c>
      <c r="I1532" s="5" t="s">
        <v>2127</v>
      </c>
      <c r="J1532" s="37" t="s">
        <v>2525</v>
      </c>
      <c r="K1532" s="16">
        <v>23</v>
      </c>
      <c r="L1532" s="607" t="s">
        <v>653</v>
      </c>
      <c r="M1532" s="108">
        <v>43087</v>
      </c>
      <c r="N1532" s="108">
        <v>43094</v>
      </c>
      <c r="O1532" s="61" t="s">
        <v>2444</v>
      </c>
      <c r="P1532" s="7"/>
      <c r="Q1532" s="7"/>
      <c r="R1532" s="606" t="s">
        <v>2126</v>
      </c>
      <c r="S1532" s="322" t="s">
        <v>1176</v>
      </c>
      <c r="T1532" s="858"/>
    </row>
    <row r="1533" spans="1:20" ht="20.100000000000001" customHeight="1">
      <c r="A1533" s="1256" t="s">
        <v>2971</v>
      </c>
      <c r="B1533" s="1138" t="s">
        <v>2527</v>
      </c>
      <c r="C1533" s="1138" t="s">
        <v>4298</v>
      </c>
      <c r="D1533" s="1006">
        <f>D41+2510+50</f>
        <v>4110</v>
      </c>
      <c r="E1533" s="1006">
        <f>E41+2510+100</f>
        <v>4410</v>
      </c>
      <c r="F1533" s="1006">
        <f>F41+2510+100</f>
        <v>4410</v>
      </c>
      <c r="G1533" s="608" t="s">
        <v>94</v>
      </c>
      <c r="H1533" s="168" t="s">
        <v>1102</v>
      </c>
      <c r="I1533" s="37" t="s">
        <v>2526</v>
      </c>
      <c r="J1533" s="37" t="s">
        <v>2525</v>
      </c>
      <c r="K1533" s="16">
        <v>26</v>
      </c>
      <c r="L1533" s="607" t="s">
        <v>653</v>
      </c>
      <c r="M1533" s="108">
        <v>43087</v>
      </c>
      <c r="N1533" s="108">
        <v>43094</v>
      </c>
      <c r="O1533" s="61" t="s">
        <v>2444</v>
      </c>
      <c r="P1533" s="7"/>
      <c r="Q1533" s="7"/>
      <c r="R1533" s="606" t="s">
        <v>2524</v>
      </c>
      <c r="S1533" s="322" t="s">
        <v>1176</v>
      </c>
      <c r="T1533" s="858"/>
    </row>
    <row r="1534" spans="1:20" ht="20.100000000000001" customHeight="1">
      <c r="A1534" s="1256" t="s">
        <v>2971</v>
      </c>
      <c r="B1534" s="1138" t="s">
        <v>2527</v>
      </c>
      <c r="C1534" s="1138" t="s">
        <v>4297</v>
      </c>
      <c r="D1534" s="1006">
        <f>D4+1352</f>
        <v>2527</v>
      </c>
      <c r="E1534" s="1006">
        <f>E4+1352</f>
        <v>2602</v>
      </c>
      <c r="F1534" s="1006">
        <f>F4+1352</f>
        <v>2602</v>
      </c>
      <c r="G1534" s="609" t="s">
        <v>1689</v>
      </c>
      <c r="H1534" s="160" t="s">
        <v>645</v>
      </c>
      <c r="I1534" s="37" t="s">
        <v>2127</v>
      </c>
      <c r="J1534" s="37" t="s">
        <v>2525</v>
      </c>
      <c r="K1534" s="5">
        <v>20</v>
      </c>
      <c r="L1534" s="607" t="s">
        <v>653</v>
      </c>
      <c r="M1534" s="156">
        <v>43076</v>
      </c>
      <c r="N1534" s="156">
        <v>43083</v>
      </c>
      <c r="O1534" s="153" t="s">
        <v>2529</v>
      </c>
      <c r="P1534" s="61"/>
      <c r="Q1534" s="61" t="s">
        <v>2125</v>
      </c>
      <c r="R1534" s="606" t="s">
        <v>2530</v>
      </c>
      <c r="S1534" s="316" t="s">
        <v>2943</v>
      </c>
      <c r="T1534" s="858"/>
    </row>
    <row r="1535" spans="1:20" ht="20.100000000000001" customHeight="1">
      <c r="A1535" s="1256" t="s">
        <v>2971</v>
      </c>
      <c r="B1535" s="1138" t="s">
        <v>2527</v>
      </c>
      <c r="C1535" s="1138" t="s">
        <v>4297</v>
      </c>
      <c r="D1535" s="1006">
        <f>D18+1420+50</f>
        <v>3020</v>
      </c>
      <c r="E1535" s="1006">
        <f>E18+1335+100</f>
        <v>3235</v>
      </c>
      <c r="F1535" s="1006">
        <f>F18+1335+100</f>
        <v>3235</v>
      </c>
      <c r="G1535" s="608" t="s">
        <v>94</v>
      </c>
      <c r="H1535" s="56" t="s">
        <v>657</v>
      </c>
      <c r="I1535" s="5" t="s">
        <v>2127</v>
      </c>
      <c r="J1535" s="37" t="s">
        <v>1211</v>
      </c>
      <c r="K1535" s="5">
        <v>26</v>
      </c>
      <c r="L1535" s="607" t="s">
        <v>653</v>
      </c>
      <c r="M1535" s="108">
        <v>43087</v>
      </c>
      <c r="N1535" s="108">
        <v>43094</v>
      </c>
      <c r="O1535" s="61" t="s">
        <v>2444</v>
      </c>
      <c r="P1535" s="7"/>
      <c r="Q1535" s="7"/>
      <c r="R1535" s="606" t="s">
        <v>2126</v>
      </c>
      <c r="S1535" s="322" t="s">
        <v>1176</v>
      </c>
      <c r="T1535" s="858"/>
    </row>
    <row r="1536" spans="1:20" ht="20.100000000000001" customHeight="1">
      <c r="A1536" s="1256" t="s">
        <v>2971</v>
      </c>
      <c r="B1536" s="1138" t="s">
        <v>2527</v>
      </c>
      <c r="C1536" s="1138" t="s">
        <v>4297</v>
      </c>
      <c r="D1536" s="1006">
        <f>D41+1375+50</f>
        <v>2975</v>
      </c>
      <c r="E1536" s="1006">
        <f>E41+1280+100</f>
        <v>3180</v>
      </c>
      <c r="F1536" s="1006">
        <f>F41+1270+100</f>
        <v>3170</v>
      </c>
      <c r="G1536" s="608" t="s">
        <v>94</v>
      </c>
      <c r="H1536" s="168" t="s">
        <v>1102</v>
      </c>
      <c r="I1536" s="5" t="s">
        <v>2526</v>
      </c>
      <c r="J1536" s="37" t="s">
        <v>1211</v>
      </c>
      <c r="K1536" s="16">
        <v>26</v>
      </c>
      <c r="L1536" s="607" t="s">
        <v>653</v>
      </c>
      <c r="M1536" s="108">
        <v>43087</v>
      </c>
      <c r="N1536" s="108">
        <v>43094</v>
      </c>
      <c r="O1536" s="61" t="s">
        <v>2444</v>
      </c>
      <c r="P1536" s="7"/>
      <c r="Q1536" s="7"/>
      <c r="R1536" s="606" t="s">
        <v>2524</v>
      </c>
      <c r="S1536" s="322" t="s">
        <v>1176</v>
      </c>
      <c r="T1536" s="858"/>
    </row>
    <row r="1537" spans="1:20" ht="20.100000000000001" customHeight="1">
      <c r="A1537" s="1256" t="s">
        <v>2971</v>
      </c>
      <c r="B1537" s="1138" t="s">
        <v>2527</v>
      </c>
      <c r="C1537" s="1138" t="s">
        <v>4297</v>
      </c>
      <c r="D1537" s="1006">
        <f>D41+1750+50</f>
        <v>3350</v>
      </c>
      <c r="E1537" s="1006">
        <f>E41+1750+100</f>
        <v>3650</v>
      </c>
      <c r="F1537" s="1006">
        <f>F41+1750+100</f>
        <v>3650</v>
      </c>
      <c r="G1537" s="608" t="s">
        <v>94</v>
      </c>
      <c r="H1537" s="168" t="s">
        <v>1102</v>
      </c>
      <c r="I1537" s="37" t="s">
        <v>2526</v>
      </c>
      <c r="J1537" s="37" t="s">
        <v>2525</v>
      </c>
      <c r="K1537" s="16">
        <v>26</v>
      </c>
      <c r="L1537" s="607" t="s">
        <v>653</v>
      </c>
      <c r="M1537" s="108">
        <v>43087</v>
      </c>
      <c r="N1537" s="108">
        <v>43094</v>
      </c>
      <c r="O1537" s="61" t="s">
        <v>2444</v>
      </c>
      <c r="P1537" s="7"/>
      <c r="Q1537" s="7"/>
      <c r="R1537" s="606" t="s">
        <v>2524</v>
      </c>
      <c r="S1537" s="322" t="s">
        <v>1176</v>
      </c>
      <c r="T1537" s="858"/>
    </row>
    <row r="1538" spans="1:20" ht="20.100000000000001" customHeight="1">
      <c r="A1538" s="1256" t="s">
        <v>2971</v>
      </c>
      <c r="B1538" s="1138" t="s">
        <v>2527</v>
      </c>
      <c r="C1538" s="1138" t="s">
        <v>4296</v>
      </c>
      <c r="D1538" s="1006">
        <f>D18+1820+50</f>
        <v>3420</v>
      </c>
      <c r="E1538" s="1006">
        <f>E18+1980+100</f>
        <v>3880</v>
      </c>
      <c r="F1538" s="1006">
        <f>F18+1980+100</f>
        <v>3880</v>
      </c>
      <c r="G1538" s="608" t="s">
        <v>94</v>
      </c>
      <c r="H1538" s="56" t="s">
        <v>657</v>
      </c>
      <c r="I1538" s="5" t="s">
        <v>2127</v>
      </c>
      <c r="J1538" s="37" t="s">
        <v>1211</v>
      </c>
      <c r="K1538" s="5">
        <v>26</v>
      </c>
      <c r="L1538" s="607" t="s">
        <v>653</v>
      </c>
      <c r="M1538" s="108">
        <v>43087</v>
      </c>
      <c r="N1538" s="108">
        <v>43094</v>
      </c>
      <c r="O1538" s="61" t="s">
        <v>2444</v>
      </c>
      <c r="P1538" s="7"/>
      <c r="Q1538" s="7"/>
      <c r="R1538" s="606" t="s">
        <v>2126</v>
      </c>
      <c r="S1538" s="322" t="s">
        <v>1176</v>
      </c>
      <c r="T1538" s="858"/>
    </row>
    <row r="1539" spans="1:20" ht="20.100000000000001" customHeight="1">
      <c r="A1539" s="1256" t="s">
        <v>2971</v>
      </c>
      <c r="B1539" s="1138" t="s">
        <v>2527</v>
      </c>
      <c r="C1539" s="1138" t="s">
        <v>4296</v>
      </c>
      <c r="D1539" s="1006">
        <f>D18+2200+50</f>
        <v>3800</v>
      </c>
      <c r="E1539" s="1006">
        <f>E18+2200+100</f>
        <v>4100</v>
      </c>
      <c r="F1539" s="1006">
        <f>F18+2200+100</f>
        <v>4100</v>
      </c>
      <c r="G1539" s="608" t="s">
        <v>94</v>
      </c>
      <c r="H1539" s="56" t="s">
        <v>657</v>
      </c>
      <c r="I1539" s="5" t="s">
        <v>2127</v>
      </c>
      <c r="J1539" s="37" t="s">
        <v>2525</v>
      </c>
      <c r="K1539" s="5">
        <v>22</v>
      </c>
      <c r="L1539" s="607" t="s">
        <v>653</v>
      </c>
      <c r="M1539" s="108">
        <v>43087</v>
      </c>
      <c r="N1539" s="108">
        <v>43094</v>
      </c>
      <c r="O1539" s="61" t="s">
        <v>2444</v>
      </c>
      <c r="P1539" s="7"/>
      <c r="Q1539" s="7"/>
      <c r="R1539" s="606" t="s">
        <v>2126</v>
      </c>
      <c r="S1539" s="322" t="s">
        <v>1176</v>
      </c>
      <c r="T1539" s="858"/>
    </row>
    <row r="1540" spans="1:20" ht="20.100000000000001" customHeight="1">
      <c r="A1540" s="1256" t="s">
        <v>2971</v>
      </c>
      <c r="B1540" s="1138" t="s">
        <v>2527</v>
      </c>
      <c r="C1540" s="1138" t="s">
        <v>4296</v>
      </c>
      <c r="D1540" s="1006">
        <f>D41+2420+50</f>
        <v>4020</v>
      </c>
      <c r="E1540" s="1006">
        <f>E41+2420+100</f>
        <v>4320</v>
      </c>
      <c r="F1540" s="1006">
        <f>F41+2420+100</f>
        <v>4320</v>
      </c>
      <c r="G1540" s="608" t="s">
        <v>94</v>
      </c>
      <c r="H1540" s="168" t="s">
        <v>1102</v>
      </c>
      <c r="I1540" s="37" t="s">
        <v>2526</v>
      </c>
      <c r="J1540" s="37" t="s">
        <v>2525</v>
      </c>
      <c r="K1540" s="16">
        <v>26</v>
      </c>
      <c r="L1540" s="607" t="s">
        <v>653</v>
      </c>
      <c r="M1540" s="108">
        <v>43087</v>
      </c>
      <c r="N1540" s="108">
        <v>43094</v>
      </c>
      <c r="O1540" s="61" t="s">
        <v>2444</v>
      </c>
      <c r="P1540" s="7"/>
      <c r="Q1540" s="7"/>
      <c r="R1540" s="606" t="s">
        <v>2524</v>
      </c>
      <c r="S1540" s="322" t="s">
        <v>1176</v>
      </c>
      <c r="T1540" s="858"/>
    </row>
    <row r="1541" spans="1:20" ht="20.100000000000001" customHeight="1">
      <c r="A1541" s="1256" t="s">
        <v>2971</v>
      </c>
      <c r="B1541" s="1138" t="s">
        <v>2527</v>
      </c>
      <c r="C1541" s="1138" t="s">
        <v>4295</v>
      </c>
      <c r="D1541" s="1006">
        <f>D41+1860+50</f>
        <v>3460</v>
      </c>
      <c r="E1541" s="1006">
        <f>E41+1820+100</f>
        <v>3720</v>
      </c>
      <c r="F1541" s="1006">
        <f>F41+1820+100</f>
        <v>3720</v>
      </c>
      <c r="G1541" s="608" t="s">
        <v>94</v>
      </c>
      <c r="H1541" s="168" t="s">
        <v>1102</v>
      </c>
      <c r="I1541" s="5" t="s">
        <v>2526</v>
      </c>
      <c r="J1541" s="37" t="s">
        <v>1211</v>
      </c>
      <c r="K1541" s="16">
        <v>26</v>
      </c>
      <c r="L1541" s="607" t="s">
        <v>653</v>
      </c>
      <c r="M1541" s="108">
        <v>43087</v>
      </c>
      <c r="N1541" s="108">
        <v>43094</v>
      </c>
      <c r="O1541" s="61" t="s">
        <v>2444</v>
      </c>
      <c r="P1541" s="7"/>
      <c r="Q1541" s="7"/>
      <c r="R1541" s="606" t="s">
        <v>2524</v>
      </c>
      <c r="S1541" s="322" t="s">
        <v>1176</v>
      </c>
      <c r="T1541" s="858"/>
    </row>
    <row r="1542" spans="1:20" ht="20.100000000000001" customHeight="1">
      <c r="A1542" s="1256" t="s">
        <v>2971</v>
      </c>
      <c r="B1542" s="1138" t="s">
        <v>2527</v>
      </c>
      <c r="C1542" s="1138" t="s">
        <v>4295</v>
      </c>
      <c r="D1542" s="1006">
        <f>D18+1350+50</f>
        <v>2950</v>
      </c>
      <c r="E1542" s="1006">
        <f>E18+1450+100</f>
        <v>3350</v>
      </c>
      <c r="F1542" s="1006">
        <f>F18+1450+100</f>
        <v>3350</v>
      </c>
      <c r="G1542" s="608" t="s">
        <v>94</v>
      </c>
      <c r="H1542" s="56" t="s">
        <v>657</v>
      </c>
      <c r="I1542" s="5" t="s">
        <v>2127</v>
      </c>
      <c r="J1542" s="37" t="s">
        <v>1211</v>
      </c>
      <c r="K1542" s="34">
        <v>25</v>
      </c>
      <c r="L1542" s="607" t="s">
        <v>653</v>
      </c>
      <c r="M1542" s="108">
        <v>43087</v>
      </c>
      <c r="N1542" s="108">
        <v>43094</v>
      </c>
      <c r="O1542" s="61" t="s">
        <v>2444</v>
      </c>
      <c r="P1542" s="7"/>
      <c r="Q1542" s="7"/>
      <c r="R1542" s="606" t="s">
        <v>2126</v>
      </c>
      <c r="S1542" s="322" t="s">
        <v>1176</v>
      </c>
      <c r="T1542" s="858"/>
    </row>
    <row r="1543" spans="1:20" ht="20.100000000000001" customHeight="1">
      <c r="A1543" s="1256" t="s">
        <v>2971</v>
      </c>
      <c r="B1543" s="1138" t="s">
        <v>2527</v>
      </c>
      <c r="C1543" s="1138" t="s">
        <v>4295</v>
      </c>
      <c r="D1543" s="1006">
        <f>D4+1296</f>
        <v>2471</v>
      </c>
      <c r="E1543" s="1006">
        <f>E4+1296</f>
        <v>2546</v>
      </c>
      <c r="F1543" s="1006">
        <f>F4+1296</f>
        <v>2546</v>
      </c>
      <c r="G1543" s="609" t="s">
        <v>1689</v>
      </c>
      <c r="H1543" s="160" t="s">
        <v>645</v>
      </c>
      <c r="I1543" s="37" t="s">
        <v>2127</v>
      </c>
      <c r="J1543" s="37" t="s">
        <v>2525</v>
      </c>
      <c r="K1543" s="5">
        <v>20</v>
      </c>
      <c r="L1543" s="607" t="s">
        <v>653</v>
      </c>
      <c r="M1543" s="156">
        <v>43076</v>
      </c>
      <c r="N1543" s="156">
        <v>43083</v>
      </c>
      <c r="O1543" s="153" t="s">
        <v>2529</v>
      </c>
      <c r="P1543" s="61"/>
      <c r="Q1543" s="61" t="s">
        <v>2125</v>
      </c>
      <c r="R1543" s="606" t="s">
        <v>2530</v>
      </c>
      <c r="S1543" s="316" t="s">
        <v>2943</v>
      </c>
      <c r="T1543" s="858"/>
    </row>
    <row r="1544" spans="1:20" ht="20.100000000000001" customHeight="1">
      <c r="A1544" s="1256" t="s">
        <v>2971</v>
      </c>
      <c r="B1544" s="1138" t="s">
        <v>2527</v>
      </c>
      <c r="C1544" s="1138" t="s">
        <v>4295</v>
      </c>
      <c r="D1544" s="1006">
        <f>D46+911</f>
        <v>2086</v>
      </c>
      <c r="E1544" s="1006">
        <f>E46+911</f>
        <v>2161</v>
      </c>
      <c r="F1544" s="1006">
        <f>F46+911</f>
        <v>2161</v>
      </c>
      <c r="G1544" s="609" t="s">
        <v>1689</v>
      </c>
      <c r="H1544" s="160" t="s">
        <v>1311</v>
      </c>
      <c r="I1544" s="37" t="s">
        <v>2526</v>
      </c>
      <c r="J1544" s="37" t="s">
        <v>2525</v>
      </c>
      <c r="K1544" s="5">
        <v>30</v>
      </c>
      <c r="L1544" s="607" t="s">
        <v>653</v>
      </c>
      <c r="M1544" s="156">
        <v>43076</v>
      </c>
      <c r="N1544" s="156">
        <v>43083</v>
      </c>
      <c r="O1544" s="153" t="s">
        <v>2529</v>
      </c>
      <c r="P1544" s="61"/>
      <c r="Q1544" s="61" t="s">
        <v>2125</v>
      </c>
      <c r="R1544" s="606" t="s">
        <v>2528</v>
      </c>
      <c r="S1544" s="316" t="s">
        <v>2943</v>
      </c>
      <c r="T1544" s="858"/>
    </row>
    <row r="1545" spans="1:20" ht="20.100000000000001" customHeight="1">
      <c r="A1545" s="1256" t="s">
        <v>2971</v>
      </c>
      <c r="B1545" s="1138" t="s">
        <v>2527</v>
      </c>
      <c r="C1545" s="1138" t="s">
        <v>4295</v>
      </c>
      <c r="D1545" s="1006">
        <f>D41+917+50</f>
        <v>2517</v>
      </c>
      <c r="E1545" s="1006">
        <f>E41+917+100</f>
        <v>2817</v>
      </c>
      <c r="F1545" s="1006">
        <f>F41+917+100</f>
        <v>2817</v>
      </c>
      <c r="G1545" s="608" t="s">
        <v>94</v>
      </c>
      <c r="H1545" s="168" t="s">
        <v>1102</v>
      </c>
      <c r="I1545" s="5" t="s">
        <v>2526</v>
      </c>
      <c r="J1545" s="37" t="s">
        <v>2525</v>
      </c>
      <c r="K1545" s="16">
        <v>26</v>
      </c>
      <c r="L1545" s="607" t="s">
        <v>653</v>
      </c>
      <c r="M1545" s="108">
        <v>43087</v>
      </c>
      <c r="N1545" s="108">
        <v>43094</v>
      </c>
      <c r="O1545" s="61" t="s">
        <v>2444</v>
      </c>
      <c r="P1545" s="7"/>
      <c r="Q1545" s="7"/>
      <c r="R1545" s="606" t="s">
        <v>2524</v>
      </c>
      <c r="S1545" s="322" t="s">
        <v>1176</v>
      </c>
      <c r="T1545" s="858"/>
    </row>
    <row r="1546" spans="1:20" ht="20.100000000000001" customHeight="1">
      <c r="A1546" s="1256" t="s">
        <v>2971</v>
      </c>
      <c r="B1546" s="1138" t="s">
        <v>2527</v>
      </c>
      <c r="C1546" s="1138" t="s">
        <v>4295</v>
      </c>
      <c r="D1546" s="1006">
        <f>D18+1250+50</f>
        <v>2850</v>
      </c>
      <c r="E1546" s="1006">
        <f>E18+1250+100</f>
        <v>3150</v>
      </c>
      <c r="F1546" s="1006">
        <f>F18+1250+100</f>
        <v>3150</v>
      </c>
      <c r="G1546" s="608" t="s">
        <v>94</v>
      </c>
      <c r="H1546" s="56" t="s">
        <v>657</v>
      </c>
      <c r="I1546" s="5" t="s">
        <v>2127</v>
      </c>
      <c r="J1546" s="37" t="s">
        <v>2525</v>
      </c>
      <c r="K1546" s="16">
        <v>21</v>
      </c>
      <c r="L1546" s="607" t="s">
        <v>653</v>
      </c>
      <c r="M1546" s="108">
        <v>43087</v>
      </c>
      <c r="N1546" s="108">
        <v>43094</v>
      </c>
      <c r="O1546" s="61" t="s">
        <v>2444</v>
      </c>
      <c r="P1546" s="7"/>
      <c r="Q1546" s="7"/>
      <c r="R1546" s="606" t="s">
        <v>2126</v>
      </c>
      <c r="S1546" s="322" t="s">
        <v>1176</v>
      </c>
      <c r="T1546" s="858"/>
    </row>
    <row r="1547" spans="1:20" ht="20.100000000000001" customHeight="1">
      <c r="A1547" s="925" t="s">
        <v>2971</v>
      </c>
      <c r="B1547" s="899" t="s">
        <v>2527</v>
      </c>
      <c r="C1547" s="899" t="s">
        <v>4294</v>
      </c>
      <c r="D1547" s="1006">
        <f>D46+1115</f>
        <v>2290</v>
      </c>
      <c r="E1547" s="1006">
        <f>E46+1115</f>
        <v>2365</v>
      </c>
      <c r="F1547" s="1006">
        <f>F46+1115</f>
        <v>2365</v>
      </c>
      <c r="G1547" s="609" t="s">
        <v>1689</v>
      </c>
      <c r="H1547" s="160" t="s">
        <v>1311</v>
      </c>
      <c r="I1547" s="37" t="s">
        <v>2526</v>
      </c>
      <c r="J1547" s="37" t="s">
        <v>2525</v>
      </c>
      <c r="K1547" s="5">
        <v>30</v>
      </c>
      <c r="L1547" s="607" t="s">
        <v>653</v>
      </c>
      <c r="M1547" s="156">
        <v>43076</v>
      </c>
      <c r="N1547" s="156">
        <v>43083</v>
      </c>
      <c r="O1547" s="153" t="s">
        <v>2529</v>
      </c>
      <c r="P1547" s="61"/>
      <c r="Q1547" s="61" t="s">
        <v>2125</v>
      </c>
      <c r="R1547" s="606" t="s">
        <v>2528</v>
      </c>
      <c r="S1547" s="316" t="s">
        <v>2943</v>
      </c>
      <c r="T1547" s="858"/>
    </row>
    <row r="1548" spans="1:20" ht="20.100000000000001" customHeight="1">
      <c r="A1548" s="1271" t="s">
        <v>2971</v>
      </c>
      <c r="B1548" s="1142" t="s">
        <v>2527</v>
      </c>
      <c r="C1548" s="1142" t="s">
        <v>2456</v>
      </c>
      <c r="D1548" s="1006">
        <f t="shared" ref="D1548:F1549" si="13">D1182</f>
        <v>2380</v>
      </c>
      <c r="E1548" s="1006">
        <f t="shared" si="13"/>
        <v>2685</v>
      </c>
      <c r="F1548" s="1006">
        <f t="shared" si="13"/>
        <v>2685</v>
      </c>
      <c r="G1548" s="609" t="s">
        <v>51</v>
      </c>
      <c r="H1548" s="160" t="s">
        <v>2532</v>
      </c>
      <c r="I1548" s="37" t="s">
        <v>2127</v>
      </c>
      <c r="J1548" s="37" t="s">
        <v>1211</v>
      </c>
      <c r="K1548" s="5"/>
      <c r="L1548" s="607" t="s">
        <v>653</v>
      </c>
      <c r="M1548" s="611">
        <v>43086</v>
      </c>
      <c r="N1548" s="611">
        <v>43100</v>
      </c>
      <c r="O1548" s="61" t="s">
        <v>3291</v>
      </c>
      <c r="P1548" s="52"/>
      <c r="Q1548" s="61" t="s">
        <v>3381</v>
      </c>
      <c r="R1548" s="610"/>
      <c r="S1548" s="315" t="s">
        <v>3290</v>
      </c>
      <c r="T1548" s="858"/>
    </row>
    <row r="1549" spans="1:20" ht="20.100000000000001" customHeight="1">
      <c r="A1549" s="1272" t="s">
        <v>2971</v>
      </c>
      <c r="B1549" s="1160" t="s">
        <v>2527</v>
      </c>
      <c r="C1549" s="1160" t="s">
        <v>2456</v>
      </c>
      <c r="D1549" s="1006">
        <f t="shared" si="13"/>
        <v>2275</v>
      </c>
      <c r="E1549" s="1006">
        <f t="shared" si="13"/>
        <v>2675</v>
      </c>
      <c r="F1549" s="1006">
        <f t="shared" si="13"/>
        <v>2675</v>
      </c>
      <c r="G1549" s="609" t="s">
        <v>51</v>
      </c>
      <c r="H1549" s="160" t="s">
        <v>645</v>
      </c>
      <c r="I1549" s="37" t="s">
        <v>2526</v>
      </c>
      <c r="J1549" s="37" t="s">
        <v>1211</v>
      </c>
      <c r="K1549" s="5"/>
      <c r="L1549" s="607" t="s">
        <v>653</v>
      </c>
      <c r="M1549" s="611">
        <v>43086</v>
      </c>
      <c r="N1549" s="611">
        <v>43100</v>
      </c>
      <c r="O1549" s="61" t="s">
        <v>3291</v>
      </c>
      <c r="P1549" s="52"/>
      <c r="Q1549" s="61" t="s">
        <v>2599</v>
      </c>
      <c r="R1549" s="610"/>
      <c r="S1549" s="315" t="s">
        <v>3290</v>
      </c>
      <c r="T1549" s="858"/>
    </row>
    <row r="1550" spans="1:20" ht="20.100000000000001" customHeight="1">
      <c r="A1550" s="1272" t="s">
        <v>2971</v>
      </c>
      <c r="B1550" s="1160" t="s">
        <v>2527</v>
      </c>
      <c r="C1550" s="1160" t="s">
        <v>2456</v>
      </c>
      <c r="D1550" s="1006">
        <f t="shared" ref="D1550:F1551" si="14">D1200</f>
        <v>2700</v>
      </c>
      <c r="E1550" s="1006">
        <f t="shared" si="14"/>
        <v>2770</v>
      </c>
      <c r="F1550" s="1006">
        <f t="shared" si="14"/>
        <v>2770</v>
      </c>
      <c r="G1550" s="609" t="s">
        <v>51</v>
      </c>
      <c r="H1550" s="160" t="s">
        <v>2532</v>
      </c>
      <c r="I1550" s="37" t="s">
        <v>2127</v>
      </c>
      <c r="J1550" s="37" t="s">
        <v>2525</v>
      </c>
      <c r="K1550" s="5"/>
      <c r="L1550" s="607" t="s">
        <v>653</v>
      </c>
      <c r="M1550" s="611">
        <v>43086</v>
      </c>
      <c r="N1550" s="611">
        <v>43100</v>
      </c>
      <c r="O1550" s="61" t="s">
        <v>3291</v>
      </c>
      <c r="P1550" s="52"/>
      <c r="Q1550" s="61" t="s">
        <v>2466</v>
      </c>
      <c r="R1550" s="610"/>
      <c r="S1550" s="315" t="s">
        <v>3290</v>
      </c>
      <c r="T1550" s="858"/>
    </row>
    <row r="1551" spans="1:20" ht="20.100000000000001" customHeight="1">
      <c r="A1551" s="1272" t="s">
        <v>2971</v>
      </c>
      <c r="B1551" s="1160" t="s">
        <v>2527</v>
      </c>
      <c r="C1551" s="1160" t="s">
        <v>2456</v>
      </c>
      <c r="D1551" s="1006">
        <f t="shared" si="14"/>
        <v>2900</v>
      </c>
      <c r="E1551" s="1006">
        <f t="shared" si="14"/>
        <v>2945</v>
      </c>
      <c r="F1551" s="1006">
        <f t="shared" si="14"/>
        <v>2945</v>
      </c>
      <c r="G1551" s="609" t="s">
        <v>51</v>
      </c>
      <c r="H1551" s="160" t="s">
        <v>645</v>
      </c>
      <c r="I1551" s="37" t="s">
        <v>2526</v>
      </c>
      <c r="J1551" s="37" t="s">
        <v>2525</v>
      </c>
      <c r="K1551" s="5"/>
      <c r="L1551" s="607" t="s">
        <v>653</v>
      </c>
      <c r="M1551" s="611">
        <v>43086</v>
      </c>
      <c r="N1551" s="611">
        <v>43100</v>
      </c>
      <c r="O1551" s="61" t="s">
        <v>3291</v>
      </c>
      <c r="P1551" s="52"/>
      <c r="Q1551" s="61" t="s">
        <v>2466</v>
      </c>
      <c r="R1551" s="610"/>
      <c r="S1551" s="315" t="s">
        <v>3290</v>
      </c>
      <c r="T1551" s="858"/>
    </row>
    <row r="1552" spans="1:20" ht="20.100000000000001" customHeight="1">
      <c r="A1552" s="1272" t="s">
        <v>2971</v>
      </c>
      <c r="B1552" s="1160" t="s">
        <v>2527</v>
      </c>
      <c r="C1552" s="1160" t="s">
        <v>2456</v>
      </c>
      <c r="D1552" s="1006">
        <f>D6+760</f>
        <v>2310</v>
      </c>
      <c r="E1552" s="1006">
        <f>E6+878</f>
        <v>2678</v>
      </c>
      <c r="F1552" s="1006">
        <f>F6+878</f>
        <v>2678</v>
      </c>
      <c r="G1552" s="614" t="s">
        <v>19</v>
      </c>
      <c r="H1552" s="160" t="s">
        <v>2537</v>
      </c>
      <c r="I1552" s="37" t="s">
        <v>2127</v>
      </c>
      <c r="J1552" s="37" t="s">
        <v>1211</v>
      </c>
      <c r="K1552" s="5" t="s">
        <v>728</v>
      </c>
      <c r="L1552" s="607" t="s">
        <v>653</v>
      </c>
      <c r="M1552" s="156">
        <v>43084</v>
      </c>
      <c r="N1552" s="156">
        <v>43093</v>
      </c>
      <c r="O1552" s="153" t="s">
        <v>2131</v>
      </c>
      <c r="P1552" s="61" t="s">
        <v>2276</v>
      </c>
      <c r="Q1552" s="7"/>
      <c r="R1552" s="606" t="s">
        <v>3339</v>
      </c>
      <c r="S1552" s="315" t="s">
        <v>3337</v>
      </c>
      <c r="T1552" s="858"/>
    </row>
    <row r="1553" spans="1:20" ht="20.100000000000001" customHeight="1">
      <c r="A1553" s="1272" t="s">
        <v>2971</v>
      </c>
      <c r="B1553" s="1160" t="s">
        <v>2527</v>
      </c>
      <c r="C1553" s="1160" t="s">
        <v>2456</v>
      </c>
      <c r="D1553" s="1006">
        <f>D44+873</f>
        <v>2423</v>
      </c>
      <c r="E1553" s="1006">
        <f>E44+1145</f>
        <v>2945</v>
      </c>
      <c r="F1553" s="1006">
        <f>F44+1145</f>
        <v>2945</v>
      </c>
      <c r="G1553" s="614" t="s">
        <v>19</v>
      </c>
      <c r="H1553" s="56" t="s">
        <v>1444</v>
      </c>
      <c r="I1553" s="37" t="s">
        <v>2526</v>
      </c>
      <c r="J1553" s="37" t="s">
        <v>1211</v>
      </c>
      <c r="K1553" s="5" t="s">
        <v>764</v>
      </c>
      <c r="L1553" s="607" t="s">
        <v>653</v>
      </c>
      <c r="M1553" s="156">
        <v>43084</v>
      </c>
      <c r="N1553" s="156">
        <v>43093</v>
      </c>
      <c r="O1553" s="153" t="s">
        <v>2131</v>
      </c>
      <c r="P1553" s="61" t="s">
        <v>3338</v>
      </c>
      <c r="Q1553" s="7"/>
      <c r="R1553" s="610" t="s">
        <v>1841</v>
      </c>
      <c r="S1553" s="315" t="s">
        <v>3337</v>
      </c>
      <c r="T1553" s="858"/>
    </row>
    <row r="1554" spans="1:20" ht="20.100000000000001" customHeight="1">
      <c r="A1554" s="1272" t="s">
        <v>2971</v>
      </c>
      <c r="B1554" s="1160" t="s">
        <v>2527</v>
      </c>
      <c r="C1554" s="1160" t="s">
        <v>2456</v>
      </c>
      <c r="D1554" s="1006">
        <f>D6+1160</f>
        <v>2710</v>
      </c>
      <c r="E1554" s="1006">
        <f>E6+1160</f>
        <v>2960</v>
      </c>
      <c r="F1554" s="1006">
        <f>F6+1160</f>
        <v>2960</v>
      </c>
      <c r="G1554" s="614" t="s">
        <v>19</v>
      </c>
      <c r="H1554" s="160" t="s">
        <v>2537</v>
      </c>
      <c r="I1554" s="37" t="s">
        <v>2127</v>
      </c>
      <c r="J1554" s="37" t="s">
        <v>2525</v>
      </c>
      <c r="K1554" s="5" t="s">
        <v>728</v>
      </c>
      <c r="L1554" s="607" t="s">
        <v>653</v>
      </c>
      <c r="M1554" s="156">
        <v>43084</v>
      </c>
      <c r="N1554" s="156">
        <v>43093</v>
      </c>
      <c r="O1554" s="153" t="s">
        <v>2131</v>
      </c>
      <c r="P1554" s="61" t="s">
        <v>2276</v>
      </c>
      <c r="Q1554" s="7"/>
      <c r="R1554" s="606" t="s">
        <v>3339</v>
      </c>
      <c r="S1554" s="315" t="s">
        <v>3337</v>
      </c>
      <c r="T1554" s="858"/>
    </row>
    <row r="1555" spans="1:20" ht="20.100000000000001" customHeight="1">
      <c r="A1555" s="1272" t="s">
        <v>2971</v>
      </c>
      <c r="B1555" s="1160" t="s">
        <v>2527</v>
      </c>
      <c r="C1555" s="1160" t="s">
        <v>2456</v>
      </c>
      <c r="D1555" s="1006">
        <f>D44+1151</f>
        <v>2701</v>
      </c>
      <c r="E1555" s="1006">
        <f>E44+1151</f>
        <v>2951</v>
      </c>
      <c r="F1555" s="1006">
        <f>F44+1151</f>
        <v>2951</v>
      </c>
      <c r="G1555" s="614" t="s">
        <v>19</v>
      </c>
      <c r="H1555" s="56" t="s">
        <v>1444</v>
      </c>
      <c r="I1555" s="37" t="s">
        <v>2526</v>
      </c>
      <c r="J1555" s="37" t="s">
        <v>2525</v>
      </c>
      <c r="K1555" s="5" t="s">
        <v>764</v>
      </c>
      <c r="L1555" s="607" t="s">
        <v>653</v>
      </c>
      <c r="M1555" s="156">
        <v>43084</v>
      </c>
      <c r="N1555" s="156">
        <v>43093</v>
      </c>
      <c r="O1555" s="153" t="s">
        <v>2131</v>
      </c>
      <c r="P1555" s="61" t="s">
        <v>3338</v>
      </c>
      <c r="Q1555" s="7"/>
      <c r="R1555" s="610" t="s">
        <v>1841</v>
      </c>
      <c r="S1555" s="315" t="s">
        <v>3337</v>
      </c>
      <c r="T1555" s="858"/>
    </row>
    <row r="1556" spans="1:20" ht="20.100000000000001" customHeight="1">
      <c r="A1556" s="1272" t="s">
        <v>2971</v>
      </c>
      <c r="B1556" s="1160" t="s">
        <v>2527</v>
      </c>
      <c r="C1556" s="1160" t="s">
        <v>2456</v>
      </c>
      <c r="D1556" s="1006">
        <f>D4+900</f>
        <v>2075</v>
      </c>
      <c r="E1556" s="1006">
        <f>E4+900</f>
        <v>2150</v>
      </c>
      <c r="F1556" s="1006">
        <f>F4+900</f>
        <v>2150</v>
      </c>
      <c r="G1556" s="609" t="s">
        <v>1689</v>
      </c>
      <c r="H1556" s="160" t="s">
        <v>645</v>
      </c>
      <c r="I1556" s="37" t="s">
        <v>2127</v>
      </c>
      <c r="J1556" s="37" t="s">
        <v>2525</v>
      </c>
      <c r="K1556" s="5">
        <v>20</v>
      </c>
      <c r="L1556" s="607" t="s">
        <v>653</v>
      </c>
      <c r="M1556" s="156">
        <v>43076</v>
      </c>
      <c r="N1556" s="156">
        <v>43083</v>
      </c>
      <c r="O1556" s="153" t="s">
        <v>2529</v>
      </c>
      <c r="P1556" s="61"/>
      <c r="Q1556" s="61" t="s">
        <v>2125</v>
      </c>
      <c r="R1556" s="606" t="s">
        <v>2530</v>
      </c>
      <c r="S1556" s="316" t="s">
        <v>2943</v>
      </c>
      <c r="T1556" s="858"/>
    </row>
    <row r="1557" spans="1:20" ht="20.100000000000001" customHeight="1">
      <c r="A1557" s="1273" t="s">
        <v>2971</v>
      </c>
      <c r="B1557" s="1161" t="s">
        <v>2527</v>
      </c>
      <c r="C1557" s="1161" t="s">
        <v>2456</v>
      </c>
      <c r="D1557" s="1006">
        <f>D46+970</f>
        <v>2145</v>
      </c>
      <c r="E1557" s="1006">
        <f>E46+970</f>
        <v>2220</v>
      </c>
      <c r="F1557" s="1006">
        <f>F46+970</f>
        <v>2220</v>
      </c>
      <c r="G1557" s="609" t="s">
        <v>1689</v>
      </c>
      <c r="H1557" s="160" t="s">
        <v>1311</v>
      </c>
      <c r="I1557" s="37" t="s">
        <v>2526</v>
      </c>
      <c r="J1557" s="37" t="s">
        <v>2525</v>
      </c>
      <c r="K1557" s="5">
        <v>30</v>
      </c>
      <c r="L1557" s="607" t="s">
        <v>653</v>
      </c>
      <c r="M1557" s="156">
        <v>43076</v>
      </c>
      <c r="N1557" s="156">
        <v>43083</v>
      </c>
      <c r="O1557" s="153" t="s">
        <v>2529</v>
      </c>
      <c r="P1557" s="61"/>
      <c r="Q1557" s="61" t="s">
        <v>2125</v>
      </c>
      <c r="R1557" s="606" t="s">
        <v>2528</v>
      </c>
      <c r="S1557" s="316" t="s">
        <v>2943</v>
      </c>
      <c r="T1557" s="858"/>
    </row>
    <row r="1558" spans="1:20" ht="20.100000000000001" customHeight="1">
      <c r="A1558" s="1256" t="s">
        <v>2971</v>
      </c>
      <c r="B1558" s="1138" t="s">
        <v>2527</v>
      </c>
      <c r="C1558" s="1138" t="s">
        <v>2815</v>
      </c>
      <c r="D1558" s="1006">
        <f>D18+2600+50</f>
        <v>4200</v>
      </c>
      <c r="E1558" s="1006">
        <f>E18+2600+100</f>
        <v>4500</v>
      </c>
      <c r="F1558" s="1006">
        <f>F18+2600+100</f>
        <v>4500</v>
      </c>
      <c r="G1558" s="608" t="s">
        <v>94</v>
      </c>
      <c r="H1558" s="56" t="s">
        <v>657</v>
      </c>
      <c r="I1558" s="5" t="s">
        <v>2127</v>
      </c>
      <c r="J1558" s="37" t="s">
        <v>2525</v>
      </c>
      <c r="K1558" s="5">
        <v>22</v>
      </c>
      <c r="L1558" s="607" t="s">
        <v>653</v>
      </c>
      <c r="M1558" s="108">
        <v>43087</v>
      </c>
      <c r="N1558" s="108">
        <v>43094</v>
      </c>
      <c r="O1558" s="61" t="s">
        <v>2444</v>
      </c>
      <c r="P1558" s="7"/>
      <c r="Q1558" s="7"/>
      <c r="R1558" s="606" t="s">
        <v>2126</v>
      </c>
      <c r="S1558" s="322" t="s">
        <v>1176</v>
      </c>
      <c r="T1558" s="858"/>
    </row>
    <row r="1559" spans="1:20" ht="20.100000000000001" customHeight="1">
      <c r="A1559" s="1256" t="s">
        <v>2971</v>
      </c>
      <c r="B1559" s="1138" t="s">
        <v>2527</v>
      </c>
      <c r="C1559" s="1138" t="s">
        <v>2815</v>
      </c>
      <c r="D1559" s="1006">
        <f>D41+2360+50</f>
        <v>3960</v>
      </c>
      <c r="E1559" s="1006">
        <f>E41+2360+100</f>
        <v>4260</v>
      </c>
      <c r="F1559" s="1006">
        <f>F41+2360+100</f>
        <v>4260</v>
      </c>
      <c r="G1559" s="608" t="s">
        <v>94</v>
      </c>
      <c r="H1559" s="168" t="s">
        <v>1102</v>
      </c>
      <c r="I1559" s="37" t="s">
        <v>2526</v>
      </c>
      <c r="J1559" s="37" t="s">
        <v>2525</v>
      </c>
      <c r="K1559" s="16">
        <v>26</v>
      </c>
      <c r="L1559" s="607" t="s">
        <v>653</v>
      </c>
      <c r="M1559" s="108">
        <v>43087</v>
      </c>
      <c r="N1559" s="108">
        <v>43094</v>
      </c>
      <c r="O1559" s="61" t="s">
        <v>2444</v>
      </c>
      <c r="P1559" s="7"/>
      <c r="Q1559" s="7"/>
      <c r="R1559" s="606" t="s">
        <v>2524</v>
      </c>
      <c r="S1559" s="322" t="s">
        <v>1176</v>
      </c>
      <c r="T1559" s="858"/>
    </row>
    <row r="1560" spans="1:20" ht="20.100000000000001" customHeight="1">
      <c r="A1560" s="1256" t="s">
        <v>2971</v>
      </c>
      <c r="B1560" s="1138" t="s">
        <v>2527</v>
      </c>
      <c r="C1560" s="1138" t="s">
        <v>2815</v>
      </c>
      <c r="D1560" s="1006">
        <f>D59+2867</f>
        <v>4517</v>
      </c>
      <c r="E1560" s="1006">
        <f>E59+2867</f>
        <v>4867</v>
      </c>
      <c r="F1560" s="1006">
        <f>F59+2867</f>
        <v>4867</v>
      </c>
      <c r="G1560" s="608" t="s">
        <v>94</v>
      </c>
      <c r="H1560" s="168" t="s">
        <v>1102</v>
      </c>
      <c r="I1560" s="37" t="s">
        <v>2540</v>
      </c>
      <c r="J1560" s="37" t="s">
        <v>2525</v>
      </c>
      <c r="K1560" s="16" t="s">
        <v>680</v>
      </c>
      <c r="L1560" s="607" t="s">
        <v>653</v>
      </c>
      <c r="M1560" s="108">
        <v>43087</v>
      </c>
      <c r="N1560" s="108">
        <v>43094</v>
      </c>
      <c r="O1560" s="61" t="s">
        <v>2444</v>
      </c>
      <c r="P1560" s="7"/>
      <c r="Q1560" s="7"/>
      <c r="R1560" s="606" t="s">
        <v>2524</v>
      </c>
      <c r="S1560" s="322" t="s">
        <v>1176</v>
      </c>
      <c r="T1560" s="858"/>
    </row>
    <row r="1561" spans="1:20" ht="20.100000000000001" customHeight="1">
      <c r="A1561" s="1256" t="s">
        <v>2971</v>
      </c>
      <c r="B1561" s="1138" t="s">
        <v>2527</v>
      </c>
      <c r="C1561" s="1138" t="s">
        <v>2814</v>
      </c>
      <c r="D1561" s="1006">
        <f>D4+4367</f>
        <v>5542</v>
      </c>
      <c r="E1561" s="1006">
        <f>E4+4367</f>
        <v>5617</v>
      </c>
      <c r="F1561" s="1006">
        <f>F4+4367</f>
        <v>5617</v>
      </c>
      <c r="G1561" s="609" t="s">
        <v>1689</v>
      </c>
      <c r="H1561" s="160" t="s">
        <v>645</v>
      </c>
      <c r="I1561" s="50" t="s">
        <v>2127</v>
      </c>
      <c r="J1561" s="37" t="s">
        <v>2525</v>
      </c>
      <c r="K1561" s="5">
        <v>20</v>
      </c>
      <c r="L1561" s="607" t="s">
        <v>653</v>
      </c>
      <c r="M1561" s="156">
        <v>43076</v>
      </c>
      <c r="N1561" s="156">
        <v>43083</v>
      </c>
      <c r="O1561" s="153" t="s">
        <v>2529</v>
      </c>
      <c r="P1561" s="61"/>
      <c r="Q1561" s="61" t="s">
        <v>2125</v>
      </c>
      <c r="R1561" s="606" t="s">
        <v>2530</v>
      </c>
      <c r="S1561" s="316" t="s">
        <v>2943</v>
      </c>
      <c r="T1561" s="858"/>
    </row>
    <row r="1562" spans="1:20" ht="20.100000000000001" customHeight="1">
      <c r="A1562" s="1256" t="s">
        <v>2971</v>
      </c>
      <c r="B1562" s="1138" t="s">
        <v>2527</v>
      </c>
      <c r="C1562" s="1138" t="s">
        <v>2814</v>
      </c>
      <c r="D1562" s="1006">
        <f>D63+2046</f>
        <v>3321</v>
      </c>
      <c r="E1562" s="1006">
        <f>E63+2046</f>
        <v>2046</v>
      </c>
      <c r="F1562" s="1006">
        <f>F63+2046</f>
        <v>3496</v>
      </c>
      <c r="G1562" s="609" t="s">
        <v>1689</v>
      </c>
      <c r="H1562" s="160" t="s">
        <v>1539</v>
      </c>
      <c r="I1562" s="50" t="s">
        <v>2540</v>
      </c>
      <c r="J1562" s="37" t="s">
        <v>2525</v>
      </c>
      <c r="K1562" s="5" t="s">
        <v>728</v>
      </c>
      <c r="L1562" s="607"/>
      <c r="M1562" s="156">
        <v>43076</v>
      </c>
      <c r="N1562" s="156">
        <v>43083</v>
      </c>
      <c r="O1562" s="153" t="s">
        <v>2529</v>
      </c>
      <c r="P1562" s="61"/>
      <c r="Q1562" s="61" t="s">
        <v>2541</v>
      </c>
      <c r="R1562" s="606" t="s">
        <v>1965</v>
      </c>
      <c r="S1562" s="316" t="s">
        <v>2943</v>
      </c>
      <c r="T1562" s="858"/>
    </row>
    <row r="1563" spans="1:20" ht="20.100000000000001" customHeight="1">
      <c r="A1563" s="1256" t="s">
        <v>2971</v>
      </c>
      <c r="B1563" s="1138" t="s">
        <v>2527</v>
      </c>
      <c r="C1563" s="1138" t="s">
        <v>2814</v>
      </c>
      <c r="D1563" s="1006">
        <f>D59+2157</f>
        <v>3807</v>
      </c>
      <c r="E1563" s="1006">
        <f>E59+2157</f>
        <v>4157</v>
      </c>
      <c r="F1563" s="1006">
        <f>F59+2157</f>
        <v>4157</v>
      </c>
      <c r="G1563" s="608" t="s">
        <v>94</v>
      </c>
      <c r="H1563" s="168" t="s">
        <v>1102</v>
      </c>
      <c r="I1563" s="37" t="s">
        <v>2540</v>
      </c>
      <c r="J1563" s="37" t="s">
        <v>2525</v>
      </c>
      <c r="K1563" s="5" t="s">
        <v>968</v>
      </c>
      <c r="L1563" s="607" t="s">
        <v>653</v>
      </c>
      <c r="M1563" s="108">
        <v>43087</v>
      </c>
      <c r="N1563" s="108">
        <v>43094</v>
      </c>
      <c r="O1563" s="61" t="s">
        <v>2444</v>
      </c>
      <c r="P1563" s="7"/>
      <c r="Q1563" s="7"/>
      <c r="R1563" s="606" t="s">
        <v>2524</v>
      </c>
      <c r="S1563" s="322" t="s">
        <v>1176</v>
      </c>
      <c r="T1563" s="858"/>
    </row>
    <row r="1564" spans="1:20" ht="20.100000000000001" customHeight="1">
      <c r="A1564" s="1256" t="s">
        <v>2971</v>
      </c>
      <c r="B1564" s="1138" t="s">
        <v>2527</v>
      </c>
      <c r="C1564" s="1138" t="s">
        <v>2813</v>
      </c>
      <c r="D1564" s="1006">
        <f>D46+1364</f>
        <v>2539</v>
      </c>
      <c r="E1564" s="1006">
        <f>E46+1470</f>
        <v>2720</v>
      </c>
      <c r="F1564" s="1006">
        <f>F46+1470</f>
        <v>2720</v>
      </c>
      <c r="G1564" s="609" t="s">
        <v>1689</v>
      </c>
      <c r="H1564" s="160" t="s">
        <v>1311</v>
      </c>
      <c r="I1564" s="37" t="s">
        <v>2526</v>
      </c>
      <c r="J1564" s="37" t="s">
        <v>1211</v>
      </c>
      <c r="K1564" s="5">
        <v>30</v>
      </c>
      <c r="L1564" s="607" t="s">
        <v>653</v>
      </c>
      <c r="M1564" s="156">
        <v>43076</v>
      </c>
      <c r="N1564" s="156">
        <v>43083</v>
      </c>
      <c r="O1564" s="153" t="s">
        <v>2529</v>
      </c>
      <c r="P1564" s="61"/>
      <c r="Q1564" s="61" t="s">
        <v>2128</v>
      </c>
      <c r="R1564" s="606" t="s">
        <v>2528</v>
      </c>
      <c r="S1564" s="316" t="s">
        <v>2943</v>
      </c>
      <c r="T1564" s="858"/>
    </row>
    <row r="1565" spans="1:20" ht="20.100000000000001" customHeight="1">
      <c r="A1565" s="1256" t="s">
        <v>2971</v>
      </c>
      <c r="B1565" s="1138" t="s">
        <v>2527</v>
      </c>
      <c r="C1565" s="1138" t="s">
        <v>2813</v>
      </c>
      <c r="D1565" s="1006">
        <f>D18+2320+50</f>
        <v>3920</v>
      </c>
      <c r="E1565" s="1006">
        <f>E18+2320+100</f>
        <v>4220</v>
      </c>
      <c r="F1565" s="1006">
        <f>F18+2320+100</f>
        <v>4220</v>
      </c>
      <c r="G1565" s="608" t="s">
        <v>94</v>
      </c>
      <c r="H1565" s="56" t="s">
        <v>657</v>
      </c>
      <c r="I1565" s="5" t="s">
        <v>2127</v>
      </c>
      <c r="J1565" s="37" t="s">
        <v>2525</v>
      </c>
      <c r="K1565" s="5">
        <v>22</v>
      </c>
      <c r="L1565" s="607" t="s">
        <v>653</v>
      </c>
      <c r="M1565" s="108">
        <v>43087</v>
      </c>
      <c r="N1565" s="108">
        <v>43094</v>
      </c>
      <c r="O1565" s="61" t="s">
        <v>2444</v>
      </c>
      <c r="P1565" s="7"/>
      <c r="Q1565" s="7"/>
      <c r="R1565" s="606" t="s">
        <v>2126</v>
      </c>
      <c r="S1565" s="322" t="s">
        <v>1176</v>
      </c>
      <c r="T1565" s="858"/>
    </row>
    <row r="1566" spans="1:20" ht="20.100000000000001" customHeight="1">
      <c r="A1566" s="1256" t="s">
        <v>2971</v>
      </c>
      <c r="B1566" s="1138" t="s">
        <v>2527</v>
      </c>
      <c r="C1566" s="1138" t="s">
        <v>2813</v>
      </c>
      <c r="D1566" s="1006">
        <f>D41+2310+50</f>
        <v>3910</v>
      </c>
      <c r="E1566" s="1006">
        <f>E41+2310+100</f>
        <v>4210</v>
      </c>
      <c r="F1566" s="1006">
        <f>F41+2310+100</f>
        <v>4210</v>
      </c>
      <c r="G1566" s="608" t="s">
        <v>94</v>
      </c>
      <c r="H1566" s="168" t="s">
        <v>1102</v>
      </c>
      <c r="I1566" s="37" t="s">
        <v>2526</v>
      </c>
      <c r="J1566" s="37" t="s">
        <v>2525</v>
      </c>
      <c r="K1566" s="16">
        <v>26</v>
      </c>
      <c r="L1566" s="607" t="s">
        <v>653</v>
      </c>
      <c r="M1566" s="108">
        <v>43087</v>
      </c>
      <c r="N1566" s="108">
        <v>43094</v>
      </c>
      <c r="O1566" s="61" t="s">
        <v>2444</v>
      </c>
      <c r="P1566" s="7"/>
      <c r="Q1566" s="7"/>
      <c r="R1566" s="606" t="s">
        <v>2524</v>
      </c>
      <c r="S1566" s="322" t="s">
        <v>1176</v>
      </c>
      <c r="T1566" s="858"/>
    </row>
    <row r="1567" spans="1:20" ht="20.100000000000001" customHeight="1">
      <c r="A1567" s="1256" t="s">
        <v>2971</v>
      </c>
      <c r="B1567" s="1138" t="s">
        <v>2527</v>
      </c>
      <c r="C1567" s="1138" t="s">
        <v>2812</v>
      </c>
      <c r="D1567" s="1006">
        <f>D18+2480+50</f>
        <v>4080</v>
      </c>
      <c r="E1567" s="1006">
        <f>E18+2480+100</f>
        <v>4380</v>
      </c>
      <c r="F1567" s="1006">
        <f>F18+2480+100</f>
        <v>4380</v>
      </c>
      <c r="G1567" s="608" t="s">
        <v>94</v>
      </c>
      <c r="H1567" s="56" t="s">
        <v>657</v>
      </c>
      <c r="I1567" s="5" t="s">
        <v>2127</v>
      </c>
      <c r="J1567" s="37" t="s">
        <v>2525</v>
      </c>
      <c r="K1567" s="5">
        <v>22</v>
      </c>
      <c r="L1567" s="607" t="s">
        <v>653</v>
      </c>
      <c r="M1567" s="108">
        <v>43087</v>
      </c>
      <c r="N1567" s="108">
        <v>43094</v>
      </c>
      <c r="O1567" s="61" t="s">
        <v>2444</v>
      </c>
      <c r="P1567" s="7"/>
      <c r="Q1567" s="7"/>
      <c r="R1567" s="606" t="s">
        <v>2126</v>
      </c>
      <c r="S1567" s="322" t="s">
        <v>1176</v>
      </c>
      <c r="T1567" s="858"/>
    </row>
    <row r="1568" spans="1:20" ht="20.100000000000001" customHeight="1">
      <c r="A1568" s="1256" t="s">
        <v>2971</v>
      </c>
      <c r="B1568" s="1138" t="s">
        <v>2527</v>
      </c>
      <c r="C1568" s="1138" t="s">
        <v>2812</v>
      </c>
      <c r="D1568" s="1006">
        <f>D41+2210+50</f>
        <v>3810</v>
      </c>
      <c r="E1568" s="1006">
        <f>E41+2210+100</f>
        <v>4110</v>
      </c>
      <c r="F1568" s="1006">
        <f>F41+2210+100</f>
        <v>4110</v>
      </c>
      <c r="G1568" s="608" t="s">
        <v>94</v>
      </c>
      <c r="H1568" s="168" t="s">
        <v>1102</v>
      </c>
      <c r="I1568" s="37" t="s">
        <v>2526</v>
      </c>
      <c r="J1568" s="37" t="s">
        <v>2525</v>
      </c>
      <c r="K1568" s="16">
        <v>26</v>
      </c>
      <c r="L1568" s="607" t="s">
        <v>653</v>
      </c>
      <c r="M1568" s="108">
        <v>43087</v>
      </c>
      <c r="N1568" s="108">
        <v>43094</v>
      </c>
      <c r="O1568" s="61" t="s">
        <v>2444</v>
      </c>
      <c r="P1568" s="7"/>
      <c r="Q1568" s="7"/>
      <c r="R1568" s="606" t="s">
        <v>2524</v>
      </c>
      <c r="S1568" s="322" t="s">
        <v>1176</v>
      </c>
      <c r="T1568" s="858"/>
    </row>
    <row r="1569" spans="1:20" ht="20.100000000000001" customHeight="1">
      <c r="A1569" s="1256" t="s">
        <v>2971</v>
      </c>
      <c r="B1569" s="1138" t="s">
        <v>2527</v>
      </c>
      <c r="C1569" s="1138" t="s">
        <v>2811</v>
      </c>
      <c r="D1569" s="1006">
        <f>D4+824</f>
        <v>1999</v>
      </c>
      <c r="E1569" s="1006">
        <f>E4+866</f>
        <v>2116</v>
      </c>
      <c r="F1569" s="1006">
        <f>F4+866</f>
        <v>2116</v>
      </c>
      <c r="G1569" s="609" t="s">
        <v>1689</v>
      </c>
      <c r="H1569" s="160" t="s">
        <v>645</v>
      </c>
      <c r="I1569" s="37" t="s">
        <v>2127</v>
      </c>
      <c r="J1569" s="37" t="s">
        <v>1211</v>
      </c>
      <c r="K1569" s="5">
        <v>20</v>
      </c>
      <c r="L1569" s="607" t="s">
        <v>653</v>
      </c>
      <c r="M1569" s="156">
        <v>43076</v>
      </c>
      <c r="N1569" s="156">
        <v>43083</v>
      </c>
      <c r="O1569" s="153" t="s">
        <v>2529</v>
      </c>
      <c r="P1569" s="61"/>
      <c r="Q1569" s="61" t="s">
        <v>2133</v>
      </c>
      <c r="R1569" s="606" t="s">
        <v>2530</v>
      </c>
      <c r="S1569" s="316" t="s">
        <v>2943</v>
      </c>
      <c r="T1569" s="858"/>
    </row>
    <row r="1570" spans="1:20" ht="20.100000000000001" customHeight="1">
      <c r="A1570" s="1256" t="s">
        <v>2971</v>
      </c>
      <c r="B1570" s="1138" t="s">
        <v>2527</v>
      </c>
      <c r="C1570" s="1138" t="s">
        <v>2811</v>
      </c>
      <c r="D1570" s="1006">
        <f>D4+844</f>
        <v>2019</v>
      </c>
      <c r="E1570" s="1006">
        <f>E4+844</f>
        <v>2094</v>
      </c>
      <c r="F1570" s="1006">
        <f>F4+844</f>
        <v>2094</v>
      </c>
      <c r="G1570" s="609" t="s">
        <v>1689</v>
      </c>
      <c r="H1570" s="160" t="s">
        <v>645</v>
      </c>
      <c r="I1570" s="37" t="s">
        <v>2127</v>
      </c>
      <c r="J1570" s="37" t="s">
        <v>2525</v>
      </c>
      <c r="K1570" s="5">
        <v>20</v>
      </c>
      <c r="L1570" s="607" t="s">
        <v>653</v>
      </c>
      <c r="M1570" s="156">
        <v>43076</v>
      </c>
      <c r="N1570" s="156">
        <v>43083</v>
      </c>
      <c r="O1570" s="153" t="s">
        <v>2529</v>
      </c>
      <c r="P1570" s="61"/>
      <c r="Q1570" s="61" t="s">
        <v>2125</v>
      </c>
      <c r="R1570" s="606" t="s">
        <v>2530</v>
      </c>
      <c r="S1570" s="316" t="s">
        <v>2943</v>
      </c>
      <c r="T1570" s="858"/>
    </row>
    <row r="1571" spans="1:20" ht="20.100000000000001" customHeight="1">
      <c r="A1571" s="1256" t="s">
        <v>2971</v>
      </c>
      <c r="B1571" s="1138" t="s">
        <v>2527</v>
      </c>
      <c r="C1571" s="1138" t="s">
        <v>2811</v>
      </c>
      <c r="D1571" s="1006">
        <f>D41+1082+50</f>
        <v>2682</v>
      </c>
      <c r="E1571" s="1006">
        <f>E41+1082+100</f>
        <v>2982</v>
      </c>
      <c r="F1571" s="1006">
        <f>F41+1082+100</f>
        <v>2982</v>
      </c>
      <c r="G1571" s="608" t="s">
        <v>94</v>
      </c>
      <c r="H1571" s="168" t="s">
        <v>1102</v>
      </c>
      <c r="I1571" s="37" t="s">
        <v>2526</v>
      </c>
      <c r="J1571" s="37" t="s">
        <v>2525</v>
      </c>
      <c r="K1571" s="16">
        <v>26</v>
      </c>
      <c r="L1571" s="607" t="s">
        <v>653</v>
      </c>
      <c r="M1571" s="108">
        <v>43087</v>
      </c>
      <c r="N1571" s="108">
        <v>43094</v>
      </c>
      <c r="O1571" s="61" t="s">
        <v>2444</v>
      </c>
      <c r="P1571" s="7"/>
      <c r="Q1571" s="7"/>
      <c r="R1571" s="606" t="s">
        <v>2524</v>
      </c>
      <c r="S1571" s="322" t="s">
        <v>1176</v>
      </c>
      <c r="T1571" s="858"/>
    </row>
    <row r="1572" spans="1:20" ht="20.100000000000001" customHeight="1">
      <c r="A1572" s="925" t="s">
        <v>2971</v>
      </c>
      <c r="B1572" s="899" t="s">
        <v>2527</v>
      </c>
      <c r="C1572" s="899" t="s">
        <v>2810</v>
      </c>
      <c r="D1572" s="1006">
        <f>D41+1445+50</f>
        <v>3045</v>
      </c>
      <c r="E1572" s="1006">
        <f>E41+1445+100</f>
        <v>3345</v>
      </c>
      <c r="F1572" s="1006">
        <f>F41+1445+100</f>
        <v>3345</v>
      </c>
      <c r="G1572" s="608" t="s">
        <v>94</v>
      </c>
      <c r="H1572" s="168" t="s">
        <v>1102</v>
      </c>
      <c r="I1572" s="37" t="s">
        <v>2526</v>
      </c>
      <c r="J1572" s="37" t="s">
        <v>2525</v>
      </c>
      <c r="K1572" s="16">
        <v>26</v>
      </c>
      <c r="L1572" s="607" t="s">
        <v>653</v>
      </c>
      <c r="M1572" s="108">
        <v>43087</v>
      </c>
      <c r="N1572" s="108">
        <v>43094</v>
      </c>
      <c r="O1572" s="61" t="s">
        <v>2444</v>
      </c>
      <c r="P1572" s="7"/>
      <c r="Q1572" s="7"/>
      <c r="R1572" s="606" t="s">
        <v>2524</v>
      </c>
      <c r="S1572" s="322" t="s">
        <v>1176</v>
      </c>
      <c r="T1572" s="858"/>
    </row>
    <row r="1573" spans="1:20" ht="20.100000000000001" customHeight="1">
      <c r="A1573" s="1256" t="s">
        <v>2971</v>
      </c>
      <c r="B1573" s="1138" t="s">
        <v>2527</v>
      </c>
      <c r="C1573" s="1138" t="s">
        <v>2809</v>
      </c>
      <c r="D1573" s="1006">
        <f>D18+2050+50</f>
        <v>3650</v>
      </c>
      <c r="E1573" s="1006">
        <f>E18+2050+100</f>
        <v>3950</v>
      </c>
      <c r="F1573" s="1006">
        <f>F18+2050+100</f>
        <v>3950</v>
      </c>
      <c r="G1573" s="608" t="s">
        <v>94</v>
      </c>
      <c r="H1573" s="56" t="s">
        <v>657</v>
      </c>
      <c r="I1573" s="5" t="s">
        <v>2127</v>
      </c>
      <c r="J1573" s="37" t="s">
        <v>2525</v>
      </c>
      <c r="K1573" s="5">
        <v>22</v>
      </c>
      <c r="L1573" s="607" t="s">
        <v>653</v>
      </c>
      <c r="M1573" s="108">
        <v>43087</v>
      </c>
      <c r="N1573" s="108">
        <v>43094</v>
      </c>
      <c r="O1573" s="61" t="s">
        <v>2444</v>
      </c>
      <c r="P1573" s="7"/>
      <c r="Q1573" s="7"/>
      <c r="R1573" s="606" t="s">
        <v>2126</v>
      </c>
      <c r="S1573" s="322" t="s">
        <v>1176</v>
      </c>
      <c r="T1573" s="858"/>
    </row>
    <row r="1574" spans="1:20" ht="20.100000000000001" customHeight="1">
      <c r="A1574" s="1256" t="s">
        <v>2971</v>
      </c>
      <c r="B1574" s="1138" t="s">
        <v>2527</v>
      </c>
      <c r="C1574" s="1138" t="s">
        <v>2809</v>
      </c>
      <c r="D1574" s="1006">
        <f>D41+1978+50</f>
        <v>3578</v>
      </c>
      <c r="E1574" s="1006">
        <f>E41+1978+100</f>
        <v>3878</v>
      </c>
      <c r="F1574" s="1006">
        <f>F41+1978+100</f>
        <v>3878</v>
      </c>
      <c r="G1574" s="608" t="s">
        <v>94</v>
      </c>
      <c r="H1574" s="168" t="s">
        <v>1102</v>
      </c>
      <c r="I1574" s="37" t="s">
        <v>2526</v>
      </c>
      <c r="J1574" s="37" t="s">
        <v>2525</v>
      </c>
      <c r="K1574" s="16">
        <v>26</v>
      </c>
      <c r="L1574" s="607" t="s">
        <v>653</v>
      </c>
      <c r="M1574" s="108">
        <v>43087</v>
      </c>
      <c r="N1574" s="108">
        <v>43094</v>
      </c>
      <c r="O1574" s="61" t="s">
        <v>2444</v>
      </c>
      <c r="P1574" s="7"/>
      <c r="Q1574" s="7"/>
      <c r="R1574" s="606" t="s">
        <v>2524</v>
      </c>
      <c r="S1574" s="322" t="s">
        <v>1176</v>
      </c>
      <c r="T1574" s="858"/>
    </row>
    <row r="1575" spans="1:20" ht="20.100000000000001" customHeight="1">
      <c r="A1575" s="1256" t="s">
        <v>2971</v>
      </c>
      <c r="B1575" s="1138" t="s">
        <v>2527</v>
      </c>
      <c r="C1575" s="1138" t="s">
        <v>2808</v>
      </c>
      <c r="D1575" s="1006">
        <f>D18+1140+50</f>
        <v>2740</v>
      </c>
      <c r="E1575" s="1006">
        <f>E18+1140+100</f>
        <v>3040</v>
      </c>
      <c r="F1575" s="1006">
        <f>F18+1140+100</f>
        <v>3040</v>
      </c>
      <c r="G1575" s="608" t="s">
        <v>94</v>
      </c>
      <c r="H1575" s="56" t="s">
        <v>657</v>
      </c>
      <c r="I1575" s="5" t="s">
        <v>2127</v>
      </c>
      <c r="J1575" s="37" t="s">
        <v>1211</v>
      </c>
      <c r="K1575" s="5">
        <v>26</v>
      </c>
      <c r="L1575" s="607" t="s">
        <v>653</v>
      </c>
      <c r="M1575" s="108">
        <v>43087</v>
      </c>
      <c r="N1575" s="108">
        <v>43094</v>
      </c>
      <c r="O1575" s="61" t="s">
        <v>2444</v>
      </c>
      <c r="P1575" s="7"/>
      <c r="Q1575" s="7"/>
      <c r="R1575" s="606" t="s">
        <v>2126</v>
      </c>
      <c r="S1575" s="322" t="s">
        <v>1176</v>
      </c>
      <c r="T1575" s="858"/>
    </row>
    <row r="1576" spans="1:20" ht="20.100000000000001" customHeight="1">
      <c r="A1576" s="1256" t="s">
        <v>2971</v>
      </c>
      <c r="B1576" s="1138" t="s">
        <v>2527</v>
      </c>
      <c r="C1576" s="1138" t="s">
        <v>2808</v>
      </c>
      <c r="D1576" s="1006">
        <f>D41+1120+50</f>
        <v>2720</v>
      </c>
      <c r="E1576" s="1006">
        <f>E41+1130+100</f>
        <v>3030</v>
      </c>
      <c r="F1576" s="1006">
        <f>F41+1130+100</f>
        <v>3030</v>
      </c>
      <c r="G1576" s="608" t="s">
        <v>94</v>
      </c>
      <c r="H1576" s="168" t="s">
        <v>1102</v>
      </c>
      <c r="I1576" s="5" t="s">
        <v>2526</v>
      </c>
      <c r="J1576" s="37" t="s">
        <v>1211</v>
      </c>
      <c r="K1576" s="16">
        <v>26</v>
      </c>
      <c r="L1576" s="607" t="s">
        <v>653</v>
      </c>
      <c r="M1576" s="108">
        <v>43087</v>
      </c>
      <c r="N1576" s="108">
        <v>43094</v>
      </c>
      <c r="O1576" s="61" t="s">
        <v>2444</v>
      </c>
      <c r="P1576" s="7"/>
      <c r="Q1576" s="7"/>
      <c r="R1576" s="606" t="s">
        <v>2524</v>
      </c>
      <c r="S1576" s="322" t="s">
        <v>1176</v>
      </c>
      <c r="T1576" s="858"/>
    </row>
    <row r="1577" spans="1:20" ht="20.100000000000001" customHeight="1">
      <c r="A1577" s="1256" t="s">
        <v>2129</v>
      </c>
      <c r="B1577" s="1138" t="s">
        <v>2527</v>
      </c>
      <c r="C1577" s="1138" t="s">
        <v>2807</v>
      </c>
      <c r="D1577" s="1006">
        <f>D41+1180+50</f>
        <v>2780</v>
      </c>
      <c r="E1577" s="1006">
        <f>E41+1190+100</f>
        <v>3090</v>
      </c>
      <c r="F1577" s="1006">
        <f>F41+1190+100</f>
        <v>3090</v>
      </c>
      <c r="G1577" s="608" t="s">
        <v>94</v>
      </c>
      <c r="H1577" s="168" t="s">
        <v>1102</v>
      </c>
      <c r="I1577" s="5" t="s">
        <v>2526</v>
      </c>
      <c r="J1577" s="37" t="s">
        <v>1211</v>
      </c>
      <c r="K1577" s="16">
        <v>26</v>
      </c>
      <c r="L1577" s="607" t="s">
        <v>653</v>
      </c>
      <c r="M1577" s="108">
        <v>43087</v>
      </c>
      <c r="N1577" s="108">
        <v>43094</v>
      </c>
      <c r="O1577" s="61" t="s">
        <v>2444</v>
      </c>
      <c r="P1577" s="7"/>
      <c r="Q1577" s="7"/>
      <c r="R1577" s="606" t="s">
        <v>2524</v>
      </c>
      <c r="S1577" s="322" t="s">
        <v>1176</v>
      </c>
      <c r="T1577" s="858"/>
    </row>
    <row r="1578" spans="1:20" ht="20.100000000000001" customHeight="1">
      <c r="A1578" s="1256" t="s">
        <v>2971</v>
      </c>
      <c r="B1578" s="1138" t="s">
        <v>2527</v>
      </c>
      <c r="C1578" s="1138" t="s">
        <v>2807</v>
      </c>
      <c r="D1578" s="1006">
        <f>D18+1210+50</f>
        <v>2810</v>
      </c>
      <c r="E1578" s="1006">
        <f>E18+1210+100</f>
        <v>3110</v>
      </c>
      <c r="F1578" s="1006">
        <f>F18+1210+100</f>
        <v>3110</v>
      </c>
      <c r="G1578" s="608" t="s">
        <v>94</v>
      </c>
      <c r="H1578" s="56" t="s">
        <v>657</v>
      </c>
      <c r="I1578" s="5" t="s">
        <v>2127</v>
      </c>
      <c r="J1578" s="37" t="s">
        <v>1211</v>
      </c>
      <c r="K1578" s="5">
        <v>26</v>
      </c>
      <c r="L1578" s="607" t="s">
        <v>653</v>
      </c>
      <c r="M1578" s="108">
        <v>43087</v>
      </c>
      <c r="N1578" s="108">
        <v>43094</v>
      </c>
      <c r="O1578" s="61" t="s">
        <v>2444</v>
      </c>
      <c r="P1578" s="7"/>
      <c r="Q1578" s="7"/>
      <c r="R1578" s="606" t="s">
        <v>2126</v>
      </c>
      <c r="S1578" s="322" t="s">
        <v>1176</v>
      </c>
      <c r="T1578" s="858"/>
    </row>
    <row r="1579" spans="1:20" ht="20.100000000000001" customHeight="1">
      <c r="A1579" s="1256" t="s">
        <v>2971</v>
      </c>
      <c r="B1579" s="1138" t="s">
        <v>2527</v>
      </c>
      <c r="C1579" s="1138" t="s">
        <v>2807</v>
      </c>
      <c r="D1579" s="1006">
        <f>D4+1182</f>
        <v>2357</v>
      </c>
      <c r="E1579" s="1006">
        <f>E4+1182</f>
        <v>2432</v>
      </c>
      <c r="F1579" s="1006">
        <f>F4+1182</f>
        <v>2432</v>
      </c>
      <c r="G1579" s="609" t="s">
        <v>1689</v>
      </c>
      <c r="H1579" s="160" t="s">
        <v>645</v>
      </c>
      <c r="I1579" s="37" t="s">
        <v>2127</v>
      </c>
      <c r="J1579" s="37" t="s">
        <v>2525</v>
      </c>
      <c r="K1579" s="5">
        <v>20</v>
      </c>
      <c r="L1579" s="607" t="s">
        <v>653</v>
      </c>
      <c r="M1579" s="156">
        <v>43076</v>
      </c>
      <c r="N1579" s="156">
        <v>43083</v>
      </c>
      <c r="O1579" s="153" t="s">
        <v>2529</v>
      </c>
      <c r="P1579" s="61"/>
      <c r="Q1579" s="61" t="s">
        <v>2125</v>
      </c>
      <c r="R1579" s="606" t="s">
        <v>2530</v>
      </c>
      <c r="S1579" s="316" t="s">
        <v>2943</v>
      </c>
      <c r="T1579" s="858"/>
    </row>
    <row r="1580" spans="1:20" ht="20.100000000000001" customHeight="1">
      <c r="A1580" s="1256" t="s">
        <v>2971</v>
      </c>
      <c r="B1580" s="1138" t="s">
        <v>2527</v>
      </c>
      <c r="C1580" s="1138" t="s">
        <v>2807</v>
      </c>
      <c r="D1580" s="1006">
        <f>D46+1273</f>
        <v>2448</v>
      </c>
      <c r="E1580" s="1006">
        <f>E46+1273</f>
        <v>2523</v>
      </c>
      <c r="F1580" s="1006">
        <f>F46+1273</f>
        <v>2523</v>
      </c>
      <c r="G1580" s="609" t="s">
        <v>1689</v>
      </c>
      <c r="H1580" s="160" t="s">
        <v>1311</v>
      </c>
      <c r="I1580" s="37" t="s">
        <v>2526</v>
      </c>
      <c r="J1580" s="37" t="s">
        <v>2525</v>
      </c>
      <c r="K1580" s="5">
        <v>30</v>
      </c>
      <c r="L1580" s="607" t="s">
        <v>653</v>
      </c>
      <c r="M1580" s="156">
        <v>43076</v>
      </c>
      <c r="N1580" s="156">
        <v>43083</v>
      </c>
      <c r="O1580" s="153" t="s">
        <v>2529</v>
      </c>
      <c r="P1580" s="61"/>
      <c r="Q1580" s="61" t="s">
        <v>2125</v>
      </c>
      <c r="R1580" s="606" t="s">
        <v>2528</v>
      </c>
      <c r="S1580" s="316" t="s">
        <v>2943</v>
      </c>
      <c r="T1580" s="858"/>
    </row>
    <row r="1581" spans="1:20" ht="20.100000000000001" customHeight="1">
      <c r="A1581" s="1256" t="s">
        <v>2971</v>
      </c>
      <c r="B1581" s="1138" t="s">
        <v>2527</v>
      </c>
      <c r="C1581" s="1138" t="s">
        <v>2807</v>
      </c>
      <c r="D1581" s="1006">
        <f>D30+1350</f>
        <v>2900</v>
      </c>
      <c r="E1581" s="1006">
        <f>E30+1350</f>
        <v>3150</v>
      </c>
      <c r="F1581" s="1006">
        <f>F30+1350</f>
        <v>3150</v>
      </c>
      <c r="G1581" s="615" t="s">
        <v>51</v>
      </c>
      <c r="H1581" s="160" t="s">
        <v>2532</v>
      </c>
      <c r="I1581" s="37" t="s">
        <v>2127</v>
      </c>
      <c r="J1581" s="37" t="s">
        <v>2525</v>
      </c>
      <c r="K1581" s="5"/>
      <c r="L1581" s="607" t="s">
        <v>653</v>
      </c>
      <c r="M1581" s="611">
        <v>43086</v>
      </c>
      <c r="N1581" s="611">
        <v>43100</v>
      </c>
      <c r="O1581" s="61" t="s">
        <v>3291</v>
      </c>
      <c r="P1581" s="52"/>
      <c r="Q1581" s="61" t="s">
        <v>2466</v>
      </c>
      <c r="R1581" s="610"/>
      <c r="S1581" s="315" t="s">
        <v>3290</v>
      </c>
      <c r="T1581" s="858"/>
    </row>
    <row r="1582" spans="1:20" ht="20.100000000000001" customHeight="1">
      <c r="A1582" s="1256" t="s">
        <v>2971</v>
      </c>
      <c r="B1582" s="1138" t="s">
        <v>2527</v>
      </c>
      <c r="C1582" s="1138" t="s">
        <v>2807</v>
      </c>
      <c r="D1582" s="1006">
        <f>D18+1450+50</f>
        <v>3050</v>
      </c>
      <c r="E1582" s="1006">
        <f>E18+1450+100</f>
        <v>3350</v>
      </c>
      <c r="F1582" s="1006">
        <f>F18+1450+100</f>
        <v>3350</v>
      </c>
      <c r="G1582" s="608" t="s">
        <v>94</v>
      </c>
      <c r="H1582" s="56" t="s">
        <v>657</v>
      </c>
      <c r="I1582" s="5" t="s">
        <v>2127</v>
      </c>
      <c r="J1582" s="37" t="s">
        <v>2525</v>
      </c>
      <c r="K1582" s="5">
        <v>22</v>
      </c>
      <c r="L1582" s="607" t="s">
        <v>653</v>
      </c>
      <c r="M1582" s="108">
        <v>43087</v>
      </c>
      <c r="N1582" s="108">
        <v>43094</v>
      </c>
      <c r="O1582" s="61" t="s">
        <v>2444</v>
      </c>
      <c r="P1582" s="7"/>
      <c r="Q1582" s="7"/>
      <c r="R1582" s="606" t="s">
        <v>2126</v>
      </c>
      <c r="S1582" s="322" t="s">
        <v>1176</v>
      </c>
      <c r="T1582" s="858"/>
    </row>
    <row r="1583" spans="1:20" ht="20.100000000000001" customHeight="1">
      <c r="A1583" s="1256" t="s">
        <v>2971</v>
      </c>
      <c r="B1583" s="1138" t="s">
        <v>2527</v>
      </c>
      <c r="C1583" s="1138" t="s">
        <v>2807</v>
      </c>
      <c r="D1583" s="1006">
        <f>D41+1450+50</f>
        <v>3050</v>
      </c>
      <c r="E1583" s="1006">
        <f>E41+1450+100</f>
        <v>3350</v>
      </c>
      <c r="F1583" s="1006">
        <f>F41+1450+100</f>
        <v>3350</v>
      </c>
      <c r="G1583" s="608" t="s">
        <v>94</v>
      </c>
      <c r="H1583" s="168" t="s">
        <v>1102</v>
      </c>
      <c r="I1583" s="37" t="s">
        <v>2526</v>
      </c>
      <c r="J1583" s="37" t="s">
        <v>2525</v>
      </c>
      <c r="K1583" s="16">
        <v>26</v>
      </c>
      <c r="L1583" s="607" t="s">
        <v>653</v>
      </c>
      <c r="M1583" s="108">
        <v>43087</v>
      </c>
      <c r="N1583" s="108">
        <v>43094</v>
      </c>
      <c r="O1583" s="61" t="s">
        <v>2444</v>
      </c>
      <c r="P1583" s="7"/>
      <c r="Q1583" s="7"/>
      <c r="R1583" s="606" t="s">
        <v>2524</v>
      </c>
      <c r="S1583" s="322" t="s">
        <v>1176</v>
      </c>
      <c r="T1583" s="858"/>
    </row>
    <row r="1584" spans="1:20" ht="20.100000000000001" customHeight="1">
      <c r="A1584" s="925" t="s">
        <v>2972</v>
      </c>
      <c r="B1584" s="899" t="s">
        <v>2527</v>
      </c>
      <c r="C1584" s="899" t="s">
        <v>2806</v>
      </c>
      <c r="D1584" s="1006">
        <f>D18+1250+50</f>
        <v>2850</v>
      </c>
      <c r="E1584" s="1006">
        <f>E18+1350+100</f>
        <v>3250</v>
      </c>
      <c r="F1584" s="1006">
        <f>F18+1350+100</f>
        <v>3250</v>
      </c>
      <c r="G1584" s="608" t="s">
        <v>94</v>
      </c>
      <c r="H1584" s="56" t="s">
        <v>657</v>
      </c>
      <c r="I1584" s="5" t="s">
        <v>2127</v>
      </c>
      <c r="J1584" s="37" t="s">
        <v>1211</v>
      </c>
      <c r="K1584" s="5">
        <v>26</v>
      </c>
      <c r="L1584" s="607" t="s">
        <v>653</v>
      </c>
      <c r="M1584" s="108">
        <v>43087</v>
      </c>
      <c r="N1584" s="108">
        <v>43094</v>
      </c>
      <c r="O1584" s="61" t="s">
        <v>2444</v>
      </c>
      <c r="P1584" s="7"/>
      <c r="Q1584" s="7"/>
      <c r="R1584" s="606" t="s">
        <v>2126</v>
      </c>
      <c r="S1584" s="322" t="s">
        <v>1176</v>
      </c>
      <c r="T1584" s="858"/>
    </row>
    <row r="1585" spans="1:20" ht="20.100000000000001" customHeight="1">
      <c r="A1585" s="1256" t="s">
        <v>2971</v>
      </c>
      <c r="B1585" s="1138" t="s">
        <v>2527</v>
      </c>
      <c r="C1585" s="1138" t="s">
        <v>2805</v>
      </c>
      <c r="D1585" s="1008">
        <f>D4+974</f>
        <v>2149</v>
      </c>
      <c r="E1585" s="1008">
        <f>E4+1080</f>
        <v>2330</v>
      </c>
      <c r="F1585" s="1008">
        <f>F4+1080</f>
        <v>2330</v>
      </c>
      <c r="G1585" s="609" t="s">
        <v>1689</v>
      </c>
      <c r="H1585" s="160" t="s">
        <v>645</v>
      </c>
      <c r="I1585" s="37" t="s">
        <v>2127</v>
      </c>
      <c r="J1585" s="37" t="s">
        <v>1211</v>
      </c>
      <c r="K1585" s="5">
        <v>20</v>
      </c>
      <c r="L1585" s="607" t="s">
        <v>653</v>
      </c>
      <c r="M1585" s="156">
        <v>43076</v>
      </c>
      <c r="N1585" s="156">
        <v>43083</v>
      </c>
      <c r="O1585" s="153" t="s">
        <v>2529</v>
      </c>
      <c r="P1585" s="61"/>
      <c r="Q1585" s="61" t="s">
        <v>2133</v>
      </c>
      <c r="R1585" s="606" t="s">
        <v>2530</v>
      </c>
      <c r="S1585" s="316" t="s">
        <v>2943</v>
      </c>
      <c r="T1585" s="858"/>
    </row>
    <row r="1586" spans="1:20" ht="20.100000000000001" customHeight="1">
      <c r="A1586" s="1256" t="s">
        <v>2971</v>
      </c>
      <c r="B1586" s="1138" t="s">
        <v>2527</v>
      </c>
      <c r="C1586" s="1138" t="s">
        <v>2805</v>
      </c>
      <c r="D1586" s="1008">
        <f>D46+1093</f>
        <v>2268</v>
      </c>
      <c r="E1586" s="1008">
        <f>E46+1274</f>
        <v>2524</v>
      </c>
      <c r="F1586" s="1008">
        <f>F46+1274</f>
        <v>2524</v>
      </c>
      <c r="G1586" s="609" t="s">
        <v>1689</v>
      </c>
      <c r="H1586" s="160" t="s">
        <v>1311</v>
      </c>
      <c r="I1586" s="37" t="s">
        <v>2526</v>
      </c>
      <c r="J1586" s="37" t="s">
        <v>1211</v>
      </c>
      <c r="K1586" s="5">
        <v>30</v>
      </c>
      <c r="L1586" s="607" t="s">
        <v>653</v>
      </c>
      <c r="M1586" s="156">
        <v>43076</v>
      </c>
      <c r="N1586" s="156">
        <v>43083</v>
      </c>
      <c r="O1586" s="153" t="s">
        <v>2529</v>
      </c>
      <c r="P1586" s="61"/>
      <c r="Q1586" s="61" t="s">
        <v>2128</v>
      </c>
      <c r="R1586" s="606" t="s">
        <v>2528</v>
      </c>
      <c r="S1586" s="316" t="s">
        <v>2943</v>
      </c>
      <c r="T1586" s="858"/>
    </row>
    <row r="1587" spans="1:20" ht="20.100000000000001" customHeight="1">
      <c r="A1587" s="1256" t="s">
        <v>2971</v>
      </c>
      <c r="B1587" s="1138" t="s">
        <v>2527</v>
      </c>
      <c r="C1587" s="1138" t="s">
        <v>2805</v>
      </c>
      <c r="D1587" s="1008">
        <f>D41+1240+50</f>
        <v>2840</v>
      </c>
      <c r="E1587" s="1008">
        <f>E41+1250+100</f>
        <v>3150</v>
      </c>
      <c r="F1587" s="1008">
        <f>F41+1250+100</f>
        <v>3150</v>
      </c>
      <c r="G1587" s="608" t="s">
        <v>94</v>
      </c>
      <c r="H1587" s="168" t="s">
        <v>1102</v>
      </c>
      <c r="I1587" s="5" t="s">
        <v>2526</v>
      </c>
      <c r="J1587" s="37" t="s">
        <v>1211</v>
      </c>
      <c r="K1587" s="16">
        <v>26</v>
      </c>
      <c r="L1587" s="607" t="s">
        <v>653</v>
      </c>
      <c r="M1587" s="108">
        <v>43087</v>
      </c>
      <c r="N1587" s="108">
        <v>43094</v>
      </c>
      <c r="O1587" s="61" t="s">
        <v>2444</v>
      </c>
      <c r="P1587" s="7"/>
      <c r="Q1587" s="7"/>
      <c r="R1587" s="606" t="s">
        <v>2524</v>
      </c>
      <c r="S1587" s="322" t="s">
        <v>1176</v>
      </c>
      <c r="T1587" s="858"/>
    </row>
    <row r="1588" spans="1:20" ht="20.100000000000001" customHeight="1">
      <c r="A1588" s="1256" t="s">
        <v>2971</v>
      </c>
      <c r="B1588" s="1138" t="s">
        <v>2527</v>
      </c>
      <c r="C1588" s="1138" t="s">
        <v>2805</v>
      </c>
      <c r="D1588" s="1008">
        <f>D18+1270+50</f>
        <v>2870</v>
      </c>
      <c r="E1588" s="1008">
        <f>E18+1270+100</f>
        <v>3170</v>
      </c>
      <c r="F1588" s="1008">
        <f>F18+1270+100</f>
        <v>3170</v>
      </c>
      <c r="G1588" s="608" t="s">
        <v>94</v>
      </c>
      <c r="H1588" s="56" t="s">
        <v>657</v>
      </c>
      <c r="I1588" s="5" t="s">
        <v>2127</v>
      </c>
      <c r="J1588" s="37" t="s">
        <v>1211</v>
      </c>
      <c r="K1588" s="5">
        <v>26</v>
      </c>
      <c r="L1588" s="607" t="s">
        <v>653</v>
      </c>
      <c r="M1588" s="108">
        <v>43087</v>
      </c>
      <c r="N1588" s="108">
        <v>43094</v>
      </c>
      <c r="O1588" s="61" t="s">
        <v>2444</v>
      </c>
      <c r="P1588" s="7"/>
      <c r="Q1588" s="7"/>
      <c r="R1588" s="606" t="s">
        <v>2126</v>
      </c>
      <c r="S1588" s="322" t="s">
        <v>1176</v>
      </c>
      <c r="T1588" s="858"/>
    </row>
    <row r="1589" spans="1:20" ht="20.100000000000001" customHeight="1">
      <c r="A1589" s="1256" t="s">
        <v>2971</v>
      </c>
      <c r="B1589" s="1138" t="s">
        <v>2527</v>
      </c>
      <c r="C1589" s="1138" t="s">
        <v>2805</v>
      </c>
      <c r="D1589" s="1008">
        <f>D136+1350</f>
        <v>2950</v>
      </c>
      <c r="E1589" s="1008">
        <f>E136+1500</f>
        <v>3500</v>
      </c>
      <c r="F1589" s="1008">
        <f>F136+1500</f>
        <v>3500</v>
      </c>
      <c r="G1589" s="613" t="s">
        <v>33</v>
      </c>
      <c r="H1589" s="56" t="s">
        <v>681</v>
      </c>
      <c r="I1589" s="37" t="s">
        <v>2526</v>
      </c>
      <c r="J1589" s="37" t="s">
        <v>1211</v>
      </c>
      <c r="K1589" s="16">
        <v>20</v>
      </c>
      <c r="L1589" s="607" t="s">
        <v>653</v>
      </c>
      <c r="M1589" s="159">
        <v>43080</v>
      </c>
      <c r="N1589" s="159">
        <v>43086</v>
      </c>
      <c r="O1589" s="153" t="s">
        <v>2445</v>
      </c>
      <c r="P1589" s="61"/>
      <c r="Q1589" s="7"/>
      <c r="R1589" s="606" t="s">
        <v>2538</v>
      </c>
      <c r="S1589" s="316" t="s">
        <v>3333</v>
      </c>
      <c r="T1589" s="858"/>
    </row>
    <row r="1590" spans="1:20" ht="20.100000000000001" customHeight="1">
      <c r="A1590" s="1256" t="s">
        <v>2971</v>
      </c>
      <c r="B1590" s="1138" t="s">
        <v>2527</v>
      </c>
      <c r="C1590" s="1138" t="s">
        <v>2805</v>
      </c>
      <c r="D1590" s="1008">
        <f>D135+1350</f>
        <v>2950</v>
      </c>
      <c r="E1590" s="1008">
        <f>E135+1500</f>
        <v>3500</v>
      </c>
      <c r="F1590" s="1008">
        <f>F135+1500</f>
        <v>3500</v>
      </c>
      <c r="G1590" s="613" t="s">
        <v>33</v>
      </c>
      <c r="H1590" s="56" t="s">
        <v>2535</v>
      </c>
      <c r="I1590" s="37" t="s">
        <v>2127</v>
      </c>
      <c r="J1590" s="37" t="s">
        <v>1211</v>
      </c>
      <c r="K1590" s="16">
        <v>20</v>
      </c>
      <c r="L1590" s="607" t="s">
        <v>653</v>
      </c>
      <c r="M1590" s="159">
        <v>43080</v>
      </c>
      <c r="N1590" s="159">
        <v>43086</v>
      </c>
      <c r="O1590" s="153" t="s">
        <v>2445</v>
      </c>
      <c r="P1590" s="61"/>
      <c r="Q1590" s="7"/>
      <c r="R1590" s="606" t="s">
        <v>2542</v>
      </c>
      <c r="S1590" s="316" t="s">
        <v>3333</v>
      </c>
      <c r="T1590" s="858"/>
    </row>
    <row r="1591" spans="1:20" ht="20.100000000000001" customHeight="1">
      <c r="A1591" s="1256" t="s">
        <v>2971</v>
      </c>
      <c r="B1591" s="1138" t="s">
        <v>2527</v>
      </c>
      <c r="C1591" s="1138" t="s">
        <v>2805</v>
      </c>
      <c r="D1591" s="1008">
        <f>D4+1292</f>
        <v>2467</v>
      </c>
      <c r="E1591" s="1008">
        <f>E4+1292</f>
        <v>2542</v>
      </c>
      <c r="F1591" s="1008">
        <f>F4+1292</f>
        <v>2542</v>
      </c>
      <c r="G1591" s="609" t="s">
        <v>1689</v>
      </c>
      <c r="H1591" s="160" t="s">
        <v>645</v>
      </c>
      <c r="I1591" s="37" t="s">
        <v>2127</v>
      </c>
      <c r="J1591" s="37" t="s">
        <v>2525</v>
      </c>
      <c r="K1591" s="5">
        <v>20</v>
      </c>
      <c r="L1591" s="607" t="s">
        <v>653</v>
      </c>
      <c r="M1591" s="156">
        <v>43076</v>
      </c>
      <c r="N1591" s="156">
        <v>43083</v>
      </c>
      <c r="O1591" s="153" t="s">
        <v>2529</v>
      </c>
      <c r="P1591" s="61"/>
      <c r="Q1591" s="61" t="s">
        <v>2125</v>
      </c>
      <c r="R1591" s="606" t="s">
        <v>2530</v>
      </c>
      <c r="S1591" s="316" t="s">
        <v>2943</v>
      </c>
      <c r="T1591" s="858"/>
    </row>
    <row r="1592" spans="1:20" ht="20.100000000000001" customHeight="1">
      <c r="A1592" s="1256" t="s">
        <v>2971</v>
      </c>
      <c r="B1592" s="1138" t="s">
        <v>2527</v>
      </c>
      <c r="C1592" s="1138" t="s">
        <v>2805</v>
      </c>
      <c r="D1592" s="1008">
        <f>D46+1308</f>
        <v>2483</v>
      </c>
      <c r="E1592" s="1008">
        <f>E46+1308</f>
        <v>2558</v>
      </c>
      <c r="F1592" s="1008">
        <f>F46+1308</f>
        <v>2558</v>
      </c>
      <c r="G1592" s="609" t="s">
        <v>1689</v>
      </c>
      <c r="H1592" s="160" t="s">
        <v>1311</v>
      </c>
      <c r="I1592" s="37" t="s">
        <v>2526</v>
      </c>
      <c r="J1592" s="37" t="s">
        <v>2525</v>
      </c>
      <c r="K1592" s="5">
        <v>30</v>
      </c>
      <c r="L1592" s="607" t="s">
        <v>653</v>
      </c>
      <c r="M1592" s="156">
        <v>43076</v>
      </c>
      <c r="N1592" s="156">
        <v>43083</v>
      </c>
      <c r="O1592" s="153" t="s">
        <v>2529</v>
      </c>
      <c r="P1592" s="61"/>
      <c r="Q1592" s="61" t="s">
        <v>2125</v>
      </c>
      <c r="R1592" s="606" t="s">
        <v>2528</v>
      </c>
      <c r="S1592" s="316" t="s">
        <v>2943</v>
      </c>
      <c r="T1592" s="858"/>
    </row>
    <row r="1593" spans="1:20" ht="20.100000000000001" customHeight="1">
      <c r="A1593" s="1256" t="s">
        <v>2971</v>
      </c>
      <c r="B1593" s="1138" t="s">
        <v>2527</v>
      </c>
      <c r="C1593" s="1138" t="s">
        <v>2805</v>
      </c>
      <c r="D1593" s="1008">
        <f>D30+1600</f>
        <v>3150</v>
      </c>
      <c r="E1593" s="1008">
        <f>E30+1105</f>
        <v>2905</v>
      </c>
      <c r="F1593" s="1008">
        <f>F30+1105</f>
        <v>2905</v>
      </c>
      <c r="G1593" s="615" t="s">
        <v>51</v>
      </c>
      <c r="H1593" s="160" t="s">
        <v>2532</v>
      </c>
      <c r="I1593" s="37" t="s">
        <v>2127</v>
      </c>
      <c r="J1593" s="37" t="s">
        <v>2525</v>
      </c>
      <c r="K1593" s="5"/>
      <c r="L1593" s="607" t="s">
        <v>653</v>
      </c>
      <c r="M1593" s="611">
        <v>43086</v>
      </c>
      <c r="N1593" s="611">
        <v>43100</v>
      </c>
      <c r="O1593" s="61" t="s">
        <v>3291</v>
      </c>
      <c r="P1593" s="52"/>
      <c r="Q1593" s="61" t="s">
        <v>2466</v>
      </c>
      <c r="R1593" s="610"/>
      <c r="S1593" s="315" t="s">
        <v>3290</v>
      </c>
      <c r="T1593" s="858"/>
    </row>
    <row r="1594" spans="1:20" ht="20.100000000000001" customHeight="1">
      <c r="A1594" s="1256" t="s">
        <v>2971</v>
      </c>
      <c r="B1594" s="1138" t="s">
        <v>2527</v>
      </c>
      <c r="C1594" s="1138" t="s">
        <v>2805</v>
      </c>
      <c r="D1594" s="1008">
        <f>D53+1800</f>
        <v>3350</v>
      </c>
      <c r="E1594" s="1008">
        <f>E53+1800</f>
        <v>3600</v>
      </c>
      <c r="F1594" s="1008">
        <f>F53+1800</f>
        <v>3600</v>
      </c>
      <c r="G1594" s="615" t="s">
        <v>51</v>
      </c>
      <c r="H1594" s="160" t="s">
        <v>645</v>
      </c>
      <c r="I1594" s="37" t="s">
        <v>2526</v>
      </c>
      <c r="J1594" s="37" t="s">
        <v>2525</v>
      </c>
      <c r="K1594" s="5"/>
      <c r="L1594" s="607" t="s">
        <v>653</v>
      </c>
      <c r="M1594" s="611">
        <v>43086</v>
      </c>
      <c r="N1594" s="611">
        <v>43100</v>
      </c>
      <c r="O1594" s="61" t="s">
        <v>3291</v>
      </c>
      <c r="P1594" s="52"/>
      <c r="Q1594" s="61" t="s">
        <v>2466</v>
      </c>
      <c r="R1594" s="610"/>
      <c r="S1594" s="315" t="s">
        <v>3290</v>
      </c>
      <c r="T1594" s="858"/>
    </row>
    <row r="1595" spans="1:20" ht="20.100000000000001" customHeight="1">
      <c r="A1595" s="1256" t="s">
        <v>2971</v>
      </c>
      <c r="B1595" s="1138" t="s">
        <v>2527</v>
      </c>
      <c r="C1595" s="1138" t="s">
        <v>2805</v>
      </c>
      <c r="D1595" s="1008">
        <f>D41+1644+50</f>
        <v>3244</v>
      </c>
      <c r="E1595" s="1008">
        <f>E41+1644+100</f>
        <v>3544</v>
      </c>
      <c r="F1595" s="1008">
        <f>F41+1644+100</f>
        <v>3544</v>
      </c>
      <c r="G1595" s="608" t="s">
        <v>94</v>
      </c>
      <c r="H1595" s="168" t="s">
        <v>1102</v>
      </c>
      <c r="I1595" s="5" t="s">
        <v>2526</v>
      </c>
      <c r="J1595" s="37" t="s">
        <v>2525</v>
      </c>
      <c r="K1595" s="16">
        <v>26</v>
      </c>
      <c r="L1595" s="607" t="s">
        <v>653</v>
      </c>
      <c r="M1595" s="108">
        <v>43087</v>
      </c>
      <c r="N1595" s="108">
        <v>43094</v>
      </c>
      <c r="O1595" s="61" t="s">
        <v>2444</v>
      </c>
      <c r="P1595" s="7"/>
      <c r="Q1595" s="7"/>
      <c r="R1595" s="606" t="s">
        <v>2524</v>
      </c>
      <c r="S1595" s="322" t="s">
        <v>1176</v>
      </c>
      <c r="T1595" s="858"/>
    </row>
    <row r="1596" spans="1:20" ht="20.100000000000001" customHeight="1">
      <c r="A1596" s="1256" t="s">
        <v>2971</v>
      </c>
      <c r="B1596" s="1138" t="s">
        <v>2527</v>
      </c>
      <c r="C1596" s="1138" t="s">
        <v>2805</v>
      </c>
      <c r="D1596" s="1008">
        <f>D18+1600+50</f>
        <v>3200</v>
      </c>
      <c r="E1596" s="1008">
        <f>E18+1600+100</f>
        <v>3500</v>
      </c>
      <c r="F1596" s="1008">
        <f>F18+1600+100</f>
        <v>3500</v>
      </c>
      <c r="G1596" s="608" t="s">
        <v>94</v>
      </c>
      <c r="H1596" s="56" t="s">
        <v>657</v>
      </c>
      <c r="I1596" s="5" t="s">
        <v>2127</v>
      </c>
      <c r="J1596" s="37" t="s">
        <v>2525</v>
      </c>
      <c r="K1596" s="5">
        <v>22</v>
      </c>
      <c r="L1596" s="607" t="s">
        <v>653</v>
      </c>
      <c r="M1596" s="108">
        <v>43087</v>
      </c>
      <c r="N1596" s="108">
        <v>43094</v>
      </c>
      <c r="O1596" s="61" t="s">
        <v>2444</v>
      </c>
      <c r="P1596" s="7"/>
      <c r="Q1596" s="7"/>
      <c r="R1596" s="606" t="s">
        <v>2126</v>
      </c>
      <c r="S1596" s="322" t="s">
        <v>1176</v>
      </c>
      <c r="T1596" s="858"/>
    </row>
    <row r="1597" spans="1:20" ht="20.100000000000001" customHeight="1">
      <c r="A1597" s="1256" t="s">
        <v>2971</v>
      </c>
      <c r="B1597" s="1138" t="s">
        <v>2527</v>
      </c>
      <c r="C1597" s="1138" t="s">
        <v>2805</v>
      </c>
      <c r="D1597" s="1008">
        <f>D32+1900</f>
        <v>3150</v>
      </c>
      <c r="E1597" s="1008">
        <f>E32+1900</f>
        <v>3300</v>
      </c>
      <c r="F1597" s="1008">
        <f>F32+1900</f>
        <v>3300</v>
      </c>
      <c r="G1597" s="613" t="s">
        <v>13</v>
      </c>
      <c r="H1597" s="56">
        <v>6</v>
      </c>
      <c r="I1597" s="37" t="s">
        <v>2127</v>
      </c>
      <c r="J1597" s="37" t="s">
        <v>2525</v>
      </c>
      <c r="K1597" s="16">
        <v>18</v>
      </c>
      <c r="L1597" s="607" t="s">
        <v>653</v>
      </c>
      <c r="M1597" s="156">
        <v>43073</v>
      </c>
      <c r="N1597" s="156">
        <v>43083</v>
      </c>
      <c r="O1597" s="61" t="s">
        <v>3335</v>
      </c>
      <c r="P1597" s="61"/>
      <c r="Q1597" s="7"/>
      <c r="R1597" s="606" t="s">
        <v>3336</v>
      </c>
      <c r="S1597" s="316" t="s">
        <v>3334</v>
      </c>
      <c r="T1597" s="858"/>
    </row>
    <row r="1598" spans="1:20" ht="20.100000000000001" customHeight="1">
      <c r="A1598" s="1256" t="s">
        <v>2971</v>
      </c>
      <c r="B1598" s="1138" t="s">
        <v>2527</v>
      </c>
      <c r="C1598" s="1138" t="s">
        <v>2805</v>
      </c>
      <c r="D1598" s="1008">
        <f>D135+2500</f>
        <v>4100</v>
      </c>
      <c r="E1598" s="1008">
        <f>E135+2500</f>
        <v>4500</v>
      </c>
      <c r="F1598" s="1008">
        <f>F135+2500</f>
        <v>4500</v>
      </c>
      <c r="G1598" s="613" t="s">
        <v>33</v>
      </c>
      <c r="H1598" s="56" t="s">
        <v>2535</v>
      </c>
      <c r="I1598" s="37" t="s">
        <v>2127</v>
      </c>
      <c r="J1598" s="37" t="s">
        <v>2525</v>
      </c>
      <c r="K1598" s="16">
        <v>20</v>
      </c>
      <c r="L1598" s="607" t="s">
        <v>653</v>
      </c>
      <c r="M1598" s="159">
        <v>43080</v>
      </c>
      <c r="N1598" s="159">
        <v>43086</v>
      </c>
      <c r="O1598" s="153" t="s">
        <v>2445</v>
      </c>
      <c r="P1598" s="61"/>
      <c r="Q1598" s="7"/>
      <c r="R1598" s="606" t="s">
        <v>2542</v>
      </c>
      <c r="S1598" s="316" t="s">
        <v>3333</v>
      </c>
      <c r="T1598" s="858"/>
    </row>
    <row r="1599" spans="1:20" ht="20.100000000000001" customHeight="1">
      <c r="A1599" s="925" t="s">
        <v>2971</v>
      </c>
      <c r="B1599" s="899" t="s">
        <v>2527</v>
      </c>
      <c r="C1599" s="899" t="s">
        <v>2804</v>
      </c>
      <c r="D1599" s="1008">
        <f>D18+950+50</f>
        <v>2550</v>
      </c>
      <c r="E1599" s="1008">
        <f>E18+950+100</f>
        <v>2850</v>
      </c>
      <c r="F1599" s="1008">
        <f>F18+950+100</f>
        <v>2850</v>
      </c>
      <c r="G1599" s="608" t="s">
        <v>94</v>
      </c>
      <c r="H1599" s="56" t="s">
        <v>657</v>
      </c>
      <c r="I1599" s="5" t="s">
        <v>2127</v>
      </c>
      <c r="J1599" s="37" t="s">
        <v>2525</v>
      </c>
      <c r="K1599" s="16">
        <v>21</v>
      </c>
      <c r="L1599" s="607" t="s">
        <v>653</v>
      </c>
      <c r="M1599" s="108">
        <v>43087</v>
      </c>
      <c r="N1599" s="108">
        <v>43094</v>
      </c>
      <c r="O1599" s="61" t="s">
        <v>2444</v>
      </c>
      <c r="P1599" s="7"/>
      <c r="Q1599" s="7"/>
      <c r="R1599" s="606" t="s">
        <v>2126</v>
      </c>
      <c r="S1599" s="322" t="s">
        <v>1176</v>
      </c>
      <c r="T1599" s="858"/>
    </row>
    <row r="1600" spans="1:20" ht="20.100000000000001" customHeight="1">
      <c r="A1600" s="1256" t="s">
        <v>2971</v>
      </c>
      <c r="B1600" s="1138" t="s">
        <v>2527</v>
      </c>
      <c r="C1600" s="1138" t="s">
        <v>2803</v>
      </c>
      <c r="D1600" s="1006">
        <f>D46+560</f>
        <v>1735</v>
      </c>
      <c r="E1600" s="1006">
        <f>E46+601</f>
        <v>1851</v>
      </c>
      <c r="F1600" s="1006">
        <f>F46+601</f>
        <v>1851</v>
      </c>
      <c r="G1600" s="609" t="s">
        <v>1689</v>
      </c>
      <c r="H1600" s="160" t="s">
        <v>1311</v>
      </c>
      <c r="I1600" s="37" t="s">
        <v>2526</v>
      </c>
      <c r="J1600" s="37" t="s">
        <v>2539</v>
      </c>
      <c r="K1600" s="5">
        <v>30</v>
      </c>
      <c r="L1600" s="607" t="s">
        <v>653</v>
      </c>
      <c r="M1600" s="156">
        <v>43076</v>
      </c>
      <c r="N1600" s="156">
        <v>43083</v>
      </c>
      <c r="O1600" s="153" t="s">
        <v>2529</v>
      </c>
      <c r="P1600" s="61"/>
      <c r="Q1600" s="61" t="s">
        <v>2128</v>
      </c>
      <c r="R1600" s="606" t="s">
        <v>2528</v>
      </c>
      <c r="S1600" s="316" t="s">
        <v>2943</v>
      </c>
      <c r="T1600" s="858"/>
    </row>
    <row r="1601" spans="1:20" ht="20.100000000000001" customHeight="1">
      <c r="A1601" s="1256" t="s">
        <v>2971</v>
      </c>
      <c r="B1601" s="1138" t="s">
        <v>2527</v>
      </c>
      <c r="C1601" s="1138" t="s">
        <v>2803</v>
      </c>
      <c r="D1601" s="1006">
        <f>D53+510</f>
        <v>2060</v>
      </c>
      <c r="E1601" s="1006">
        <f>E53+561</f>
        <v>2361</v>
      </c>
      <c r="F1601" s="1006">
        <f>F53+561</f>
        <v>2361</v>
      </c>
      <c r="G1601" s="615" t="s">
        <v>51</v>
      </c>
      <c r="H1601" s="160" t="s">
        <v>645</v>
      </c>
      <c r="I1601" s="37" t="s">
        <v>2526</v>
      </c>
      <c r="J1601" s="37" t="s">
        <v>2539</v>
      </c>
      <c r="K1601" s="5"/>
      <c r="L1601" s="607" t="s">
        <v>653</v>
      </c>
      <c r="M1601" s="611">
        <v>43086</v>
      </c>
      <c r="N1601" s="611">
        <v>43100</v>
      </c>
      <c r="O1601" s="61" t="s">
        <v>3291</v>
      </c>
      <c r="P1601" s="52"/>
      <c r="Q1601" s="61"/>
      <c r="R1601" s="610"/>
      <c r="S1601" s="315" t="s">
        <v>3290</v>
      </c>
      <c r="T1601" s="858"/>
    </row>
    <row r="1602" spans="1:20" ht="20.100000000000001" customHeight="1">
      <c r="A1602" s="1256" t="s">
        <v>2971</v>
      </c>
      <c r="B1602" s="1138" t="s">
        <v>2527</v>
      </c>
      <c r="C1602" s="1138" t="s">
        <v>2803</v>
      </c>
      <c r="D1602" s="1006">
        <f>D41+700+50</f>
        <v>2300</v>
      </c>
      <c r="E1602" s="1006">
        <f>E41+780+100</f>
        <v>2680</v>
      </c>
      <c r="F1602" s="1006">
        <f>F41+780+100</f>
        <v>2680</v>
      </c>
      <c r="G1602" s="608" t="s">
        <v>94</v>
      </c>
      <c r="H1602" s="168" t="s">
        <v>1102</v>
      </c>
      <c r="I1602" s="37" t="s">
        <v>2526</v>
      </c>
      <c r="J1602" s="37" t="s">
        <v>2539</v>
      </c>
      <c r="K1602" s="5">
        <v>29</v>
      </c>
      <c r="L1602" s="607" t="s">
        <v>653</v>
      </c>
      <c r="M1602" s="108">
        <v>43087</v>
      </c>
      <c r="N1602" s="108">
        <v>43094</v>
      </c>
      <c r="O1602" s="61" t="s">
        <v>2444</v>
      </c>
      <c r="P1602" s="7"/>
      <c r="Q1602" s="7"/>
      <c r="R1602" s="606" t="s">
        <v>2524</v>
      </c>
      <c r="S1602" s="322" t="s">
        <v>1176</v>
      </c>
      <c r="T1602" s="858"/>
    </row>
    <row r="1603" spans="1:20" ht="20.100000000000001" customHeight="1">
      <c r="A1603" s="1256" t="s">
        <v>2971</v>
      </c>
      <c r="B1603" s="1138" t="s">
        <v>2527</v>
      </c>
      <c r="C1603" s="1138" t="s">
        <v>2803</v>
      </c>
      <c r="D1603" s="1006">
        <f>D136+500</f>
        <v>2100</v>
      </c>
      <c r="E1603" s="1006">
        <f>E136+600</f>
        <v>2600</v>
      </c>
      <c r="F1603" s="1006">
        <f>F136+600</f>
        <v>2600</v>
      </c>
      <c r="G1603" s="613" t="s">
        <v>33</v>
      </c>
      <c r="H1603" s="56">
        <v>5</v>
      </c>
      <c r="I1603" s="37" t="s">
        <v>2526</v>
      </c>
      <c r="J1603" s="37" t="s">
        <v>2539</v>
      </c>
      <c r="K1603" s="16">
        <v>20</v>
      </c>
      <c r="L1603" s="607" t="s">
        <v>653</v>
      </c>
      <c r="M1603" s="159">
        <v>43080</v>
      </c>
      <c r="N1603" s="159">
        <v>43086</v>
      </c>
      <c r="O1603" s="153" t="s">
        <v>2445</v>
      </c>
      <c r="P1603" s="61"/>
      <c r="Q1603" s="7"/>
      <c r="R1603" s="606" t="s">
        <v>2538</v>
      </c>
      <c r="S1603" s="316" t="s">
        <v>3333</v>
      </c>
      <c r="T1603" s="858"/>
    </row>
    <row r="1604" spans="1:20" ht="20.100000000000001" customHeight="1">
      <c r="A1604" s="1256" t="s">
        <v>2971</v>
      </c>
      <c r="B1604" s="1138" t="s">
        <v>2527</v>
      </c>
      <c r="C1604" s="1138" t="s">
        <v>2803</v>
      </c>
      <c r="D1604" s="1006">
        <f>D49+600</f>
        <v>1850</v>
      </c>
      <c r="E1604" s="1006">
        <f>E49+630</f>
        <v>2030</v>
      </c>
      <c r="F1604" s="1006">
        <f>F49+630</f>
        <v>2030</v>
      </c>
      <c r="G1604" s="613" t="s">
        <v>13</v>
      </c>
      <c r="H1604" s="56">
        <v>5</v>
      </c>
      <c r="I1604" s="37" t="s">
        <v>2526</v>
      </c>
      <c r="J1604" s="37" t="s">
        <v>2539</v>
      </c>
      <c r="K1604" s="16">
        <v>20</v>
      </c>
      <c r="L1604" s="607" t="s">
        <v>653</v>
      </c>
      <c r="M1604" s="156">
        <v>43073</v>
      </c>
      <c r="N1604" s="156">
        <v>43083</v>
      </c>
      <c r="O1604" s="61" t="s">
        <v>3335</v>
      </c>
      <c r="P1604" s="61"/>
      <c r="Q1604" s="7"/>
      <c r="R1604" s="606" t="s">
        <v>2536</v>
      </c>
      <c r="S1604" s="316" t="s">
        <v>3334</v>
      </c>
      <c r="T1604" s="858"/>
    </row>
    <row r="1605" spans="1:20" ht="20.100000000000001" customHeight="1">
      <c r="A1605" s="1256" t="s">
        <v>2971</v>
      </c>
      <c r="B1605" s="1138" t="s">
        <v>2527</v>
      </c>
      <c r="C1605" s="1138" t="s">
        <v>2803</v>
      </c>
      <c r="D1605" s="1006">
        <f>D4+916</f>
        <v>2091</v>
      </c>
      <c r="E1605" s="1006">
        <f>E4+970</f>
        <v>2220</v>
      </c>
      <c r="F1605" s="1006">
        <f>F4+970</f>
        <v>2220</v>
      </c>
      <c r="G1605" s="609" t="s">
        <v>1689</v>
      </c>
      <c r="H1605" s="160" t="s">
        <v>645</v>
      </c>
      <c r="I1605" s="37" t="s">
        <v>2127</v>
      </c>
      <c r="J1605" s="37" t="s">
        <v>1211</v>
      </c>
      <c r="K1605" s="5">
        <v>20</v>
      </c>
      <c r="L1605" s="607" t="s">
        <v>653</v>
      </c>
      <c r="M1605" s="156">
        <v>43076</v>
      </c>
      <c r="N1605" s="156">
        <v>43083</v>
      </c>
      <c r="O1605" s="153" t="s">
        <v>2529</v>
      </c>
      <c r="P1605" s="61"/>
      <c r="Q1605" s="61" t="s">
        <v>2133</v>
      </c>
      <c r="R1605" s="606" t="s">
        <v>2530</v>
      </c>
      <c r="S1605" s="316" t="s">
        <v>2943</v>
      </c>
      <c r="T1605" s="858"/>
    </row>
    <row r="1606" spans="1:20" ht="20.100000000000001" customHeight="1">
      <c r="A1606" s="1256" t="s">
        <v>2971</v>
      </c>
      <c r="B1606" s="1138" t="s">
        <v>2527</v>
      </c>
      <c r="C1606" s="1138" t="s">
        <v>2803</v>
      </c>
      <c r="D1606" s="1006">
        <f>D46+808</f>
        <v>1983</v>
      </c>
      <c r="E1606" s="1006">
        <f>E46+849</f>
        <v>2099</v>
      </c>
      <c r="F1606" s="1006">
        <f>F46+849</f>
        <v>2099</v>
      </c>
      <c r="G1606" s="609" t="s">
        <v>1689</v>
      </c>
      <c r="H1606" s="160" t="s">
        <v>1311</v>
      </c>
      <c r="I1606" s="37" t="s">
        <v>2526</v>
      </c>
      <c r="J1606" s="37" t="s">
        <v>1211</v>
      </c>
      <c r="K1606" s="5">
        <v>30</v>
      </c>
      <c r="L1606" s="607" t="s">
        <v>653</v>
      </c>
      <c r="M1606" s="156">
        <v>43076</v>
      </c>
      <c r="N1606" s="156">
        <v>43083</v>
      </c>
      <c r="O1606" s="153" t="s">
        <v>2529</v>
      </c>
      <c r="P1606" s="61"/>
      <c r="Q1606" s="61" t="s">
        <v>2128</v>
      </c>
      <c r="R1606" s="606" t="s">
        <v>2528</v>
      </c>
      <c r="S1606" s="316" t="s">
        <v>2943</v>
      </c>
      <c r="T1606" s="858"/>
    </row>
    <row r="1607" spans="1:20" ht="20.100000000000001" customHeight="1">
      <c r="A1607" s="1256" t="s">
        <v>2971</v>
      </c>
      <c r="B1607" s="1138" t="s">
        <v>2527</v>
      </c>
      <c r="C1607" s="1138" t="s">
        <v>2803</v>
      </c>
      <c r="D1607" s="1006">
        <f>D53+750</f>
        <v>2300</v>
      </c>
      <c r="E1607" s="1006">
        <f>E53+695</f>
        <v>2495</v>
      </c>
      <c r="F1607" s="1006">
        <f>F53+695</f>
        <v>2495</v>
      </c>
      <c r="G1607" s="615" t="s">
        <v>51</v>
      </c>
      <c r="H1607" s="160" t="s">
        <v>645</v>
      </c>
      <c r="I1607" s="37" t="s">
        <v>2526</v>
      </c>
      <c r="J1607" s="37" t="s">
        <v>1211</v>
      </c>
      <c r="K1607" s="5"/>
      <c r="L1607" s="607" t="s">
        <v>653</v>
      </c>
      <c r="M1607" s="611">
        <v>43086</v>
      </c>
      <c r="N1607" s="611">
        <v>43100</v>
      </c>
      <c r="O1607" s="61" t="s">
        <v>3291</v>
      </c>
      <c r="P1607" s="52"/>
      <c r="Q1607" s="61" t="s">
        <v>2599</v>
      </c>
      <c r="R1607" s="610"/>
      <c r="S1607" s="315" t="s">
        <v>3290</v>
      </c>
      <c r="T1607" s="858"/>
    </row>
    <row r="1608" spans="1:20" ht="20.100000000000001" customHeight="1">
      <c r="A1608" s="1256" t="s">
        <v>2971</v>
      </c>
      <c r="B1608" s="1138" t="s">
        <v>2527</v>
      </c>
      <c r="C1608" s="1138" t="s">
        <v>2803</v>
      </c>
      <c r="D1608" s="1006">
        <f>D41+950+50</f>
        <v>2550</v>
      </c>
      <c r="E1608" s="1006">
        <f>E41+1030+100</f>
        <v>2930</v>
      </c>
      <c r="F1608" s="1006">
        <f>F41+1030+100</f>
        <v>2930</v>
      </c>
      <c r="G1608" s="608" t="s">
        <v>94</v>
      </c>
      <c r="H1608" s="168" t="s">
        <v>1102</v>
      </c>
      <c r="I1608" s="5" t="s">
        <v>2526</v>
      </c>
      <c r="J1608" s="37" t="s">
        <v>1211</v>
      </c>
      <c r="K1608" s="34">
        <v>30</v>
      </c>
      <c r="L1608" s="607" t="s">
        <v>653</v>
      </c>
      <c r="M1608" s="108">
        <v>43087</v>
      </c>
      <c r="N1608" s="108">
        <v>43094</v>
      </c>
      <c r="O1608" s="61" t="s">
        <v>2444</v>
      </c>
      <c r="P1608" s="7"/>
      <c r="Q1608" s="7"/>
      <c r="R1608" s="606" t="s">
        <v>2524</v>
      </c>
      <c r="S1608" s="322" t="s">
        <v>1176</v>
      </c>
      <c r="T1608" s="858"/>
    </row>
    <row r="1609" spans="1:20" ht="20.100000000000001" customHeight="1">
      <c r="A1609" s="1256" t="s">
        <v>2971</v>
      </c>
      <c r="B1609" s="1138" t="s">
        <v>2527</v>
      </c>
      <c r="C1609" s="1138" t="s">
        <v>2803</v>
      </c>
      <c r="D1609" s="1006">
        <f>D18+1285+50</f>
        <v>2885</v>
      </c>
      <c r="E1609" s="1006">
        <f>E18+1385+100</f>
        <v>3285</v>
      </c>
      <c r="F1609" s="1006">
        <f>F18+1385+100</f>
        <v>3285</v>
      </c>
      <c r="G1609" s="608" t="s">
        <v>94</v>
      </c>
      <c r="H1609" s="56" t="s">
        <v>657</v>
      </c>
      <c r="I1609" s="5" t="s">
        <v>2127</v>
      </c>
      <c r="J1609" s="37" t="s">
        <v>1211</v>
      </c>
      <c r="K1609" s="16">
        <v>21</v>
      </c>
      <c r="L1609" s="607" t="s">
        <v>653</v>
      </c>
      <c r="M1609" s="108">
        <v>43087</v>
      </c>
      <c r="N1609" s="108">
        <v>43094</v>
      </c>
      <c r="O1609" s="61" t="s">
        <v>2444</v>
      </c>
      <c r="P1609" s="7"/>
      <c r="Q1609" s="7"/>
      <c r="R1609" s="606" t="s">
        <v>2126</v>
      </c>
      <c r="S1609" s="322" t="s">
        <v>1176</v>
      </c>
      <c r="T1609" s="858"/>
    </row>
    <row r="1610" spans="1:20" ht="20.100000000000001" customHeight="1">
      <c r="A1610" s="1256" t="s">
        <v>2971</v>
      </c>
      <c r="B1610" s="1138" t="s">
        <v>2527</v>
      </c>
      <c r="C1610" s="1138" t="s">
        <v>2803</v>
      </c>
      <c r="D1610" s="1006">
        <f>D49+830</f>
        <v>2080</v>
      </c>
      <c r="E1610" s="1006">
        <f>E49+860</f>
        <v>2260</v>
      </c>
      <c r="F1610" s="1006">
        <f>F49+860</f>
        <v>2260</v>
      </c>
      <c r="G1610" s="613" t="s">
        <v>13</v>
      </c>
      <c r="H1610" s="56">
        <v>5</v>
      </c>
      <c r="I1610" s="37" t="s">
        <v>2526</v>
      </c>
      <c r="J1610" s="37" t="s">
        <v>1211</v>
      </c>
      <c r="K1610" s="16">
        <v>20</v>
      </c>
      <c r="L1610" s="607" t="s">
        <v>653</v>
      </c>
      <c r="M1610" s="156">
        <v>43073</v>
      </c>
      <c r="N1610" s="156">
        <v>43083</v>
      </c>
      <c r="O1610" s="61" t="s">
        <v>3335</v>
      </c>
      <c r="P1610" s="61"/>
      <c r="Q1610" s="7"/>
      <c r="R1610" s="606" t="s">
        <v>2536</v>
      </c>
      <c r="S1610" s="316" t="s">
        <v>3334</v>
      </c>
      <c r="T1610" s="858"/>
    </row>
    <row r="1611" spans="1:20" ht="20.100000000000001" customHeight="1">
      <c r="A1611" s="1256" t="s">
        <v>2971</v>
      </c>
      <c r="B1611" s="1138" t="s">
        <v>2527</v>
      </c>
      <c r="C1611" s="1138" t="s">
        <v>2803</v>
      </c>
      <c r="D1611" s="1006">
        <f>D136+800</f>
        <v>2400</v>
      </c>
      <c r="E1611" s="1006">
        <f>E136+850</f>
        <v>2850</v>
      </c>
      <c r="F1611" s="1006">
        <f>F136+850</f>
        <v>2850</v>
      </c>
      <c r="G1611" s="613" t="s">
        <v>33</v>
      </c>
      <c r="H1611" s="56">
        <v>5</v>
      </c>
      <c r="I1611" s="37" t="s">
        <v>2526</v>
      </c>
      <c r="J1611" s="37" t="s">
        <v>1211</v>
      </c>
      <c r="K1611" s="16">
        <v>20</v>
      </c>
      <c r="L1611" s="607" t="s">
        <v>653</v>
      </c>
      <c r="M1611" s="159">
        <v>43080</v>
      </c>
      <c r="N1611" s="159">
        <v>43086</v>
      </c>
      <c r="O1611" s="153" t="s">
        <v>2445</v>
      </c>
      <c r="P1611" s="61"/>
      <c r="Q1611" s="7"/>
      <c r="R1611" s="606" t="s">
        <v>2538</v>
      </c>
      <c r="S1611" s="316" t="s">
        <v>3333</v>
      </c>
      <c r="T1611" s="858"/>
    </row>
    <row r="1612" spans="1:20" ht="20.100000000000001" customHeight="1">
      <c r="A1612" s="1256" t="s">
        <v>2971</v>
      </c>
      <c r="B1612" s="1138" t="s">
        <v>2527</v>
      </c>
      <c r="C1612" s="1138" t="s">
        <v>2803</v>
      </c>
      <c r="D1612" s="1006">
        <f>D135+1000</f>
        <v>2600</v>
      </c>
      <c r="E1612" s="1006">
        <f>E135+1000</f>
        <v>3000</v>
      </c>
      <c r="F1612" s="1006">
        <f>F135+1000</f>
        <v>3000</v>
      </c>
      <c r="G1612" s="613" t="s">
        <v>33</v>
      </c>
      <c r="H1612" s="56" t="s">
        <v>2535</v>
      </c>
      <c r="I1612" s="37" t="s">
        <v>2127</v>
      </c>
      <c r="J1612" s="37" t="s">
        <v>1211</v>
      </c>
      <c r="K1612" s="16">
        <v>20</v>
      </c>
      <c r="L1612" s="607" t="s">
        <v>653</v>
      </c>
      <c r="M1612" s="159">
        <v>43080</v>
      </c>
      <c r="N1612" s="159">
        <v>43086</v>
      </c>
      <c r="O1612" s="153" t="s">
        <v>2445</v>
      </c>
      <c r="P1612" s="61"/>
      <c r="Q1612" s="7"/>
      <c r="R1612" s="606" t="s">
        <v>2542</v>
      </c>
      <c r="S1612" s="316" t="s">
        <v>3333</v>
      </c>
      <c r="T1612" s="858"/>
    </row>
    <row r="1613" spans="1:20" ht="20.100000000000001" customHeight="1">
      <c r="A1613" s="1256" t="s">
        <v>2971</v>
      </c>
      <c r="B1613" s="1138" t="s">
        <v>2527</v>
      </c>
      <c r="C1613" s="1138" t="s">
        <v>2803</v>
      </c>
      <c r="D1613" s="1006">
        <f>D4+942</f>
        <v>2117</v>
      </c>
      <c r="E1613" s="1006">
        <f>E4+942</f>
        <v>2192</v>
      </c>
      <c r="F1613" s="1006">
        <f>F4+942</f>
        <v>2192</v>
      </c>
      <c r="G1613" s="609" t="s">
        <v>1689</v>
      </c>
      <c r="H1613" s="160" t="s">
        <v>645</v>
      </c>
      <c r="I1613" s="37" t="s">
        <v>2127</v>
      </c>
      <c r="J1613" s="37" t="s">
        <v>2525</v>
      </c>
      <c r="K1613" s="5">
        <v>20</v>
      </c>
      <c r="L1613" s="607" t="s">
        <v>653</v>
      </c>
      <c r="M1613" s="156">
        <v>43076</v>
      </c>
      <c r="N1613" s="156">
        <v>43083</v>
      </c>
      <c r="O1613" s="153" t="s">
        <v>2529</v>
      </c>
      <c r="P1613" s="61"/>
      <c r="Q1613" s="61" t="s">
        <v>2125</v>
      </c>
      <c r="R1613" s="606" t="s">
        <v>2530</v>
      </c>
      <c r="S1613" s="316" t="s">
        <v>2943</v>
      </c>
      <c r="T1613" s="858"/>
    </row>
    <row r="1614" spans="1:20" ht="20.100000000000001" customHeight="1">
      <c r="A1614" s="1256" t="s">
        <v>2971</v>
      </c>
      <c r="B1614" s="1138" t="s">
        <v>2527</v>
      </c>
      <c r="C1614" s="1138" t="s">
        <v>2803</v>
      </c>
      <c r="D1614" s="1006">
        <f>D46+857</f>
        <v>2032</v>
      </c>
      <c r="E1614" s="1006">
        <f>E46+857</f>
        <v>2107</v>
      </c>
      <c r="F1614" s="1006">
        <f>F46+857</f>
        <v>2107</v>
      </c>
      <c r="G1614" s="609" t="s">
        <v>1689</v>
      </c>
      <c r="H1614" s="160" t="s">
        <v>1311</v>
      </c>
      <c r="I1614" s="37" t="s">
        <v>2526</v>
      </c>
      <c r="J1614" s="37" t="s">
        <v>2525</v>
      </c>
      <c r="K1614" s="5">
        <v>30</v>
      </c>
      <c r="L1614" s="607" t="s">
        <v>653</v>
      </c>
      <c r="M1614" s="156">
        <v>43076</v>
      </c>
      <c r="N1614" s="156">
        <v>43083</v>
      </c>
      <c r="O1614" s="153" t="s">
        <v>2529</v>
      </c>
      <c r="P1614" s="61"/>
      <c r="Q1614" s="61" t="s">
        <v>2125</v>
      </c>
      <c r="R1614" s="606" t="s">
        <v>2528</v>
      </c>
      <c r="S1614" s="316" t="s">
        <v>2943</v>
      </c>
      <c r="T1614" s="858"/>
    </row>
    <row r="1615" spans="1:20" ht="20.100000000000001" customHeight="1">
      <c r="A1615" s="1256" t="s">
        <v>2971</v>
      </c>
      <c r="B1615" s="1138" t="s">
        <v>2527</v>
      </c>
      <c r="C1615" s="1138" t="s">
        <v>2803</v>
      </c>
      <c r="D1615" s="1006">
        <f>D30+1350</f>
        <v>2900</v>
      </c>
      <c r="E1615" s="1006">
        <f>E30+1350</f>
        <v>3150</v>
      </c>
      <c r="F1615" s="1006">
        <f>F30+1350</f>
        <v>3150</v>
      </c>
      <c r="G1615" s="615" t="s">
        <v>51</v>
      </c>
      <c r="H1615" s="160" t="s">
        <v>2532</v>
      </c>
      <c r="I1615" s="37" t="s">
        <v>2127</v>
      </c>
      <c r="J1615" s="37" t="s">
        <v>2525</v>
      </c>
      <c r="K1615" s="5"/>
      <c r="L1615" s="607" t="s">
        <v>653</v>
      </c>
      <c r="M1615" s="611">
        <v>43086</v>
      </c>
      <c r="N1615" s="611">
        <v>43100</v>
      </c>
      <c r="O1615" s="61" t="s">
        <v>3291</v>
      </c>
      <c r="P1615" s="52"/>
      <c r="Q1615" s="61" t="s">
        <v>2466</v>
      </c>
      <c r="R1615" s="610"/>
      <c r="S1615" s="315" t="s">
        <v>3290</v>
      </c>
      <c r="T1615" s="858"/>
    </row>
    <row r="1616" spans="1:20" ht="20.100000000000001" customHeight="1">
      <c r="A1616" s="1256" t="s">
        <v>2971</v>
      </c>
      <c r="B1616" s="1138" t="s">
        <v>2527</v>
      </c>
      <c r="C1616" s="1138" t="s">
        <v>2803</v>
      </c>
      <c r="D1616" s="1006">
        <f>D53+1275</f>
        <v>2825</v>
      </c>
      <c r="E1616" s="1006">
        <f>E53+1040</f>
        <v>2840</v>
      </c>
      <c r="F1616" s="1006">
        <f>F53+1040</f>
        <v>2840</v>
      </c>
      <c r="G1616" s="615" t="s">
        <v>51</v>
      </c>
      <c r="H1616" s="160" t="s">
        <v>645</v>
      </c>
      <c r="I1616" s="37" t="s">
        <v>2526</v>
      </c>
      <c r="J1616" s="37" t="s">
        <v>2525</v>
      </c>
      <c r="K1616" s="5"/>
      <c r="L1616" s="607" t="s">
        <v>653</v>
      </c>
      <c r="M1616" s="611">
        <v>43086</v>
      </c>
      <c r="N1616" s="611">
        <v>43100</v>
      </c>
      <c r="O1616" s="61" t="s">
        <v>3291</v>
      </c>
      <c r="P1616" s="52"/>
      <c r="Q1616" s="61" t="s">
        <v>2466</v>
      </c>
      <c r="R1616" s="610"/>
      <c r="S1616" s="315" t="s">
        <v>3290</v>
      </c>
      <c r="T1616" s="858"/>
    </row>
    <row r="1617" spans="1:20" ht="20.100000000000001" customHeight="1">
      <c r="A1617" s="1256" t="s">
        <v>2971</v>
      </c>
      <c r="B1617" s="1138" t="s">
        <v>2527</v>
      </c>
      <c r="C1617" s="1138" t="s">
        <v>2803</v>
      </c>
      <c r="D1617" s="1006">
        <f>D41+1332+50</f>
        <v>2932</v>
      </c>
      <c r="E1617" s="1006">
        <f>E41+1332+100</f>
        <v>3232</v>
      </c>
      <c r="F1617" s="1006">
        <f>F41+1332+100</f>
        <v>3232</v>
      </c>
      <c r="G1617" s="608" t="s">
        <v>94</v>
      </c>
      <c r="H1617" s="168" t="s">
        <v>1102</v>
      </c>
      <c r="I1617" s="5" t="s">
        <v>2526</v>
      </c>
      <c r="J1617" s="37" t="s">
        <v>2525</v>
      </c>
      <c r="K1617" s="16">
        <v>26</v>
      </c>
      <c r="L1617" s="607" t="s">
        <v>653</v>
      </c>
      <c r="M1617" s="108">
        <v>43087</v>
      </c>
      <c r="N1617" s="108">
        <v>43094</v>
      </c>
      <c r="O1617" s="61" t="s">
        <v>2444</v>
      </c>
      <c r="P1617" s="7"/>
      <c r="Q1617" s="7"/>
      <c r="R1617" s="606" t="s">
        <v>2524</v>
      </c>
      <c r="S1617" s="322" t="s">
        <v>1176</v>
      </c>
      <c r="T1617" s="858"/>
    </row>
    <row r="1618" spans="1:20" ht="20.100000000000001" customHeight="1">
      <c r="A1618" s="1256" t="s">
        <v>2971</v>
      </c>
      <c r="B1618" s="1138" t="s">
        <v>2527</v>
      </c>
      <c r="C1618" s="1138" t="s">
        <v>2803</v>
      </c>
      <c r="D1618" s="1006">
        <f>D18+1250+50</f>
        <v>2850</v>
      </c>
      <c r="E1618" s="1006">
        <f>E18+1250+100</f>
        <v>3150</v>
      </c>
      <c r="F1618" s="1006">
        <f>F18+1250+100</f>
        <v>3150</v>
      </c>
      <c r="G1618" s="608" t="s">
        <v>94</v>
      </c>
      <c r="H1618" s="56" t="s">
        <v>657</v>
      </c>
      <c r="I1618" s="5" t="s">
        <v>2127</v>
      </c>
      <c r="J1618" s="37" t="s">
        <v>2525</v>
      </c>
      <c r="K1618" s="16">
        <v>21</v>
      </c>
      <c r="L1618" s="607" t="s">
        <v>653</v>
      </c>
      <c r="M1618" s="108">
        <v>43087</v>
      </c>
      <c r="N1618" s="108">
        <v>43094</v>
      </c>
      <c r="O1618" s="61" t="s">
        <v>2444</v>
      </c>
      <c r="P1618" s="7"/>
      <c r="Q1618" s="7"/>
      <c r="R1618" s="606" t="s">
        <v>2126</v>
      </c>
      <c r="S1618" s="322" t="s">
        <v>1176</v>
      </c>
      <c r="T1618" s="858"/>
    </row>
    <row r="1619" spans="1:20" ht="20.100000000000001" customHeight="1">
      <c r="A1619" s="1256" t="s">
        <v>2971</v>
      </c>
      <c r="B1619" s="1138" t="s">
        <v>2527</v>
      </c>
      <c r="C1619" s="1138" t="s">
        <v>2803</v>
      </c>
      <c r="D1619" s="1006">
        <f>D32+1850</f>
        <v>3100</v>
      </c>
      <c r="E1619" s="1006">
        <f>E32+1850</f>
        <v>3250</v>
      </c>
      <c r="F1619" s="1006">
        <f>F32+1850</f>
        <v>3250</v>
      </c>
      <c r="G1619" s="613" t="s">
        <v>13</v>
      </c>
      <c r="H1619" s="56">
        <v>6</v>
      </c>
      <c r="I1619" s="37" t="s">
        <v>2127</v>
      </c>
      <c r="J1619" s="37" t="s">
        <v>2525</v>
      </c>
      <c r="K1619" s="16">
        <v>18</v>
      </c>
      <c r="L1619" s="607" t="s">
        <v>653</v>
      </c>
      <c r="M1619" s="156">
        <v>43073</v>
      </c>
      <c r="N1619" s="156">
        <v>43083</v>
      </c>
      <c r="O1619" s="61" t="s">
        <v>3335</v>
      </c>
      <c r="P1619" s="61"/>
      <c r="Q1619" s="7"/>
      <c r="R1619" s="606" t="s">
        <v>3336</v>
      </c>
      <c r="S1619" s="316" t="s">
        <v>3334</v>
      </c>
      <c r="T1619" s="858"/>
    </row>
    <row r="1620" spans="1:20" ht="20.100000000000001" customHeight="1">
      <c r="A1620" s="1256" t="s">
        <v>2971</v>
      </c>
      <c r="B1620" s="1138" t="s">
        <v>2527</v>
      </c>
      <c r="C1620" s="1138" t="s">
        <v>2803</v>
      </c>
      <c r="D1620" s="1006">
        <f>D49+1250</f>
        <v>2500</v>
      </c>
      <c r="E1620" s="1006">
        <f>E49+1250</f>
        <v>2650</v>
      </c>
      <c r="F1620" s="1006">
        <f>F49+1250</f>
        <v>2650</v>
      </c>
      <c r="G1620" s="613" t="s">
        <v>13</v>
      </c>
      <c r="H1620" s="56">
        <v>5</v>
      </c>
      <c r="I1620" s="37" t="s">
        <v>2526</v>
      </c>
      <c r="J1620" s="37" t="s">
        <v>2525</v>
      </c>
      <c r="K1620" s="16">
        <v>20</v>
      </c>
      <c r="L1620" s="607" t="s">
        <v>653</v>
      </c>
      <c r="M1620" s="156">
        <v>43073</v>
      </c>
      <c r="N1620" s="156">
        <v>43083</v>
      </c>
      <c r="O1620" s="61" t="s">
        <v>3335</v>
      </c>
      <c r="P1620" s="61"/>
      <c r="Q1620" s="7"/>
      <c r="R1620" s="606" t="s">
        <v>2536</v>
      </c>
      <c r="S1620" s="316" t="s">
        <v>3334</v>
      </c>
      <c r="T1620" s="858"/>
    </row>
    <row r="1621" spans="1:20" ht="20.100000000000001" customHeight="1">
      <c r="A1621" s="1256" t="s">
        <v>2971</v>
      </c>
      <c r="B1621" s="1138" t="s">
        <v>2527</v>
      </c>
      <c r="C1621" s="1138" t="s">
        <v>2803</v>
      </c>
      <c r="D1621" s="1006">
        <f>D135+1850</f>
        <v>3450</v>
      </c>
      <c r="E1621" s="1006">
        <f>E135+1850</f>
        <v>3850</v>
      </c>
      <c r="F1621" s="1006">
        <f>F135+1850</f>
        <v>3850</v>
      </c>
      <c r="G1621" s="613" t="s">
        <v>33</v>
      </c>
      <c r="H1621" s="56" t="s">
        <v>2535</v>
      </c>
      <c r="I1621" s="37" t="s">
        <v>2127</v>
      </c>
      <c r="J1621" s="37" t="s">
        <v>2525</v>
      </c>
      <c r="K1621" s="16">
        <v>20</v>
      </c>
      <c r="L1621" s="607" t="s">
        <v>653</v>
      </c>
      <c r="M1621" s="159">
        <v>43080</v>
      </c>
      <c r="N1621" s="159">
        <v>43086</v>
      </c>
      <c r="O1621" s="153" t="s">
        <v>2445</v>
      </c>
      <c r="P1621" s="61"/>
      <c r="Q1621" s="7"/>
      <c r="R1621" s="606" t="s">
        <v>2542</v>
      </c>
      <c r="S1621" s="316" t="s">
        <v>3333</v>
      </c>
      <c r="T1621" s="858"/>
    </row>
    <row r="1622" spans="1:20" ht="20.100000000000001" customHeight="1">
      <c r="A1622" s="1256" t="s">
        <v>2971</v>
      </c>
      <c r="B1622" s="1138" t="s">
        <v>2527</v>
      </c>
      <c r="C1622" s="1138" t="s">
        <v>2802</v>
      </c>
      <c r="D1622" s="1006">
        <f>D46+1097</f>
        <v>2272</v>
      </c>
      <c r="E1622" s="1006">
        <f>E46+1202</f>
        <v>2452</v>
      </c>
      <c r="F1622" s="1006">
        <f>F46+1202</f>
        <v>2452</v>
      </c>
      <c r="G1622" s="609" t="s">
        <v>1689</v>
      </c>
      <c r="H1622" s="160" t="s">
        <v>1311</v>
      </c>
      <c r="I1622" s="37" t="s">
        <v>2526</v>
      </c>
      <c r="J1622" s="37" t="s">
        <v>1211</v>
      </c>
      <c r="K1622" s="5">
        <v>30</v>
      </c>
      <c r="L1622" s="607" t="s">
        <v>653</v>
      </c>
      <c r="M1622" s="156">
        <v>43076</v>
      </c>
      <c r="N1622" s="156">
        <v>43083</v>
      </c>
      <c r="O1622" s="153" t="s">
        <v>2529</v>
      </c>
      <c r="P1622" s="61"/>
      <c r="Q1622" s="61" t="s">
        <v>2128</v>
      </c>
      <c r="R1622" s="606" t="s">
        <v>2528</v>
      </c>
      <c r="S1622" s="316" t="s">
        <v>2943</v>
      </c>
      <c r="T1622" s="858"/>
    </row>
    <row r="1623" spans="1:20" ht="20.100000000000001" customHeight="1">
      <c r="A1623" s="1256" t="s">
        <v>2971</v>
      </c>
      <c r="B1623" s="1138" t="s">
        <v>2527</v>
      </c>
      <c r="C1623" s="1138" t="s">
        <v>2802</v>
      </c>
      <c r="D1623" s="1006">
        <f>D4+1241</f>
        <v>2416</v>
      </c>
      <c r="E1623" s="1006">
        <f>E4+1241</f>
        <v>2491</v>
      </c>
      <c r="F1623" s="1006">
        <f>F4+1241</f>
        <v>2491</v>
      </c>
      <c r="G1623" s="609" t="s">
        <v>1689</v>
      </c>
      <c r="H1623" s="160" t="s">
        <v>645</v>
      </c>
      <c r="I1623" s="37" t="s">
        <v>2127</v>
      </c>
      <c r="J1623" s="37" t="s">
        <v>2525</v>
      </c>
      <c r="K1623" s="5">
        <v>20</v>
      </c>
      <c r="L1623" s="607" t="s">
        <v>653</v>
      </c>
      <c r="M1623" s="156">
        <v>43076</v>
      </c>
      <c r="N1623" s="156">
        <v>43083</v>
      </c>
      <c r="O1623" s="153" t="s">
        <v>2529</v>
      </c>
      <c r="P1623" s="61"/>
      <c r="Q1623" s="61" t="s">
        <v>2125</v>
      </c>
      <c r="R1623" s="606" t="s">
        <v>2530</v>
      </c>
      <c r="S1623" s="316" t="s">
        <v>2943</v>
      </c>
      <c r="T1623" s="858"/>
    </row>
    <row r="1624" spans="1:20" ht="20.100000000000001" customHeight="1">
      <c r="A1624" s="1256" t="s">
        <v>2971</v>
      </c>
      <c r="B1624" s="1138" t="s">
        <v>2527</v>
      </c>
      <c r="C1624" s="1138" t="s">
        <v>2802</v>
      </c>
      <c r="D1624" s="1006">
        <f>D46+1422</f>
        <v>2597</v>
      </c>
      <c r="E1624" s="1006">
        <f>E46+1422</f>
        <v>2672</v>
      </c>
      <c r="F1624" s="1006">
        <f>F46+1422</f>
        <v>2672</v>
      </c>
      <c r="G1624" s="609" t="s">
        <v>1689</v>
      </c>
      <c r="H1624" s="160" t="s">
        <v>1311</v>
      </c>
      <c r="I1624" s="37" t="s">
        <v>2526</v>
      </c>
      <c r="J1624" s="37" t="s">
        <v>2525</v>
      </c>
      <c r="K1624" s="5">
        <v>30</v>
      </c>
      <c r="L1624" s="607" t="s">
        <v>653</v>
      </c>
      <c r="M1624" s="156">
        <v>43076</v>
      </c>
      <c r="N1624" s="156">
        <v>43083</v>
      </c>
      <c r="O1624" s="153" t="s">
        <v>2529</v>
      </c>
      <c r="P1624" s="61"/>
      <c r="Q1624" s="61" t="s">
        <v>2125</v>
      </c>
      <c r="R1624" s="606" t="s">
        <v>2528</v>
      </c>
      <c r="S1624" s="316" t="s">
        <v>2943</v>
      </c>
      <c r="T1624" s="858"/>
    </row>
    <row r="1625" spans="1:20" ht="20.100000000000001" customHeight="1">
      <c r="A1625" s="1256" t="s">
        <v>2971</v>
      </c>
      <c r="B1625" s="1138" t="s">
        <v>2527</v>
      </c>
      <c r="C1625" s="1138" t="s">
        <v>2802</v>
      </c>
      <c r="D1625" s="1006">
        <f>D41+1750+50</f>
        <v>3350</v>
      </c>
      <c r="E1625" s="1006">
        <f>E41+1750+100</f>
        <v>3650</v>
      </c>
      <c r="F1625" s="1006">
        <f>F41+1750+100</f>
        <v>3650</v>
      </c>
      <c r="G1625" s="608" t="s">
        <v>94</v>
      </c>
      <c r="H1625" s="168" t="s">
        <v>1102</v>
      </c>
      <c r="I1625" s="37" t="s">
        <v>2526</v>
      </c>
      <c r="J1625" s="37" t="s">
        <v>2525</v>
      </c>
      <c r="K1625" s="16">
        <v>26</v>
      </c>
      <c r="L1625" s="607" t="s">
        <v>653</v>
      </c>
      <c r="M1625" s="108">
        <v>43087</v>
      </c>
      <c r="N1625" s="108">
        <v>43094</v>
      </c>
      <c r="O1625" s="61" t="s">
        <v>2444</v>
      </c>
      <c r="P1625" s="7"/>
      <c r="Q1625" s="7"/>
      <c r="R1625" s="606" t="s">
        <v>2524</v>
      </c>
      <c r="S1625" s="322" t="s">
        <v>1176</v>
      </c>
      <c r="T1625" s="858"/>
    </row>
    <row r="1626" spans="1:20" ht="20.100000000000001" customHeight="1">
      <c r="A1626" s="1256" t="s">
        <v>2971</v>
      </c>
      <c r="B1626" s="1138" t="s">
        <v>2527</v>
      </c>
      <c r="C1626" s="1138" t="s">
        <v>2801</v>
      </c>
      <c r="D1626" s="1006">
        <f>D46+1372</f>
        <v>2547</v>
      </c>
      <c r="E1626" s="1006">
        <f>E46+1478</f>
        <v>2728</v>
      </c>
      <c r="F1626" s="1006">
        <f>F46+1478</f>
        <v>2728</v>
      </c>
      <c r="G1626" s="609" t="s">
        <v>1689</v>
      </c>
      <c r="H1626" s="160" t="s">
        <v>1311</v>
      </c>
      <c r="I1626" s="37" t="s">
        <v>2526</v>
      </c>
      <c r="J1626" s="37" t="s">
        <v>1211</v>
      </c>
      <c r="K1626" s="5">
        <v>30</v>
      </c>
      <c r="L1626" s="607" t="s">
        <v>653</v>
      </c>
      <c r="M1626" s="156">
        <v>43076</v>
      </c>
      <c r="N1626" s="156">
        <v>43083</v>
      </c>
      <c r="O1626" s="153" t="s">
        <v>2529</v>
      </c>
      <c r="P1626" s="61"/>
      <c r="Q1626" s="61" t="s">
        <v>2128</v>
      </c>
      <c r="R1626" s="606" t="s">
        <v>2528</v>
      </c>
      <c r="S1626" s="316" t="s">
        <v>2943</v>
      </c>
      <c r="T1626" s="858"/>
    </row>
    <row r="1627" spans="1:20" ht="20.100000000000001" customHeight="1">
      <c r="A1627" s="1256" t="s">
        <v>2971</v>
      </c>
      <c r="B1627" s="1138" t="s">
        <v>2527</v>
      </c>
      <c r="C1627" s="1138" t="s">
        <v>2801</v>
      </c>
      <c r="D1627" s="1006">
        <f>D30+1840</f>
        <v>3390</v>
      </c>
      <c r="E1627" s="1006">
        <f>E30+2000</f>
        <v>3800</v>
      </c>
      <c r="F1627" s="1006">
        <f>F30+2000</f>
        <v>3800</v>
      </c>
      <c r="G1627" s="615" t="s">
        <v>51</v>
      </c>
      <c r="H1627" s="160" t="s">
        <v>2532</v>
      </c>
      <c r="I1627" s="37" t="s">
        <v>2127</v>
      </c>
      <c r="J1627" s="37" t="s">
        <v>1211</v>
      </c>
      <c r="K1627" s="5"/>
      <c r="L1627" s="607" t="s">
        <v>653</v>
      </c>
      <c r="M1627" s="611">
        <v>43086</v>
      </c>
      <c r="N1627" s="611">
        <v>43100</v>
      </c>
      <c r="O1627" s="61" t="s">
        <v>3291</v>
      </c>
      <c r="P1627" s="52"/>
      <c r="Q1627" s="61" t="s">
        <v>3057</v>
      </c>
      <c r="R1627" s="610"/>
      <c r="S1627" s="315" t="s">
        <v>3290</v>
      </c>
      <c r="T1627" s="858"/>
    </row>
    <row r="1628" spans="1:20" ht="20.100000000000001" customHeight="1">
      <c r="A1628" s="1256" t="s">
        <v>2971</v>
      </c>
      <c r="B1628" s="1138" t="s">
        <v>2527</v>
      </c>
      <c r="C1628" s="1138" t="s">
        <v>2801</v>
      </c>
      <c r="D1628" s="1006">
        <f>D18+1860+50</f>
        <v>3460</v>
      </c>
      <c r="E1628" s="1006">
        <f>E18+1820+100</f>
        <v>3720</v>
      </c>
      <c r="F1628" s="1006">
        <f>F18+1820+100</f>
        <v>3720</v>
      </c>
      <c r="G1628" s="608" t="s">
        <v>94</v>
      </c>
      <c r="H1628" s="56" t="s">
        <v>657</v>
      </c>
      <c r="I1628" s="5" t="s">
        <v>2127</v>
      </c>
      <c r="J1628" s="37" t="s">
        <v>1211</v>
      </c>
      <c r="K1628" s="5">
        <v>26</v>
      </c>
      <c r="L1628" s="607" t="s">
        <v>653</v>
      </c>
      <c r="M1628" s="108">
        <v>43087</v>
      </c>
      <c r="N1628" s="108">
        <v>43094</v>
      </c>
      <c r="O1628" s="61" t="s">
        <v>2444</v>
      </c>
      <c r="P1628" s="7"/>
      <c r="Q1628" s="7"/>
      <c r="R1628" s="606" t="s">
        <v>2126</v>
      </c>
      <c r="S1628" s="322" t="s">
        <v>1176</v>
      </c>
      <c r="T1628" s="858"/>
    </row>
    <row r="1629" spans="1:20" ht="20.100000000000001" customHeight="1">
      <c r="A1629" s="1256" t="s">
        <v>2971</v>
      </c>
      <c r="B1629" s="1138" t="s">
        <v>2527</v>
      </c>
      <c r="C1629" s="1138" t="s">
        <v>2801</v>
      </c>
      <c r="D1629" s="1006">
        <f>D135+1250</f>
        <v>2850</v>
      </c>
      <c r="E1629" s="1006">
        <f>E135+1400</f>
        <v>3400</v>
      </c>
      <c r="F1629" s="1006">
        <f>F135+1400</f>
        <v>3400</v>
      </c>
      <c r="G1629" s="613" t="s">
        <v>33</v>
      </c>
      <c r="H1629" s="56" t="s">
        <v>2535</v>
      </c>
      <c r="I1629" s="5" t="s">
        <v>2127</v>
      </c>
      <c r="J1629" s="37" t="s">
        <v>1211</v>
      </c>
      <c r="K1629" s="16">
        <v>20</v>
      </c>
      <c r="L1629" s="607" t="s">
        <v>653</v>
      </c>
      <c r="M1629" s="159">
        <v>43080</v>
      </c>
      <c r="N1629" s="159">
        <v>43086</v>
      </c>
      <c r="O1629" s="153" t="s">
        <v>2445</v>
      </c>
      <c r="P1629" s="61"/>
      <c r="Q1629" s="7"/>
      <c r="R1629" s="606" t="s">
        <v>2542</v>
      </c>
      <c r="S1629" s="316" t="s">
        <v>3333</v>
      </c>
      <c r="T1629" s="858"/>
    </row>
    <row r="1630" spans="1:20" ht="20.100000000000001" customHeight="1">
      <c r="A1630" s="1256" t="s">
        <v>2971</v>
      </c>
      <c r="B1630" s="1138" t="s">
        <v>2527</v>
      </c>
      <c r="C1630" s="1138" t="s">
        <v>2801</v>
      </c>
      <c r="D1630" s="1006">
        <f>D4+1890</f>
        <v>3065</v>
      </c>
      <c r="E1630" s="1006">
        <f>E4+1890</f>
        <v>3140</v>
      </c>
      <c r="F1630" s="1006">
        <f>F4+1890</f>
        <v>3140</v>
      </c>
      <c r="G1630" s="609" t="s">
        <v>1689</v>
      </c>
      <c r="H1630" s="160" t="s">
        <v>645</v>
      </c>
      <c r="I1630" s="37" t="s">
        <v>2127</v>
      </c>
      <c r="J1630" s="37" t="s">
        <v>2525</v>
      </c>
      <c r="K1630" s="5">
        <v>20</v>
      </c>
      <c r="L1630" s="607" t="s">
        <v>653</v>
      </c>
      <c r="M1630" s="156">
        <v>43076</v>
      </c>
      <c r="N1630" s="156">
        <v>43083</v>
      </c>
      <c r="O1630" s="153" t="s">
        <v>2529</v>
      </c>
      <c r="P1630" s="61"/>
      <c r="Q1630" s="61" t="s">
        <v>2125</v>
      </c>
      <c r="R1630" s="606" t="s">
        <v>2530</v>
      </c>
      <c r="S1630" s="316" t="s">
        <v>2943</v>
      </c>
      <c r="T1630" s="858"/>
    </row>
    <row r="1631" spans="1:20" ht="20.100000000000001" customHeight="1">
      <c r="A1631" s="1256" t="s">
        <v>2971</v>
      </c>
      <c r="B1631" s="1138" t="s">
        <v>2527</v>
      </c>
      <c r="C1631" s="1138" t="s">
        <v>2801</v>
      </c>
      <c r="D1631" s="1006">
        <f>D30+3500</f>
        <v>5050</v>
      </c>
      <c r="E1631" s="1006">
        <f>E30+3500</f>
        <v>5300</v>
      </c>
      <c r="F1631" s="1006">
        <f>F30+3500</f>
        <v>5300</v>
      </c>
      <c r="G1631" s="615" t="s">
        <v>51</v>
      </c>
      <c r="H1631" s="160" t="s">
        <v>2532</v>
      </c>
      <c r="I1631" s="37" t="s">
        <v>2127</v>
      </c>
      <c r="J1631" s="37" t="s">
        <v>2525</v>
      </c>
      <c r="K1631" s="5"/>
      <c r="L1631" s="607" t="s">
        <v>653</v>
      </c>
      <c r="M1631" s="611">
        <v>43086</v>
      </c>
      <c r="N1631" s="611">
        <v>43100</v>
      </c>
      <c r="O1631" s="61" t="s">
        <v>3291</v>
      </c>
      <c r="P1631" s="52"/>
      <c r="Q1631" s="61" t="s">
        <v>2466</v>
      </c>
      <c r="R1631" s="610"/>
      <c r="S1631" s="315" t="s">
        <v>3290</v>
      </c>
      <c r="T1631" s="858"/>
    </row>
    <row r="1632" spans="1:20" ht="20.100000000000001" customHeight="1">
      <c r="A1632" s="1256" t="s">
        <v>2971</v>
      </c>
      <c r="B1632" s="1138" t="s">
        <v>2527</v>
      </c>
      <c r="C1632" s="1138" t="s">
        <v>2801</v>
      </c>
      <c r="D1632" s="1006">
        <f>D18+2230+50</f>
        <v>3830</v>
      </c>
      <c r="E1632" s="1006">
        <f>E18+2230+100</f>
        <v>4130</v>
      </c>
      <c r="F1632" s="1006">
        <f>F18+2230+100</f>
        <v>4130</v>
      </c>
      <c r="G1632" s="608" t="s">
        <v>94</v>
      </c>
      <c r="H1632" s="56" t="s">
        <v>657</v>
      </c>
      <c r="I1632" s="5" t="s">
        <v>2127</v>
      </c>
      <c r="J1632" s="37" t="s">
        <v>2525</v>
      </c>
      <c r="K1632" s="5">
        <v>22</v>
      </c>
      <c r="L1632" s="607" t="s">
        <v>653</v>
      </c>
      <c r="M1632" s="108">
        <v>43087</v>
      </c>
      <c r="N1632" s="108">
        <v>43094</v>
      </c>
      <c r="O1632" s="61" t="s">
        <v>2444</v>
      </c>
      <c r="P1632" s="7"/>
      <c r="Q1632" s="7"/>
      <c r="R1632" s="606" t="s">
        <v>2126</v>
      </c>
      <c r="S1632" s="322" t="s">
        <v>1176</v>
      </c>
      <c r="T1632" s="858"/>
    </row>
    <row r="1633" spans="1:20" ht="20.100000000000001" customHeight="1">
      <c r="A1633" s="1256" t="s">
        <v>2971</v>
      </c>
      <c r="B1633" s="1138" t="s">
        <v>2527</v>
      </c>
      <c r="C1633" s="1138" t="s">
        <v>2801</v>
      </c>
      <c r="D1633" s="1006">
        <f>D41+2360+50</f>
        <v>3960</v>
      </c>
      <c r="E1633" s="1006">
        <f>E41+2360+100</f>
        <v>4260</v>
      </c>
      <c r="F1633" s="1006">
        <f>F41+2360+100</f>
        <v>4260</v>
      </c>
      <c r="G1633" s="608" t="s">
        <v>94</v>
      </c>
      <c r="H1633" s="168" t="s">
        <v>1102</v>
      </c>
      <c r="I1633" s="37" t="s">
        <v>2526</v>
      </c>
      <c r="J1633" s="37" t="s">
        <v>2525</v>
      </c>
      <c r="K1633" s="16">
        <v>26</v>
      </c>
      <c r="L1633" s="607" t="s">
        <v>653</v>
      </c>
      <c r="M1633" s="108">
        <v>43087</v>
      </c>
      <c r="N1633" s="108">
        <v>43094</v>
      </c>
      <c r="O1633" s="61" t="s">
        <v>2444</v>
      </c>
      <c r="P1633" s="7"/>
      <c r="Q1633" s="7"/>
      <c r="R1633" s="606" t="s">
        <v>2524</v>
      </c>
      <c r="S1633" s="322" t="s">
        <v>1176</v>
      </c>
      <c r="T1633" s="858"/>
    </row>
    <row r="1634" spans="1:20" ht="20.100000000000001" customHeight="1">
      <c r="A1634" s="1256" t="s">
        <v>2971</v>
      </c>
      <c r="B1634" s="1138" t="s">
        <v>2527</v>
      </c>
      <c r="C1634" s="1138" t="s">
        <v>2800</v>
      </c>
      <c r="D1634" s="1006">
        <f>D18+1530+50</f>
        <v>3130</v>
      </c>
      <c r="E1634" s="1006">
        <f>E18+1530+100</f>
        <v>3430</v>
      </c>
      <c r="F1634" s="1006">
        <f>F18+1530+100</f>
        <v>3430</v>
      </c>
      <c r="G1634" s="608" t="s">
        <v>94</v>
      </c>
      <c r="H1634" s="56" t="s">
        <v>657</v>
      </c>
      <c r="I1634" s="5" t="s">
        <v>2127</v>
      </c>
      <c r="J1634" s="37" t="s">
        <v>2525</v>
      </c>
      <c r="K1634" s="5">
        <v>22</v>
      </c>
      <c r="L1634" s="607" t="s">
        <v>653</v>
      </c>
      <c r="M1634" s="108">
        <v>43087</v>
      </c>
      <c r="N1634" s="108">
        <v>43094</v>
      </c>
      <c r="O1634" s="61" t="s">
        <v>2444</v>
      </c>
      <c r="P1634" s="7"/>
      <c r="Q1634" s="7"/>
      <c r="R1634" s="606" t="s">
        <v>2126</v>
      </c>
      <c r="S1634" s="322" t="s">
        <v>1176</v>
      </c>
      <c r="T1634" s="858"/>
    </row>
    <row r="1635" spans="1:20" ht="20.100000000000001" customHeight="1">
      <c r="A1635" s="1256" t="s">
        <v>2971</v>
      </c>
      <c r="B1635" s="1138" t="s">
        <v>2527</v>
      </c>
      <c r="C1635" s="1138" t="s">
        <v>2800</v>
      </c>
      <c r="D1635" s="1006">
        <f>D41+1600+50</f>
        <v>3200</v>
      </c>
      <c r="E1635" s="1006">
        <f>E41+1600+100</f>
        <v>3500</v>
      </c>
      <c r="F1635" s="1006">
        <f>F41+1600+100</f>
        <v>3500</v>
      </c>
      <c r="G1635" s="608" t="s">
        <v>94</v>
      </c>
      <c r="H1635" s="168" t="s">
        <v>1102</v>
      </c>
      <c r="I1635" s="37" t="s">
        <v>2526</v>
      </c>
      <c r="J1635" s="37" t="s">
        <v>2525</v>
      </c>
      <c r="K1635" s="16">
        <v>26</v>
      </c>
      <c r="L1635" s="607" t="s">
        <v>653</v>
      </c>
      <c r="M1635" s="108">
        <v>43087</v>
      </c>
      <c r="N1635" s="108">
        <v>43094</v>
      </c>
      <c r="O1635" s="61" t="s">
        <v>2444</v>
      </c>
      <c r="P1635" s="7"/>
      <c r="Q1635" s="7"/>
      <c r="R1635" s="606" t="s">
        <v>2524</v>
      </c>
      <c r="S1635" s="322" t="s">
        <v>1176</v>
      </c>
      <c r="T1635" s="858"/>
    </row>
    <row r="1636" spans="1:20" ht="20.100000000000001" customHeight="1">
      <c r="A1636" s="1256" t="s">
        <v>2971</v>
      </c>
      <c r="B1636" s="1138" t="s">
        <v>2527</v>
      </c>
      <c r="C1636" s="1138" t="s">
        <v>2799</v>
      </c>
      <c r="D1636" s="1006">
        <f>D61+545</f>
        <v>2095</v>
      </c>
      <c r="E1636" s="1006">
        <f>E61+545</f>
        <v>2345</v>
      </c>
      <c r="F1636" s="1006">
        <f>F61+545</f>
        <v>2345</v>
      </c>
      <c r="G1636" s="608" t="s">
        <v>51</v>
      </c>
      <c r="H1636" s="160" t="s">
        <v>1539</v>
      </c>
      <c r="I1636" s="5" t="s">
        <v>2540</v>
      </c>
      <c r="J1636" s="37" t="s">
        <v>2525</v>
      </c>
      <c r="K1636" s="5"/>
      <c r="L1636" s="607" t="s">
        <v>653</v>
      </c>
      <c r="M1636" s="611">
        <v>43086</v>
      </c>
      <c r="N1636" s="611">
        <v>43100</v>
      </c>
      <c r="O1636" s="61" t="s">
        <v>3291</v>
      </c>
      <c r="P1636" s="52"/>
      <c r="Q1636" s="61" t="s">
        <v>2132</v>
      </c>
      <c r="R1636" s="610"/>
      <c r="S1636" s="315" t="s">
        <v>3290</v>
      </c>
      <c r="T1636" s="858"/>
    </row>
    <row r="1637" spans="1:20" ht="20.100000000000001" customHeight="1">
      <c r="A1637" s="1256" t="s">
        <v>2971</v>
      </c>
      <c r="B1637" s="1138" t="s">
        <v>2527</v>
      </c>
      <c r="C1637" s="1138" t="s">
        <v>2799</v>
      </c>
      <c r="D1637" s="1008">
        <f>D63+457</f>
        <v>1732</v>
      </c>
      <c r="E1637" s="1008">
        <f>E63+457</f>
        <v>457</v>
      </c>
      <c r="F1637" s="1008">
        <f>F63+457</f>
        <v>1907</v>
      </c>
      <c r="G1637" s="609" t="s">
        <v>1689</v>
      </c>
      <c r="H1637" s="160" t="s">
        <v>1539</v>
      </c>
      <c r="I1637" s="5" t="s">
        <v>2540</v>
      </c>
      <c r="J1637" s="37" t="s">
        <v>2525</v>
      </c>
      <c r="K1637" s="5" t="s">
        <v>728</v>
      </c>
      <c r="L1637" s="607"/>
      <c r="M1637" s="156">
        <v>43076</v>
      </c>
      <c r="N1637" s="156">
        <v>43083</v>
      </c>
      <c r="O1637" s="153" t="s">
        <v>2529</v>
      </c>
      <c r="P1637" s="7"/>
      <c r="Q1637" s="61" t="s">
        <v>2541</v>
      </c>
      <c r="R1637" s="606" t="s">
        <v>1965</v>
      </c>
      <c r="S1637" s="316" t="s">
        <v>2943</v>
      </c>
      <c r="T1637" s="858"/>
    </row>
    <row r="1638" spans="1:20" ht="20.100000000000001" customHeight="1">
      <c r="A1638" s="1256" t="s">
        <v>2971</v>
      </c>
      <c r="B1638" s="1138" t="s">
        <v>2527</v>
      </c>
      <c r="C1638" s="1138" t="s">
        <v>2799</v>
      </c>
      <c r="D1638" s="1008">
        <f>D59+437</f>
        <v>2087</v>
      </c>
      <c r="E1638" s="1008">
        <f>E59+437</f>
        <v>2437</v>
      </c>
      <c r="F1638" s="1008">
        <f>F59+437</f>
        <v>2437</v>
      </c>
      <c r="G1638" s="608" t="s">
        <v>94</v>
      </c>
      <c r="H1638" s="168" t="s">
        <v>1102</v>
      </c>
      <c r="I1638" s="37" t="s">
        <v>2540</v>
      </c>
      <c r="J1638" s="37" t="s">
        <v>2525</v>
      </c>
      <c r="K1638" s="5" t="s">
        <v>968</v>
      </c>
      <c r="L1638" s="607" t="s">
        <v>653</v>
      </c>
      <c r="M1638" s="108">
        <v>43087</v>
      </c>
      <c r="N1638" s="108">
        <v>43094</v>
      </c>
      <c r="O1638" s="61" t="s">
        <v>2444</v>
      </c>
      <c r="P1638" s="7"/>
      <c r="Q1638" s="7"/>
      <c r="R1638" s="606" t="s">
        <v>2524</v>
      </c>
      <c r="S1638" s="322" t="s">
        <v>1176</v>
      </c>
      <c r="T1638" s="858"/>
    </row>
    <row r="1639" spans="1:20" ht="20.100000000000001" customHeight="1">
      <c r="A1639" s="925" t="s">
        <v>2971</v>
      </c>
      <c r="B1639" s="899" t="s">
        <v>2527</v>
      </c>
      <c r="C1639" s="899" t="s">
        <v>4475</v>
      </c>
      <c r="D1639" s="1008">
        <f>D41+2670+50</f>
        <v>4270</v>
      </c>
      <c r="E1639" s="1008">
        <f>E41+2670+100</f>
        <v>4570</v>
      </c>
      <c r="F1639" s="1008">
        <f>F41+2670+100</f>
        <v>4570</v>
      </c>
      <c r="G1639" s="608" t="s">
        <v>94</v>
      </c>
      <c r="H1639" s="168" t="s">
        <v>1102</v>
      </c>
      <c r="I1639" s="37" t="s">
        <v>2526</v>
      </c>
      <c r="J1639" s="37" t="s">
        <v>2525</v>
      </c>
      <c r="K1639" s="16">
        <v>26</v>
      </c>
      <c r="L1639" s="607" t="s">
        <v>653</v>
      </c>
      <c r="M1639" s="108">
        <v>43087</v>
      </c>
      <c r="N1639" s="108">
        <v>43094</v>
      </c>
      <c r="O1639" s="61" t="s">
        <v>2444</v>
      </c>
      <c r="P1639" s="7"/>
      <c r="Q1639" s="7"/>
      <c r="R1639" s="606" t="s">
        <v>2524</v>
      </c>
      <c r="S1639" s="322" t="s">
        <v>1176</v>
      </c>
      <c r="T1639" s="858"/>
    </row>
    <row r="1640" spans="1:20" ht="20.100000000000001" customHeight="1">
      <c r="A1640" s="1256" t="s">
        <v>2971</v>
      </c>
      <c r="B1640" s="1138" t="s">
        <v>2527</v>
      </c>
      <c r="C1640" s="1138" t="s">
        <v>4474</v>
      </c>
      <c r="D1640" s="1006">
        <f>D4+1104</f>
        <v>2279</v>
      </c>
      <c r="E1640" s="1006">
        <f>E4+1104</f>
        <v>2354</v>
      </c>
      <c r="F1640" s="1006">
        <f>F4+1104</f>
        <v>2354</v>
      </c>
      <c r="G1640" s="609" t="s">
        <v>1689</v>
      </c>
      <c r="H1640" s="160" t="s">
        <v>645</v>
      </c>
      <c r="I1640" s="37" t="s">
        <v>2127</v>
      </c>
      <c r="J1640" s="37" t="s">
        <v>2525</v>
      </c>
      <c r="K1640" s="5">
        <v>20</v>
      </c>
      <c r="L1640" s="607" t="s">
        <v>653</v>
      </c>
      <c r="M1640" s="156">
        <v>43076</v>
      </c>
      <c r="N1640" s="156">
        <v>43083</v>
      </c>
      <c r="O1640" s="153" t="s">
        <v>2529</v>
      </c>
      <c r="P1640" s="61"/>
      <c r="Q1640" s="61" t="s">
        <v>2125</v>
      </c>
      <c r="R1640" s="606" t="s">
        <v>2530</v>
      </c>
      <c r="S1640" s="316" t="s">
        <v>2943</v>
      </c>
      <c r="T1640" s="858"/>
    </row>
    <row r="1641" spans="1:20" ht="20.100000000000001" customHeight="1">
      <c r="A1641" s="1256" t="s">
        <v>2971</v>
      </c>
      <c r="B1641" s="1138" t="s">
        <v>2527</v>
      </c>
      <c r="C1641" s="1138" t="s">
        <v>4474</v>
      </c>
      <c r="D1641" s="1006">
        <f>D46+1115</f>
        <v>2290</v>
      </c>
      <c r="E1641" s="1006">
        <f>E46+1115</f>
        <v>2365</v>
      </c>
      <c r="F1641" s="1006">
        <f>F46+1115</f>
        <v>2365</v>
      </c>
      <c r="G1641" s="609" t="s">
        <v>1689</v>
      </c>
      <c r="H1641" s="160" t="s">
        <v>1311</v>
      </c>
      <c r="I1641" s="37" t="s">
        <v>2526</v>
      </c>
      <c r="J1641" s="37" t="s">
        <v>2525</v>
      </c>
      <c r="K1641" s="5">
        <v>30</v>
      </c>
      <c r="L1641" s="607" t="s">
        <v>653</v>
      </c>
      <c r="M1641" s="156">
        <v>43076</v>
      </c>
      <c r="N1641" s="156">
        <v>43083</v>
      </c>
      <c r="O1641" s="153" t="s">
        <v>2529</v>
      </c>
      <c r="P1641" s="61"/>
      <c r="Q1641" s="61" t="s">
        <v>2125</v>
      </c>
      <c r="R1641" s="606" t="s">
        <v>2528</v>
      </c>
      <c r="S1641" s="316" t="s">
        <v>2943</v>
      </c>
      <c r="T1641" s="858"/>
    </row>
    <row r="1642" spans="1:20" ht="20.100000000000001" customHeight="1">
      <c r="A1642" s="1256" t="s">
        <v>2971</v>
      </c>
      <c r="B1642" s="1138" t="s">
        <v>2527</v>
      </c>
      <c r="C1642" s="1138" t="s">
        <v>4474</v>
      </c>
      <c r="D1642" s="1006">
        <f>D18+1180+50</f>
        <v>2780</v>
      </c>
      <c r="E1642" s="1006">
        <f>E18+1280+100</f>
        <v>3180</v>
      </c>
      <c r="F1642" s="1006">
        <f>F18+1280+100</f>
        <v>3180</v>
      </c>
      <c r="G1642" s="608" t="s">
        <v>94</v>
      </c>
      <c r="H1642" s="56" t="s">
        <v>657</v>
      </c>
      <c r="I1642" s="5" t="s">
        <v>2127</v>
      </c>
      <c r="J1642" s="37" t="s">
        <v>1211</v>
      </c>
      <c r="K1642" s="34">
        <v>25</v>
      </c>
      <c r="L1642" s="607" t="s">
        <v>653</v>
      </c>
      <c r="M1642" s="108">
        <v>43087</v>
      </c>
      <c r="N1642" s="108">
        <v>43094</v>
      </c>
      <c r="O1642" s="61" t="s">
        <v>2444</v>
      </c>
      <c r="P1642" s="7"/>
      <c r="Q1642" s="7"/>
      <c r="R1642" s="606" t="s">
        <v>2126</v>
      </c>
      <c r="S1642" s="322" t="s">
        <v>1176</v>
      </c>
      <c r="T1642" s="858"/>
    </row>
    <row r="1643" spans="1:20" ht="20.100000000000001" customHeight="1">
      <c r="A1643" s="1256" t="s">
        <v>2971</v>
      </c>
      <c r="B1643" s="1138" t="s">
        <v>2527</v>
      </c>
      <c r="C1643" s="1138" t="s">
        <v>4474</v>
      </c>
      <c r="D1643" s="1006">
        <f>D41+1280+50</f>
        <v>2880</v>
      </c>
      <c r="E1643" s="1006">
        <f>E41+1360+100</f>
        <v>3260</v>
      </c>
      <c r="F1643" s="1006">
        <f>F41+1360+100</f>
        <v>3260</v>
      </c>
      <c r="G1643" s="608" t="s">
        <v>94</v>
      </c>
      <c r="H1643" s="168" t="s">
        <v>1102</v>
      </c>
      <c r="I1643" s="5" t="s">
        <v>2526</v>
      </c>
      <c r="J1643" s="37" t="s">
        <v>1211</v>
      </c>
      <c r="K1643" s="16">
        <v>26</v>
      </c>
      <c r="L1643" s="607" t="s">
        <v>653</v>
      </c>
      <c r="M1643" s="108">
        <v>43087</v>
      </c>
      <c r="N1643" s="108">
        <v>43094</v>
      </c>
      <c r="O1643" s="61" t="s">
        <v>2444</v>
      </c>
      <c r="P1643" s="7"/>
      <c r="Q1643" s="7"/>
      <c r="R1643" s="606" t="s">
        <v>2524</v>
      </c>
      <c r="S1643" s="322" t="s">
        <v>1176</v>
      </c>
      <c r="T1643" s="858"/>
    </row>
    <row r="1644" spans="1:20" ht="20.100000000000001" customHeight="1">
      <c r="A1644" s="1256" t="s">
        <v>2971</v>
      </c>
      <c r="B1644" s="1138" t="s">
        <v>2527</v>
      </c>
      <c r="C1644" s="1138" t="s">
        <v>4474</v>
      </c>
      <c r="D1644" s="1006">
        <f>D41+1186+50</f>
        <v>2786</v>
      </c>
      <c r="E1644" s="1006">
        <f>E41+1186+100</f>
        <v>3086</v>
      </c>
      <c r="F1644" s="1006">
        <f>F41+1186+100</f>
        <v>3086</v>
      </c>
      <c r="G1644" s="608" t="s">
        <v>94</v>
      </c>
      <c r="H1644" s="168" t="s">
        <v>1102</v>
      </c>
      <c r="I1644" s="5" t="s">
        <v>2526</v>
      </c>
      <c r="J1644" s="37" t="s">
        <v>2525</v>
      </c>
      <c r="K1644" s="16">
        <v>26</v>
      </c>
      <c r="L1644" s="607" t="s">
        <v>653</v>
      </c>
      <c r="M1644" s="108">
        <v>43087</v>
      </c>
      <c r="N1644" s="108">
        <v>43094</v>
      </c>
      <c r="O1644" s="61" t="s">
        <v>2444</v>
      </c>
      <c r="P1644" s="7"/>
      <c r="Q1644" s="7"/>
      <c r="R1644" s="606" t="s">
        <v>2524</v>
      </c>
      <c r="S1644" s="322" t="s">
        <v>1176</v>
      </c>
      <c r="T1644" s="858"/>
    </row>
    <row r="1645" spans="1:20" ht="20.100000000000001" customHeight="1">
      <c r="A1645" s="1256" t="s">
        <v>2971</v>
      </c>
      <c r="B1645" s="1138" t="s">
        <v>2527</v>
      </c>
      <c r="C1645" s="1138" t="s">
        <v>4474</v>
      </c>
      <c r="D1645" s="1006">
        <f>D18+1200+50</f>
        <v>2800</v>
      </c>
      <c r="E1645" s="1006">
        <f>E18+1200+100</f>
        <v>3100</v>
      </c>
      <c r="F1645" s="1006">
        <f>F18+1200+100</f>
        <v>3100</v>
      </c>
      <c r="G1645" s="608" t="s">
        <v>94</v>
      </c>
      <c r="H1645" s="56" t="s">
        <v>657</v>
      </c>
      <c r="I1645" s="5" t="s">
        <v>2127</v>
      </c>
      <c r="J1645" s="37" t="s">
        <v>2525</v>
      </c>
      <c r="K1645" s="16">
        <v>21</v>
      </c>
      <c r="L1645" s="607" t="s">
        <v>653</v>
      </c>
      <c r="M1645" s="108">
        <v>43087</v>
      </c>
      <c r="N1645" s="108">
        <v>43094</v>
      </c>
      <c r="O1645" s="61" t="s">
        <v>2444</v>
      </c>
      <c r="P1645" s="7"/>
      <c r="Q1645" s="7"/>
      <c r="R1645" s="606" t="s">
        <v>2126</v>
      </c>
      <c r="S1645" s="322" t="s">
        <v>1176</v>
      </c>
      <c r="T1645" s="858"/>
    </row>
    <row r="1646" spans="1:20" ht="20.100000000000001" customHeight="1">
      <c r="A1646" s="1256" t="s">
        <v>2971</v>
      </c>
      <c r="B1646" s="1138" t="s">
        <v>2527</v>
      </c>
      <c r="C1646" s="1138" t="s">
        <v>4473</v>
      </c>
      <c r="D1646" s="1006">
        <f>D46+1391</f>
        <v>2566</v>
      </c>
      <c r="E1646" s="1006">
        <f>E46+1391</f>
        <v>2641</v>
      </c>
      <c r="F1646" s="1006">
        <f>F46+1391</f>
        <v>2641</v>
      </c>
      <c r="G1646" s="609" t="s">
        <v>1689</v>
      </c>
      <c r="H1646" s="160" t="s">
        <v>1311</v>
      </c>
      <c r="I1646" s="37" t="s">
        <v>2526</v>
      </c>
      <c r="J1646" s="37" t="s">
        <v>2525</v>
      </c>
      <c r="K1646" s="5">
        <v>30</v>
      </c>
      <c r="L1646" s="607" t="s">
        <v>653</v>
      </c>
      <c r="M1646" s="156">
        <v>43076</v>
      </c>
      <c r="N1646" s="156">
        <v>43083</v>
      </c>
      <c r="O1646" s="153" t="s">
        <v>2529</v>
      </c>
      <c r="P1646" s="61"/>
      <c r="Q1646" s="61" t="s">
        <v>2125</v>
      </c>
      <c r="R1646" s="606" t="s">
        <v>2528</v>
      </c>
      <c r="S1646" s="316" t="s">
        <v>2943</v>
      </c>
      <c r="T1646" s="858"/>
    </row>
    <row r="1647" spans="1:20" ht="20.100000000000001" customHeight="1">
      <c r="A1647" s="1256" t="s">
        <v>2971</v>
      </c>
      <c r="B1647" s="1138" t="s">
        <v>2527</v>
      </c>
      <c r="C1647" s="1138" t="s">
        <v>4473</v>
      </c>
      <c r="D1647" s="1006">
        <f>D18+1175+50</f>
        <v>2775</v>
      </c>
      <c r="E1647" s="1006">
        <f>E18+1090+100</f>
        <v>2990</v>
      </c>
      <c r="F1647" s="1006">
        <f>F18+1090+100</f>
        <v>2990</v>
      </c>
      <c r="G1647" s="608" t="s">
        <v>94</v>
      </c>
      <c r="H1647" s="56" t="s">
        <v>657</v>
      </c>
      <c r="I1647" s="5" t="s">
        <v>2127</v>
      </c>
      <c r="J1647" s="37" t="s">
        <v>1211</v>
      </c>
      <c r="K1647" s="5">
        <v>26</v>
      </c>
      <c r="L1647" s="607" t="s">
        <v>653</v>
      </c>
      <c r="M1647" s="108">
        <v>43087</v>
      </c>
      <c r="N1647" s="108">
        <v>43094</v>
      </c>
      <c r="O1647" s="61" t="s">
        <v>2444</v>
      </c>
      <c r="P1647" s="7"/>
      <c r="Q1647" s="7"/>
      <c r="R1647" s="606" t="s">
        <v>2126</v>
      </c>
      <c r="S1647" s="322" t="s">
        <v>1176</v>
      </c>
      <c r="T1647" s="858"/>
    </row>
    <row r="1648" spans="1:20" ht="20.100000000000001" customHeight="1">
      <c r="A1648" s="1256" t="s">
        <v>2971</v>
      </c>
      <c r="B1648" s="1138" t="s">
        <v>2527</v>
      </c>
      <c r="C1648" s="1138" t="s">
        <v>4473</v>
      </c>
      <c r="D1648" s="1006">
        <f>D41+1175+50</f>
        <v>2775</v>
      </c>
      <c r="E1648" s="1006">
        <f>E41+1080+100</f>
        <v>2980</v>
      </c>
      <c r="F1648" s="1006">
        <f>F41+1070+100</f>
        <v>2970</v>
      </c>
      <c r="G1648" s="608" t="s">
        <v>94</v>
      </c>
      <c r="H1648" s="168" t="s">
        <v>1102</v>
      </c>
      <c r="I1648" s="5" t="s">
        <v>2526</v>
      </c>
      <c r="J1648" s="37" t="s">
        <v>1211</v>
      </c>
      <c r="K1648" s="16">
        <v>26</v>
      </c>
      <c r="L1648" s="607" t="s">
        <v>653</v>
      </c>
      <c r="M1648" s="108">
        <v>43087</v>
      </c>
      <c r="N1648" s="108">
        <v>43094</v>
      </c>
      <c r="O1648" s="61" t="s">
        <v>2444</v>
      </c>
      <c r="P1648" s="7"/>
      <c r="Q1648" s="7"/>
      <c r="R1648" s="606" t="s">
        <v>2524</v>
      </c>
      <c r="S1648" s="322" t="s">
        <v>1176</v>
      </c>
      <c r="T1648" s="858"/>
    </row>
    <row r="1649" spans="1:20" ht="20.100000000000001" customHeight="1">
      <c r="A1649" s="1256" t="s">
        <v>2971</v>
      </c>
      <c r="B1649" s="1138" t="s">
        <v>2527</v>
      </c>
      <c r="C1649" s="1138" t="s">
        <v>4472</v>
      </c>
      <c r="D1649" s="1006">
        <f>D46+1097</f>
        <v>2272</v>
      </c>
      <c r="E1649" s="1006">
        <f>E46+1202</f>
        <v>2452</v>
      </c>
      <c r="F1649" s="1006">
        <f>F46+1202</f>
        <v>2452</v>
      </c>
      <c r="G1649" s="609" t="s">
        <v>1689</v>
      </c>
      <c r="H1649" s="160" t="s">
        <v>1311</v>
      </c>
      <c r="I1649" s="37" t="s">
        <v>2526</v>
      </c>
      <c r="J1649" s="37" t="s">
        <v>1211</v>
      </c>
      <c r="K1649" s="5">
        <v>30</v>
      </c>
      <c r="L1649" s="607" t="s">
        <v>653</v>
      </c>
      <c r="M1649" s="156">
        <v>43076</v>
      </c>
      <c r="N1649" s="156">
        <v>43083</v>
      </c>
      <c r="O1649" s="153" t="s">
        <v>2529</v>
      </c>
      <c r="P1649" s="61"/>
      <c r="Q1649" s="61" t="s">
        <v>2128</v>
      </c>
      <c r="R1649" s="606" t="s">
        <v>2528</v>
      </c>
      <c r="S1649" s="316" t="s">
        <v>2943</v>
      </c>
      <c r="T1649" s="858"/>
    </row>
    <row r="1650" spans="1:20" ht="20.100000000000001" customHeight="1">
      <c r="A1650" s="1256" t="s">
        <v>2971</v>
      </c>
      <c r="B1650" s="1138" t="s">
        <v>2527</v>
      </c>
      <c r="C1650" s="1138" t="s">
        <v>4472</v>
      </c>
      <c r="D1650" s="1006">
        <f>D18+1385+50</f>
        <v>2985</v>
      </c>
      <c r="E1650" s="1006">
        <f>E18+1385+100</f>
        <v>3285</v>
      </c>
      <c r="F1650" s="1006">
        <f>F18+1385+100</f>
        <v>3285</v>
      </c>
      <c r="G1650" s="608" t="s">
        <v>94</v>
      </c>
      <c r="H1650" s="56" t="s">
        <v>657</v>
      </c>
      <c r="I1650" s="5" t="s">
        <v>2127</v>
      </c>
      <c r="J1650" s="37" t="s">
        <v>1211</v>
      </c>
      <c r="K1650" s="16">
        <v>28</v>
      </c>
      <c r="L1650" s="607" t="s">
        <v>653</v>
      </c>
      <c r="M1650" s="108">
        <v>43087</v>
      </c>
      <c r="N1650" s="108">
        <v>43094</v>
      </c>
      <c r="O1650" s="61" t="s">
        <v>2444</v>
      </c>
      <c r="P1650" s="7"/>
      <c r="Q1650" s="7"/>
      <c r="R1650" s="606" t="s">
        <v>2126</v>
      </c>
      <c r="S1650" s="322" t="s">
        <v>1176</v>
      </c>
      <c r="T1650" s="858"/>
    </row>
    <row r="1651" spans="1:20" ht="20.100000000000001" customHeight="1">
      <c r="A1651" s="1256" t="s">
        <v>2971</v>
      </c>
      <c r="B1651" s="1138" t="s">
        <v>2527</v>
      </c>
      <c r="C1651" s="1138" t="s">
        <v>4472</v>
      </c>
      <c r="D1651" s="1006">
        <f>D41+1375+50</f>
        <v>2975</v>
      </c>
      <c r="E1651" s="1006">
        <f>E41+1280+100</f>
        <v>3180</v>
      </c>
      <c r="F1651" s="1006">
        <f>F41+1270+100</f>
        <v>3170</v>
      </c>
      <c r="G1651" s="608" t="s">
        <v>94</v>
      </c>
      <c r="H1651" s="168" t="s">
        <v>1102</v>
      </c>
      <c r="I1651" s="5" t="s">
        <v>2526</v>
      </c>
      <c r="J1651" s="37" t="s">
        <v>1211</v>
      </c>
      <c r="K1651" s="16">
        <v>26</v>
      </c>
      <c r="L1651" s="607" t="s">
        <v>653</v>
      </c>
      <c r="M1651" s="108">
        <v>43087</v>
      </c>
      <c r="N1651" s="108">
        <v>43094</v>
      </c>
      <c r="O1651" s="61" t="s">
        <v>2444</v>
      </c>
      <c r="P1651" s="7"/>
      <c r="Q1651" s="7"/>
      <c r="R1651" s="606" t="s">
        <v>2524</v>
      </c>
      <c r="S1651" s="322" t="s">
        <v>1176</v>
      </c>
      <c r="T1651" s="858"/>
    </row>
    <row r="1652" spans="1:20" ht="20.100000000000001" customHeight="1">
      <c r="A1652" s="1256" t="s">
        <v>2971</v>
      </c>
      <c r="B1652" s="1138" t="s">
        <v>2527</v>
      </c>
      <c r="C1652" s="1138" t="s">
        <v>4472</v>
      </c>
      <c r="D1652" s="1006">
        <f>D136+1300</f>
        <v>2900</v>
      </c>
      <c r="E1652" s="1006">
        <f>E136+1350</f>
        <v>3350</v>
      </c>
      <c r="F1652" s="1006">
        <f>F136+1350</f>
        <v>3350</v>
      </c>
      <c r="G1652" s="613" t="s">
        <v>33</v>
      </c>
      <c r="H1652" s="56">
        <v>5</v>
      </c>
      <c r="I1652" s="37" t="s">
        <v>2526</v>
      </c>
      <c r="J1652" s="37" t="s">
        <v>1211</v>
      </c>
      <c r="K1652" s="5" t="s">
        <v>830</v>
      </c>
      <c r="L1652" s="607" t="s">
        <v>653</v>
      </c>
      <c r="M1652" s="159">
        <v>43080</v>
      </c>
      <c r="N1652" s="159">
        <v>43086</v>
      </c>
      <c r="O1652" s="153" t="s">
        <v>2445</v>
      </c>
      <c r="P1652" s="61"/>
      <c r="Q1652" s="7"/>
      <c r="R1652" s="606" t="s">
        <v>2538</v>
      </c>
      <c r="S1652" s="316" t="s">
        <v>3333</v>
      </c>
      <c r="T1652" s="858"/>
    </row>
    <row r="1653" spans="1:20" ht="20.100000000000001" customHeight="1">
      <c r="A1653" s="1256" t="s">
        <v>2971</v>
      </c>
      <c r="B1653" s="1138" t="s">
        <v>2527</v>
      </c>
      <c r="C1653" s="1138" t="s">
        <v>4472</v>
      </c>
      <c r="D1653" s="1006">
        <f>D135+1100</f>
        <v>2700</v>
      </c>
      <c r="E1653" s="1006">
        <f>E135+1250</f>
        <v>3250</v>
      </c>
      <c r="F1653" s="1006">
        <f>F135+1250</f>
        <v>3250</v>
      </c>
      <c r="G1653" s="613" t="s">
        <v>33</v>
      </c>
      <c r="H1653" s="56" t="s">
        <v>2535</v>
      </c>
      <c r="I1653" s="37" t="s">
        <v>2127</v>
      </c>
      <c r="J1653" s="37" t="s">
        <v>1211</v>
      </c>
      <c r="K1653" s="16">
        <v>20</v>
      </c>
      <c r="L1653" s="607" t="s">
        <v>653</v>
      </c>
      <c r="M1653" s="159">
        <v>43080</v>
      </c>
      <c r="N1653" s="159">
        <v>43086</v>
      </c>
      <c r="O1653" s="153" t="s">
        <v>2445</v>
      </c>
      <c r="P1653" s="61"/>
      <c r="Q1653" s="7"/>
      <c r="R1653" s="612" t="s">
        <v>2130</v>
      </c>
      <c r="S1653" s="316" t="s">
        <v>3333</v>
      </c>
      <c r="T1653" s="858"/>
    </row>
    <row r="1654" spans="1:20" ht="20.100000000000001" customHeight="1">
      <c r="A1654" s="1256" t="s">
        <v>2971</v>
      </c>
      <c r="B1654" s="1138" t="s">
        <v>2527</v>
      </c>
      <c r="C1654" s="1138" t="s">
        <v>4472</v>
      </c>
      <c r="D1654" s="1006">
        <f>D4+1241</f>
        <v>2416</v>
      </c>
      <c r="E1654" s="1006">
        <f>E4+1241</f>
        <v>2491</v>
      </c>
      <c r="F1654" s="1006">
        <f>F4+1241</f>
        <v>2491</v>
      </c>
      <c r="G1654" s="609" t="s">
        <v>1689</v>
      </c>
      <c r="H1654" s="160" t="s">
        <v>645</v>
      </c>
      <c r="I1654" s="37" t="s">
        <v>2127</v>
      </c>
      <c r="J1654" s="37" t="s">
        <v>2525</v>
      </c>
      <c r="K1654" s="5">
        <v>20</v>
      </c>
      <c r="L1654" s="607" t="s">
        <v>653</v>
      </c>
      <c r="M1654" s="156">
        <v>43076</v>
      </c>
      <c r="N1654" s="156">
        <v>43083</v>
      </c>
      <c r="O1654" s="153" t="s">
        <v>2529</v>
      </c>
      <c r="P1654" s="61"/>
      <c r="Q1654" s="61" t="s">
        <v>2125</v>
      </c>
      <c r="R1654" s="606" t="s">
        <v>2530</v>
      </c>
      <c r="S1654" s="316" t="s">
        <v>2943</v>
      </c>
      <c r="T1654" s="858"/>
    </row>
    <row r="1655" spans="1:20" ht="20.100000000000001" customHeight="1">
      <c r="A1655" s="1256" t="s">
        <v>2971</v>
      </c>
      <c r="B1655" s="1138" t="s">
        <v>2527</v>
      </c>
      <c r="C1655" s="1138" t="s">
        <v>4472</v>
      </c>
      <c r="D1655" s="1006">
        <f>D46+1422</f>
        <v>2597</v>
      </c>
      <c r="E1655" s="1006">
        <f>E46+1422</f>
        <v>2672</v>
      </c>
      <c r="F1655" s="1006">
        <f>F46+1422</f>
        <v>2672</v>
      </c>
      <c r="G1655" s="609" t="s">
        <v>1689</v>
      </c>
      <c r="H1655" s="160" t="s">
        <v>1311</v>
      </c>
      <c r="I1655" s="37" t="s">
        <v>2526</v>
      </c>
      <c r="J1655" s="37" t="s">
        <v>2525</v>
      </c>
      <c r="K1655" s="5">
        <v>30</v>
      </c>
      <c r="L1655" s="607" t="s">
        <v>653</v>
      </c>
      <c r="M1655" s="156">
        <v>43076</v>
      </c>
      <c r="N1655" s="156">
        <v>43083</v>
      </c>
      <c r="O1655" s="153" t="s">
        <v>2529</v>
      </c>
      <c r="P1655" s="61"/>
      <c r="Q1655" s="61" t="s">
        <v>2125</v>
      </c>
      <c r="R1655" s="606" t="s">
        <v>2528</v>
      </c>
      <c r="S1655" s="316" t="s">
        <v>2943</v>
      </c>
      <c r="T1655" s="858"/>
    </row>
    <row r="1656" spans="1:20" ht="20.100000000000001" customHeight="1">
      <c r="A1656" s="1256" t="s">
        <v>2971</v>
      </c>
      <c r="B1656" s="1138" t="s">
        <v>2527</v>
      </c>
      <c r="C1656" s="1138" t="s">
        <v>4472</v>
      </c>
      <c r="D1656" s="1006">
        <f>D30+1600</f>
        <v>3150</v>
      </c>
      <c r="E1656" s="1006">
        <f>E30+1055</f>
        <v>2855</v>
      </c>
      <c r="F1656" s="1006">
        <f>F30+1055</f>
        <v>2855</v>
      </c>
      <c r="G1656" s="615" t="s">
        <v>51</v>
      </c>
      <c r="H1656" s="160" t="s">
        <v>2532</v>
      </c>
      <c r="I1656" s="37" t="s">
        <v>2127</v>
      </c>
      <c r="J1656" s="37" t="s">
        <v>2525</v>
      </c>
      <c r="K1656" s="5"/>
      <c r="L1656" s="607" t="s">
        <v>653</v>
      </c>
      <c r="M1656" s="611">
        <v>43086</v>
      </c>
      <c r="N1656" s="611">
        <v>43100</v>
      </c>
      <c r="O1656" s="61" t="s">
        <v>3291</v>
      </c>
      <c r="P1656" s="52"/>
      <c r="Q1656" s="61" t="s">
        <v>2466</v>
      </c>
      <c r="R1656" s="610"/>
      <c r="S1656" s="315" t="s">
        <v>3290</v>
      </c>
      <c r="T1656" s="858"/>
    </row>
    <row r="1657" spans="1:20" ht="20.100000000000001" customHeight="1">
      <c r="A1657" s="1256" t="s">
        <v>2971</v>
      </c>
      <c r="B1657" s="1138" t="s">
        <v>2527</v>
      </c>
      <c r="C1657" s="1138" t="s">
        <v>4472</v>
      </c>
      <c r="D1657" s="1006">
        <f>D41+1990+50</f>
        <v>3590</v>
      </c>
      <c r="E1657" s="1006">
        <f>E41+1990+100</f>
        <v>3890</v>
      </c>
      <c r="F1657" s="1006">
        <f>F41+1990+100</f>
        <v>3890</v>
      </c>
      <c r="G1657" s="608" t="s">
        <v>94</v>
      </c>
      <c r="H1657" s="168" t="s">
        <v>1102</v>
      </c>
      <c r="I1657" s="5" t="s">
        <v>2526</v>
      </c>
      <c r="J1657" s="37" t="s">
        <v>2525</v>
      </c>
      <c r="K1657" s="16">
        <v>26</v>
      </c>
      <c r="L1657" s="607" t="s">
        <v>653</v>
      </c>
      <c r="M1657" s="108">
        <v>43087</v>
      </c>
      <c r="N1657" s="108">
        <v>43094</v>
      </c>
      <c r="O1657" s="61" t="s">
        <v>2444</v>
      </c>
      <c r="P1657" s="7"/>
      <c r="Q1657" s="7"/>
      <c r="R1657" s="606" t="s">
        <v>2524</v>
      </c>
      <c r="S1657" s="322" t="s">
        <v>1176</v>
      </c>
      <c r="T1657" s="858"/>
    </row>
    <row r="1658" spans="1:20" ht="20.100000000000001" customHeight="1">
      <c r="A1658" s="1256" t="s">
        <v>2971</v>
      </c>
      <c r="B1658" s="1138" t="s">
        <v>2527</v>
      </c>
      <c r="C1658" s="1138" t="s">
        <v>4472</v>
      </c>
      <c r="D1658" s="1006">
        <f>D18+1790+50</f>
        <v>3390</v>
      </c>
      <c r="E1658" s="1006">
        <f>E18+1790+100</f>
        <v>3690</v>
      </c>
      <c r="F1658" s="1006">
        <f>F18+1790+100</f>
        <v>3690</v>
      </c>
      <c r="G1658" s="608" t="s">
        <v>94</v>
      </c>
      <c r="H1658" s="56" t="s">
        <v>657</v>
      </c>
      <c r="I1658" s="5" t="s">
        <v>2127</v>
      </c>
      <c r="J1658" s="37" t="s">
        <v>2525</v>
      </c>
      <c r="K1658" s="5">
        <v>22</v>
      </c>
      <c r="L1658" s="607" t="s">
        <v>653</v>
      </c>
      <c r="M1658" s="108">
        <v>43087</v>
      </c>
      <c r="N1658" s="108">
        <v>43094</v>
      </c>
      <c r="O1658" s="61" t="s">
        <v>2444</v>
      </c>
      <c r="P1658" s="7"/>
      <c r="Q1658" s="7"/>
      <c r="R1658" s="606" t="s">
        <v>2126</v>
      </c>
      <c r="S1658" s="322" t="s">
        <v>1176</v>
      </c>
      <c r="T1658" s="858"/>
    </row>
    <row r="1659" spans="1:20" ht="20.100000000000001" customHeight="1">
      <c r="A1659" s="1256" t="s">
        <v>2971</v>
      </c>
      <c r="B1659" s="1138" t="s">
        <v>2527</v>
      </c>
      <c r="C1659" s="1138" t="s">
        <v>4472</v>
      </c>
      <c r="D1659" s="1006">
        <f>D135+2400</f>
        <v>4000</v>
      </c>
      <c r="E1659" s="1006">
        <f>E135+2400</f>
        <v>4400</v>
      </c>
      <c r="F1659" s="1006">
        <f>F135+2400</f>
        <v>4400</v>
      </c>
      <c r="G1659" s="613" t="s">
        <v>33</v>
      </c>
      <c r="H1659" s="56" t="s">
        <v>2535</v>
      </c>
      <c r="I1659" s="37" t="s">
        <v>2127</v>
      </c>
      <c r="J1659" s="37" t="s">
        <v>2525</v>
      </c>
      <c r="K1659" s="16">
        <v>20</v>
      </c>
      <c r="L1659" s="607" t="s">
        <v>653</v>
      </c>
      <c r="M1659" s="159">
        <v>43080</v>
      </c>
      <c r="N1659" s="159">
        <v>43086</v>
      </c>
      <c r="O1659" s="153" t="s">
        <v>2445</v>
      </c>
      <c r="P1659" s="61"/>
      <c r="Q1659" s="7"/>
      <c r="R1659" s="612" t="s">
        <v>2130</v>
      </c>
      <c r="S1659" s="316" t="s">
        <v>3333</v>
      </c>
      <c r="T1659" s="858"/>
    </row>
    <row r="1660" spans="1:20" ht="20.100000000000001" customHeight="1">
      <c r="A1660" s="925" t="s">
        <v>2972</v>
      </c>
      <c r="B1660" s="899" t="s">
        <v>2527</v>
      </c>
      <c r="C1660" s="899" t="s">
        <v>4471</v>
      </c>
      <c r="D1660" s="1006">
        <f>D41+1829+50</f>
        <v>3429</v>
      </c>
      <c r="E1660" s="1006">
        <f>E41+1829+100</f>
        <v>3729</v>
      </c>
      <c r="F1660" s="1006">
        <f>F41+1829+100</f>
        <v>3729</v>
      </c>
      <c r="G1660" s="608" t="s">
        <v>94</v>
      </c>
      <c r="H1660" s="168" t="s">
        <v>1102</v>
      </c>
      <c r="I1660" s="37" t="s">
        <v>2526</v>
      </c>
      <c r="J1660" s="37" t="s">
        <v>2525</v>
      </c>
      <c r="K1660" s="16">
        <v>26</v>
      </c>
      <c r="L1660" s="607" t="s">
        <v>653</v>
      </c>
      <c r="M1660" s="108">
        <v>43087</v>
      </c>
      <c r="N1660" s="108">
        <v>43094</v>
      </c>
      <c r="O1660" s="61" t="s">
        <v>2444</v>
      </c>
      <c r="P1660" s="7"/>
      <c r="Q1660" s="7"/>
      <c r="R1660" s="606" t="s">
        <v>2524</v>
      </c>
      <c r="S1660" s="322" t="s">
        <v>1176</v>
      </c>
      <c r="T1660" s="858"/>
    </row>
    <row r="1661" spans="1:20" ht="20.100000000000001" customHeight="1">
      <c r="A1661" s="925" t="s">
        <v>2972</v>
      </c>
      <c r="B1661" s="899" t="s">
        <v>2527</v>
      </c>
      <c r="C1661" s="899" t="s">
        <v>4470</v>
      </c>
      <c r="D1661" s="1006">
        <f>D41+1320+50</f>
        <v>2920</v>
      </c>
      <c r="E1661" s="1006">
        <f>E41+1320+100</f>
        <v>3220</v>
      </c>
      <c r="F1661" s="1006">
        <f>F41+1320+100</f>
        <v>3220</v>
      </c>
      <c r="G1661" s="608" t="s">
        <v>94</v>
      </c>
      <c r="H1661" s="168" t="s">
        <v>1102</v>
      </c>
      <c r="I1661" s="5" t="s">
        <v>2526</v>
      </c>
      <c r="J1661" s="37" t="s">
        <v>2525</v>
      </c>
      <c r="K1661" s="16">
        <v>26</v>
      </c>
      <c r="L1661" s="607" t="s">
        <v>653</v>
      </c>
      <c r="M1661" s="108">
        <v>43087</v>
      </c>
      <c r="N1661" s="108">
        <v>43094</v>
      </c>
      <c r="O1661" s="61" t="s">
        <v>2444</v>
      </c>
      <c r="P1661" s="7"/>
      <c r="Q1661" s="7"/>
      <c r="R1661" s="606" t="s">
        <v>2524</v>
      </c>
      <c r="S1661" s="322" t="s">
        <v>1176</v>
      </c>
      <c r="T1661" s="858"/>
    </row>
    <row r="1662" spans="1:20" ht="20.100000000000001" customHeight="1">
      <c r="A1662" s="1256" t="s">
        <v>2971</v>
      </c>
      <c r="B1662" s="1138" t="s">
        <v>2527</v>
      </c>
      <c r="C1662" s="1138" t="s">
        <v>4469</v>
      </c>
      <c r="D1662" s="1006">
        <f>D18+850+50</f>
        <v>2450</v>
      </c>
      <c r="E1662" s="1006">
        <f>E18+950+100</f>
        <v>2850</v>
      </c>
      <c r="F1662" s="1006">
        <f>F18+950+100</f>
        <v>2850</v>
      </c>
      <c r="G1662" s="608" t="s">
        <v>94</v>
      </c>
      <c r="H1662" s="56" t="s">
        <v>657</v>
      </c>
      <c r="I1662" s="5" t="s">
        <v>2127</v>
      </c>
      <c r="J1662" s="37" t="s">
        <v>1211</v>
      </c>
      <c r="K1662" s="34">
        <v>25</v>
      </c>
      <c r="L1662" s="607" t="s">
        <v>653</v>
      </c>
      <c r="M1662" s="108">
        <v>43087</v>
      </c>
      <c r="N1662" s="108">
        <v>43094</v>
      </c>
      <c r="O1662" s="61" t="s">
        <v>2444</v>
      </c>
      <c r="P1662" s="7"/>
      <c r="Q1662" s="7"/>
      <c r="R1662" s="606" t="s">
        <v>2126</v>
      </c>
      <c r="S1662" s="322" t="s">
        <v>1176</v>
      </c>
      <c r="T1662" s="858"/>
    </row>
    <row r="1663" spans="1:20" ht="20.100000000000001" customHeight="1">
      <c r="A1663" s="1256" t="s">
        <v>2971</v>
      </c>
      <c r="B1663" s="1138" t="s">
        <v>2527</v>
      </c>
      <c r="C1663" s="1138" t="s">
        <v>4469</v>
      </c>
      <c r="D1663" s="1006">
        <f>D41+1370+50</f>
        <v>2970</v>
      </c>
      <c r="E1663" s="1006">
        <f>E41+1450+100</f>
        <v>3350</v>
      </c>
      <c r="F1663" s="1006">
        <f>F41+1450+100</f>
        <v>3350</v>
      </c>
      <c r="G1663" s="608" t="s">
        <v>94</v>
      </c>
      <c r="H1663" s="168" t="s">
        <v>1102</v>
      </c>
      <c r="I1663" s="5" t="s">
        <v>2526</v>
      </c>
      <c r="J1663" s="37" t="s">
        <v>1211</v>
      </c>
      <c r="K1663" s="16">
        <v>26</v>
      </c>
      <c r="L1663" s="607" t="s">
        <v>653</v>
      </c>
      <c r="M1663" s="108">
        <v>43087</v>
      </c>
      <c r="N1663" s="108">
        <v>43094</v>
      </c>
      <c r="O1663" s="61" t="s">
        <v>2444</v>
      </c>
      <c r="P1663" s="7"/>
      <c r="Q1663" s="7"/>
      <c r="R1663" s="606" t="s">
        <v>2524</v>
      </c>
      <c r="S1663" s="322" t="s">
        <v>1176</v>
      </c>
      <c r="T1663" s="858"/>
    </row>
    <row r="1664" spans="1:20" ht="20.100000000000001" customHeight="1">
      <c r="A1664" s="1256" t="s">
        <v>2971</v>
      </c>
      <c r="B1664" s="1138" t="s">
        <v>2527</v>
      </c>
      <c r="C1664" s="1138" t="s">
        <v>4469</v>
      </c>
      <c r="D1664" s="1006">
        <f>D18+1190+50</f>
        <v>2790</v>
      </c>
      <c r="E1664" s="1006">
        <f>E18+1190+100</f>
        <v>3090</v>
      </c>
      <c r="F1664" s="1006">
        <f>F18+1190+100</f>
        <v>3090</v>
      </c>
      <c r="G1664" s="608" t="s">
        <v>94</v>
      </c>
      <c r="H1664" s="56" t="s">
        <v>657</v>
      </c>
      <c r="I1664" s="5" t="s">
        <v>2127</v>
      </c>
      <c r="J1664" s="37" t="s">
        <v>2525</v>
      </c>
      <c r="K1664" s="16">
        <v>21</v>
      </c>
      <c r="L1664" s="607" t="s">
        <v>653</v>
      </c>
      <c r="M1664" s="108">
        <v>43087</v>
      </c>
      <c r="N1664" s="108">
        <v>43094</v>
      </c>
      <c r="O1664" s="61" t="s">
        <v>2444</v>
      </c>
      <c r="P1664" s="7"/>
      <c r="Q1664" s="7"/>
      <c r="R1664" s="606" t="s">
        <v>2126</v>
      </c>
      <c r="S1664" s="322" t="s">
        <v>1176</v>
      </c>
      <c r="T1664" s="858"/>
    </row>
    <row r="1665" spans="1:20" ht="20.100000000000001" customHeight="1">
      <c r="A1665" s="1256" t="s">
        <v>2129</v>
      </c>
      <c r="B1665" s="1138" t="s">
        <v>2527</v>
      </c>
      <c r="C1665" s="1138" t="s">
        <v>4469</v>
      </c>
      <c r="D1665" s="1006">
        <f>D41+1161+50</f>
        <v>2761</v>
      </c>
      <c r="E1665" s="1006">
        <f>E41+1161+100</f>
        <v>3061</v>
      </c>
      <c r="F1665" s="1006">
        <f>F41+1161+100</f>
        <v>3061</v>
      </c>
      <c r="G1665" s="608" t="s">
        <v>94</v>
      </c>
      <c r="H1665" s="168" t="s">
        <v>1102</v>
      </c>
      <c r="I1665" s="5" t="s">
        <v>2526</v>
      </c>
      <c r="J1665" s="37" t="s">
        <v>2525</v>
      </c>
      <c r="K1665" s="16">
        <v>26</v>
      </c>
      <c r="L1665" s="607" t="s">
        <v>653</v>
      </c>
      <c r="M1665" s="108">
        <v>43087</v>
      </c>
      <c r="N1665" s="108">
        <v>43094</v>
      </c>
      <c r="O1665" s="61" t="s">
        <v>2444</v>
      </c>
      <c r="P1665" s="7"/>
      <c r="Q1665" s="7"/>
      <c r="R1665" s="606" t="s">
        <v>2524</v>
      </c>
      <c r="S1665" s="322" t="s">
        <v>1176</v>
      </c>
      <c r="T1665" s="858"/>
    </row>
    <row r="1666" spans="1:20" ht="20.100000000000001" customHeight="1">
      <c r="A1666" s="1256" t="s">
        <v>2971</v>
      </c>
      <c r="B1666" s="1138" t="s">
        <v>2527</v>
      </c>
      <c r="C1666" s="1138" t="s">
        <v>4468</v>
      </c>
      <c r="D1666" s="1006">
        <f>D18+1280+50</f>
        <v>2880</v>
      </c>
      <c r="E1666" s="1006">
        <f>E18+1380+100</f>
        <v>3280</v>
      </c>
      <c r="F1666" s="1006">
        <f>F18+1380+100</f>
        <v>3280</v>
      </c>
      <c r="G1666" s="608" t="s">
        <v>94</v>
      </c>
      <c r="H1666" s="56" t="s">
        <v>657</v>
      </c>
      <c r="I1666" s="5" t="s">
        <v>2127</v>
      </c>
      <c r="J1666" s="37" t="s">
        <v>1211</v>
      </c>
      <c r="K1666" s="34">
        <v>25</v>
      </c>
      <c r="L1666" s="607" t="s">
        <v>653</v>
      </c>
      <c r="M1666" s="108">
        <v>43087</v>
      </c>
      <c r="N1666" s="108">
        <v>43094</v>
      </c>
      <c r="O1666" s="61" t="s">
        <v>2444</v>
      </c>
      <c r="P1666" s="7"/>
      <c r="Q1666" s="7"/>
      <c r="R1666" s="606" t="s">
        <v>2126</v>
      </c>
      <c r="S1666" s="322" t="s">
        <v>1176</v>
      </c>
      <c r="T1666" s="858"/>
    </row>
    <row r="1667" spans="1:20" ht="20.100000000000001" customHeight="1">
      <c r="A1667" s="1256" t="s">
        <v>2971</v>
      </c>
      <c r="B1667" s="1138" t="s">
        <v>2527</v>
      </c>
      <c r="C1667" s="1138" t="s">
        <v>4468</v>
      </c>
      <c r="D1667" s="1006">
        <f>D41+1050+50</f>
        <v>2650</v>
      </c>
      <c r="E1667" s="1006">
        <f>E41+1130+100</f>
        <v>3030</v>
      </c>
      <c r="F1667" s="1006">
        <f>F41+1130+100</f>
        <v>3030</v>
      </c>
      <c r="G1667" s="608" t="s">
        <v>94</v>
      </c>
      <c r="H1667" s="168" t="s">
        <v>1102</v>
      </c>
      <c r="I1667" s="5" t="s">
        <v>2526</v>
      </c>
      <c r="J1667" s="37" t="s">
        <v>1211</v>
      </c>
      <c r="K1667" s="16">
        <v>26</v>
      </c>
      <c r="L1667" s="607" t="s">
        <v>653</v>
      </c>
      <c r="M1667" s="108">
        <v>43087</v>
      </c>
      <c r="N1667" s="108">
        <v>43094</v>
      </c>
      <c r="O1667" s="61" t="s">
        <v>2444</v>
      </c>
      <c r="P1667" s="7"/>
      <c r="Q1667" s="7"/>
      <c r="R1667" s="606" t="s">
        <v>2524</v>
      </c>
      <c r="S1667" s="322" t="s">
        <v>1176</v>
      </c>
      <c r="T1667" s="858"/>
    </row>
    <row r="1668" spans="1:20" ht="20.100000000000001" customHeight="1">
      <c r="A1668" s="1256" t="s">
        <v>2971</v>
      </c>
      <c r="B1668" s="1138" t="s">
        <v>2527</v>
      </c>
      <c r="C1668" s="1138" t="s">
        <v>4468</v>
      </c>
      <c r="D1668" s="1006">
        <f>D4+1143</f>
        <v>2318</v>
      </c>
      <c r="E1668" s="1006">
        <f>E4+1143</f>
        <v>2393</v>
      </c>
      <c r="F1668" s="1006">
        <f>F4+1143</f>
        <v>2393</v>
      </c>
      <c r="G1668" s="609" t="s">
        <v>1689</v>
      </c>
      <c r="H1668" s="160" t="s">
        <v>645</v>
      </c>
      <c r="I1668" s="37" t="s">
        <v>2127</v>
      </c>
      <c r="J1668" s="37" t="s">
        <v>2525</v>
      </c>
      <c r="K1668" s="5">
        <v>20</v>
      </c>
      <c r="L1668" s="607" t="s">
        <v>653</v>
      </c>
      <c r="M1668" s="156">
        <v>43076</v>
      </c>
      <c r="N1668" s="156">
        <v>43083</v>
      </c>
      <c r="O1668" s="153" t="s">
        <v>2529</v>
      </c>
      <c r="P1668" s="61"/>
      <c r="Q1668" s="61" t="s">
        <v>2125</v>
      </c>
      <c r="R1668" s="606" t="s">
        <v>2530</v>
      </c>
      <c r="S1668" s="316" t="s">
        <v>2943</v>
      </c>
      <c r="T1668" s="858"/>
    </row>
    <row r="1669" spans="1:20" ht="20.100000000000001" customHeight="1">
      <c r="A1669" s="1256" t="s">
        <v>2971</v>
      </c>
      <c r="B1669" s="1138" t="s">
        <v>2527</v>
      </c>
      <c r="C1669" s="1138" t="s">
        <v>4468</v>
      </c>
      <c r="D1669" s="1006">
        <f>D18+1290+50</f>
        <v>2890</v>
      </c>
      <c r="E1669" s="1006">
        <f>E18+1290+100</f>
        <v>3190</v>
      </c>
      <c r="F1669" s="1006">
        <f>F18+1290+100</f>
        <v>3190</v>
      </c>
      <c r="G1669" s="608" t="s">
        <v>94</v>
      </c>
      <c r="H1669" s="56" t="s">
        <v>657</v>
      </c>
      <c r="I1669" s="5" t="s">
        <v>2127</v>
      </c>
      <c r="J1669" s="37" t="s">
        <v>2525</v>
      </c>
      <c r="K1669" s="5">
        <v>22</v>
      </c>
      <c r="L1669" s="607" t="s">
        <v>653</v>
      </c>
      <c r="M1669" s="108">
        <v>43087</v>
      </c>
      <c r="N1669" s="108">
        <v>43094</v>
      </c>
      <c r="O1669" s="61" t="s">
        <v>2444</v>
      </c>
      <c r="P1669" s="7"/>
      <c r="Q1669" s="7"/>
      <c r="R1669" s="606" t="s">
        <v>2126</v>
      </c>
      <c r="S1669" s="322" t="s">
        <v>1176</v>
      </c>
      <c r="T1669" s="858"/>
    </row>
    <row r="1670" spans="1:20" ht="20.100000000000001" customHeight="1">
      <c r="A1670" s="925" t="s">
        <v>2972</v>
      </c>
      <c r="B1670" s="899" t="s">
        <v>2527</v>
      </c>
      <c r="C1670" s="899" t="s">
        <v>4467</v>
      </c>
      <c r="D1670" s="1006">
        <f>D41+1302+50</f>
        <v>2902</v>
      </c>
      <c r="E1670" s="1006">
        <f>E41+1302+100</f>
        <v>3202</v>
      </c>
      <c r="F1670" s="1006">
        <f>F41+1302+100</f>
        <v>3202</v>
      </c>
      <c r="G1670" s="608" t="s">
        <v>94</v>
      </c>
      <c r="H1670" s="168" t="s">
        <v>1102</v>
      </c>
      <c r="I1670" s="5" t="s">
        <v>2526</v>
      </c>
      <c r="J1670" s="37" t="s">
        <v>2525</v>
      </c>
      <c r="K1670" s="16">
        <v>26</v>
      </c>
      <c r="L1670" s="607" t="s">
        <v>653</v>
      </c>
      <c r="M1670" s="108">
        <v>43087</v>
      </c>
      <c r="N1670" s="108">
        <v>43094</v>
      </c>
      <c r="O1670" s="61" t="s">
        <v>2444</v>
      </c>
      <c r="P1670" s="7"/>
      <c r="Q1670" s="7"/>
      <c r="R1670" s="606" t="s">
        <v>2524</v>
      </c>
      <c r="S1670" s="322" t="s">
        <v>1176</v>
      </c>
      <c r="T1670" s="858"/>
    </row>
    <row r="1671" spans="1:20" ht="20.100000000000001" customHeight="1">
      <c r="A1671" s="1256" t="s">
        <v>2971</v>
      </c>
      <c r="B1671" s="1138" t="s">
        <v>2527</v>
      </c>
      <c r="C1671" s="1138" t="s">
        <v>4466</v>
      </c>
      <c r="D1671" s="1006">
        <f>D18+1300+50</f>
        <v>2900</v>
      </c>
      <c r="E1671" s="1006">
        <f>E18+1400+100</f>
        <v>3300</v>
      </c>
      <c r="F1671" s="1006">
        <f>F18+1400+100</f>
        <v>3300</v>
      </c>
      <c r="G1671" s="608" t="s">
        <v>94</v>
      </c>
      <c r="H1671" s="56" t="s">
        <v>657</v>
      </c>
      <c r="I1671" s="5" t="s">
        <v>2127</v>
      </c>
      <c r="J1671" s="37" t="s">
        <v>1211</v>
      </c>
      <c r="K1671" s="34">
        <v>25</v>
      </c>
      <c r="L1671" s="607" t="s">
        <v>653</v>
      </c>
      <c r="M1671" s="108">
        <v>43087</v>
      </c>
      <c r="N1671" s="108">
        <v>43094</v>
      </c>
      <c r="O1671" s="61" t="s">
        <v>2444</v>
      </c>
      <c r="P1671" s="7"/>
      <c r="Q1671" s="7"/>
      <c r="R1671" s="606" t="s">
        <v>2126</v>
      </c>
      <c r="S1671" s="322" t="s">
        <v>1176</v>
      </c>
      <c r="T1671" s="858"/>
    </row>
    <row r="1672" spans="1:20" ht="20.100000000000001" customHeight="1">
      <c r="A1672" s="1256" t="s">
        <v>2971</v>
      </c>
      <c r="B1672" s="1138" t="s">
        <v>2527</v>
      </c>
      <c r="C1672" s="1138" t="s">
        <v>4466</v>
      </c>
      <c r="D1672" s="1006">
        <f>D41+1050+50</f>
        <v>2650</v>
      </c>
      <c r="E1672" s="1006">
        <f>E41+1130+100</f>
        <v>3030</v>
      </c>
      <c r="F1672" s="1006">
        <f>F41+1130+100</f>
        <v>3030</v>
      </c>
      <c r="G1672" s="608" t="s">
        <v>94</v>
      </c>
      <c r="H1672" s="168" t="s">
        <v>1102</v>
      </c>
      <c r="I1672" s="5" t="s">
        <v>2526</v>
      </c>
      <c r="J1672" s="37" t="s">
        <v>1211</v>
      </c>
      <c r="K1672" s="16">
        <v>26</v>
      </c>
      <c r="L1672" s="607" t="s">
        <v>653</v>
      </c>
      <c r="M1672" s="108">
        <v>43087</v>
      </c>
      <c r="N1672" s="108">
        <v>43094</v>
      </c>
      <c r="O1672" s="61" t="s">
        <v>2444</v>
      </c>
      <c r="P1672" s="7"/>
      <c r="Q1672" s="7"/>
      <c r="R1672" s="606" t="s">
        <v>2524</v>
      </c>
      <c r="S1672" s="322" t="s">
        <v>1176</v>
      </c>
      <c r="T1672" s="858"/>
    </row>
    <row r="1673" spans="1:20" ht="20.100000000000001" customHeight="1">
      <c r="A1673" s="1256" t="s">
        <v>2971</v>
      </c>
      <c r="B1673" s="1138" t="s">
        <v>2527</v>
      </c>
      <c r="C1673" s="1138" t="s">
        <v>4466</v>
      </c>
      <c r="D1673" s="1006">
        <f>D41+1360+50</f>
        <v>2960</v>
      </c>
      <c r="E1673" s="1006">
        <f>E41+1360+100</f>
        <v>3260</v>
      </c>
      <c r="F1673" s="1006">
        <f>F41+1360+100</f>
        <v>3260</v>
      </c>
      <c r="G1673" s="608" t="s">
        <v>94</v>
      </c>
      <c r="H1673" s="168" t="s">
        <v>1102</v>
      </c>
      <c r="I1673" s="5" t="s">
        <v>2526</v>
      </c>
      <c r="J1673" s="37" t="s">
        <v>2525</v>
      </c>
      <c r="K1673" s="16">
        <v>26</v>
      </c>
      <c r="L1673" s="607" t="s">
        <v>653</v>
      </c>
      <c r="M1673" s="108">
        <v>43087</v>
      </c>
      <c r="N1673" s="108">
        <v>43094</v>
      </c>
      <c r="O1673" s="61" t="s">
        <v>2444</v>
      </c>
      <c r="P1673" s="7"/>
      <c r="Q1673" s="7"/>
      <c r="R1673" s="606" t="s">
        <v>2524</v>
      </c>
      <c r="S1673" s="322" t="s">
        <v>1176</v>
      </c>
      <c r="T1673" s="858"/>
    </row>
    <row r="1674" spans="1:20" ht="20.100000000000001" customHeight="1">
      <c r="A1674" s="1256" t="s">
        <v>2971</v>
      </c>
      <c r="B1674" s="1138" t="s">
        <v>2527</v>
      </c>
      <c r="C1674" s="1138" t="s">
        <v>4466</v>
      </c>
      <c r="D1674" s="1006">
        <f>D4+1104</f>
        <v>2279</v>
      </c>
      <c r="E1674" s="1006">
        <f>E4+1104</f>
        <v>2354</v>
      </c>
      <c r="F1674" s="1006">
        <f>F4+1104</f>
        <v>2354</v>
      </c>
      <c r="G1674" s="609" t="s">
        <v>1689</v>
      </c>
      <c r="H1674" s="160" t="s">
        <v>645</v>
      </c>
      <c r="I1674" s="37" t="s">
        <v>2127</v>
      </c>
      <c r="J1674" s="37" t="s">
        <v>2525</v>
      </c>
      <c r="K1674" s="5">
        <v>20</v>
      </c>
      <c r="L1674" s="607" t="s">
        <v>653</v>
      </c>
      <c r="M1674" s="156">
        <v>43076</v>
      </c>
      <c r="N1674" s="156">
        <v>43083</v>
      </c>
      <c r="O1674" s="153" t="s">
        <v>2529</v>
      </c>
      <c r="P1674" s="61"/>
      <c r="Q1674" s="61" t="s">
        <v>2125</v>
      </c>
      <c r="R1674" s="606" t="s">
        <v>2530</v>
      </c>
      <c r="S1674" s="316" t="s">
        <v>2943</v>
      </c>
      <c r="T1674" s="858"/>
    </row>
    <row r="1675" spans="1:20" ht="20.100000000000001" customHeight="1">
      <c r="A1675" s="1256" t="s">
        <v>2971</v>
      </c>
      <c r="B1675" s="1138" t="s">
        <v>2527</v>
      </c>
      <c r="C1675" s="1138" t="s">
        <v>4466</v>
      </c>
      <c r="D1675" s="1006">
        <f>D46+958</f>
        <v>2133</v>
      </c>
      <c r="E1675" s="1006">
        <f>E46+958</f>
        <v>2208</v>
      </c>
      <c r="F1675" s="1006">
        <f>F46+958</f>
        <v>2208</v>
      </c>
      <c r="G1675" s="609" t="s">
        <v>1689</v>
      </c>
      <c r="H1675" s="160" t="s">
        <v>1311</v>
      </c>
      <c r="I1675" s="37" t="s">
        <v>2526</v>
      </c>
      <c r="J1675" s="37" t="s">
        <v>2525</v>
      </c>
      <c r="K1675" s="5">
        <v>30</v>
      </c>
      <c r="L1675" s="607" t="s">
        <v>653</v>
      </c>
      <c r="M1675" s="156">
        <v>43076</v>
      </c>
      <c r="N1675" s="156">
        <v>43083</v>
      </c>
      <c r="O1675" s="153" t="s">
        <v>2529</v>
      </c>
      <c r="P1675" s="61"/>
      <c r="Q1675" s="61" t="s">
        <v>2125</v>
      </c>
      <c r="R1675" s="606" t="s">
        <v>2528</v>
      </c>
      <c r="S1675" s="316" t="s">
        <v>2943</v>
      </c>
      <c r="T1675" s="858"/>
    </row>
    <row r="1676" spans="1:20" ht="20.100000000000001" customHeight="1">
      <c r="A1676" s="1256" t="s">
        <v>2971</v>
      </c>
      <c r="B1676" s="1138" t="s">
        <v>2527</v>
      </c>
      <c r="C1676" s="1138" t="s">
        <v>4466</v>
      </c>
      <c r="D1676" s="1006">
        <f>D18+1250+50</f>
        <v>2850</v>
      </c>
      <c r="E1676" s="1006">
        <f>E18+1250+100</f>
        <v>3150</v>
      </c>
      <c r="F1676" s="1006">
        <f>F18+1250+100</f>
        <v>3150</v>
      </c>
      <c r="G1676" s="608" t="s">
        <v>94</v>
      </c>
      <c r="H1676" s="56" t="s">
        <v>657</v>
      </c>
      <c r="I1676" s="5" t="s">
        <v>2127</v>
      </c>
      <c r="J1676" s="37" t="s">
        <v>2525</v>
      </c>
      <c r="K1676" s="16">
        <v>21</v>
      </c>
      <c r="L1676" s="607" t="s">
        <v>653</v>
      </c>
      <c r="M1676" s="108">
        <v>43087</v>
      </c>
      <c r="N1676" s="108">
        <v>43094</v>
      </c>
      <c r="O1676" s="61" t="s">
        <v>2444</v>
      </c>
      <c r="P1676" s="7"/>
      <c r="Q1676" s="7"/>
      <c r="R1676" s="606" t="s">
        <v>2126</v>
      </c>
      <c r="S1676" s="322" t="s">
        <v>1176</v>
      </c>
      <c r="T1676" s="858"/>
    </row>
    <row r="1677" spans="1:20" ht="20.100000000000001" customHeight="1">
      <c r="A1677" s="1256" t="s">
        <v>2971</v>
      </c>
      <c r="B1677" s="1138" t="s">
        <v>2527</v>
      </c>
      <c r="C1677" s="1138" t="s">
        <v>4466</v>
      </c>
      <c r="D1677" s="1006">
        <f>D32+1800</f>
        <v>3050</v>
      </c>
      <c r="E1677" s="1006">
        <f>E32+1800</f>
        <v>3200</v>
      </c>
      <c r="F1677" s="1006">
        <f>F32+1800</f>
        <v>3200</v>
      </c>
      <c r="G1677" s="617" t="s">
        <v>13</v>
      </c>
      <c r="H1677" s="56">
        <v>6</v>
      </c>
      <c r="I1677" s="37" t="s">
        <v>2127</v>
      </c>
      <c r="J1677" s="37" t="s">
        <v>2525</v>
      </c>
      <c r="K1677" s="16">
        <v>18</v>
      </c>
      <c r="L1677" s="607" t="s">
        <v>653</v>
      </c>
      <c r="M1677" s="156">
        <v>43073</v>
      </c>
      <c r="N1677" s="156">
        <v>43083</v>
      </c>
      <c r="O1677" s="61" t="s">
        <v>3335</v>
      </c>
      <c r="P1677" s="61"/>
      <c r="Q1677" s="7"/>
      <c r="R1677" s="606" t="s">
        <v>3336</v>
      </c>
      <c r="S1677" s="316" t="s">
        <v>3334</v>
      </c>
      <c r="T1677" s="858"/>
    </row>
    <row r="1678" spans="1:20" ht="20.100000000000001" customHeight="1">
      <c r="A1678" s="1256" t="s">
        <v>2971</v>
      </c>
      <c r="B1678" s="1138" t="s">
        <v>2527</v>
      </c>
      <c r="C1678" s="1138" t="s">
        <v>3524</v>
      </c>
      <c r="D1678" s="1006">
        <f>D46+575</f>
        <v>1750</v>
      </c>
      <c r="E1678" s="1006">
        <f>E46+719</f>
        <v>1969</v>
      </c>
      <c r="F1678" s="1006">
        <f>F46+719</f>
        <v>1969</v>
      </c>
      <c r="G1678" s="609" t="s">
        <v>1689</v>
      </c>
      <c r="H1678" s="160" t="s">
        <v>1311</v>
      </c>
      <c r="I1678" s="37" t="s">
        <v>2526</v>
      </c>
      <c r="J1678" s="37" t="s">
        <v>2539</v>
      </c>
      <c r="K1678" s="5">
        <v>30</v>
      </c>
      <c r="L1678" s="607" t="s">
        <v>653</v>
      </c>
      <c r="M1678" s="156">
        <v>43076</v>
      </c>
      <c r="N1678" s="156">
        <v>43083</v>
      </c>
      <c r="O1678" s="153" t="s">
        <v>2529</v>
      </c>
      <c r="P1678" s="61"/>
      <c r="Q1678" s="61" t="s">
        <v>2128</v>
      </c>
      <c r="R1678" s="606" t="s">
        <v>2528</v>
      </c>
      <c r="S1678" s="316" t="s">
        <v>2943</v>
      </c>
      <c r="T1678" s="858"/>
    </row>
    <row r="1679" spans="1:20" ht="20.100000000000001" customHeight="1">
      <c r="A1679" s="1256" t="s">
        <v>2971</v>
      </c>
      <c r="B1679" s="1138" t="s">
        <v>2527</v>
      </c>
      <c r="C1679" s="1138" t="s">
        <v>3524</v>
      </c>
      <c r="D1679" s="1006">
        <f>D53+510</f>
        <v>2060</v>
      </c>
      <c r="E1679" s="1006">
        <f>E53+610</f>
        <v>2410</v>
      </c>
      <c r="F1679" s="1006">
        <f>F53+610</f>
        <v>2410</v>
      </c>
      <c r="G1679" s="615" t="s">
        <v>51</v>
      </c>
      <c r="H1679" s="160" t="s">
        <v>645</v>
      </c>
      <c r="I1679" s="37" t="s">
        <v>2526</v>
      </c>
      <c r="J1679" s="37" t="s">
        <v>2539</v>
      </c>
      <c r="K1679" s="5"/>
      <c r="L1679" s="607" t="s">
        <v>653</v>
      </c>
      <c r="M1679" s="611">
        <v>43086</v>
      </c>
      <c r="N1679" s="611">
        <v>43100</v>
      </c>
      <c r="O1679" s="61" t="s">
        <v>3291</v>
      </c>
      <c r="P1679" s="52"/>
      <c r="Q1679" s="61"/>
      <c r="R1679" s="610"/>
      <c r="S1679" s="315" t="s">
        <v>3290</v>
      </c>
      <c r="T1679" s="858"/>
    </row>
    <row r="1680" spans="1:20" ht="20.100000000000001" customHeight="1">
      <c r="A1680" s="1256" t="s">
        <v>2971</v>
      </c>
      <c r="B1680" s="1138" t="s">
        <v>2527</v>
      </c>
      <c r="C1680" s="1138" t="s">
        <v>3524</v>
      </c>
      <c r="D1680" s="1006">
        <f>D41+700+50</f>
        <v>2300</v>
      </c>
      <c r="E1680" s="1006">
        <f>E41+840+100</f>
        <v>2740</v>
      </c>
      <c r="F1680" s="1006">
        <f>F41+840+100</f>
        <v>2740</v>
      </c>
      <c r="G1680" s="608" t="s">
        <v>94</v>
      </c>
      <c r="H1680" s="168" t="s">
        <v>1102</v>
      </c>
      <c r="I1680" s="5" t="s">
        <v>2526</v>
      </c>
      <c r="J1680" s="37" t="s">
        <v>2539</v>
      </c>
      <c r="K1680" s="5">
        <v>31</v>
      </c>
      <c r="L1680" s="607" t="s">
        <v>653</v>
      </c>
      <c r="M1680" s="108">
        <v>43087</v>
      </c>
      <c r="N1680" s="108">
        <v>43094</v>
      </c>
      <c r="O1680" s="61" t="s">
        <v>2444</v>
      </c>
      <c r="P1680" s="7"/>
      <c r="Q1680" s="7"/>
      <c r="R1680" s="606" t="s">
        <v>2524</v>
      </c>
      <c r="S1680" s="322" t="s">
        <v>1176</v>
      </c>
      <c r="T1680" s="858"/>
    </row>
    <row r="1681" spans="1:20" ht="20.100000000000001" customHeight="1">
      <c r="A1681" s="1256" t="s">
        <v>2971</v>
      </c>
      <c r="B1681" s="1138" t="s">
        <v>2527</v>
      </c>
      <c r="C1681" s="1138" t="s">
        <v>3524</v>
      </c>
      <c r="D1681" s="1006">
        <f>D136+650</f>
        <v>2250</v>
      </c>
      <c r="E1681" s="1006">
        <f>E136+700</f>
        <v>2700</v>
      </c>
      <c r="F1681" s="1006">
        <f>F136+700</f>
        <v>2700</v>
      </c>
      <c r="G1681" s="613" t="s">
        <v>33</v>
      </c>
      <c r="H1681" s="56">
        <v>5</v>
      </c>
      <c r="I1681" s="37" t="s">
        <v>2526</v>
      </c>
      <c r="J1681" s="37" t="s">
        <v>2539</v>
      </c>
      <c r="K1681" s="5" t="s">
        <v>830</v>
      </c>
      <c r="L1681" s="607" t="s">
        <v>653</v>
      </c>
      <c r="M1681" s="159">
        <v>43080</v>
      </c>
      <c r="N1681" s="159">
        <v>43086</v>
      </c>
      <c r="O1681" s="153" t="s">
        <v>2445</v>
      </c>
      <c r="P1681" s="61"/>
      <c r="Q1681" s="7"/>
      <c r="R1681" s="606" t="s">
        <v>2538</v>
      </c>
      <c r="S1681" s="316" t="s">
        <v>3333</v>
      </c>
      <c r="T1681" s="858"/>
    </row>
    <row r="1682" spans="1:20" ht="20.100000000000001" customHeight="1">
      <c r="A1682" s="1256" t="s">
        <v>2971</v>
      </c>
      <c r="B1682" s="1138" t="s">
        <v>2527</v>
      </c>
      <c r="C1682" s="1138" t="s">
        <v>3524</v>
      </c>
      <c r="D1682" s="1006">
        <f>D46+881</f>
        <v>2056</v>
      </c>
      <c r="E1682" s="1006">
        <f>E46+1024</f>
        <v>2274</v>
      </c>
      <c r="F1682" s="1006">
        <f>F46+1024</f>
        <v>2274</v>
      </c>
      <c r="G1682" s="609" t="s">
        <v>1689</v>
      </c>
      <c r="H1682" s="160" t="s">
        <v>1311</v>
      </c>
      <c r="I1682" s="37" t="s">
        <v>2526</v>
      </c>
      <c r="J1682" s="37" t="s">
        <v>1211</v>
      </c>
      <c r="K1682" s="5">
        <v>30</v>
      </c>
      <c r="L1682" s="607" t="s">
        <v>653</v>
      </c>
      <c r="M1682" s="156">
        <v>43076</v>
      </c>
      <c r="N1682" s="156">
        <v>43083</v>
      </c>
      <c r="O1682" s="153" t="s">
        <v>2529</v>
      </c>
      <c r="P1682" s="61"/>
      <c r="Q1682" s="61" t="s">
        <v>2128</v>
      </c>
      <c r="R1682" s="606" t="s">
        <v>2528</v>
      </c>
      <c r="S1682" s="316" t="s">
        <v>2943</v>
      </c>
      <c r="T1682" s="858"/>
    </row>
    <row r="1683" spans="1:20" ht="20.100000000000001" customHeight="1">
      <c r="A1683" s="1256" t="s">
        <v>2971</v>
      </c>
      <c r="B1683" s="1138" t="s">
        <v>2527</v>
      </c>
      <c r="C1683" s="1138" t="s">
        <v>3524</v>
      </c>
      <c r="D1683" s="1006">
        <f>D53+1000</f>
        <v>2550</v>
      </c>
      <c r="E1683" s="1006">
        <f>E53+915</f>
        <v>2715</v>
      </c>
      <c r="F1683" s="1006">
        <f>F53+915</f>
        <v>2715</v>
      </c>
      <c r="G1683" s="615" t="s">
        <v>51</v>
      </c>
      <c r="H1683" s="160" t="s">
        <v>645</v>
      </c>
      <c r="I1683" s="37" t="s">
        <v>2526</v>
      </c>
      <c r="J1683" s="37" t="s">
        <v>1211</v>
      </c>
      <c r="K1683" s="5"/>
      <c r="L1683" s="607" t="s">
        <v>653</v>
      </c>
      <c r="M1683" s="611">
        <v>43086</v>
      </c>
      <c r="N1683" s="611">
        <v>43100</v>
      </c>
      <c r="O1683" s="61" t="s">
        <v>3291</v>
      </c>
      <c r="P1683" s="52"/>
      <c r="Q1683" s="61" t="s">
        <v>2599</v>
      </c>
      <c r="R1683" s="610"/>
      <c r="S1683" s="315" t="s">
        <v>3290</v>
      </c>
      <c r="T1683" s="858"/>
    </row>
    <row r="1684" spans="1:20" ht="20.100000000000001" customHeight="1">
      <c r="A1684" s="1256" t="s">
        <v>2971</v>
      </c>
      <c r="B1684" s="1138" t="s">
        <v>2527</v>
      </c>
      <c r="C1684" s="1138" t="s">
        <v>3524</v>
      </c>
      <c r="D1684" s="1006">
        <f>D41+950+50</f>
        <v>2550</v>
      </c>
      <c r="E1684" s="1006">
        <f>E41+1090+100</f>
        <v>2990</v>
      </c>
      <c r="F1684" s="1006">
        <f>F41+1090+100</f>
        <v>2990</v>
      </c>
      <c r="G1684" s="608" t="s">
        <v>94</v>
      </c>
      <c r="H1684" s="168" t="s">
        <v>1102</v>
      </c>
      <c r="I1684" s="5" t="s">
        <v>2526</v>
      </c>
      <c r="J1684" s="37" t="s">
        <v>1211</v>
      </c>
      <c r="K1684" s="34">
        <v>32</v>
      </c>
      <c r="L1684" s="607" t="s">
        <v>653</v>
      </c>
      <c r="M1684" s="108">
        <v>43087</v>
      </c>
      <c r="N1684" s="108">
        <v>43094</v>
      </c>
      <c r="O1684" s="61" t="s">
        <v>2444</v>
      </c>
      <c r="P1684" s="7"/>
      <c r="Q1684" s="7"/>
      <c r="R1684" s="606" t="s">
        <v>2524</v>
      </c>
      <c r="S1684" s="322" t="s">
        <v>1176</v>
      </c>
      <c r="T1684" s="858"/>
    </row>
    <row r="1685" spans="1:20" ht="20.100000000000001" customHeight="1">
      <c r="A1685" s="1256" t="s">
        <v>2971</v>
      </c>
      <c r="B1685" s="1138" t="s">
        <v>2527</v>
      </c>
      <c r="C1685" s="1138" t="s">
        <v>3524</v>
      </c>
      <c r="D1685" s="1006">
        <f>D18+1300+50</f>
        <v>2900</v>
      </c>
      <c r="E1685" s="1006">
        <f>E18+1400+100</f>
        <v>3300</v>
      </c>
      <c r="F1685" s="1006">
        <f>F18+1400+100</f>
        <v>3300</v>
      </c>
      <c r="G1685" s="608" t="s">
        <v>94</v>
      </c>
      <c r="H1685" s="56" t="s">
        <v>657</v>
      </c>
      <c r="I1685" s="5" t="s">
        <v>2127</v>
      </c>
      <c r="J1685" s="37" t="s">
        <v>1211</v>
      </c>
      <c r="K1685" s="5">
        <v>22</v>
      </c>
      <c r="L1685" s="607" t="s">
        <v>653</v>
      </c>
      <c r="M1685" s="108">
        <v>43087</v>
      </c>
      <c r="N1685" s="108">
        <v>43094</v>
      </c>
      <c r="O1685" s="61" t="s">
        <v>2444</v>
      </c>
      <c r="P1685" s="7"/>
      <c r="Q1685" s="7"/>
      <c r="R1685" s="606" t="s">
        <v>2126</v>
      </c>
      <c r="S1685" s="322" t="s">
        <v>1176</v>
      </c>
      <c r="T1685" s="858"/>
    </row>
    <row r="1686" spans="1:20" ht="20.100000000000001" customHeight="1">
      <c r="A1686" s="1256" t="s">
        <v>2971</v>
      </c>
      <c r="B1686" s="1138" t="s">
        <v>2527</v>
      </c>
      <c r="C1686" s="1138" t="s">
        <v>3524</v>
      </c>
      <c r="D1686" s="1006">
        <f>D136+850</f>
        <v>2450</v>
      </c>
      <c r="E1686" s="1006">
        <f>E136+900</f>
        <v>2900</v>
      </c>
      <c r="F1686" s="1006">
        <f>F136+900</f>
        <v>2900</v>
      </c>
      <c r="G1686" s="613" t="s">
        <v>33</v>
      </c>
      <c r="H1686" s="56">
        <v>5</v>
      </c>
      <c r="I1686" s="37" t="s">
        <v>2526</v>
      </c>
      <c r="J1686" s="37" t="s">
        <v>1211</v>
      </c>
      <c r="K1686" s="5" t="s">
        <v>830</v>
      </c>
      <c r="L1686" s="607" t="s">
        <v>653</v>
      </c>
      <c r="M1686" s="159">
        <v>43080</v>
      </c>
      <c r="N1686" s="159">
        <v>43086</v>
      </c>
      <c r="O1686" s="153" t="s">
        <v>2445</v>
      </c>
      <c r="P1686" s="61"/>
      <c r="Q1686" s="7"/>
      <c r="R1686" s="606" t="s">
        <v>2538</v>
      </c>
      <c r="S1686" s="316" t="s">
        <v>3333</v>
      </c>
      <c r="T1686" s="858"/>
    </row>
    <row r="1687" spans="1:20" ht="20.100000000000001" customHeight="1">
      <c r="A1687" s="1256" t="s">
        <v>2971</v>
      </c>
      <c r="B1687" s="1138" t="s">
        <v>2527</v>
      </c>
      <c r="C1687" s="1138" t="s">
        <v>3524</v>
      </c>
      <c r="D1687" s="1006">
        <f>D4+1143</f>
        <v>2318</v>
      </c>
      <c r="E1687" s="1006">
        <f>E4+1143</f>
        <v>2393</v>
      </c>
      <c r="F1687" s="1006">
        <f>F4+1143</f>
        <v>2393</v>
      </c>
      <c r="G1687" s="609" t="s">
        <v>1689</v>
      </c>
      <c r="H1687" s="160" t="s">
        <v>645</v>
      </c>
      <c r="I1687" s="37" t="s">
        <v>2127</v>
      </c>
      <c r="J1687" s="37" t="s">
        <v>2525</v>
      </c>
      <c r="K1687" s="5">
        <v>20</v>
      </c>
      <c r="L1687" s="607" t="s">
        <v>653</v>
      </c>
      <c r="M1687" s="156">
        <v>43076</v>
      </c>
      <c r="N1687" s="156">
        <v>43083</v>
      </c>
      <c r="O1687" s="153" t="s">
        <v>2529</v>
      </c>
      <c r="P1687" s="61"/>
      <c r="Q1687" s="61" t="s">
        <v>2125</v>
      </c>
      <c r="R1687" s="606" t="s">
        <v>2530</v>
      </c>
      <c r="S1687" s="316" t="s">
        <v>2943</v>
      </c>
      <c r="T1687" s="858"/>
    </row>
    <row r="1688" spans="1:20" ht="20.100000000000001" customHeight="1">
      <c r="A1688" s="1256" t="s">
        <v>2971</v>
      </c>
      <c r="B1688" s="1138" t="s">
        <v>2527</v>
      </c>
      <c r="C1688" s="1138" t="s">
        <v>3524</v>
      </c>
      <c r="D1688" s="1006">
        <f>D46+1253</f>
        <v>2428</v>
      </c>
      <c r="E1688" s="1006">
        <f>E46+1253</f>
        <v>2503</v>
      </c>
      <c r="F1688" s="1006">
        <f>F46+1253</f>
        <v>2503</v>
      </c>
      <c r="G1688" s="609" t="s">
        <v>1689</v>
      </c>
      <c r="H1688" s="160" t="s">
        <v>1311</v>
      </c>
      <c r="I1688" s="37" t="s">
        <v>2526</v>
      </c>
      <c r="J1688" s="37" t="s">
        <v>2525</v>
      </c>
      <c r="K1688" s="5">
        <v>30</v>
      </c>
      <c r="L1688" s="607" t="s">
        <v>653</v>
      </c>
      <c r="M1688" s="156">
        <v>43076</v>
      </c>
      <c r="N1688" s="156">
        <v>43083</v>
      </c>
      <c r="O1688" s="153" t="s">
        <v>2529</v>
      </c>
      <c r="P1688" s="61"/>
      <c r="Q1688" s="61" t="s">
        <v>2125</v>
      </c>
      <c r="R1688" s="606" t="s">
        <v>2528</v>
      </c>
      <c r="S1688" s="316" t="s">
        <v>2943</v>
      </c>
      <c r="T1688" s="858"/>
    </row>
    <row r="1689" spans="1:20" ht="20.100000000000001" customHeight="1">
      <c r="A1689" s="1256" t="s">
        <v>2971</v>
      </c>
      <c r="B1689" s="1138" t="s">
        <v>2527</v>
      </c>
      <c r="C1689" s="1138" t="s">
        <v>3524</v>
      </c>
      <c r="D1689" s="1006">
        <f>D53+1380</f>
        <v>2930</v>
      </c>
      <c r="E1689" s="1006">
        <f>E53+1380</f>
        <v>3180</v>
      </c>
      <c r="F1689" s="1006">
        <f>F53+1380</f>
        <v>3180</v>
      </c>
      <c r="G1689" s="615" t="s">
        <v>51</v>
      </c>
      <c r="H1689" s="160" t="s">
        <v>645</v>
      </c>
      <c r="I1689" s="37" t="s">
        <v>2526</v>
      </c>
      <c r="J1689" s="37" t="s">
        <v>2525</v>
      </c>
      <c r="K1689" s="5"/>
      <c r="L1689" s="607" t="s">
        <v>653</v>
      </c>
      <c r="M1689" s="611">
        <v>43086</v>
      </c>
      <c r="N1689" s="611">
        <v>43100</v>
      </c>
      <c r="O1689" s="61" t="s">
        <v>3291</v>
      </c>
      <c r="P1689" s="52"/>
      <c r="Q1689" s="61" t="s">
        <v>2466</v>
      </c>
      <c r="R1689" s="610"/>
      <c r="S1689" s="315" t="s">
        <v>3290</v>
      </c>
      <c r="T1689" s="858"/>
    </row>
    <row r="1690" spans="1:20" ht="20.100000000000001" customHeight="1">
      <c r="A1690" s="1256" t="s">
        <v>2971</v>
      </c>
      <c r="B1690" s="1138" t="s">
        <v>2527</v>
      </c>
      <c r="C1690" s="1138" t="s">
        <v>3524</v>
      </c>
      <c r="D1690" s="1006">
        <f>D41+1603+50</f>
        <v>3203</v>
      </c>
      <c r="E1690" s="1006">
        <f>E41+1603+100</f>
        <v>3503</v>
      </c>
      <c r="F1690" s="1006">
        <f>F41+1603+100</f>
        <v>3503</v>
      </c>
      <c r="G1690" s="608" t="s">
        <v>94</v>
      </c>
      <c r="H1690" s="168" t="s">
        <v>1102</v>
      </c>
      <c r="I1690" s="5" t="s">
        <v>2526</v>
      </c>
      <c r="J1690" s="37" t="s">
        <v>2525</v>
      </c>
      <c r="K1690" s="16">
        <v>26</v>
      </c>
      <c r="L1690" s="607" t="s">
        <v>653</v>
      </c>
      <c r="M1690" s="108">
        <v>43087</v>
      </c>
      <c r="N1690" s="108">
        <v>43094</v>
      </c>
      <c r="O1690" s="61" t="s">
        <v>2444</v>
      </c>
      <c r="P1690" s="7"/>
      <c r="Q1690" s="7"/>
      <c r="R1690" s="606" t="s">
        <v>2524</v>
      </c>
      <c r="S1690" s="322" t="s">
        <v>1176</v>
      </c>
      <c r="T1690" s="858"/>
    </row>
    <row r="1691" spans="1:20" ht="20.100000000000001" customHeight="1">
      <c r="A1691" s="1256" t="s">
        <v>2971</v>
      </c>
      <c r="B1691" s="1138" t="s">
        <v>2527</v>
      </c>
      <c r="C1691" s="1138" t="s">
        <v>3524</v>
      </c>
      <c r="D1691" s="1006">
        <f>D18+1350+50</f>
        <v>2950</v>
      </c>
      <c r="E1691" s="1006">
        <f>E18+1350+100</f>
        <v>3250</v>
      </c>
      <c r="F1691" s="1006">
        <f>F18+1350+100</f>
        <v>3250</v>
      </c>
      <c r="G1691" s="608" t="s">
        <v>94</v>
      </c>
      <c r="H1691" s="56" t="s">
        <v>657</v>
      </c>
      <c r="I1691" s="5" t="s">
        <v>2127</v>
      </c>
      <c r="J1691" s="37" t="s">
        <v>2525</v>
      </c>
      <c r="K1691" s="5">
        <v>22</v>
      </c>
      <c r="L1691" s="607" t="s">
        <v>653</v>
      </c>
      <c r="M1691" s="108">
        <v>43087</v>
      </c>
      <c r="N1691" s="108">
        <v>43094</v>
      </c>
      <c r="O1691" s="61" t="s">
        <v>2444</v>
      </c>
      <c r="P1691" s="7"/>
      <c r="Q1691" s="7"/>
      <c r="R1691" s="606" t="s">
        <v>2126</v>
      </c>
      <c r="S1691" s="322" t="s">
        <v>1176</v>
      </c>
      <c r="T1691" s="858"/>
    </row>
    <row r="1692" spans="1:20" ht="20.100000000000001" customHeight="1">
      <c r="A1692" s="1256" t="s">
        <v>2971</v>
      </c>
      <c r="B1692" s="1138" t="s">
        <v>2527</v>
      </c>
      <c r="C1692" s="1138" t="s">
        <v>3524</v>
      </c>
      <c r="D1692" s="1006">
        <f>D136+1300</f>
        <v>2900</v>
      </c>
      <c r="E1692" s="1006">
        <f>E136+1300</f>
        <v>3300</v>
      </c>
      <c r="F1692" s="1006">
        <f>F136+1300</f>
        <v>3300</v>
      </c>
      <c r="G1692" s="613" t="s">
        <v>33</v>
      </c>
      <c r="H1692" s="56">
        <v>5</v>
      </c>
      <c r="I1692" s="37" t="s">
        <v>2526</v>
      </c>
      <c r="J1692" s="37" t="s">
        <v>2525</v>
      </c>
      <c r="K1692" s="5" t="s">
        <v>830</v>
      </c>
      <c r="L1692" s="607" t="s">
        <v>653</v>
      </c>
      <c r="M1692" s="159">
        <v>43080</v>
      </c>
      <c r="N1692" s="159">
        <v>43086</v>
      </c>
      <c r="O1692" s="153" t="s">
        <v>2445</v>
      </c>
      <c r="P1692" s="61"/>
      <c r="Q1692" s="7"/>
      <c r="R1692" s="606" t="s">
        <v>2538</v>
      </c>
      <c r="S1692" s="316" t="s">
        <v>3333</v>
      </c>
      <c r="T1692" s="858"/>
    </row>
    <row r="1693" spans="1:20" ht="20.100000000000001" customHeight="1">
      <c r="A1693" s="1256" t="s">
        <v>2971</v>
      </c>
      <c r="B1693" s="1138" t="s">
        <v>2527</v>
      </c>
      <c r="C1693" s="1138" t="s">
        <v>3524</v>
      </c>
      <c r="D1693" s="1006">
        <f>D135+1750</f>
        <v>3350</v>
      </c>
      <c r="E1693" s="1006">
        <f>E135+1750</f>
        <v>3750</v>
      </c>
      <c r="F1693" s="1006">
        <f>F135+1750</f>
        <v>3750</v>
      </c>
      <c r="G1693" s="613" t="s">
        <v>33</v>
      </c>
      <c r="H1693" s="56" t="s">
        <v>2535</v>
      </c>
      <c r="I1693" s="37" t="s">
        <v>2127</v>
      </c>
      <c r="J1693" s="37" t="s">
        <v>2525</v>
      </c>
      <c r="K1693" s="16">
        <v>20</v>
      </c>
      <c r="L1693" s="607" t="s">
        <v>653</v>
      </c>
      <c r="M1693" s="159">
        <v>43080</v>
      </c>
      <c r="N1693" s="159">
        <v>43086</v>
      </c>
      <c r="O1693" s="153" t="s">
        <v>2445</v>
      </c>
      <c r="P1693" s="61"/>
      <c r="Q1693" s="7"/>
      <c r="R1693" s="606" t="s">
        <v>2542</v>
      </c>
      <c r="S1693" s="316" t="s">
        <v>3333</v>
      </c>
      <c r="T1693" s="858"/>
    </row>
    <row r="1694" spans="1:20" ht="20.100000000000001" customHeight="1">
      <c r="A1694" s="1256" t="s">
        <v>2971</v>
      </c>
      <c r="B1694" s="1138" t="s">
        <v>2527</v>
      </c>
      <c r="C1694" s="1138" t="s">
        <v>3523</v>
      </c>
      <c r="D1694" s="1006">
        <f>D63+944</f>
        <v>2219</v>
      </c>
      <c r="E1694" s="1006">
        <f>E63+944</f>
        <v>944</v>
      </c>
      <c r="F1694" s="1006">
        <f>F63+944</f>
        <v>2394</v>
      </c>
      <c r="G1694" s="609" t="s">
        <v>1689</v>
      </c>
      <c r="H1694" s="160" t="s">
        <v>1539</v>
      </c>
      <c r="I1694" s="37" t="s">
        <v>2540</v>
      </c>
      <c r="J1694" s="37" t="s">
        <v>2525</v>
      </c>
      <c r="K1694" s="5" t="s">
        <v>728</v>
      </c>
      <c r="L1694" s="607"/>
      <c r="M1694" s="156">
        <v>43076</v>
      </c>
      <c r="N1694" s="156">
        <v>43083</v>
      </c>
      <c r="O1694" s="153" t="s">
        <v>2529</v>
      </c>
      <c r="P1694" s="61"/>
      <c r="Q1694" s="61" t="s">
        <v>2541</v>
      </c>
      <c r="R1694" s="606" t="s">
        <v>1965</v>
      </c>
      <c r="S1694" s="316" t="s">
        <v>2943</v>
      </c>
      <c r="T1694" s="858"/>
    </row>
    <row r="1695" spans="1:20" ht="20.100000000000001" customHeight="1">
      <c r="A1695" s="1256" t="s">
        <v>2971</v>
      </c>
      <c r="B1695" s="1138" t="s">
        <v>2527</v>
      </c>
      <c r="C1695" s="1138" t="s">
        <v>3523</v>
      </c>
      <c r="D1695" s="1006">
        <f>D59+832</f>
        <v>2482</v>
      </c>
      <c r="E1695" s="1006">
        <f>E59+832</f>
        <v>2832</v>
      </c>
      <c r="F1695" s="1006">
        <f>F59+832</f>
        <v>2832</v>
      </c>
      <c r="G1695" s="608" t="s">
        <v>94</v>
      </c>
      <c r="H1695" s="168" t="s">
        <v>1102</v>
      </c>
      <c r="I1695" s="37" t="s">
        <v>2540</v>
      </c>
      <c r="J1695" s="37" t="s">
        <v>2525</v>
      </c>
      <c r="K1695" s="5" t="s">
        <v>968</v>
      </c>
      <c r="L1695" s="607" t="s">
        <v>653</v>
      </c>
      <c r="M1695" s="108">
        <v>43087</v>
      </c>
      <c r="N1695" s="108">
        <v>43094</v>
      </c>
      <c r="O1695" s="61" t="s">
        <v>2444</v>
      </c>
      <c r="P1695" s="7"/>
      <c r="Q1695" s="7"/>
      <c r="R1695" s="606" t="s">
        <v>2524</v>
      </c>
      <c r="S1695" s="322" t="s">
        <v>1176</v>
      </c>
      <c r="T1695" s="858"/>
    </row>
    <row r="1696" spans="1:20" ht="20.100000000000001" customHeight="1">
      <c r="A1696" s="925" t="s">
        <v>2971</v>
      </c>
      <c r="B1696" s="899" t="s">
        <v>2527</v>
      </c>
      <c r="C1696" s="899" t="s">
        <v>3522</v>
      </c>
      <c r="D1696" s="1006">
        <f>D46+1391</f>
        <v>2566</v>
      </c>
      <c r="E1696" s="1006">
        <f>E46+1391</f>
        <v>2641</v>
      </c>
      <c r="F1696" s="1006">
        <f>F46+1391</f>
        <v>2641</v>
      </c>
      <c r="G1696" s="609" t="s">
        <v>1689</v>
      </c>
      <c r="H1696" s="160" t="s">
        <v>1311</v>
      </c>
      <c r="I1696" s="37" t="s">
        <v>2526</v>
      </c>
      <c r="J1696" s="37" t="s">
        <v>2525</v>
      </c>
      <c r="K1696" s="5">
        <v>30</v>
      </c>
      <c r="L1696" s="607" t="s">
        <v>653</v>
      </c>
      <c r="M1696" s="156">
        <v>43076</v>
      </c>
      <c r="N1696" s="156">
        <v>43083</v>
      </c>
      <c r="O1696" s="153" t="s">
        <v>2529</v>
      </c>
      <c r="P1696" s="61"/>
      <c r="Q1696" s="61" t="s">
        <v>2125</v>
      </c>
      <c r="R1696" s="606" t="s">
        <v>2528</v>
      </c>
      <c r="S1696" s="316" t="s">
        <v>2943</v>
      </c>
      <c r="T1696" s="858"/>
    </row>
    <row r="1697" spans="1:20" ht="20.100000000000001" customHeight="1">
      <c r="A1697" s="925" t="s">
        <v>2971</v>
      </c>
      <c r="B1697" s="899" t="s">
        <v>2527</v>
      </c>
      <c r="C1697" s="899" t="s">
        <v>3521</v>
      </c>
      <c r="D1697" s="1008">
        <f>D59+517</f>
        <v>2167</v>
      </c>
      <c r="E1697" s="1008">
        <f>E59+517</f>
        <v>2517</v>
      </c>
      <c r="F1697" s="1008">
        <f>F59+517</f>
        <v>2517</v>
      </c>
      <c r="G1697" s="608" t="s">
        <v>94</v>
      </c>
      <c r="H1697" s="168" t="s">
        <v>1102</v>
      </c>
      <c r="I1697" s="37" t="s">
        <v>2540</v>
      </c>
      <c r="J1697" s="37" t="s">
        <v>2525</v>
      </c>
      <c r="K1697" s="5" t="s">
        <v>968</v>
      </c>
      <c r="L1697" s="607" t="s">
        <v>653</v>
      </c>
      <c r="M1697" s="108">
        <v>43087</v>
      </c>
      <c r="N1697" s="108">
        <v>43094</v>
      </c>
      <c r="O1697" s="61" t="s">
        <v>2444</v>
      </c>
      <c r="P1697" s="7"/>
      <c r="Q1697" s="7"/>
      <c r="R1697" s="606" t="s">
        <v>2524</v>
      </c>
      <c r="S1697" s="322" t="s">
        <v>1176</v>
      </c>
      <c r="T1697" s="858"/>
    </row>
    <row r="1698" spans="1:20" ht="20.100000000000001" customHeight="1">
      <c r="A1698" s="925" t="s">
        <v>2971</v>
      </c>
      <c r="B1698" s="899" t="s">
        <v>2527</v>
      </c>
      <c r="C1698" s="899" t="s">
        <v>3520</v>
      </c>
      <c r="D1698" s="1006">
        <f>D46+1391</f>
        <v>2566</v>
      </c>
      <c r="E1698" s="1006">
        <f>E46+1391</f>
        <v>2641</v>
      </c>
      <c r="F1698" s="1006">
        <f>F46+1391</f>
        <v>2641</v>
      </c>
      <c r="G1698" s="609" t="s">
        <v>1689</v>
      </c>
      <c r="H1698" s="160" t="s">
        <v>1311</v>
      </c>
      <c r="I1698" s="37" t="s">
        <v>2526</v>
      </c>
      <c r="J1698" s="37" t="s">
        <v>2525</v>
      </c>
      <c r="K1698" s="5">
        <v>30</v>
      </c>
      <c r="L1698" s="607" t="s">
        <v>653</v>
      </c>
      <c r="M1698" s="156">
        <v>43076</v>
      </c>
      <c r="N1698" s="156">
        <v>43083</v>
      </c>
      <c r="O1698" s="153" t="s">
        <v>2529</v>
      </c>
      <c r="P1698" s="61"/>
      <c r="Q1698" s="61" t="s">
        <v>2125</v>
      </c>
      <c r="R1698" s="606" t="s">
        <v>2528</v>
      </c>
      <c r="S1698" s="316" t="s">
        <v>2943</v>
      </c>
      <c r="T1698" s="858"/>
    </row>
    <row r="1699" spans="1:20" ht="20.100000000000001" customHeight="1">
      <c r="A1699" s="925" t="s">
        <v>2971</v>
      </c>
      <c r="B1699" s="899" t="s">
        <v>2527</v>
      </c>
      <c r="C1699" s="899" t="s">
        <v>3519</v>
      </c>
      <c r="D1699" s="1006">
        <f>D63+2278</f>
        <v>3553</v>
      </c>
      <c r="E1699" s="1006">
        <f>E63+2278</f>
        <v>2278</v>
      </c>
      <c r="F1699" s="1006">
        <f>F63+2278</f>
        <v>3728</v>
      </c>
      <c r="G1699" s="609" t="s">
        <v>1689</v>
      </c>
      <c r="H1699" s="160" t="s">
        <v>1539</v>
      </c>
      <c r="I1699" s="37" t="s">
        <v>2540</v>
      </c>
      <c r="J1699" s="37" t="s">
        <v>2525</v>
      </c>
      <c r="K1699" s="5" t="s">
        <v>728</v>
      </c>
      <c r="L1699" s="607"/>
      <c r="M1699" s="156">
        <v>43076</v>
      </c>
      <c r="N1699" s="156">
        <v>43083</v>
      </c>
      <c r="O1699" s="153" t="s">
        <v>2529</v>
      </c>
      <c r="P1699" s="61"/>
      <c r="Q1699" s="61" t="s">
        <v>2541</v>
      </c>
      <c r="R1699" s="606" t="s">
        <v>1965</v>
      </c>
      <c r="S1699" s="316" t="s">
        <v>2943</v>
      </c>
      <c r="T1699" s="858"/>
    </row>
    <row r="1700" spans="1:20" ht="20.100000000000001" customHeight="1">
      <c r="A1700" s="1256" t="s">
        <v>2971</v>
      </c>
      <c r="B1700" s="1138" t="s">
        <v>2527</v>
      </c>
      <c r="C1700" s="1138" t="s">
        <v>3518</v>
      </c>
      <c r="D1700" s="1006">
        <f>D4+467</f>
        <v>1642</v>
      </c>
      <c r="E1700" s="1006">
        <f>E4+520</f>
        <v>1770</v>
      </c>
      <c r="F1700" s="1006">
        <f>F4+520</f>
        <v>1770</v>
      </c>
      <c r="G1700" s="609" t="s">
        <v>1689</v>
      </c>
      <c r="H1700" s="160" t="s">
        <v>645</v>
      </c>
      <c r="I1700" s="37" t="s">
        <v>2127</v>
      </c>
      <c r="J1700" s="37" t="s">
        <v>2539</v>
      </c>
      <c r="K1700" s="5">
        <v>20</v>
      </c>
      <c r="L1700" s="607" t="s">
        <v>653</v>
      </c>
      <c r="M1700" s="156">
        <v>43076</v>
      </c>
      <c r="N1700" s="156">
        <v>43083</v>
      </c>
      <c r="O1700" s="153" t="s">
        <v>2529</v>
      </c>
      <c r="P1700" s="61"/>
      <c r="Q1700" s="61" t="s">
        <v>2133</v>
      </c>
      <c r="R1700" s="606" t="s">
        <v>2530</v>
      </c>
      <c r="S1700" s="316" t="s">
        <v>2943</v>
      </c>
      <c r="T1700" s="858"/>
    </row>
    <row r="1701" spans="1:20" ht="20.100000000000001" customHeight="1">
      <c r="A1701" s="1256" t="s">
        <v>2971</v>
      </c>
      <c r="B1701" s="1138" t="s">
        <v>2527</v>
      </c>
      <c r="C1701" s="1138" t="s">
        <v>3518</v>
      </c>
      <c r="D1701" s="1006"/>
      <c r="E1701" s="1006"/>
      <c r="F1701" s="1006"/>
      <c r="G1701" s="615" t="s">
        <v>51</v>
      </c>
      <c r="H1701" s="160" t="s">
        <v>2532</v>
      </c>
      <c r="I1701" s="37" t="s">
        <v>2127</v>
      </c>
      <c r="J1701" s="37" t="s">
        <v>2539</v>
      </c>
      <c r="K1701" s="5"/>
      <c r="L1701" s="607" t="s">
        <v>653</v>
      </c>
      <c r="M1701" s="611">
        <v>43086</v>
      </c>
      <c r="N1701" s="611">
        <v>43100</v>
      </c>
      <c r="O1701" s="61" t="s">
        <v>3291</v>
      </c>
      <c r="P1701" s="52"/>
      <c r="Q1701" s="61" t="s">
        <v>3382</v>
      </c>
      <c r="R1701" s="610"/>
      <c r="S1701" s="315" t="s">
        <v>3290</v>
      </c>
      <c r="T1701" s="858"/>
    </row>
    <row r="1702" spans="1:20" ht="20.100000000000001" customHeight="1">
      <c r="A1702" s="1256" t="s">
        <v>2971</v>
      </c>
      <c r="B1702" s="1138" t="s">
        <v>2527</v>
      </c>
      <c r="C1702" s="1138" t="s">
        <v>3518</v>
      </c>
      <c r="D1702" s="1006">
        <f>D18+600+50</f>
        <v>2200</v>
      </c>
      <c r="E1702" s="1006">
        <f>E18+700+100</f>
        <v>2600</v>
      </c>
      <c r="F1702" s="1006">
        <f>F18+700+100</f>
        <v>2600</v>
      </c>
      <c r="G1702" s="608" t="s">
        <v>94</v>
      </c>
      <c r="H1702" s="56" t="s">
        <v>657</v>
      </c>
      <c r="I1702" s="5" t="s">
        <v>2127</v>
      </c>
      <c r="J1702" s="37" t="s">
        <v>2539</v>
      </c>
      <c r="K1702" s="16">
        <v>23</v>
      </c>
      <c r="L1702" s="607" t="s">
        <v>653</v>
      </c>
      <c r="M1702" s="108">
        <v>43087</v>
      </c>
      <c r="N1702" s="108">
        <v>43094</v>
      </c>
      <c r="O1702" s="61" t="s">
        <v>2444</v>
      </c>
      <c r="P1702" s="7"/>
      <c r="Q1702" s="7"/>
      <c r="R1702" s="606" t="s">
        <v>2126</v>
      </c>
      <c r="S1702" s="322" t="s">
        <v>1176</v>
      </c>
      <c r="T1702" s="858"/>
    </row>
    <row r="1703" spans="1:20" ht="20.100000000000001" customHeight="1">
      <c r="A1703" s="1256" t="s">
        <v>2971</v>
      </c>
      <c r="B1703" s="1138" t="s">
        <v>2527</v>
      </c>
      <c r="C1703" s="1138" t="s">
        <v>3518</v>
      </c>
      <c r="D1703" s="1006">
        <f>D135+500</f>
        <v>2100</v>
      </c>
      <c r="E1703" s="1006">
        <f>E135+500</f>
        <v>2500</v>
      </c>
      <c r="F1703" s="1006">
        <f>F135+500</f>
        <v>2500</v>
      </c>
      <c r="G1703" s="613" t="s">
        <v>33</v>
      </c>
      <c r="H1703" s="56" t="s">
        <v>2535</v>
      </c>
      <c r="I1703" s="37" t="s">
        <v>2127</v>
      </c>
      <c r="J1703" s="37" t="s">
        <v>2539</v>
      </c>
      <c r="K1703" s="16">
        <v>20</v>
      </c>
      <c r="L1703" s="607" t="s">
        <v>653</v>
      </c>
      <c r="M1703" s="159">
        <v>43080</v>
      </c>
      <c r="N1703" s="159">
        <v>43086</v>
      </c>
      <c r="O1703" s="153" t="s">
        <v>2445</v>
      </c>
      <c r="P1703" s="61"/>
      <c r="Q1703" s="7"/>
      <c r="R1703" s="612" t="s">
        <v>2130</v>
      </c>
      <c r="S1703" s="316" t="s">
        <v>3333</v>
      </c>
      <c r="T1703" s="858"/>
    </row>
    <row r="1704" spans="1:20" ht="20.100000000000001" customHeight="1">
      <c r="A1704" s="1256" t="s">
        <v>2971</v>
      </c>
      <c r="B1704" s="1138" t="s">
        <v>2527</v>
      </c>
      <c r="C1704" s="1138" t="s">
        <v>3518</v>
      </c>
      <c r="D1704" s="1006">
        <f>D4+916</f>
        <v>2091</v>
      </c>
      <c r="E1704" s="1006">
        <f>E4+970</f>
        <v>2220</v>
      </c>
      <c r="F1704" s="1006">
        <f>F4+970</f>
        <v>2220</v>
      </c>
      <c r="G1704" s="609" t="s">
        <v>1689</v>
      </c>
      <c r="H1704" s="160" t="s">
        <v>645</v>
      </c>
      <c r="I1704" s="37" t="s">
        <v>2127</v>
      </c>
      <c r="J1704" s="37" t="s">
        <v>1211</v>
      </c>
      <c r="K1704" s="5">
        <v>20</v>
      </c>
      <c r="L1704" s="607" t="s">
        <v>653</v>
      </c>
      <c r="M1704" s="156">
        <v>43076</v>
      </c>
      <c r="N1704" s="156">
        <v>43083</v>
      </c>
      <c r="O1704" s="153" t="s">
        <v>2529</v>
      </c>
      <c r="P1704" s="61"/>
      <c r="Q1704" s="61" t="s">
        <v>2133</v>
      </c>
      <c r="R1704" s="606" t="s">
        <v>2530</v>
      </c>
      <c r="S1704" s="316" t="s">
        <v>2943</v>
      </c>
      <c r="T1704" s="858"/>
    </row>
    <row r="1705" spans="1:20" ht="20.100000000000001" customHeight="1">
      <c r="A1705" s="1256" t="s">
        <v>2971</v>
      </c>
      <c r="B1705" s="1138" t="s">
        <v>2527</v>
      </c>
      <c r="C1705" s="1138" t="s">
        <v>3518</v>
      </c>
      <c r="D1705" s="1006"/>
      <c r="E1705" s="1006"/>
      <c r="F1705" s="1006"/>
      <c r="G1705" s="615" t="s">
        <v>51</v>
      </c>
      <c r="H1705" s="160" t="s">
        <v>2532</v>
      </c>
      <c r="I1705" s="37" t="s">
        <v>2127</v>
      </c>
      <c r="J1705" s="37" t="s">
        <v>1211</v>
      </c>
      <c r="K1705" s="5"/>
      <c r="L1705" s="607" t="s">
        <v>653</v>
      </c>
      <c r="M1705" s="611">
        <v>43086</v>
      </c>
      <c r="N1705" s="611">
        <v>43100</v>
      </c>
      <c r="O1705" s="61" t="s">
        <v>3291</v>
      </c>
      <c r="P1705" s="52"/>
      <c r="Q1705" s="61" t="s">
        <v>3383</v>
      </c>
      <c r="R1705" s="610"/>
      <c r="S1705" s="315" t="s">
        <v>3290</v>
      </c>
      <c r="T1705" s="858"/>
    </row>
    <row r="1706" spans="1:20" ht="20.100000000000001" customHeight="1">
      <c r="A1706" s="1256" t="s">
        <v>2971</v>
      </c>
      <c r="B1706" s="1138" t="s">
        <v>2527</v>
      </c>
      <c r="C1706" s="1138" t="s">
        <v>3518</v>
      </c>
      <c r="D1706" s="1006">
        <f>D18+815+50</f>
        <v>2415</v>
      </c>
      <c r="E1706" s="1006">
        <f>E18+915+100</f>
        <v>2815</v>
      </c>
      <c r="F1706" s="1006">
        <f>F18+915+100</f>
        <v>2815</v>
      </c>
      <c r="G1706" s="608" t="s">
        <v>94</v>
      </c>
      <c r="H1706" s="56" t="s">
        <v>657</v>
      </c>
      <c r="I1706" s="5" t="s">
        <v>2127</v>
      </c>
      <c r="J1706" s="37" t="s">
        <v>1211</v>
      </c>
      <c r="K1706" s="5">
        <v>24</v>
      </c>
      <c r="L1706" s="607" t="s">
        <v>653</v>
      </c>
      <c r="M1706" s="108">
        <v>43087</v>
      </c>
      <c r="N1706" s="108">
        <v>43094</v>
      </c>
      <c r="O1706" s="61" t="s">
        <v>2444</v>
      </c>
      <c r="P1706" s="7"/>
      <c r="Q1706" s="7"/>
      <c r="R1706" s="606" t="s">
        <v>2126</v>
      </c>
      <c r="S1706" s="322" t="s">
        <v>1176</v>
      </c>
      <c r="T1706" s="858"/>
    </row>
    <row r="1707" spans="1:20" ht="20.100000000000001" customHeight="1">
      <c r="A1707" s="1256" t="s">
        <v>2971</v>
      </c>
      <c r="B1707" s="1138" t="s">
        <v>2527</v>
      </c>
      <c r="C1707" s="1138" t="s">
        <v>3518</v>
      </c>
      <c r="D1707" s="1006">
        <f>D41+1285+50</f>
        <v>2885</v>
      </c>
      <c r="E1707" s="1006">
        <f>E41+1385+100</f>
        <v>3285</v>
      </c>
      <c r="F1707" s="1006">
        <f>F41+1385+100</f>
        <v>3285</v>
      </c>
      <c r="G1707" s="608" t="s">
        <v>94</v>
      </c>
      <c r="H1707" s="168" t="s">
        <v>1102</v>
      </c>
      <c r="I1707" s="5" t="s">
        <v>2526</v>
      </c>
      <c r="J1707" s="37" t="s">
        <v>1211</v>
      </c>
      <c r="K1707" s="16">
        <v>26</v>
      </c>
      <c r="L1707" s="607" t="s">
        <v>653</v>
      </c>
      <c r="M1707" s="108">
        <v>43087</v>
      </c>
      <c r="N1707" s="108">
        <v>43094</v>
      </c>
      <c r="O1707" s="61" t="s">
        <v>2444</v>
      </c>
      <c r="P1707" s="7"/>
      <c r="Q1707" s="7"/>
      <c r="R1707" s="606" t="s">
        <v>2524</v>
      </c>
      <c r="S1707" s="322" t="s">
        <v>1176</v>
      </c>
      <c r="T1707" s="858"/>
    </row>
    <row r="1708" spans="1:20" ht="20.100000000000001" customHeight="1">
      <c r="A1708" s="1256" t="s">
        <v>2971</v>
      </c>
      <c r="B1708" s="1138" t="s">
        <v>2527</v>
      </c>
      <c r="C1708" s="1138" t="s">
        <v>3518</v>
      </c>
      <c r="D1708" s="1006">
        <f>D135+800</f>
        <v>2400</v>
      </c>
      <c r="E1708" s="1006">
        <f>E135+800</f>
        <v>2800</v>
      </c>
      <c r="F1708" s="1006">
        <f>F135+800</f>
        <v>2800</v>
      </c>
      <c r="G1708" s="613" t="s">
        <v>33</v>
      </c>
      <c r="H1708" s="56" t="s">
        <v>2535</v>
      </c>
      <c r="I1708" s="37" t="s">
        <v>2127</v>
      </c>
      <c r="J1708" s="37" t="s">
        <v>1211</v>
      </c>
      <c r="K1708" s="16">
        <v>20</v>
      </c>
      <c r="L1708" s="607" t="s">
        <v>653</v>
      </c>
      <c r="M1708" s="159">
        <v>43080</v>
      </c>
      <c r="N1708" s="159">
        <v>43086</v>
      </c>
      <c r="O1708" s="153" t="s">
        <v>2445</v>
      </c>
      <c r="P1708" s="61"/>
      <c r="Q1708" s="7"/>
      <c r="R1708" s="612" t="s">
        <v>2130</v>
      </c>
      <c r="S1708" s="316" t="s">
        <v>3333</v>
      </c>
      <c r="T1708" s="858"/>
    </row>
    <row r="1709" spans="1:20" ht="20.100000000000001" customHeight="1">
      <c r="A1709" s="1256" t="s">
        <v>2971</v>
      </c>
      <c r="B1709" s="1138" t="s">
        <v>2527</v>
      </c>
      <c r="C1709" s="1138" t="s">
        <v>3518</v>
      </c>
      <c r="D1709" s="1006">
        <f>D18+1160+50</f>
        <v>2760</v>
      </c>
      <c r="E1709" s="1006">
        <f>E18+1160+100</f>
        <v>3060</v>
      </c>
      <c r="F1709" s="1006">
        <f>F18+1160+100</f>
        <v>3060</v>
      </c>
      <c r="G1709" s="608" t="s">
        <v>94</v>
      </c>
      <c r="H1709" s="56" t="s">
        <v>657</v>
      </c>
      <c r="I1709" s="5" t="s">
        <v>2127</v>
      </c>
      <c r="J1709" s="37" t="s">
        <v>2525</v>
      </c>
      <c r="K1709" s="16">
        <v>21</v>
      </c>
      <c r="L1709" s="607" t="s">
        <v>653</v>
      </c>
      <c r="M1709" s="108">
        <v>43087</v>
      </c>
      <c r="N1709" s="108">
        <v>43094</v>
      </c>
      <c r="O1709" s="61" t="s">
        <v>2444</v>
      </c>
      <c r="P1709" s="7"/>
      <c r="Q1709" s="7"/>
      <c r="R1709" s="606" t="s">
        <v>2126</v>
      </c>
      <c r="S1709" s="322" t="s">
        <v>1176</v>
      </c>
      <c r="T1709" s="858"/>
    </row>
    <row r="1710" spans="1:20" ht="20.100000000000001" customHeight="1">
      <c r="A1710" s="1256" t="s">
        <v>2971</v>
      </c>
      <c r="B1710" s="1138" t="s">
        <v>2527</v>
      </c>
      <c r="C1710" s="1138" t="s">
        <v>3518</v>
      </c>
      <c r="D1710" s="1006">
        <f>D41+1239+50</f>
        <v>2839</v>
      </c>
      <c r="E1710" s="1006">
        <f>E41+1239+100</f>
        <v>3139</v>
      </c>
      <c r="F1710" s="1006">
        <f>F41+1239+100</f>
        <v>3139</v>
      </c>
      <c r="G1710" s="608" t="s">
        <v>94</v>
      </c>
      <c r="H1710" s="168" t="s">
        <v>1102</v>
      </c>
      <c r="I1710" s="5" t="s">
        <v>2526</v>
      </c>
      <c r="J1710" s="37" t="s">
        <v>2525</v>
      </c>
      <c r="K1710" s="16">
        <v>26</v>
      </c>
      <c r="L1710" s="607" t="s">
        <v>653</v>
      </c>
      <c r="M1710" s="108">
        <v>43087</v>
      </c>
      <c r="N1710" s="108">
        <v>43094</v>
      </c>
      <c r="O1710" s="61" t="s">
        <v>2444</v>
      </c>
      <c r="P1710" s="7"/>
      <c r="Q1710" s="7"/>
      <c r="R1710" s="606" t="s">
        <v>2524</v>
      </c>
      <c r="S1710" s="322" t="s">
        <v>1176</v>
      </c>
      <c r="T1710" s="858"/>
    </row>
    <row r="1711" spans="1:20" ht="20.100000000000001" customHeight="1">
      <c r="A1711" s="1256" t="s">
        <v>2971</v>
      </c>
      <c r="B1711" s="1138" t="s">
        <v>2527</v>
      </c>
      <c r="C1711" s="1138" t="s">
        <v>3518</v>
      </c>
      <c r="D1711" s="1006">
        <f>D30+1200</f>
        <v>2750</v>
      </c>
      <c r="E1711" s="1006">
        <f>E30+1190</f>
        <v>2990</v>
      </c>
      <c r="F1711" s="1006">
        <f>F30+1190</f>
        <v>2990</v>
      </c>
      <c r="G1711" s="608" t="s">
        <v>51</v>
      </c>
      <c r="H1711" s="160" t="s">
        <v>2532</v>
      </c>
      <c r="I1711" s="37" t="s">
        <v>2127</v>
      </c>
      <c r="J1711" s="37" t="s">
        <v>2525</v>
      </c>
      <c r="K1711" s="5"/>
      <c r="L1711" s="607" t="s">
        <v>653</v>
      </c>
      <c r="M1711" s="611">
        <v>43086</v>
      </c>
      <c r="N1711" s="611">
        <v>43100</v>
      </c>
      <c r="O1711" s="61" t="s">
        <v>3291</v>
      </c>
      <c r="P1711" s="52"/>
      <c r="Q1711" s="61" t="s">
        <v>2466</v>
      </c>
      <c r="R1711" s="610"/>
      <c r="S1711" s="315" t="s">
        <v>3290</v>
      </c>
      <c r="T1711" s="858"/>
    </row>
    <row r="1712" spans="1:20" ht="20.100000000000001" customHeight="1">
      <c r="A1712" s="1256" t="s">
        <v>2971</v>
      </c>
      <c r="B1712" s="1138" t="s">
        <v>2527</v>
      </c>
      <c r="C1712" s="1138" t="s">
        <v>3518</v>
      </c>
      <c r="D1712" s="1006">
        <f>D4+1127</f>
        <v>2302</v>
      </c>
      <c r="E1712" s="1006">
        <f>E4+1127</f>
        <v>2377</v>
      </c>
      <c r="F1712" s="1006">
        <f>F4+1127</f>
        <v>2377</v>
      </c>
      <c r="G1712" s="609" t="s">
        <v>1689</v>
      </c>
      <c r="H1712" s="160" t="s">
        <v>645</v>
      </c>
      <c r="I1712" s="37" t="s">
        <v>2127</v>
      </c>
      <c r="J1712" s="37" t="s">
        <v>2525</v>
      </c>
      <c r="K1712" s="5">
        <v>20</v>
      </c>
      <c r="L1712" s="607" t="s">
        <v>653</v>
      </c>
      <c r="M1712" s="156">
        <v>43076</v>
      </c>
      <c r="N1712" s="156">
        <v>43083</v>
      </c>
      <c r="O1712" s="153" t="s">
        <v>2529</v>
      </c>
      <c r="P1712" s="61"/>
      <c r="Q1712" s="61" t="s">
        <v>2125</v>
      </c>
      <c r="R1712" s="606" t="s">
        <v>2530</v>
      </c>
      <c r="S1712" s="316" t="s">
        <v>2943</v>
      </c>
      <c r="T1712" s="858"/>
    </row>
    <row r="1713" spans="1:20" ht="20.100000000000001" customHeight="1">
      <c r="A1713" s="1256" t="s">
        <v>2971</v>
      </c>
      <c r="B1713" s="1138" t="s">
        <v>2527</v>
      </c>
      <c r="C1713" s="1138" t="s">
        <v>3518</v>
      </c>
      <c r="D1713" s="1006">
        <f>D46+1186</f>
        <v>2361</v>
      </c>
      <c r="E1713" s="1006">
        <f>E46+1186</f>
        <v>2436</v>
      </c>
      <c r="F1713" s="1006">
        <f>F46+1186</f>
        <v>2436</v>
      </c>
      <c r="G1713" s="609" t="s">
        <v>1689</v>
      </c>
      <c r="H1713" s="160" t="s">
        <v>1311</v>
      </c>
      <c r="I1713" s="37" t="s">
        <v>2526</v>
      </c>
      <c r="J1713" s="37" t="s">
        <v>2525</v>
      </c>
      <c r="K1713" s="5">
        <v>30</v>
      </c>
      <c r="L1713" s="607" t="s">
        <v>653</v>
      </c>
      <c r="M1713" s="156">
        <v>43076</v>
      </c>
      <c r="N1713" s="156">
        <v>43083</v>
      </c>
      <c r="O1713" s="153" t="s">
        <v>2529</v>
      </c>
      <c r="P1713" s="61"/>
      <c r="Q1713" s="61" t="s">
        <v>2125</v>
      </c>
      <c r="R1713" s="606" t="s">
        <v>2528</v>
      </c>
      <c r="S1713" s="316" t="s">
        <v>2943</v>
      </c>
      <c r="T1713" s="858"/>
    </row>
    <row r="1714" spans="1:20" ht="20.100000000000001" customHeight="1">
      <c r="A1714" s="925" t="s">
        <v>2971</v>
      </c>
      <c r="B1714" s="899" t="s">
        <v>2527</v>
      </c>
      <c r="C1714" s="899" t="s">
        <v>3517</v>
      </c>
      <c r="D1714" s="1008">
        <f>D41+2345+50</f>
        <v>3945</v>
      </c>
      <c r="E1714" s="1008">
        <f>E41+2345+100</f>
        <v>4245</v>
      </c>
      <c r="F1714" s="1008">
        <f>F41+2345+100</f>
        <v>4245</v>
      </c>
      <c r="G1714" s="608" t="s">
        <v>94</v>
      </c>
      <c r="H1714" s="168" t="s">
        <v>1102</v>
      </c>
      <c r="I1714" s="5" t="s">
        <v>2526</v>
      </c>
      <c r="J1714" s="37" t="s">
        <v>2525</v>
      </c>
      <c r="K1714" s="16">
        <v>26</v>
      </c>
      <c r="L1714" s="607" t="s">
        <v>653</v>
      </c>
      <c r="M1714" s="108">
        <v>43087</v>
      </c>
      <c r="N1714" s="108">
        <v>43094</v>
      </c>
      <c r="O1714" s="61" t="s">
        <v>2444</v>
      </c>
      <c r="P1714" s="7"/>
      <c r="Q1714" s="7"/>
      <c r="R1714" s="606" t="s">
        <v>2524</v>
      </c>
      <c r="S1714" s="322" t="s">
        <v>1176</v>
      </c>
      <c r="T1714" s="858"/>
    </row>
    <row r="1715" spans="1:20" ht="20.100000000000001" customHeight="1">
      <c r="A1715" s="925" t="s">
        <v>2971</v>
      </c>
      <c r="B1715" s="899" t="s">
        <v>2527</v>
      </c>
      <c r="C1715" s="899" t="s">
        <v>3516</v>
      </c>
      <c r="D1715" s="1008">
        <f>D41+1730+50</f>
        <v>3330</v>
      </c>
      <c r="E1715" s="1008">
        <f>E41+1730+100</f>
        <v>3630</v>
      </c>
      <c r="F1715" s="1008">
        <f>F41+1730+100</f>
        <v>3630</v>
      </c>
      <c r="G1715" s="608" t="s">
        <v>94</v>
      </c>
      <c r="H1715" s="168" t="s">
        <v>1102</v>
      </c>
      <c r="I1715" s="5" t="s">
        <v>2526</v>
      </c>
      <c r="J1715" s="37" t="s">
        <v>2525</v>
      </c>
      <c r="K1715" s="16">
        <v>26</v>
      </c>
      <c r="L1715" s="607" t="s">
        <v>653</v>
      </c>
      <c r="M1715" s="108">
        <v>43087</v>
      </c>
      <c r="N1715" s="108">
        <v>43094</v>
      </c>
      <c r="O1715" s="61" t="s">
        <v>2444</v>
      </c>
      <c r="P1715" s="7"/>
      <c r="Q1715" s="7"/>
      <c r="R1715" s="606" t="s">
        <v>2524</v>
      </c>
      <c r="S1715" s="322" t="s">
        <v>1176</v>
      </c>
      <c r="T1715" s="858"/>
    </row>
    <row r="1716" spans="1:20" ht="20.100000000000001" customHeight="1">
      <c r="A1716" s="1256" t="s">
        <v>2971</v>
      </c>
      <c r="B1716" s="1138" t="s">
        <v>2527</v>
      </c>
      <c r="C1716" s="1138" t="s">
        <v>3515</v>
      </c>
      <c r="D1716" s="1006">
        <f>D46+5048</f>
        <v>6223</v>
      </c>
      <c r="E1716" s="1006">
        <f>E46+5048</f>
        <v>6298</v>
      </c>
      <c r="F1716" s="1006">
        <f>F46+5048</f>
        <v>6298</v>
      </c>
      <c r="G1716" s="609" t="s">
        <v>1689</v>
      </c>
      <c r="H1716" s="160" t="s">
        <v>1311</v>
      </c>
      <c r="I1716" s="37" t="s">
        <v>2526</v>
      </c>
      <c r="J1716" s="37" t="s">
        <v>2525</v>
      </c>
      <c r="K1716" s="5">
        <v>30</v>
      </c>
      <c r="L1716" s="607" t="s">
        <v>653</v>
      </c>
      <c r="M1716" s="156">
        <v>43076</v>
      </c>
      <c r="N1716" s="156">
        <v>43083</v>
      </c>
      <c r="O1716" s="153" t="s">
        <v>2529</v>
      </c>
      <c r="P1716" s="61"/>
      <c r="Q1716" s="61" t="s">
        <v>2125</v>
      </c>
      <c r="R1716" s="606" t="s">
        <v>2528</v>
      </c>
      <c r="S1716" s="316" t="s">
        <v>2943</v>
      </c>
      <c r="T1716" s="858"/>
    </row>
    <row r="1717" spans="1:20" ht="20.100000000000001" customHeight="1">
      <c r="A1717" s="1256" t="s">
        <v>2971</v>
      </c>
      <c r="B1717" s="1138" t="s">
        <v>2527</v>
      </c>
      <c r="C1717" s="1138" t="s">
        <v>3515</v>
      </c>
      <c r="D1717" s="1006">
        <f>D63+480</f>
        <v>1755</v>
      </c>
      <c r="E1717" s="1006">
        <f>E63+480</f>
        <v>480</v>
      </c>
      <c r="F1717" s="1006">
        <f>F63+480</f>
        <v>1930</v>
      </c>
      <c r="G1717" s="609" t="s">
        <v>1689</v>
      </c>
      <c r="H1717" s="160" t="s">
        <v>1539</v>
      </c>
      <c r="I1717" s="37" t="s">
        <v>2540</v>
      </c>
      <c r="J1717" s="37" t="s">
        <v>2525</v>
      </c>
      <c r="K1717" s="5" t="s">
        <v>728</v>
      </c>
      <c r="L1717" s="607"/>
      <c r="M1717" s="156">
        <v>43076</v>
      </c>
      <c r="N1717" s="156">
        <v>43083</v>
      </c>
      <c r="O1717" s="153" t="s">
        <v>2529</v>
      </c>
      <c r="P1717" s="61"/>
      <c r="Q1717" s="61" t="s">
        <v>2541</v>
      </c>
      <c r="R1717" s="606" t="s">
        <v>1965</v>
      </c>
      <c r="S1717" s="316" t="s">
        <v>2943</v>
      </c>
      <c r="T1717" s="858"/>
    </row>
    <row r="1718" spans="1:20" ht="20.100000000000001" customHeight="1">
      <c r="A1718" s="1256" t="s">
        <v>2971</v>
      </c>
      <c r="B1718" s="1138" t="s">
        <v>2527</v>
      </c>
      <c r="C1718" s="1138" t="s">
        <v>3515</v>
      </c>
      <c r="D1718" s="1006">
        <f>D59+447</f>
        <v>2097</v>
      </c>
      <c r="E1718" s="1006">
        <f>E59+447</f>
        <v>2447</v>
      </c>
      <c r="F1718" s="1006">
        <f>F59+447</f>
        <v>2447</v>
      </c>
      <c r="G1718" s="608" t="s">
        <v>94</v>
      </c>
      <c r="H1718" s="168" t="s">
        <v>1102</v>
      </c>
      <c r="I1718" s="37" t="s">
        <v>2540</v>
      </c>
      <c r="J1718" s="37" t="s">
        <v>2525</v>
      </c>
      <c r="K1718" s="5" t="s">
        <v>968</v>
      </c>
      <c r="L1718" s="607" t="s">
        <v>653</v>
      </c>
      <c r="M1718" s="108">
        <v>43087</v>
      </c>
      <c r="N1718" s="108">
        <v>43094</v>
      </c>
      <c r="O1718" s="61" t="s">
        <v>2444</v>
      </c>
      <c r="P1718" s="7"/>
      <c r="Q1718" s="7"/>
      <c r="R1718" s="606" t="s">
        <v>2524</v>
      </c>
      <c r="S1718" s="322" t="s">
        <v>1176</v>
      </c>
      <c r="T1718" s="858"/>
    </row>
    <row r="1719" spans="1:20" ht="20.100000000000001" customHeight="1">
      <c r="A1719" s="1256" t="s">
        <v>2971</v>
      </c>
      <c r="B1719" s="1138" t="s">
        <v>2527</v>
      </c>
      <c r="C1719" s="1138" t="s">
        <v>3514</v>
      </c>
      <c r="D1719" s="1006">
        <f>D4+553</f>
        <v>1728</v>
      </c>
      <c r="E1719" s="1006">
        <f>E4+553</f>
        <v>1803</v>
      </c>
      <c r="F1719" s="1006">
        <f>F4+553</f>
        <v>1803</v>
      </c>
      <c r="G1719" s="609" t="s">
        <v>1689</v>
      </c>
      <c r="H1719" s="160" t="s">
        <v>645</v>
      </c>
      <c r="I1719" s="37" t="s">
        <v>2127</v>
      </c>
      <c r="J1719" s="37" t="s">
        <v>2525</v>
      </c>
      <c r="K1719" s="5">
        <v>20</v>
      </c>
      <c r="L1719" s="607" t="s">
        <v>653</v>
      </c>
      <c r="M1719" s="156">
        <v>43076</v>
      </c>
      <c r="N1719" s="156">
        <v>43083</v>
      </c>
      <c r="O1719" s="153" t="s">
        <v>2529</v>
      </c>
      <c r="P1719" s="61"/>
      <c r="Q1719" s="61" t="s">
        <v>2125</v>
      </c>
      <c r="R1719" s="606" t="s">
        <v>2530</v>
      </c>
      <c r="S1719" s="316" t="s">
        <v>2943</v>
      </c>
      <c r="T1719" s="858"/>
    </row>
    <row r="1720" spans="1:20" ht="20.100000000000001" customHeight="1">
      <c r="A1720" s="1256" t="s">
        <v>2971</v>
      </c>
      <c r="B1720" s="1138" t="s">
        <v>2527</v>
      </c>
      <c r="C1720" s="1138" t="s">
        <v>3514</v>
      </c>
      <c r="D1720" s="1006">
        <f>D41+1256+50</f>
        <v>2856</v>
      </c>
      <c r="E1720" s="1006">
        <f>E41+1256+100</f>
        <v>3156</v>
      </c>
      <c r="F1720" s="1006">
        <f>F41+1256+100</f>
        <v>3156</v>
      </c>
      <c r="G1720" s="608" t="s">
        <v>94</v>
      </c>
      <c r="H1720" s="168" t="s">
        <v>1102</v>
      </c>
      <c r="I1720" s="5" t="s">
        <v>2526</v>
      </c>
      <c r="J1720" s="37" t="s">
        <v>2525</v>
      </c>
      <c r="K1720" s="16">
        <v>26</v>
      </c>
      <c r="L1720" s="607" t="s">
        <v>653</v>
      </c>
      <c r="M1720" s="108">
        <v>43087</v>
      </c>
      <c r="N1720" s="108">
        <v>43094</v>
      </c>
      <c r="O1720" s="61" t="s">
        <v>2444</v>
      </c>
      <c r="P1720" s="7"/>
      <c r="Q1720" s="7"/>
      <c r="R1720" s="606" t="s">
        <v>2524</v>
      </c>
      <c r="S1720" s="322" t="s">
        <v>1176</v>
      </c>
      <c r="T1720" s="858"/>
    </row>
    <row r="1721" spans="1:20" ht="20.100000000000001" customHeight="1">
      <c r="A1721" s="1256" t="s">
        <v>2971</v>
      </c>
      <c r="B1721" s="1138" t="s">
        <v>2527</v>
      </c>
      <c r="C1721" s="1138" t="s">
        <v>3513</v>
      </c>
      <c r="D1721" s="1006">
        <f>D18+1540+50</f>
        <v>3140</v>
      </c>
      <c r="E1721" s="1006">
        <f>E18+1540+100</f>
        <v>3440</v>
      </c>
      <c r="F1721" s="1006">
        <f>F18+1540+100</f>
        <v>3440</v>
      </c>
      <c r="G1721" s="608" t="s">
        <v>94</v>
      </c>
      <c r="H1721" s="56" t="s">
        <v>657</v>
      </c>
      <c r="I1721" s="5" t="s">
        <v>2127</v>
      </c>
      <c r="J1721" s="37" t="s">
        <v>1211</v>
      </c>
      <c r="K1721" s="5">
        <v>26</v>
      </c>
      <c r="L1721" s="607" t="s">
        <v>653</v>
      </c>
      <c r="M1721" s="108">
        <v>43087</v>
      </c>
      <c r="N1721" s="108">
        <v>43094</v>
      </c>
      <c r="O1721" s="61" t="s">
        <v>2444</v>
      </c>
      <c r="P1721" s="7"/>
      <c r="Q1721" s="7"/>
      <c r="R1721" s="606" t="s">
        <v>2126</v>
      </c>
      <c r="S1721" s="322" t="s">
        <v>1176</v>
      </c>
      <c r="T1721" s="858"/>
    </row>
    <row r="1722" spans="1:20" ht="20.100000000000001" customHeight="1">
      <c r="A1722" s="1256" t="s">
        <v>2971</v>
      </c>
      <c r="B1722" s="1138" t="s">
        <v>2527</v>
      </c>
      <c r="C1722" s="1138" t="s">
        <v>3513</v>
      </c>
      <c r="D1722" s="1006">
        <f>D41+1510+50</f>
        <v>3110</v>
      </c>
      <c r="E1722" s="1006">
        <f>E41+1520+100</f>
        <v>3420</v>
      </c>
      <c r="F1722" s="1006">
        <f>F41+1520+100</f>
        <v>3420</v>
      </c>
      <c r="G1722" s="608" t="s">
        <v>94</v>
      </c>
      <c r="H1722" s="168" t="s">
        <v>1102</v>
      </c>
      <c r="I1722" s="5" t="s">
        <v>2526</v>
      </c>
      <c r="J1722" s="37" t="s">
        <v>1211</v>
      </c>
      <c r="K1722" s="16">
        <v>26</v>
      </c>
      <c r="L1722" s="607" t="s">
        <v>653</v>
      </c>
      <c r="M1722" s="108">
        <v>43087</v>
      </c>
      <c r="N1722" s="108">
        <v>43094</v>
      </c>
      <c r="O1722" s="61" t="s">
        <v>2444</v>
      </c>
      <c r="P1722" s="7"/>
      <c r="Q1722" s="7"/>
      <c r="R1722" s="606" t="s">
        <v>2524</v>
      </c>
      <c r="S1722" s="322" t="s">
        <v>1176</v>
      </c>
      <c r="T1722" s="858"/>
    </row>
    <row r="1723" spans="1:20" ht="20.100000000000001" customHeight="1">
      <c r="A1723" s="1256" t="s">
        <v>2971</v>
      </c>
      <c r="B1723" s="1138" t="s">
        <v>2527</v>
      </c>
      <c r="C1723" s="1138" t="s">
        <v>3513</v>
      </c>
      <c r="D1723" s="1006">
        <f>D18+1750+50</f>
        <v>3350</v>
      </c>
      <c r="E1723" s="1006">
        <f>E18+1750+100</f>
        <v>3650</v>
      </c>
      <c r="F1723" s="1006">
        <f>F18+1750+100</f>
        <v>3650</v>
      </c>
      <c r="G1723" s="608" t="s">
        <v>94</v>
      </c>
      <c r="H1723" s="56" t="s">
        <v>657</v>
      </c>
      <c r="I1723" s="5" t="s">
        <v>2127</v>
      </c>
      <c r="J1723" s="37" t="s">
        <v>2525</v>
      </c>
      <c r="K1723" s="5">
        <v>22</v>
      </c>
      <c r="L1723" s="607" t="s">
        <v>653</v>
      </c>
      <c r="M1723" s="108">
        <v>43087</v>
      </c>
      <c r="N1723" s="108">
        <v>43094</v>
      </c>
      <c r="O1723" s="61" t="s">
        <v>2444</v>
      </c>
      <c r="P1723" s="7"/>
      <c r="Q1723" s="7"/>
      <c r="R1723" s="606" t="s">
        <v>2126</v>
      </c>
      <c r="S1723" s="322" t="s">
        <v>1176</v>
      </c>
      <c r="T1723" s="858"/>
    </row>
    <row r="1724" spans="1:20" ht="20.100000000000001" customHeight="1">
      <c r="A1724" s="1256" t="s">
        <v>2971</v>
      </c>
      <c r="B1724" s="1138" t="s">
        <v>2527</v>
      </c>
      <c r="C1724" s="1138" t="s">
        <v>3513</v>
      </c>
      <c r="D1724" s="1006">
        <f>D41+1886+50</f>
        <v>3486</v>
      </c>
      <c r="E1724" s="1006">
        <f>E41+1886+100</f>
        <v>3786</v>
      </c>
      <c r="F1724" s="1006">
        <f>F41+1886+100</f>
        <v>3786</v>
      </c>
      <c r="G1724" s="608" t="s">
        <v>94</v>
      </c>
      <c r="H1724" s="168" t="s">
        <v>1102</v>
      </c>
      <c r="I1724" s="5" t="s">
        <v>2526</v>
      </c>
      <c r="J1724" s="37" t="s">
        <v>2525</v>
      </c>
      <c r="K1724" s="16">
        <v>26</v>
      </c>
      <c r="L1724" s="607" t="s">
        <v>653</v>
      </c>
      <c r="M1724" s="108">
        <v>43087</v>
      </c>
      <c r="N1724" s="108">
        <v>43094</v>
      </c>
      <c r="O1724" s="61" t="s">
        <v>2444</v>
      </c>
      <c r="P1724" s="7"/>
      <c r="Q1724" s="7"/>
      <c r="R1724" s="606" t="s">
        <v>2524</v>
      </c>
      <c r="S1724" s="322" t="s">
        <v>1176</v>
      </c>
      <c r="T1724" s="858"/>
    </row>
    <row r="1725" spans="1:20" ht="20.100000000000001" customHeight="1">
      <c r="A1725" s="1256" t="s">
        <v>2971</v>
      </c>
      <c r="B1725" s="1138" t="s">
        <v>2527</v>
      </c>
      <c r="C1725" s="1138" t="s">
        <v>3512</v>
      </c>
      <c r="D1725" s="1006">
        <f>D4+745</f>
        <v>1920</v>
      </c>
      <c r="E1725" s="1006">
        <f>E4+879</f>
        <v>2129</v>
      </c>
      <c r="F1725" s="1006">
        <f>F4+879</f>
        <v>2129</v>
      </c>
      <c r="G1725" s="609" t="s">
        <v>1689</v>
      </c>
      <c r="H1725" s="160" t="s">
        <v>645</v>
      </c>
      <c r="I1725" s="37" t="s">
        <v>2127</v>
      </c>
      <c r="J1725" s="37" t="s">
        <v>1211</v>
      </c>
      <c r="K1725" s="5">
        <v>20</v>
      </c>
      <c r="L1725" s="607" t="s">
        <v>653</v>
      </c>
      <c r="M1725" s="156">
        <v>43076</v>
      </c>
      <c r="N1725" s="156">
        <v>43083</v>
      </c>
      <c r="O1725" s="153" t="s">
        <v>2529</v>
      </c>
      <c r="P1725" s="61"/>
      <c r="Q1725" s="61" t="s">
        <v>2133</v>
      </c>
      <c r="R1725" s="606" t="s">
        <v>2530</v>
      </c>
      <c r="S1725" s="316" t="s">
        <v>2943</v>
      </c>
      <c r="T1725" s="858"/>
    </row>
    <row r="1726" spans="1:20" ht="20.100000000000001" customHeight="1">
      <c r="A1726" s="1256" t="s">
        <v>2971</v>
      </c>
      <c r="B1726" s="1138" t="s">
        <v>2527</v>
      </c>
      <c r="C1726" s="1138" t="s">
        <v>3512</v>
      </c>
      <c r="D1726" s="1007">
        <f>D46+654</f>
        <v>1829</v>
      </c>
      <c r="E1726" s="1007">
        <f>E46+803</f>
        <v>2053</v>
      </c>
      <c r="F1726" s="1007">
        <f>F46+803</f>
        <v>2053</v>
      </c>
      <c r="G1726" s="609" t="s">
        <v>1689</v>
      </c>
      <c r="H1726" s="160" t="s">
        <v>1311</v>
      </c>
      <c r="I1726" s="37" t="s">
        <v>2526</v>
      </c>
      <c r="J1726" s="37" t="s">
        <v>1211</v>
      </c>
      <c r="K1726" s="5">
        <v>30</v>
      </c>
      <c r="L1726" s="607" t="s">
        <v>653</v>
      </c>
      <c r="M1726" s="156">
        <v>43076</v>
      </c>
      <c r="N1726" s="156">
        <v>43083</v>
      </c>
      <c r="O1726" s="153" t="s">
        <v>2529</v>
      </c>
      <c r="P1726" s="61"/>
      <c r="Q1726" s="61" t="s">
        <v>2128</v>
      </c>
      <c r="R1726" s="606" t="s">
        <v>2528</v>
      </c>
      <c r="S1726" s="316" t="s">
        <v>2943</v>
      </c>
      <c r="T1726" s="858"/>
    </row>
    <row r="1727" spans="1:20" ht="20.100000000000001" customHeight="1">
      <c r="A1727" s="925" t="s">
        <v>2971</v>
      </c>
      <c r="B1727" s="899" t="s">
        <v>2527</v>
      </c>
      <c r="C1727" s="899" t="s">
        <v>3511</v>
      </c>
      <c r="D1727" s="1006">
        <f>D4+706</f>
        <v>1881</v>
      </c>
      <c r="E1727" s="1006">
        <f>E4+748</f>
        <v>1998</v>
      </c>
      <c r="F1727" s="1006">
        <f>F4+748</f>
        <v>1998</v>
      </c>
      <c r="G1727" s="609" t="s">
        <v>1689</v>
      </c>
      <c r="H1727" s="160" t="s">
        <v>645</v>
      </c>
      <c r="I1727" s="37" t="s">
        <v>2127</v>
      </c>
      <c r="J1727" s="37" t="s">
        <v>1211</v>
      </c>
      <c r="K1727" s="5">
        <v>20</v>
      </c>
      <c r="L1727" s="607" t="s">
        <v>653</v>
      </c>
      <c r="M1727" s="156">
        <v>43076</v>
      </c>
      <c r="N1727" s="156">
        <v>43083</v>
      </c>
      <c r="O1727" s="153" t="s">
        <v>2529</v>
      </c>
      <c r="P1727" s="61"/>
      <c r="Q1727" s="61" t="s">
        <v>2133</v>
      </c>
      <c r="R1727" s="606" t="s">
        <v>2530</v>
      </c>
      <c r="S1727" s="316" t="s">
        <v>2943</v>
      </c>
      <c r="T1727" s="858"/>
    </row>
    <row r="1728" spans="1:20" ht="20.100000000000001" customHeight="1">
      <c r="A1728" s="1256" t="s">
        <v>2971</v>
      </c>
      <c r="B1728" s="1138" t="s">
        <v>2527</v>
      </c>
      <c r="C1728" s="1138" t="s">
        <v>3510</v>
      </c>
      <c r="D1728" s="1006">
        <f>D4+953</f>
        <v>2128</v>
      </c>
      <c r="E1728" s="1006">
        <f>E4+1059</f>
        <v>2309</v>
      </c>
      <c r="F1728" s="1006">
        <f>F4+1059</f>
        <v>2309</v>
      </c>
      <c r="G1728" s="609" t="s">
        <v>1689</v>
      </c>
      <c r="H1728" s="160" t="s">
        <v>645</v>
      </c>
      <c r="I1728" s="37" t="s">
        <v>2127</v>
      </c>
      <c r="J1728" s="37" t="s">
        <v>1211</v>
      </c>
      <c r="K1728" s="5">
        <v>20</v>
      </c>
      <c r="L1728" s="607" t="s">
        <v>653</v>
      </c>
      <c r="M1728" s="156">
        <v>43076</v>
      </c>
      <c r="N1728" s="156">
        <v>43083</v>
      </c>
      <c r="O1728" s="153" t="s">
        <v>2529</v>
      </c>
      <c r="P1728" s="61"/>
      <c r="Q1728" s="61" t="s">
        <v>2133</v>
      </c>
      <c r="R1728" s="606" t="s">
        <v>2530</v>
      </c>
      <c r="S1728" s="316" t="s">
        <v>2943</v>
      </c>
      <c r="T1728" s="858"/>
    </row>
    <row r="1729" spans="1:20" ht="20.100000000000001" customHeight="1">
      <c r="A1729" s="1256" t="s">
        <v>2971</v>
      </c>
      <c r="B1729" s="1138" t="s">
        <v>2527</v>
      </c>
      <c r="C1729" s="1138" t="s">
        <v>3510</v>
      </c>
      <c r="D1729" s="1006">
        <f>D46+924</f>
        <v>2099</v>
      </c>
      <c r="E1729" s="1006">
        <f>E46+1033</f>
        <v>2283</v>
      </c>
      <c r="F1729" s="1006">
        <f>F46+1033</f>
        <v>2283</v>
      </c>
      <c r="G1729" s="609" t="s">
        <v>1689</v>
      </c>
      <c r="H1729" s="160" t="s">
        <v>1311</v>
      </c>
      <c r="I1729" s="37" t="s">
        <v>2526</v>
      </c>
      <c r="J1729" s="37" t="s">
        <v>1211</v>
      </c>
      <c r="K1729" s="5">
        <v>30</v>
      </c>
      <c r="L1729" s="607" t="s">
        <v>653</v>
      </c>
      <c r="M1729" s="156">
        <v>43076</v>
      </c>
      <c r="N1729" s="156">
        <v>43083</v>
      </c>
      <c r="O1729" s="153" t="s">
        <v>2529</v>
      </c>
      <c r="P1729" s="61"/>
      <c r="Q1729" s="61" t="s">
        <v>2128</v>
      </c>
      <c r="R1729" s="606" t="s">
        <v>2528</v>
      </c>
      <c r="S1729" s="316" t="s">
        <v>2943</v>
      </c>
      <c r="T1729" s="858"/>
    </row>
    <row r="1730" spans="1:20" ht="20.100000000000001" customHeight="1">
      <c r="A1730" s="1256" t="s">
        <v>2971</v>
      </c>
      <c r="B1730" s="1138" t="s">
        <v>2527</v>
      </c>
      <c r="C1730" s="1138" t="s">
        <v>3510</v>
      </c>
      <c r="D1730" s="1006">
        <f>D18+1150+50</f>
        <v>2750</v>
      </c>
      <c r="E1730" s="1006">
        <f>E18+1150+100</f>
        <v>3050</v>
      </c>
      <c r="F1730" s="1006">
        <f>F18+1150+100</f>
        <v>3050</v>
      </c>
      <c r="G1730" s="608" t="s">
        <v>94</v>
      </c>
      <c r="H1730" s="56" t="s">
        <v>657</v>
      </c>
      <c r="I1730" s="5" t="s">
        <v>2127</v>
      </c>
      <c r="J1730" s="37" t="s">
        <v>1211</v>
      </c>
      <c r="K1730" s="34">
        <v>25</v>
      </c>
      <c r="L1730" s="607" t="s">
        <v>653</v>
      </c>
      <c r="M1730" s="108">
        <v>43087</v>
      </c>
      <c r="N1730" s="108">
        <v>43094</v>
      </c>
      <c r="O1730" s="61" t="s">
        <v>2444</v>
      </c>
      <c r="P1730" s="7"/>
      <c r="Q1730" s="7"/>
      <c r="R1730" s="606" t="s">
        <v>2126</v>
      </c>
      <c r="S1730" s="322" t="s">
        <v>1176</v>
      </c>
      <c r="T1730" s="858"/>
    </row>
    <row r="1731" spans="1:20" ht="20.100000000000001" customHeight="1">
      <c r="A1731" s="1256" t="s">
        <v>2971</v>
      </c>
      <c r="B1731" s="1138" t="s">
        <v>2527</v>
      </c>
      <c r="C1731" s="1138" t="s">
        <v>3510</v>
      </c>
      <c r="D1731" s="1006">
        <f>D41+1120+50</f>
        <v>2720</v>
      </c>
      <c r="E1731" s="1006">
        <f>E41+1130+100</f>
        <v>3030</v>
      </c>
      <c r="F1731" s="1006">
        <f>F41+1130+100</f>
        <v>3030</v>
      </c>
      <c r="G1731" s="608" t="s">
        <v>94</v>
      </c>
      <c r="H1731" s="168" t="s">
        <v>1102</v>
      </c>
      <c r="I1731" s="5" t="s">
        <v>2526</v>
      </c>
      <c r="J1731" s="37" t="s">
        <v>1211</v>
      </c>
      <c r="K1731" s="16">
        <v>26</v>
      </c>
      <c r="L1731" s="607" t="s">
        <v>653</v>
      </c>
      <c r="M1731" s="108">
        <v>43087</v>
      </c>
      <c r="N1731" s="108">
        <v>43094</v>
      </c>
      <c r="O1731" s="61" t="s">
        <v>2444</v>
      </c>
      <c r="P1731" s="7"/>
      <c r="Q1731" s="7"/>
      <c r="R1731" s="606" t="s">
        <v>2524</v>
      </c>
      <c r="S1731" s="322" t="s">
        <v>1176</v>
      </c>
      <c r="T1731" s="858"/>
    </row>
    <row r="1732" spans="1:20" ht="20.100000000000001" customHeight="1">
      <c r="A1732" s="1256" t="s">
        <v>2971</v>
      </c>
      <c r="B1732" s="1138" t="s">
        <v>2527</v>
      </c>
      <c r="C1732" s="1138" t="s">
        <v>3510</v>
      </c>
      <c r="D1732" s="1006">
        <f>D136+1100</f>
        <v>2700</v>
      </c>
      <c r="E1732" s="1006">
        <f>E136+1200</f>
        <v>3200</v>
      </c>
      <c r="F1732" s="1006">
        <f>F136+1200</f>
        <v>3200</v>
      </c>
      <c r="G1732" s="613" t="s">
        <v>33</v>
      </c>
      <c r="H1732" s="56">
        <v>5</v>
      </c>
      <c r="I1732" s="37" t="s">
        <v>2526</v>
      </c>
      <c r="J1732" s="37" t="s">
        <v>1211</v>
      </c>
      <c r="K1732" s="5" t="s">
        <v>830</v>
      </c>
      <c r="L1732" s="607" t="s">
        <v>653</v>
      </c>
      <c r="M1732" s="159">
        <v>43080</v>
      </c>
      <c r="N1732" s="159">
        <v>43086</v>
      </c>
      <c r="O1732" s="153" t="s">
        <v>2445</v>
      </c>
      <c r="P1732" s="61"/>
      <c r="Q1732" s="7"/>
      <c r="R1732" s="606" t="s">
        <v>2538</v>
      </c>
      <c r="S1732" s="316" t="s">
        <v>3333</v>
      </c>
      <c r="T1732" s="858"/>
    </row>
    <row r="1733" spans="1:20" ht="20.100000000000001" customHeight="1">
      <c r="A1733" s="1256" t="s">
        <v>2971</v>
      </c>
      <c r="B1733" s="1138" t="s">
        <v>2527</v>
      </c>
      <c r="C1733" s="1138" t="s">
        <v>3510</v>
      </c>
      <c r="D1733" s="1006">
        <f>D135+1000</f>
        <v>2600</v>
      </c>
      <c r="E1733" s="1006">
        <f>E135+1150</f>
        <v>3150</v>
      </c>
      <c r="F1733" s="1006">
        <f>F135+1150</f>
        <v>3150</v>
      </c>
      <c r="G1733" s="613" t="s">
        <v>33</v>
      </c>
      <c r="H1733" s="56" t="s">
        <v>2535</v>
      </c>
      <c r="I1733" s="10" t="s">
        <v>2127</v>
      </c>
      <c r="J1733" s="37" t="s">
        <v>1211</v>
      </c>
      <c r="K1733" s="27">
        <v>20</v>
      </c>
      <c r="L1733" s="607" t="s">
        <v>653</v>
      </c>
      <c r="M1733" s="159">
        <v>43080</v>
      </c>
      <c r="N1733" s="159">
        <v>43086</v>
      </c>
      <c r="O1733" s="153" t="s">
        <v>2445</v>
      </c>
      <c r="P1733" s="14"/>
      <c r="Q1733" s="7"/>
      <c r="R1733" s="612" t="s">
        <v>2130</v>
      </c>
      <c r="S1733" s="316" t="s">
        <v>3333</v>
      </c>
      <c r="T1733" s="858"/>
    </row>
    <row r="1734" spans="1:20" ht="20.100000000000001" customHeight="1">
      <c r="A1734" s="1256" t="s">
        <v>2971</v>
      </c>
      <c r="B1734" s="1138" t="s">
        <v>2527</v>
      </c>
      <c r="C1734" s="1138" t="s">
        <v>3510</v>
      </c>
      <c r="D1734" s="1006">
        <f>D41+1427+50</f>
        <v>3027</v>
      </c>
      <c r="E1734" s="1006">
        <f>E41+1427+100</f>
        <v>3327</v>
      </c>
      <c r="F1734" s="1006">
        <f>F41+1427+100</f>
        <v>3327</v>
      </c>
      <c r="G1734" s="608" t="s">
        <v>94</v>
      </c>
      <c r="H1734" s="168" t="s">
        <v>1102</v>
      </c>
      <c r="I1734" s="5" t="s">
        <v>2526</v>
      </c>
      <c r="J1734" s="37" t="s">
        <v>2525</v>
      </c>
      <c r="K1734" s="16">
        <v>26</v>
      </c>
      <c r="L1734" s="607" t="s">
        <v>653</v>
      </c>
      <c r="M1734" s="108">
        <v>43087</v>
      </c>
      <c r="N1734" s="108">
        <v>43094</v>
      </c>
      <c r="O1734" s="61" t="s">
        <v>2444</v>
      </c>
      <c r="P1734" s="7"/>
      <c r="Q1734" s="7"/>
      <c r="R1734" s="606" t="s">
        <v>2524</v>
      </c>
      <c r="S1734" s="322" t="s">
        <v>1176</v>
      </c>
      <c r="T1734" s="858"/>
    </row>
    <row r="1735" spans="1:20" ht="20.100000000000001" customHeight="1">
      <c r="A1735" s="1256" t="s">
        <v>2971</v>
      </c>
      <c r="B1735" s="1138" t="s">
        <v>2527</v>
      </c>
      <c r="C1735" s="1138" t="s">
        <v>3510</v>
      </c>
      <c r="D1735" s="1006">
        <f>D18+1250+50</f>
        <v>2850</v>
      </c>
      <c r="E1735" s="1006">
        <f>E18+1250+100</f>
        <v>3150</v>
      </c>
      <c r="F1735" s="1006">
        <f>F18+1250+100</f>
        <v>3150</v>
      </c>
      <c r="G1735" s="608" t="s">
        <v>94</v>
      </c>
      <c r="H1735" s="56" t="s">
        <v>657</v>
      </c>
      <c r="I1735" s="5" t="s">
        <v>2127</v>
      </c>
      <c r="J1735" s="37" t="s">
        <v>2525</v>
      </c>
      <c r="K1735" s="16">
        <v>21</v>
      </c>
      <c r="L1735" s="607" t="s">
        <v>653</v>
      </c>
      <c r="M1735" s="108">
        <v>43087</v>
      </c>
      <c r="N1735" s="108">
        <v>43094</v>
      </c>
      <c r="O1735" s="61" t="s">
        <v>2444</v>
      </c>
      <c r="P1735" s="7"/>
      <c r="Q1735" s="7"/>
      <c r="R1735" s="606" t="s">
        <v>2126</v>
      </c>
      <c r="S1735" s="322" t="s">
        <v>1176</v>
      </c>
      <c r="T1735" s="858"/>
    </row>
    <row r="1736" spans="1:20" ht="20.100000000000001" customHeight="1">
      <c r="A1736" s="925" t="s">
        <v>2971</v>
      </c>
      <c r="B1736" s="899" t="s">
        <v>2527</v>
      </c>
      <c r="C1736" s="899" t="s">
        <v>3509</v>
      </c>
      <c r="D1736" s="1006">
        <f>D41+1741+50</f>
        <v>3341</v>
      </c>
      <c r="E1736" s="1006">
        <f>E41+1741+100</f>
        <v>3641</v>
      </c>
      <c r="F1736" s="1006">
        <f>F41+1741+100</f>
        <v>3641</v>
      </c>
      <c r="G1736" s="608" t="s">
        <v>94</v>
      </c>
      <c r="H1736" s="168" t="s">
        <v>1102</v>
      </c>
      <c r="I1736" s="5" t="s">
        <v>2526</v>
      </c>
      <c r="J1736" s="37" t="s">
        <v>2525</v>
      </c>
      <c r="K1736" s="16">
        <v>26</v>
      </c>
      <c r="L1736" s="607" t="s">
        <v>653</v>
      </c>
      <c r="M1736" s="108">
        <v>43087</v>
      </c>
      <c r="N1736" s="108">
        <v>43094</v>
      </c>
      <c r="O1736" s="61" t="s">
        <v>2444</v>
      </c>
      <c r="P1736" s="7"/>
      <c r="Q1736" s="7"/>
      <c r="R1736" s="606" t="s">
        <v>2524</v>
      </c>
      <c r="S1736" s="322" t="s">
        <v>1176</v>
      </c>
      <c r="T1736" s="858"/>
    </row>
    <row r="1737" spans="1:20" ht="20.100000000000001" customHeight="1">
      <c r="A1737" s="925" t="s">
        <v>2971</v>
      </c>
      <c r="B1737" s="899" t="s">
        <v>2527</v>
      </c>
      <c r="C1737" s="899" t="s">
        <v>3508</v>
      </c>
      <c r="D1737" s="1006">
        <f>D4+1442</f>
        <v>2617</v>
      </c>
      <c r="E1737" s="1006">
        <f>E4+1442</f>
        <v>2692</v>
      </c>
      <c r="F1737" s="1006">
        <f>F4+1442</f>
        <v>2692</v>
      </c>
      <c r="G1737" s="609" t="s">
        <v>1689</v>
      </c>
      <c r="H1737" s="160" t="s">
        <v>645</v>
      </c>
      <c r="I1737" s="37" t="s">
        <v>2127</v>
      </c>
      <c r="J1737" s="37" t="s">
        <v>2525</v>
      </c>
      <c r="K1737" s="5">
        <v>20</v>
      </c>
      <c r="L1737" s="607" t="s">
        <v>653</v>
      </c>
      <c r="M1737" s="156">
        <v>43076</v>
      </c>
      <c r="N1737" s="156">
        <v>43083</v>
      </c>
      <c r="O1737" s="153" t="s">
        <v>2529</v>
      </c>
      <c r="P1737" s="61"/>
      <c r="Q1737" s="61" t="s">
        <v>2125</v>
      </c>
      <c r="R1737" s="606" t="s">
        <v>2530</v>
      </c>
      <c r="S1737" s="316" t="s">
        <v>2943</v>
      </c>
      <c r="T1737" s="858"/>
    </row>
    <row r="1738" spans="1:20" ht="20.100000000000001" customHeight="1">
      <c r="A1738" s="1256" t="s">
        <v>2971</v>
      </c>
      <c r="B1738" s="1138" t="s">
        <v>2527</v>
      </c>
      <c r="C1738" s="1138" t="s">
        <v>3507</v>
      </c>
      <c r="D1738" s="1006">
        <f>D4+824</f>
        <v>1999</v>
      </c>
      <c r="E1738" s="1006">
        <f>E4+866</f>
        <v>2116</v>
      </c>
      <c r="F1738" s="1006">
        <f>F4+866</f>
        <v>2116</v>
      </c>
      <c r="G1738" s="609" t="s">
        <v>1689</v>
      </c>
      <c r="H1738" s="160" t="s">
        <v>645</v>
      </c>
      <c r="I1738" s="37" t="s">
        <v>2127</v>
      </c>
      <c r="J1738" s="37" t="s">
        <v>1211</v>
      </c>
      <c r="K1738" s="5">
        <v>20</v>
      </c>
      <c r="L1738" s="607" t="s">
        <v>653</v>
      </c>
      <c r="M1738" s="156">
        <v>43076</v>
      </c>
      <c r="N1738" s="156">
        <v>43083</v>
      </c>
      <c r="O1738" s="153" t="s">
        <v>2529</v>
      </c>
      <c r="P1738" s="61"/>
      <c r="Q1738" s="61" t="s">
        <v>2133</v>
      </c>
      <c r="R1738" s="606" t="s">
        <v>2530</v>
      </c>
      <c r="S1738" s="316" t="s">
        <v>2943</v>
      </c>
      <c r="T1738" s="858"/>
    </row>
    <row r="1739" spans="1:20" ht="20.100000000000001" customHeight="1">
      <c r="A1739" s="1256" t="s">
        <v>2971</v>
      </c>
      <c r="B1739" s="1138" t="s">
        <v>2527</v>
      </c>
      <c r="C1739" s="1138" t="s">
        <v>3507</v>
      </c>
      <c r="D1739" s="1006">
        <f>D4+946</f>
        <v>2121</v>
      </c>
      <c r="E1739" s="1006">
        <f>E4+946</f>
        <v>2196</v>
      </c>
      <c r="F1739" s="1006">
        <f>F4+946</f>
        <v>2196</v>
      </c>
      <c r="G1739" s="609" t="s">
        <v>1689</v>
      </c>
      <c r="H1739" s="160" t="s">
        <v>645</v>
      </c>
      <c r="I1739" s="37" t="s">
        <v>2127</v>
      </c>
      <c r="J1739" s="37" t="s">
        <v>2525</v>
      </c>
      <c r="K1739" s="5">
        <v>20</v>
      </c>
      <c r="L1739" s="607" t="s">
        <v>653</v>
      </c>
      <c r="M1739" s="156">
        <v>43076</v>
      </c>
      <c r="N1739" s="156">
        <v>43083</v>
      </c>
      <c r="O1739" s="153" t="s">
        <v>2529</v>
      </c>
      <c r="P1739" s="61"/>
      <c r="Q1739" s="61" t="s">
        <v>2125</v>
      </c>
      <c r="R1739" s="606" t="s">
        <v>2530</v>
      </c>
      <c r="S1739" s="316" t="s">
        <v>2943</v>
      </c>
      <c r="T1739" s="858"/>
    </row>
    <row r="1740" spans="1:20" ht="20.100000000000001" customHeight="1">
      <c r="A1740" s="1256" t="s">
        <v>2971</v>
      </c>
      <c r="B1740" s="1138" t="s">
        <v>2527</v>
      </c>
      <c r="C1740" s="1138" t="s">
        <v>3507</v>
      </c>
      <c r="D1740" s="1006">
        <f>D18+710+50</f>
        <v>2310</v>
      </c>
      <c r="E1740" s="1006">
        <f>E18+860+100</f>
        <v>2760</v>
      </c>
      <c r="F1740" s="1006">
        <f>F18+860+100</f>
        <v>2760</v>
      </c>
      <c r="G1740" s="608" t="s">
        <v>94</v>
      </c>
      <c r="H1740" s="56" t="s">
        <v>657</v>
      </c>
      <c r="I1740" s="5" t="s">
        <v>2127</v>
      </c>
      <c r="J1740" s="37" t="s">
        <v>1211</v>
      </c>
      <c r="K1740" s="5">
        <v>26</v>
      </c>
      <c r="L1740" s="607" t="s">
        <v>653</v>
      </c>
      <c r="M1740" s="108">
        <v>43087</v>
      </c>
      <c r="N1740" s="108">
        <v>43094</v>
      </c>
      <c r="O1740" s="61" t="s">
        <v>2444</v>
      </c>
      <c r="P1740" s="7"/>
      <c r="Q1740" s="7"/>
      <c r="R1740" s="606" t="s">
        <v>2126</v>
      </c>
      <c r="S1740" s="322" t="s">
        <v>1176</v>
      </c>
      <c r="T1740" s="858"/>
    </row>
    <row r="1741" spans="1:20" ht="20.100000000000001" customHeight="1">
      <c r="A1741" s="1271" t="s">
        <v>2971</v>
      </c>
      <c r="B1741" s="1142" t="s">
        <v>2527</v>
      </c>
      <c r="C1741" s="1142" t="s">
        <v>2277</v>
      </c>
      <c r="D1741" s="1006">
        <f t="shared" ref="D1741:F1742" si="15">D1182+100</f>
        <v>2480</v>
      </c>
      <c r="E1741" s="1006">
        <f t="shared" si="15"/>
        <v>2785</v>
      </c>
      <c r="F1741" s="1006">
        <f t="shared" si="15"/>
        <v>2785</v>
      </c>
      <c r="G1741" s="608" t="s">
        <v>51</v>
      </c>
      <c r="H1741" s="160" t="s">
        <v>2532</v>
      </c>
      <c r="I1741" s="37" t="s">
        <v>2127</v>
      </c>
      <c r="J1741" s="37" t="s">
        <v>1211</v>
      </c>
      <c r="K1741" s="5"/>
      <c r="L1741" s="607" t="s">
        <v>653</v>
      </c>
      <c r="M1741" s="611">
        <v>43086</v>
      </c>
      <c r="N1741" s="611">
        <v>43100</v>
      </c>
      <c r="O1741" s="61" t="s">
        <v>3291</v>
      </c>
      <c r="P1741" s="52"/>
      <c r="Q1741" s="61" t="s">
        <v>3381</v>
      </c>
      <c r="R1741" s="610"/>
      <c r="S1741" s="315" t="s">
        <v>3290</v>
      </c>
      <c r="T1741" s="858"/>
    </row>
    <row r="1742" spans="1:20" ht="20.100000000000001" customHeight="1">
      <c r="A1742" s="1272" t="s">
        <v>2971</v>
      </c>
      <c r="B1742" s="1160" t="s">
        <v>2527</v>
      </c>
      <c r="C1742" s="1160" t="s">
        <v>2277</v>
      </c>
      <c r="D1742" s="1006">
        <f t="shared" si="15"/>
        <v>2375</v>
      </c>
      <c r="E1742" s="1006">
        <f t="shared" si="15"/>
        <v>2775</v>
      </c>
      <c r="F1742" s="1006">
        <f t="shared" si="15"/>
        <v>2775</v>
      </c>
      <c r="G1742" s="608" t="s">
        <v>51</v>
      </c>
      <c r="H1742" s="160" t="s">
        <v>645</v>
      </c>
      <c r="I1742" s="37" t="s">
        <v>2526</v>
      </c>
      <c r="J1742" s="37" t="s">
        <v>1211</v>
      </c>
      <c r="K1742" s="5"/>
      <c r="L1742" s="607" t="s">
        <v>653</v>
      </c>
      <c r="M1742" s="611">
        <v>43086</v>
      </c>
      <c r="N1742" s="611">
        <v>43100</v>
      </c>
      <c r="O1742" s="61" t="s">
        <v>3291</v>
      </c>
      <c r="P1742" s="52"/>
      <c r="Q1742" s="61" t="s">
        <v>2599</v>
      </c>
      <c r="R1742" s="610"/>
      <c r="S1742" s="315" t="s">
        <v>3290</v>
      </c>
      <c r="T1742" s="858"/>
    </row>
    <row r="1743" spans="1:20" ht="20.100000000000001" customHeight="1">
      <c r="A1743" s="1272" t="s">
        <v>2971</v>
      </c>
      <c r="B1743" s="1160" t="s">
        <v>2527</v>
      </c>
      <c r="C1743" s="1160" t="s">
        <v>2277</v>
      </c>
      <c r="D1743" s="1006">
        <f t="shared" ref="D1743:F1744" si="16">D1200+100</f>
        <v>2800</v>
      </c>
      <c r="E1743" s="1006">
        <f t="shared" si="16"/>
        <v>2870</v>
      </c>
      <c r="F1743" s="1006">
        <f t="shared" si="16"/>
        <v>2870</v>
      </c>
      <c r="G1743" s="608" t="s">
        <v>51</v>
      </c>
      <c r="H1743" s="160" t="s">
        <v>2532</v>
      </c>
      <c r="I1743" s="37" t="s">
        <v>2127</v>
      </c>
      <c r="J1743" s="37" t="s">
        <v>2525</v>
      </c>
      <c r="K1743" s="5"/>
      <c r="L1743" s="607" t="s">
        <v>653</v>
      </c>
      <c r="M1743" s="611">
        <v>43086</v>
      </c>
      <c r="N1743" s="611">
        <v>43100</v>
      </c>
      <c r="O1743" s="61" t="s">
        <v>3291</v>
      </c>
      <c r="P1743" s="52"/>
      <c r="Q1743" s="61" t="s">
        <v>2466</v>
      </c>
      <c r="R1743" s="610"/>
      <c r="S1743" s="315" t="s">
        <v>3290</v>
      </c>
      <c r="T1743" s="858"/>
    </row>
    <row r="1744" spans="1:20" ht="20.100000000000001" customHeight="1">
      <c r="A1744" s="1272" t="s">
        <v>2971</v>
      </c>
      <c r="B1744" s="1160" t="s">
        <v>2527</v>
      </c>
      <c r="C1744" s="1160" t="s">
        <v>2277</v>
      </c>
      <c r="D1744" s="1006">
        <f t="shared" si="16"/>
        <v>3000</v>
      </c>
      <c r="E1744" s="1006">
        <f t="shared" si="16"/>
        <v>3045</v>
      </c>
      <c r="F1744" s="1006">
        <f t="shared" si="16"/>
        <v>3045</v>
      </c>
      <c r="G1744" s="608" t="s">
        <v>51</v>
      </c>
      <c r="H1744" s="160" t="s">
        <v>645</v>
      </c>
      <c r="I1744" s="37" t="s">
        <v>2526</v>
      </c>
      <c r="J1744" s="37" t="s">
        <v>2525</v>
      </c>
      <c r="K1744" s="5"/>
      <c r="L1744" s="607" t="s">
        <v>653</v>
      </c>
      <c r="M1744" s="611">
        <v>43086</v>
      </c>
      <c r="N1744" s="611">
        <v>43100</v>
      </c>
      <c r="O1744" s="61" t="s">
        <v>3291</v>
      </c>
      <c r="P1744" s="52"/>
      <c r="Q1744" s="61" t="s">
        <v>2466</v>
      </c>
      <c r="R1744" s="610"/>
      <c r="S1744" s="315" t="s">
        <v>3290</v>
      </c>
      <c r="T1744" s="858"/>
    </row>
    <row r="1745" spans="1:20" ht="20.100000000000001" customHeight="1">
      <c r="A1745" s="1272" t="s">
        <v>2971</v>
      </c>
      <c r="B1745" s="1160" t="s">
        <v>2527</v>
      </c>
      <c r="C1745" s="1160" t="s">
        <v>2277</v>
      </c>
      <c r="D1745" s="1006">
        <f>D4+795</f>
        <v>1970</v>
      </c>
      <c r="E1745" s="1006">
        <f>E4+901</f>
        <v>2151</v>
      </c>
      <c r="F1745" s="1006">
        <f>F4+901</f>
        <v>2151</v>
      </c>
      <c r="G1745" s="609" t="s">
        <v>1689</v>
      </c>
      <c r="H1745" s="160" t="s">
        <v>645</v>
      </c>
      <c r="I1745" s="37" t="s">
        <v>2127</v>
      </c>
      <c r="J1745" s="37" t="s">
        <v>1211</v>
      </c>
      <c r="K1745" s="5">
        <v>20</v>
      </c>
      <c r="L1745" s="607" t="s">
        <v>653</v>
      </c>
      <c r="M1745" s="156">
        <v>43076</v>
      </c>
      <c r="N1745" s="156">
        <v>43083</v>
      </c>
      <c r="O1745" s="153" t="s">
        <v>2529</v>
      </c>
      <c r="P1745" s="61"/>
      <c r="Q1745" s="61" t="s">
        <v>2133</v>
      </c>
      <c r="R1745" s="606" t="s">
        <v>2530</v>
      </c>
      <c r="S1745" s="316" t="s">
        <v>2943</v>
      </c>
      <c r="T1745" s="858"/>
    </row>
    <row r="1746" spans="1:20" ht="20.100000000000001" customHeight="1">
      <c r="A1746" s="1272" t="s">
        <v>2971</v>
      </c>
      <c r="B1746" s="1160" t="s">
        <v>2527</v>
      </c>
      <c r="C1746" s="1160" t="s">
        <v>2277</v>
      </c>
      <c r="D1746" s="1006">
        <f>D46+833</f>
        <v>2008</v>
      </c>
      <c r="E1746" s="1006">
        <f>E46+1014</f>
        <v>2264</v>
      </c>
      <c r="F1746" s="1006">
        <f>F46+1014</f>
        <v>2264</v>
      </c>
      <c r="G1746" s="609" t="s">
        <v>1689</v>
      </c>
      <c r="H1746" s="160" t="s">
        <v>1311</v>
      </c>
      <c r="I1746" s="37" t="s">
        <v>2526</v>
      </c>
      <c r="J1746" s="37" t="s">
        <v>1211</v>
      </c>
      <c r="K1746" s="5">
        <v>30</v>
      </c>
      <c r="L1746" s="607" t="s">
        <v>653</v>
      </c>
      <c r="M1746" s="156">
        <v>43076</v>
      </c>
      <c r="N1746" s="156">
        <v>43083</v>
      </c>
      <c r="O1746" s="153" t="s">
        <v>2529</v>
      </c>
      <c r="P1746" s="61"/>
      <c r="Q1746" s="61" t="s">
        <v>2128</v>
      </c>
      <c r="R1746" s="606" t="s">
        <v>2528</v>
      </c>
      <c r="S1746" s="316" t="s">
        <v>2943</v>
      </c>
      <c r="T1746" s="858"/>
    </row>
    <row r="1747" spans="1:20" ht="20.100000000000001" customHeight="1">
      <c r="A1747" s="1272" t="s">
        <v>2971</v>
      </c>
      <c r="B1747" s="1160" t="s">
        <v>2527</v>
      </c>
      <c r="C1747" s="1160" t="s">
        <v>2277</v>
      </c>
      <c r="D1747" s="1006">
        <f>D4+1182</f>
        <v>2357</v>
      </c>
      <c r="E1747" s="1006">
        <f>E4+1182</f>
        <v>2432</v>
      </c>
      <c r="F1747" s="1006">
        <f>F4+1182</f>
        <v>2432</v>
      </c>
      <c r="G1747" s="609" t="s">
        <v>1689</v>
      </c>
      <c r="H1747" s="160" t="s">
        <v>645</v>
      </c>
      <c r="I1747" s="37" t="s">
        <v>2127</v>
      </c>
      <c r="J1747" s="37" t="s">
        <v>2525</v>
      </c>
      <c r="K1747" s="5">
        <v>20</v>
      </c>
      <c r="L1747" s="607" t="s">
        <v>653</v>
      </c>
      <c r="M1747" s="156">
        <v>43076</v>
      </c>
      <c r="N1747" s="156">
        <v>43083</v>
      </c>
      <c r="O1747" s="153" t="s">
        <v>2529</v>
      </c>
      <c r="P1747" s="61"/>
      <c r="Q1747" s="61" t="s">
        <v>2125</v>
      </c>
      <c r="R1747" s="606" t="s">
        <v>2530</v>
      </c>
      <c r="S1747" s="316" t="s">
        <v>2943</v>
      </c>
      <c r="T1747" s="858"/>
    </row>
    <row r="1748" spans="1:20" ht="20.100000000000001" customHeight="1">
      <c r="A1748" s="1272" t="s">
        <v>2971</v>
      </c>
      <c r="B1748" s="1160" t="s">
        <v>2527</v>
      </c>
      <c r="C1748" s="1160" t="s">
        <v>2277</v>
      </c>
      <c r="D1748" s="1006">
        <f>D18+1030+50</f>
        <v>2630</v>
      </c>
      <c r="E1748" s="1006">
        <f>E18+1030+100</f>
        <v>2930</v>
      </c>
      <c r="F1748" s="1006">
        <f>F18+1030+100</f>
        <v>2930</v>
      </c>
      <c r="G1748" s="608" t="s">
        <v>94</v>
      </c>
      <c r="H1748" s="56" t="s">
        <v>657</v>
      </c>
      <c r="I1748" s="5" t="s">
        <v>2127</v>
      </c>
      <c r="J1748" s="37" t="s">
        <v>1211</v>
      </c>
      <c r="K1748" s="5">
        <v>26</v>
      </c>
      <c r="L1748" s="607" t="s">
        <v>653</v>
      </c>
      <c r="M1748" s="108">
        <v>43087</v>
      </c>
      <c r="N1748" s="108">
        <v>43094</v>
      </c>
      <c r="O1748" s="61" t="s">
        <v>2444</v>
      </c>
      <c r="P1748" s="7"/>
      <c r="Q1748" s="7"/>
      <c r="R1748" s="606" t="s">
        <v>2126</v>
      </c>
      <c r="S1748" s="322" t="s">
        <v>1176</v>
      </c>
      <c r="T1748" s="858"/>
    </row>
    <row r="1749" spans="1:20" ht="20.100000000000001" customHeight="1">
      <c r="A1749" s="1273" t="s">
        <v>2971</v>
      </c>
      <c r="B1749" s="1161" t="s">
        <v>2527</v>
      </c>
      <c r="C1749" s="1161" t="s">
        <v>2277</v>
      </c>
      <c r="D1749" s="1006">
        <f>D41+1000+50</f>
        <v>2600</v>
      </c>
      <c r="E1749" s="1006">
        <f>E41+1010+100</f>
        <v>2910</v>
      </c>
      <c r="F1749" s="1006">
        <f>F41+1010+100</f>
        <v>2910</v>
      </c>
      <c r="G1749" s="608" t="s">
        <v>94</v>
      </c>
      <c r="H1749" s="168" t="s">
        <v>1102</v>
      </c>
      <c r="I1749" s="5" t="s">
        <v>2526</v>
      </c>
      <c r="J1749" s="37" t="s">
        <v>1211</v>
      </c>
      <c r="K1749" s="16">
        <v>26</v>
      </c>
      <c r="L1749" s="607" t="s">
        <v>653</v>
      </c>
      <c r="M1749" s="108">
        <v>43087</v>
      </c>
      <c r="N1749" s="108">
        <v>43094</v>
      </c>
      <c r="O1749" s="61" t="s">
        <v>2444</v>
      </c>
      <c r="P1749" s="7"/>
      <c r="Q1749" s="7"/>
      <c r="R1749" s="606" t="s">
        <v>2524</v>
      </c>
      <c r="S1749" s="322" t="s">
        <v>1176</v>
      </c>
      <c r="T1749" s="858"/>
    </row>
    <row r="1750" spans="1:20" ht="20.100000000000001" customHeight="1">
      <c r="A1750" s="1256" t="s">
        <v>2971</v>
      </c>
      <c r="B1750" s="1138" t="s">
        <v>2527</v>
      </c>
      <c r="C1750" s="1138" t="s">
        <v>3506</v>
      </c>
      <c r="D1750" s="1006">
        <f>D18+1540+50</f>
        <v>3140</v>
      </c>
      <c r="E1750" s="1006">
        <f>E18+1540+100</f>
        <v>3440</v>
      </c>
      <c r="F1750" s="1006">
        <f>F18+1540+100</f>
        <v>3440</v>
      </c>
      <c r="G1750" s="608" t="s">
        <v>94</v>
      </c>
      <c r="H1750" s="56" t="s">
        <v>657</v>
      </c>
      <c r="I1750" s="5" t="s">
        <v>2127</v>
      </c>
      <c r="J1750" s="37" t="s">
        <v>1211</v>
      </c>
      <c r="K1750" s="5">
        <v>26</v>
      </c>
      <c r="L1750" s="607" t="s">
        <v>653</v>
      </c>
      <c r="M1750" s="108">
        <v>43087</v>
      </c>
      <c r="N1750" s="108">
        <v>43094</v>
      </c>
      <c r="O1750" s="61" t="s">
        <v>2444</v>
      </c>
      <c r="P1750" s="7"/>
      <c r="Q1750" s="7"/>
      <c r="R1750" s="606" t="s">
        <v>2126</v>
      </c>
      <c r="S1750" s="322" t="s">
        <v>1176</v>
      </c>
      <c r="T1750" s="858"/>
    </row>
    <row r="1751" spans="1:20" ht="20.100000000000001" customHeight="1">
      <c r="A1751" s="1256" t="s">
        <v>2971</v>
      </c>
      <c r="B1751" s="1138" t="s">
        <v>2527</v>
      </c>
      <c r="C1751" s="1138" t="s">
        <v>3506</v>
      </c>
      <c r="D1751" s="1006">
        <f>D41+1510+50</f>
        <v>3110</v>
      </c>
      <c r="E1751" s="1006">
        <f>E41+1520+100</f>
        <v>3420</v>
      </c>
      <c r="F1751" s="1006">
        <f>F41+1520+100</f>
        <v>3420</v>
      </c>
      <c r="G1751" s="608" t="s">
        <v>94</v>
      </c>
      <c r="H1751" s="168" t="s">
        <v>1102</v>
      </c>
      <c r="I1751" s="5" t="s">
        <v>2526</v>
      </c>
      <c r="J1751" s="37" t="s">
        <v>1211</v>
      </c>
      <c r="K1751" s="16">
        <v>26</v>
      </c>
      <c r="L1751" s="607" t="s">
        <v>653</v>
      </c>
      <c r="M1751" s="108">
        <v>43087</v>
      </c>
      <c r="N1751" s="108">
        <v>43094</v>
      </c>
      <c r="O1751" s="61" t="s">
        <v>2444</v>
      </c>
      <c r="P1751" s="7"/>
      <c r="Q1751" s="7"/>
      <c r="R1751" s="606" t="s">
        <v>2524</v>
      </c>
      <c r="S1751" s="322" t="s">
        <v>1176</v>
      </c>
      <c r="T1751" s="858"/>
    </row>
    <row r="1752" spans="1:20" ht="20.100000000000001" customHeight="1">
      <c r="A1752" s="1256" t="s">
        <v>2971</v>
      </c>
      <c r="B1752" s="1138" t="s">
        <v>2527</v>
      </c>
      <c r="C1752" s="1138" t="s">
        <v>3505</v>
      </c>
      <c r="D1752" s="1006">
        <f>D18+1150+50</f>
        <v>2750</v>
      </c>
      <c r="E1752" s="1006">
        <f>E18+1150+100</f>
        <v>3050</v>
      </c>
      <c r="F1752" s="1006">
        <f>F18+1150+100</f>
        <v>3050</v>
      </c>
      <c r="G1752" s="608" t="s">
        <v>94</v>
      </c>
      <c r="H1752" s="56" t="s">
        <v>657</v>
      </c>
      <c r="I1752" s="5" t="s">
        <v>2127</v>
      </c>
      <c r="J1752" s="37" t="s">
        <v>1211</v>
      </c>
      <c r="K1752" s="5">
        <v>26</v>
      </c>
      <c r="L1752" s="607" t="s">
        <v>653</v>
      </c>
      <c r="M1752" s="108">
        <v>43087</v>
      </c>
      <c r="N1752" s="108">
        <v>43094</v>
      </c>
      <c r="O1752" s="61" t="s">
        <v>2444</v>
      </c>
      <c r="P1752" s="7"/>
      <c r="Q1752" s="7"/>
      <c r="R1752" s="606" t="s">
        <v>2126</v>
      </c>
      <c r="S1752" s="322" t="s">
        <v>1176</v>
      </c>
      <c r="T1752" s="858"/>
    </row>
    <row r="1753" spans="1:20" ht="20.100000000000001" customHeight="1">
      <c r="A1753" s="1256" t="s">
        <v>2971</v>
      </c>
      <c r="B1753" s="1138" t="s">
        <v>2527</v>
      </c>
      <c r="C1753" s="1138" t="s">
        <v>3505</v>
      </c>
      <c r="D1753" s="1006">
        <f>D41+1120+50</f>
        <v>2720</v>
      </c>
      <c r="E1753" s="1006">
        <f>E41+1130+100</f>
        <v>3030</v>
      </c>
      <c r="F1753" s="1006">
        <f>F41+1130+100</f>
        <v>3030</v>
      </c>
      <c r="G1753" s="608" t="s">
        <v>94</v>
      </c>
      <c r="H1753" s="168" t="s">
        <v>1102</v>
      </c>
      <c r="I1753" s="5" t="s">
        <v>2526</v>
      </c>
      <c r="J1753" s="37" t="s">
        <v>1211</v>
      </c>
      <c r="K1753" s="16">
        <v>26</v>
      </c>
      <c r="L1753" s="607" t="s">
        <v>653</v>
      </c>
      <c r="M1753" s="108">
        <v>43087</v>
      </c>
      <c r="N1753" s="108">
        <v>43094</v>
      </c>
      <c r="O1753" s="61" t="s">
        <v>2444</v>
      </c>
      <c r="P1753" s="7"/>
      <c r="Q1753" s="7"/>
      <c r="R1753" s="606" t="s">
        <v>2524</v>
      </c>
      <c r="S1753" s="322" t="s">
        <v>1176</v>
      </c>
      <c r="T1753" s="858"/>
    </row>
    <row r="1754" spans="1:20" ht="20.100000000000001" customHeight="1">
      <c r="A1754" s="925" t="s">
        <v>2971</v>
      </c>
      <c r="B1754" s="899" t="s">
        <v>2527</v>
      </c>
      <c r="C1754" s="899" t="s">
        <v>3504</v>
      </c>
      <c r="D1754" s="1006">
        <f>D41+2239+50</f>
        <v>3839</v>
      </c>
      <c r="E1754" s="1006">
        <f>E41+2239+100</f>
        <v>4139</v>
      </c>
      <c r="F1754" s="1006">
        <f>F41+2239+100</f>
        <v>4139</v>
      </c>
      <c r="G1754" s="608" t="s">
        <v>94</v>
      </c>
      <c r="H1754" s="168" t="s">
        <v>1102</v>
      </c>
      <c r="I1754" s="5" t="s">
        <v>2526</v>
      </c>
      <c r="J1754" s="37" t="s">
        <v>2525</v>
      </c>
      <c r="K1754" s="16">
        <v>26</v>
      </c>
      <c r="L1754" s="607" t="s">
        <v>653</v>
      </c>
      <c r="M1754" s="108">
        <v>43087</v>
      </c>
      <c r="N1754" s="108">
        <v>43094</v>
      </c>
      <c r="O1754" s="61" t="s">
        <v>2444</v>
      </c>
      <c r="P1754" s="7"/>
      <c r="Q1754" s="7"/>
      <c r="R1754" s="606" t="s">
        <v>2524</v>
      </c>
      <c r="S1754" s="322" t="s">
        <v>1176</v>
      </c>
      <c r="T1754" s="858"/>
    </row>
    <row r="1755" spans="1:20" ht="20.100000000000001" customHeight="1">
      <c r="A1755" s="1256" t="s">
        <v>2971</v>
      </c>
      <c r="B1755" s="1138" t="s">
        <v>2527</v>
      </c>
      <c r="C1755" s="1138" t="s">
        <v>3503</v>
      </c>
      <c r="D1755" s="1006">
        <f>D63+492</f>
        <v>1767</v>
      </c>
      <c r="E1755" s="1006">
        <f>E63+492</f>
        <v>492</v>
      </c>
      <c r="F1755" s="1006">
        <f>F63+492</f>
        <v>1942</v>
      </c>
      <c r="G1755" s="609" t="s">
        <v>1689</v>
      </c>
      <c r="H1755" s="160" t="s">
        <v>1539</v>
      </c>
      <c r="I1755" s="5" t="s">
        <v>2540</v>
      </c>
      <c r="J1755" s="37" t="s">
        <v>2525</v>
      </c>
      <c r="K1755" s="5" t="s">
        <v>728</v>
      </c>
      <c r="L1755" s="607"/>
      <c r="M1755" s="156">
        <v>43076</v>
      </c>
      <c r="N1755" s="156">
        <v>43083</v>
      </c>
      <c r="O1755" s="153" t="s">
        <v>2529</v>
      </c>
      <c r="P1755" s="7"/>
      <c r="Q1755" s="61" t="s">
        <v>2541</v>
      </c>
      <c r="R1755" s="606" t="s">
        <v>1965</v>
      </c>
      <c r="S1755" s="316" t="s">
        <v>2943</v>
      </c>
      <c r="T1755" s="858"/>
    </row>
    <row r="1756" spans="1:20" ht="20.100000000000001" customHeight="1">
      <c r="A1756" s="1256" t="s">
        <v>2971</v>
      </c>
      <c r="B1756" s="1138" t="s">
        <v>2527</v>
      </c>
      <c r="C1756" s="1138" t="s">
        <v>3503</v>
      </c>
      <c r="D1756" s="1006">
        <f>D61+545</f>
        <v>2095</v>
      </c>
      <c r="E1756" s="1006">
        <f>E61+545</f>
        <v>2345</v>
      </c>
      <c r="F1756" s="1006">
        <f>F61+545</f>
        <v>2345</v>
      </c>
      <c r="G1756" s="615" t="s">
        <v>51</v>
      </c>
      <c r="H1756" s="160" t="s">
        <v>1539</v>
      </c>
      <c r="I1756" s="5" t="s">
        <v>2540</v>
      </c>
      <c r="J1756" s="37" t="s">
        <v>2525</v>
      </c>
      <c r="K1756" s="5"/>
      <c r="L1756" s="607" t="s">
        <v>653</v>
      </c>
      <c r="M1756" s="611">
        <v>43086</v>
      </c>
      <c r="N1756" s="611">
        <v>43100</v>
      </c>
      <c r="O1756" s="61" t="s">
        <v>3291</v>
      </c>
      <c r="P1756" s="52"/>
      <c r="Q1756" s="61" t="s">
        <v>2132</v>
      </c>
      <c r="R1756" s="610"/>
      <c r="S1756" s="315" t="s">
        <v>3290</v>
      </c>
      <c r="T1756" s="858"/>
    </row>
    <row r="1757" spans="1:20" ht="20.100000000000001" customHeight="1">
      <c r="A1757" s="1256" t="s">
        <v>2971</v>
      </c>
      <c r="B1757" s="1138" t="s">
        <v>2527</v>
      </c>
      <c r="C1757" s="1138" t="s">
        <v>3503</v>
      </c>
      <c r="D1757" s="1006">
        <f>D18+5380+50</f>
        <v>6980</v>
      </c>
      <c r="E1757" s="1006">
        <f>E18+5380+100</f>
        <v>7280</v>
      </c>
      <c r="F1757" s="1006">
        <f>F18+5380+100</f>
        <v>7280</v>
      </c>
      <c r="G1757" s="608" t="s">
        <v>94</v>
      </c>
      <c r="H1757" s="56" t="s">
        <v>657</v>
      </c>
      <c r="I1757" s="5" t="s">
        <v>2127</v>
      </c>
      <c r="J1757" s="37" t="s">
        <v>2525</v>
      </c>
      <c r="K1757" s="5">
        <v>22</v>
      </c>
      <c r="L1757" s="607" t="s">
        <v>653</v>
      </c>
      <c r="M1757" s="108">
        <v>43087</v>
      </c>
      <c r="N1757" s="108">
        <v>43094</v>
      </c>
      <c r="O1757" s="61" t="s">
        <v>2444</v>
      </c>
      <c r="P1757" s="7"/>
      <c r="Q1757" s="7"/>
      <c r="R1757" s="606" t="s">
        <v>2126</v>
      </c>
      <c r="S1757" s="322" t="s">
        <v>1176</v>
      </c>
      <c r="T1757" s="858"/>
    </row>
    <row r="1758" spans="1:20" ht="20.100000000000001" customHeight="1">
      <c r="A1758" s="1256" t="s">
        <v>2971</v>
      </c>
      <c r="B1758" s="1138" t="s">
        <v>2527</v>
      </c>
      <c r="C1758" s="1138" t="s">
        <v>3503</v>
      </c>
      <c r="D1758" s="1006">
        <f>D41+5060+50</f>
        <v>6660</v>
      </c>
      <c r="E1758" s="1006">
        <f>E41+5060+100</f>
        <v>6960</v>
      </c>
      <c r="F1758" s="1006">
        <f>F41+5060+100</f>
        <v>6960</v>
      </c>
      <c r="G1758" s="608" t="s">
        <v>94</v>
      </c>
      <c r="H1758" s="168" t="s">
        <v>1102</v>
      </c>
      <c r="I1758" s="5" t="s">
        <v>2526</v>
      </c>
      <c r="J1758" s="37" t="s">
        <v>2525</v>
      </c>
      <c r="K1758" s="16">
        <v>26</v>
      </c>
      <c r="L1758" s="607" t="s">
        <v>653</v>
      </c>
      <c r="M1758" s="108">
        <v>43087</v>
      </c>
      <c r="N1758" s="108">
        <v>43094</v>
      </c>
      <c r="O1758" s="61" t="s">
        <v>2444</v>
      </c>
      <c r="P1758" s="7"/>
      <c r="Q1758" s="7"/>
      <c r="R1758" s="606" t="s">
        <v>2524</v>
      </c>
      <c r="S1758" s="322" t="s">
        <v>1176</v>
      </c>
      <c r="T1758" s="858"/>
    </row>
    <row r="1759" spans="1:20" ht="20.100000000000001" customHeight="1">
      <c r="A1759" s="1256" t="s">
        <v>2971</v>
      </c>
      <c r="B1759" s="1138" t="s">
        <v>2527</v>
      </c>
      <c r="C1759" s="1138" t="s">
        <v>3503</v>
      </c>
      <c r="D1759" s="1006">
        <f>D59+437</f>
        <v>2087</v>
      </c>
      <c r="E1759" s="1006">
        <f>E59+437</f>
        <v>2437</v>
      </c>
      <c r="F1759" s="1006">
        <f>F59+437</f>
        <v>2437</v>
      </c>
      <c r="G1759" s="608" t="s">
        <v>94</v>
      </c>
      <c r="H1759" s="168" t="s">
        <v>1102</v>
      </c>
      <c r="I1759" s="37" t="s">
        <v>2540</v>
      </c>
      <c r="J1759" s="37" t="s">
        <v>2525</v>
      </c>
      <c r="K1759" s="16" t="s">
        <v>968</v>
      </c>
      <c r="L1759" s="607" t="s">
        <v>653</v>
      </c>
      <c r="M1759" s="108">
        <v>43087</v>
      </c>
      <c r="N1759" s="108">
        <v>43094</v>
      </c>
      <c r="O1759" s="61" t="s">
        <v>2444</v>
      </c>
      <c r="P1759" s="7"/>
      <c r="Q1759" s="7"/>
      <c r="R1759" s="606" t="s">
        <v>2524</v>
      </c>
      <c r="S1759" s="322" t="s">
        <v>1176</v>
      </c>
      <c r="T1759" s="858"/>
    </row>
    <row r="1760" spans="1:20" ht="20.100000000000001" customHeight="1">
      <c r="A1760" s="1256" t="s">
        <v>2971</v>
      </c>
      <c r="B1760" s="1138" t="s">
        <v>2527</v>
      </c>
      <c r="C1760" s="1138" t="s">
        <v>3502</v>
      </c>
      <c r="D1760" s="1006">
        <f>D46+998</f>
        <v>2173</v>
      </c>
      <c r="E1760" s="1006">
        <f>E46+1139</f>
        <v>2389</v>
      </c>
      <c r="F1760" s="1006">
        <f>F46+1139</f>
        <v>2389</v>
      </c>
      <c r="G1760" s="609" t="s">
        <v>1689</v>
      </c>
      <c r="H1760" s="160" t="s">
        <v>1311</v>
      </c>
      <c r="I1760" s="37" t="s">
        <v>2526</v>
      </c>
      <c r="J1760" s="37" t="s">
        <v>1211</v>
      </c>
      <c r="K1760" s="5">
        <v>30</v>
      </c>
      <c r="L1760" s="607" t="s">
        <v>653</v>
      </c>
      <c r="M1760" s="156">
        <v>43076</v>
      </c>
      <c r="N1760" s="156">
        <v>43083</v>
      </c>
      <c r="O1760" s="153" t="s">
        <v>2529</v>
      </c>
      <c r="P1760" s="61"/>
      <c r="Q1760" s="61" t="s">
        <v>2128</v>
      </c>
      <c r="R1760" s="606" t="s">
        <v>2528</v>
      </c>
      <c r="S1760" s="316" t="s">
        <v>2943</v>
      </c>
      <c r="T1760" s="858"/>
    </row>
    <row r="1761" spans="1:20" ht="20.100000000000001" customHeight="1">
      <c r="A1761" s="1256" t="s">
        <v>2971</v>
      </c>
      <c r="B1761" s="1138" t="s">
        <v>2527</v>
      </c>
      <c r="C1761" s="1138" t="s">
        <v>3502</v>
      </c>
      <c r="D1761" s="1006">
        <f>D4+1222</f>
        <v>2397</v>
      </c>
      <c r="E1761" s="1006">
        <f>E4+1222</f>
        <v>2472</v>
      </c>
      <c r="F1761" s="1006">
        <f>F4+1222</f>
        <v>2472</v>
      </c>
      <c r="G1761" s="609" t="s">
        <v>1689</v>
      </c>
      <c r="H1761" s="160" t="s">
        <v>645</v>
      </c>
      <c r="I1761" s="37" t="s">
        <v>2127</v>
      </c>
      <c r="J1761" s="37" t="s">
        <v>2525</v>
      </c>
      <c r="K1761" s="5">
        <v>20</v>
      </c>
      <c r="L1761" s="607" t="s">
        <v>653</v>
      </c>
      <c r="M1761" s="156">
        <v>43076</v>
      </c>
      <c r="N1761" s="156">
        <v>43083</v>
      </c>
      <c r="O1761" s="153" t="s">
        <v>2529</v>
      </c>
      <c r="P1761" s="61"/>
      <c r="Q1761" s="61" t="s">
        <v>2125</v>
      </c>
      <c r="R1761" s="606" t="s">
        <v>2530</v>
      </c>
      <c r="S1761" s="316" t="s">
        <v>2943</v>
      </c>
      <c r="T1761" s="858"/>
    </row>
    <row r="1762" spans="1:20" ht="20.100000000000001" customHeight="1">
      <c r="A1762" s="1256" t="s">
        <v>2971</v>
      </c>
      <c r="B1762" s="1138" t="s">
        <v>2527</v>
      </c>
      <c r="C1762" s="1138" t="s">
        <v>3502</v>
      </c>
      <c r="D1762" s="1006">
        <f>D46+1469</f>
        <v>2644</v>
      </c>
      <c r="E1762" s="1006">
        <f>E46+1469</f>
        <v>2719</v>
      </c>
      <c r="F1762" s="1006">
        <f>F46+1469</f>
        <v>2719</v>
      </c>
      <c r="G1762" s="609" t="s">
        <v>1689</v>
      </c>
      <c r="H1762" s="160" t="s">
        <v>1311</v>
      </c>
      <c r="I1762" s="37" t="s">
        <v>2526</v>
      </c>
      <c r="J1762" s="37" t="s">
        <v>2525</v>
      </c>
      <c r="K1762" s="5">
        <v>30</v>
      </c>
      <c r="L1762" s="607" t="s">
        <v>653</v>
      </c>
      <c r="M1762" s="156">
        <v>43076</v>
      </c>
      <c r="N1762" s="156">
        <v>43083</v>
      </c>
      <c r="O1762" s="153" t="s">
        <v>2529</v>
      </c>
      <c r="P1762" s="61"/>
      <c r="Q1762" s="61" t="s">
        <v>2125</v>
      </c>
      <c r="R1762" s="606" t="s">
        <v>2528</v>
      </c>
      <c r="S1762" s="316" t="s">
        <v>2943</v>
      </c>
      <c r="T1762" s="858"/>
    </row>
    <row r="1763" spans="1:20" ht="20.100000000000001" customHeight="1">
      <c r="A1763" s="1271" t="s">
        <v>2971</v>
      </c>
      <c r="B1763" s="1142" t="s">
        <v>2527</v>
      </c>
      <c r="C1763" s="1142" t="s">
        <v>3501</v>
      </c>
      <c r="D1763" s="1006">
        <f t="shared" ref="D1763:F1764" si="17">D1182</f>
        <v>2380</v>
      </c>
      <c r="E1763" s="1006">
        <f t="shared" si="17"/>
        <v>2685</v>
      </c>
      <c r="F1763" s="1006">
        <f t="shared" si="17"/>
        <v>2685</v>
      </c>
      <c r="G1763" s="609" t="s">
        <v>51</v>
      </c>
      <c r="H1763" s="160" t="s">
        <v>2532</v>
      </c>
      <c r="I1763" s="37" t="s">
        <v>2127</v>
      </c>
      <c r="J1763" s="37" t="s">
        <v>1211</v>
      </c>
      <c r="K1763" s="5"/>
      <c r="L1763" s="607" t="s">
        <v>653</v>
      </c>
      <c r="M1763" s="611">
        <v>43086</v>
      </c>
      <c r="N1763" s="611">
        <v>43100</v>
      </c>
      <c r="O1763" s="61" t="s">
        <v>3291</v>
      </c>
      <c r="P1763" s="52"/>
      <c r="Q1763" s="61" t="s">
        <v>3381</v>
      </c>
      <c r="R1763" s="610"/>
      <c r="S1763" s="315" t="s">
        <v>3290</v>
      </c>
      <c r="T1763" s="858"/>
    </row>
    <row r="1764" spans="1:20" ht="20.100000000000001" customHeight="1">
      <c r="A1764" s="1272" t="s">
        <v>2971</v>
      </c>
      <c r="B1764" s="1160" t="s">
        <v>2527</v>
      </c>
      <c r="C1764" s="1160" t="s">
        <v>3501</v>
      </c>
      <c r="D1764" s="1006">
        <f t="shared" si="17"/>
        <v>2275</v>
      </c>
      <c r="E1764" s="1006">
        <f t="shared" si="17"/>
        <v>2675</v>
      </c>
      <c r="F1764" s="1006">
        <f t="shared" si="17"/>
        <v>2675</v>
      </c>
      <c r="G1764" s="609" t="s">
        <v>51</v>
      </c>
      <c r="H1764" s="160" t="s">
        <v>645</v>
      </c>
      <c r="I1764" s="37" t="s">
        <v>2526</v>
      </c>
      <c r="J1764" s="37" t="s">
        <v>1211</v>
      </c>
      <c r="K1764" s="5"/>
      <c r="L1764" s="607" t="s">
        <v>653</v>
      </c>
      <c r="M1764" s="611">
        <v>43086</v>
      </c>
      <c r="N1764" s="611">
        <v>43100</v>
      </c>
      <c r="O1764" s="61" t="s">
        <v>3291</v>
      </c>
      <c r="P1764" s="52"/>
      <c r="Q1764" s="61" t="s">
        <v>2599</v>
      </c>
      <c r="R1764" s="610"/>
      <c r="S1764" s="315" t="s">
        <v>3290</v>
      </c>
      <c r="T1764" s="858"/>
    </row>
    <row r="1765" spans="1:20" ht="20.100000000000001" customHeight="1">
      <c r="A1765" s="1272" t="s">
        <v>2971</v>
      </c>
      <c r="B1765" s="1160" t="s">
        <v>2527</v>
      </c>
      <c r="C1765" s="1160" t="s">
        <v>3501</v>
      </c>
      <c r="D1765" s="1006">
        <f t="shared" ref="D1765:F1766" si="18">D1200</f>
        <v>2700</v>
      </c>
      <c r="E1765" s="1006">
        <f t="shared" si="18"/>
        <v>2770</v>
      </c>
      <c r="F1765" s="1006">
        <f t="shared" si="18"/>
        <v>2770</v>
      </c>
      <c r="G1765" s="609" t="s">
        <v>51</v>
      </c>
      <c r="H1765" s="160" t="s">
        <v>2532</v>
      </c>
      <c r="I1765" s="37" t="s">
        <v>2127</v>
      </c>
      <c r="J1765" s="37" t="s">
        <v>2525</v>
      </c>
      <c r="K1765" s="5"/>
      <c r="L1765" s="607" t="s">
        <v>653</v>
      </c>
      <c r="M1765" s="611">
        <v>43086</v>
      </c>
      <c r="N1765" s="611">
        <v>43100</v>
      </c>
      <c r="O1765" s="61" t="s">
        <v>3291</v>
      </c>
      <c r="P1765" s="52"/>
      <c r="Q1765" s="61" t="s">
        <v>2466</v>
      </c>
      <c r="R1765" s="610"/>
      <c r="S1765" s="315" t="s">
        <v>3290</v>
      </c>
      <c r="T1765" s="858"/>
    </row>
    <row r="1766" spans="1:20" ht="20.100000000000001" customHeight="1">
      <c r="A1766" s="1272" t="s">
        <v>2971</v>
      </c>
      <c r="B1766" s="1160" t="s">
        <v>2527</v>
      </c>
      <c r="C1766" s="1160" t="s">
        <v>3501</v>
      </c>
      <c r="D1766" s="1006">
        <f t="shared" si="18"/>
        <v>2900</v>
      </c>
      <c r="E1766" s="1006">
        <f t="shared" si="18"/>
        <v>2945</v>
      </c>
      <c r="F1766" s="1006">
        <f t="shared" si="18"/>
        <v>2945</v>
      </c>
      <c r="G1766" s="609" t="s">
        <v>51</v>
      </c>
      <c r="H1766" s="160" t="s">
        <v>645</v>
      </c>
      <c r="I1766" s="37" t="s">
        <v>2526</v>
      </c>
      <c r="J1766" s="37" t="s">
        <v>2525</v>
      </c>
      <c r="K1766" s="5"/>
      <c r="L1766" s="607" t="s">
        <v>653</v>
      </c>
      <c r="M1766" s="611">
        <v>43086</v>
      </c>
      <c r="N1766" s="611">
        <v>43100</v>
      </c>
      <c r="O1766" s="61" t="s">
        <v>3291</v>
      </c>
      <c r="P1766" s="52"/>
      <c r="Q1766" s="61" t="s">
        <v>2466</v>
      </c>
      <c r="R1766" s="610"/>
      <c r="S1766" s="315" t="s">
        <v>3290</v>
      </c>
      <c r="T1766" s="858"/>
    </row>
    <row r="1767" spans="1:20" ht="20.100000000000001" customHeight="1">
      <c r="A1767" s="1272" t="s">
        <v>2971</v>
      </c>
      <c r="B1767" s="1160" t="s">
        <v>2527</v>
      </c>
      <c r="C1767" s="1160" t="s">
        <v>3501</v>
      </c>
      <c r="D1767" s="1006">
        <f>D4+900</f>
        <v>2075</v>
      </c>
      <c r="E1767" s="1006">
        <f>E4+900</f>
        <v>2150</v>
      </c>
      <c r="F1767" s="1006">
        <f>F4+900</f>
        <v>2150</v>
      </c>
      <c r="G1767" s="609" t="s">
        <v>1689</v>
      </c>
      <c r="H1767" s="160" t="s">
        <v>645</v>
      </c>
      <c r="I1767" s="37" t="s">
        <v>2127</v>
      </c>
      <c r="J1767" s="37" t="s">
        <v>2525</v>
      </c>
      <c r="K1767" s="5">
        <v>20</v>
      </c>
      <c r="L1767" s="607" t="s">
        <v>653</v>
      </c>
      <c r="M1767" s="156">
        <v>43076</v>
      </c>
      <c r="N1767" s="156">
        <v>43083</v>
      </c>
      <c r="O1767" s="153" t="s">
        <v>2529</v>
      </c>
      <c r="P1767" s="61"/>
      <c r="Q1767" s="61" t="s">
        <v>2125</v>
      </c>
      <c r="R1767" s="606" t="s">
        <v>2530</v>
      </c>
      <c r="S1767" s="316" t="s">
        <v>2943</v>
      </c>
      <c r="T1767" s="858"/>
    </row>
    <row r="1768" spans="1:20" ht="20.100000000000001" customHeight="1">
      <c r="A1768" s="1273" t="s">
        <v>2971</v>
      </c>
      <c r="B1768" s="1161" t="s">
        <v>2527</v>
      </c>
      <c r="C1768" s="1161" t="s">
        <v>3501</v>
      </c>
      <c r="D1768" s="1006">
        <f>D46+970</f>
        <v>2145</v>
      </c>
      <c r="E1768" s="1006">
        <f>E46+970</f>
        <v>2220</v>
      </c>
      <c r="F1768" s="1006">
        <f>F46+970</f>
        <v>2220</v>
      </c>
      <c r="G1768" s="609" t="s">
        <v>1689</v>
      </c>
      <c r="H1768" s="160" t="s">
        <v>1311</v>
      </c>
      <c r="I1768" s="37" t="s">
        <v>2526</v>
      </c>
      <c r="J1768" s="37" t="s">
        <v>2525</v>
      </c>
      <c r="K1768" s="5">
        <v>30</v>
      </c>
      <c r="L1768" s="607" t="s">
        <v>653</v>
      </c>
      <c r="M1768" s="156">
        <v>43076</v>
      </c>
      <c r="N1768" s="156">
        <v>43083</v>
      </c>
      <c r="O1768" s="153" t="s">
        <v>2529</v>
      </c>
      <c r="P1768" s="61"/>
      <c r="Q1768" s="61" t="s">
        <v>2125</v>
      </c>
      <c r="R1768" s="606" t="s">
        <v>2528</v>
      </c>
      <c r="S1768" s="316" t="s">
        <v>2943</v>
      </c>
      <c r="T1768" s="858"/>
    </row>
    <row r="1769" spans="1:20" ht="20.100000000000001" customHeight="1">
      <c r="A1769" s="925" t="s">
        <v>2971</v>
      </c>
      <c r="B1769" s="899" t="s">
        <v>2527</v>
      </c>
      <c r="C1769" s="899" t="s">
        <v>3500</v>
      </c>
      <c r="D1769" s="1006">
        <f>D4+588</f>
        <v>1763</v>
      </c>
      <c r="E1769" s="1006">
        <f>E4+630</f>
        <v>1880</v>
      </c>
      <c r="F1769" s="1006">
        <f>F4+630</f>
        <v>1880</v>
      </c>
      <c r="G1769" s="609" t="s">
        <v>1689</v>
      </c>
      <c r="H1769" s="160" t="s">
        <v>645</v>
      </c>
      <c r="I1769" s="37" t="s">
        <v>2127</v>
      </c>
      <c r="J1769" s="37" t="s">
        <v>1211</v>
      </c>
      <c r="K1769" s="5">
        <v>20</v>
      </c>
      <c r="L1769" s="607" t="s">
        <v>653</v>
      </c>
      <c r="M1769" s="156">
        <v>43076</v>
      </c>
      <c r="N1769" s="156">
        <v>43083</v>
      </c>
      <c r="O1769" s="153" t="s">
        <v>2529</v>
      </c>
      <c r="P1769" s="61"/>
      <c r="Q1769" s="61" t="s">
        <v>2133</v>
      </c>
      <c r="R1769" s="606" t="s">
        <v>2530</v>
      </c>
      <c r="S1769" s="316" t="s">
        <v>2943</v>
      </c>
      <c r="T1769" s="858"/>
    </row>
    <row r="1770" spans="1:20" ht="20.100000000000001" customHeight="1">
      <c r="A1770" s="1271" t="s">
        <v>2971</v>
      </c>
      <c r="B1770" s="1142" t="s">
        <v>2527</v>
      </c>
      <c r="C1770" s="1142" t="s">
        <v>2454</v>
      </c>
      <c r="D1770" s="1006">
        <f t="shared" ref="D1770:F1771" si="19">D1182</f>
        <v>2380</v>
      </c>
      <c r="E1770" s="1006">
        <f t="shared" si="19"/>
        <v>2685</v>
      </c>
      <c r="F1770" s="1006">
        <f t="shared" si="19"/>
        <v>2685</v>
      </c>
      <c r="G1770" s="609" t="s">
        <v>51</v>
      </c>
      <c r="H1770" s="160" t="s">
        <v>2532</v>
      </c>
      <c r="I1770" s="37" t="s">
        <v>2127</v>
      </c>
      <c r="J1770" s="37" t="s">
        <v>1211</v>
      </c>
      <c r="K1770" s="5"/>
      <c r="L1770" s="607" t="s">
        <v>653</v>
      </c>
      <c r="M1770" s="611">
        <v>43086</v>
      </c>
      <c r="N1770" s="611">
        <v>43100</v>
      </c>
      <c r="O1770" s="61" t="s">
        <v>3291</v>
      </c>
      <c r="P1770" s="52"/>
      <c r="Q1770" s="61" t="s">
        <v>3381</v>
      </c>
      <c r="R1770" s="610"/>
      <c r="S1770" s="315" t="s">
        <v>3290</v>
      </c>
      <c r="T1770" s="858"/>
    </row>
    <row r="1771" spans="1:20" ht="20.100000000000001" customHeight="1">
      <c r="A1771" s="1272" t="s">
        <v>2971</v>
      </c>
      <c r="B1771" s="1160" t="s">
        <v>2527</v>
      </c>
      <c r="C1771" s="1160" t="s">
        <v>2454</v>
      </c>
      <c r="D1771" s="1006">
        <f t="shared" si="19"/>
        <v>2275</v>
      </c>
      <c r="E1771" s="1006">
        <f t="shared" si="19"/>
        <v>2675</v>
      </c>
      <c r="F1771" s="1006">
        <f t="shared" si="19"/>
        <v>2675</v>
      </c>
      <c r="G1771" s="609" t="s">
        <v>51</v>
      </c>
      <c r="H1771" s="160" t="s">
        <v>645</v>
      </c>
      <c r="I1771" s="37" t="s">
        <v>2526</v>
      </c>
      <c r="J1771" s="37" t="s">
        <v>1211</v>
      </c>
      <c r="K1771" s="5"/>
      <c r="L1771" s="607" t="s">
        <v>653</v>
      </c>
      <c r="M1771" s="611">
        <v>43086</v>
      </c>
      <c r="N1771" s="611">
        <v>43100</v>
      </c>
      <c r="O1771" s="61" t="s">
        <v>3291</v>
      </c>
      <c r="P1771" s="52"/>
      <c r="Q1771" s="61" t="s">
        <v>2599</v>
      </c>
      <c r="R1771" s="610"/>
      <c r="S1771" s="315" t="s">
        <v>3290</v>
      </c>
      <c r="T1771" s="858"/>
    </row>
    <row r="1772" spans="1:20" ht="20.100000000000001" customHeight="1">
      <c r="A1772" s="1272" t="s">
        <v>2971</v>
      </c>
      <c r="B1772" s="1160" t="s">
        <v>2527</v>
      </c>
      <c r="C1772" s="1160" t="s">
        <v>2454</v>
      </c>
      <c r="D1772" s="1006">
        <f t="shared" ref="D1772:F1773" si="20">D1200</f>
        <v>2700</v>
      </c>
      <c r="E1772" s="1006">
        <f t="shared" si="20"/>
        <v>2770</v>
      </c>
      <c r="F1772" s="1006">
        <f t="shared" si="20"/>
        <v>2770</v>
      </c>
      <c r="G1772" s="609" t="s">
        <v>51</v>
      </c>
      <c r="H1772" s="160" t="s">
        <v>2532</v>
      </c>
      <c r="I1772" s="37" t="s">
        <v>2127</v>
      </c>
      <c r="J1772" s="37" t="s">
        <v>2525</v>
      </c>
      <c r="K1772" s="5"/>
      <c r="L1772" s="607" t="s">
        <v>653</v>
      </c>
      <c r="M1772" s="611">
        <v>43086</v>
      </c>
      <c r="N1772" s="611">
        <v>43100</v>
      </c>
      <c r="O1772" s="61" t="s">
        <v>3291</v>
      </c>
      <c r="P1772" s="52"/>
      <c r="Q1772" s="61" t="s">
        <v>2466</v>
      </c>
      <c r="R1772" s="610"/>
      <c r="S1772" s="315" t="s">
        <v>3290</v>
      </c>
      <c r="T1772" s="858"/>
    </row>
    <row r="1773" spans="1:20" ht="20.100000000000001" customHeight="1">
      <c r="A1773" s="1272" t="s">
        <v>2971</v>
      </c>
      <c r="B1773" s="1160" t="s">
        <v>2527</v>
      </c>
      <c r="C1773" s="1160" t="s">
        <v>2454</v>
      </c>
      <c r="D1773" s="1006">
        <f t="shared" si="20"/>
        <v>2900</v>
      </c>
      <c r="E1773" s="1006">
        <f t="shared" si="20"/>
        <v>2945</v>
      </c>
      <c r="F1773" s="1006">
        <f t="shared" si="20"/>
        <v>2945</v>
      </c>
      <c r="G1773" s="609" t="s">
        <v>51</v>
      </c>
      <c r="H1773" s="160" t="s">
        <v>645</v>
      </c>
      <c r="I1773" s="37" t="s">
        <v>2526</v>
      </c>
      <c r="J1773" s="37" t="s">
        <v>2525</v>
      </c>
      <c r="K1773" s="5"/>
      <c r="L1773" s="607" t="s">
        <v>653</v>
      </c>
      <c r="M1773" s="611">
        <v>43086</v>
      </c>
      <c r="N1773" s="611">
        <v>43100</v>
      </c>
      <c r="O1773" s="61" t="s">
        <v>3291</v>
      </c>
      <c r="P1773" s="52"/>
      <c r="Q1773" s="61" t="s">
        <v>2466</v>
      </c>
      <c r="R1773" s="610"/>
      <c r="S1773" s="315" t="s">
        <v>3290</v>
      </c>
      <c r="T1773" s="858"/>
    </row>
    <row r="1774" spans="1:20" ht="20.100000000000001" customHeight="1">
      <c r="A1774" s="1272" t="s">
        <v>2971</v>
      </c>
      <c r="B1774" s="1160" t="s">
        <v>2527</v>
      </c>
      <c r="C1774" s="1160" t="s">
        <v>2454</v>
      </c>
      <c r="D1774" s="1006">
        <f>D4+900</f>
        <v>2075</v>
      </c>
      <c r="E1774" s="1006">
        <f>E4+900</f>
        <v>2150</v>
      </c>
      <c r="F1774" s="1006">
        <f>F4+900</f>
        <v>2150</v>
      </c>
      <c r="G1774" s="609" t="s">
        <v>1689</v>
      </c>
      <c r="H1774" s="160" t="s">
        <v>645</v>
      </c>
      <c r="I1774" s="37" t="s">
        <v>2127</v>
      </c>
      <c r="J1774" s="37" t="s">
        <v>2525</v>
      </c>
      <c r="K1774" s="5">
        <v>20</v>
      </c>
      <c r="L1774" s="607" t="s">
        <v>653</v>
      </c>
      <c r="M1774" s="156">
        <v>43076</v>
      </c>
      <c r="N1774" s="156">
        <v>43083</v>
      </c>
      <c r="O1774" s="153" t="s">
        <v>2529</v>
      </c>
      <c r="P1774" s="61"/>
      <c r="Q1774" s="61" t="s">
        <v>2125</v>
      </c>
      <c r="R1774" s="606" t="s">
        <v>2530</v>
      </c>
      <c r="S1774" s="316" t="s">
        <v>2943</v>
      </c>
      <c r="T1774" s="858"/>
    </row>
    <row r="1775" spans="1:20" ht="20.100000000000001" customHeight="1">
      <c r="A1775" s="1273" t="s">
        <v>2971</v>
      </c>
      <c r="B1775" s="1161" t="s">
        <v>2527</v>
      </c>
      <c r="C1775" s="1161" t="s">
        <v>2454</v>
      </c>
      <c r="D1775" s="1006">
        <f>D46+970</f>
        <v>2145</v>
      </c>
      <c r="E1775" s="1006">
        <f>E46+970</f>
        <v>2220</v>
      </c>
      <c r="F1775" s="1006">
        <f>F46+970</f>
        <v>2220</v>
      </c>
      <c r="G1775" s="609" t="s">
        <v>1689</v>
      </c>
      <c r="H1775" s="160" t="s">
        <v>1311</v>
      </c>
      <c r="I1775" s="37" t="s">
        <v>2526</v>
      </c>
      <c r="J1775" s="37" t="s">
        <v>2525</v>
      </c>
      <c r="K1775" s="5">
        <v>30</v>
      </c>
      <c r="L1775" s="607" t="s">
        <v>653</v>
      </c>
      <c r="M1775" s="156">
        <v>43076</v>
      </c>
      <c r="N1775" s="156">
        <v>43083</v>
      </c>
      <c r="O1775" s="153" t="s">
        <v>2529</v>
      </c>
      <c r="P1775" s="61"/>
      <c r="Q1775" s="61" t="s">
        <v>2125</v>
      </c>
      <c r="R1775" s="606" t="s">
        <v>2528</v>
      </c>
      <c r="S1775" s="316" t="s">
        <v>2943</v>
      </c>
      <c r="T1775" s="858"/>
    </row>
    <row r="1776" spans="1:20" ht="20.100000000000001" customHeight="1">
      <c r="A1776" s="1256" t="s">
        <v>2971</v>
      </c>
      <c r="B1776" s="1138" t="s">
        <v>2527</v>
      </c>
      <c r="C1776" s="1138" t="s">
        <v>4211</v>
      </c>
      <c r="D1776" s="1006">
        <f>D4+900</f>
        <v>2075</v>
      </c>
      <c r="E1776" s="1006">
        <f>E4+900</f>
        <v>2150</v>
      </c>
      <c r="F1776" s="1006">
        <f>F4+900</f>
        <v>2150</v>
      </c>
      <c r="G1776" s="609" t="s">
        <v>1689</v>
      </c>
      <c r="H1776" s="160" t="s">
        <v>645</v>
      </c>
      <c r="I1776" s="37" t="s">
        <v>2127</v>
      </c>
      <c r="J1776" s="37" t="s">
        <v>2525</v>
      </c>
      <c r="K1776" s="5">
        <v>20</v>
      </c>
      <c r="L1776" s="607" t="s">
        <v>653</v>
      </c>
      <c r="M1776" s="156">
        <v>43076</v>
      </c>
      <c r="N1776" s="156">
        <v>43083</v>
      </c>
      <c r="O1776" s="153" t="s">
        <v>2529</v>
      </c>
      <c r="P1776" s="61"/>
      <c r="Q1776" s="61" t="s">
        <v>2125</v>
      </c>
      <c r="R1776" s="606" t="s">
        <v>2530</v>
      </c>
      <c r="S1776" s="316" t="s">
        <v>2943</v>
      </c>
      <c r="T1776" s="858"/>
    </row>
    <row r="1777" spans="1:20" ht="20.100000000000001" customHeight="1">
      <c r="A1777" s="1256" t="s">
        <v>2971</v>
      </c>
      <c r="B1777" s="1138" t="s">
        <v>2527</v>
      </c>
      <c r="C1777" s="1138" t="s">
        <v>4211</v>
      </c>
      <c r="D1777" s="1006">
        <f>D46+970</f>
        <v>2145</v>
      </c>
      <c r="E1777" s="1006">
        <f>E46+970</f>
        <v>2220</v>
      </c>
      <c r="F1777" s="1006">
        <f>F46+970</f>
        <v>2220</v>
      </c>
      <c r="G1777" s="609" t="s">
        <v>1689</v>
      </c>
      <c r="H1777" s="160" t="s">
        <v>1311</v>
      </c>
      <c r="I1777" s="37" t="s">
        <v>2526</v>
      </c>
      <c r="J1777" s="37" t="s">
        <v>2525</v>
      </c>
      <c r="K1777" s="5">
        <v>30</v>
      </c>
      <c r="L1777" s="607" t="s">
        <v>653</v>
      </c>
      <c r="M1777" s="156">
        <v>43076</v>
      </c>
      <c r="N1777" s="156">
        <v>43083</v>
      </c>
      <c r="O1777" s="153" t="s">
        <v>2529</v>
      </c>
      <c r="P1777" s="61"/>
      <c r="Q1777" s="61" t="s">
        <v>2125</v>
      </c>
      <c r="R1777" s="606" t="s">
        <v>2528</v>
      </c>
      <c r="S1777" s="316" t="s">
        <v>2943</v>
      </c>
      <c r="T1777" s="858"/>
    </row>
    <row r="1778" spans="1:20" ht="20.100000000000001" customHeight="1">
      <c r="A1778" s="925" t="s">
        <v>2971</v>
      </c>
      <c r="B1778" s="899" t="s">
        <v>2527</v>
      </c>
      <c r="C1778" s="899" t="s">
        <v>4210</v>
      </c>
      <c r="D1778" s="1006">
        <f>D46+1233</f>
        <v>2408</v>
      </c>
      <c r="E1778" s="1006">
        <f>E46+1233</f>
        <v>2483</v>
      </c>
      <c r="F1778" s="1006">
        <f>F46+1233</f>
        <v>2483</v>
      </c>
      <c r="G1778" s="609" t="s">
        <v>1689</v>
      </c>
      <c r="H1778" s="160" t="s">
        <v>1311</v>
      </c>
      <c r="I1778" s="37" t="s">
        <v>2526</v>
      </c>
      <c r="J1778" s="37" t="s">
        <v>2525</v>
      </c>
      <c r="K1778" s="5">
        <v>30</v>
      </c>
      <c r="L1778" s="607" t="s">
        <v>653</v>
      </c>
      <c r="M1778" s="156">
        <v>43076</v>
      </c>
      <c r="N1778" s="156">
        <v>43083</v>
      </c>
      <c r="O1778" s="153" t="s">
        <v>2529</v>
      </c>
      <c r="P1778" s="61"/>
      <c r="Q1778" s="61" t="s">
        <v>2125</v>
      </c>
      <c r="R1778" s="606" t="s">
        <v>2528</v>
      </c>
      <c r="S1778" s="316" t="s">
        <v>2943</v>
      </c>
      <c r="T1778" s="858"/>
    </row>
    <row r="1779" spans="1:20" ht="20.100000000000001" customHeight="1">
      <c r="A1779" s="1256" t="s">
        <v>2971</v>
      </c>
      <c r="B1779" s="1138" t="s">
        <v>2527</v>
      </c>
      <c r="C1779" s="1138" t="s">
        <v>4209</v>
      </c>
      <c r="D1779" s="1006">
        <f>D46+1093</f>
        <v>2268</v>
      </c>
      <c r="E1779" s="1006">
        <f>E46+1274</f>
        <v>2524</v>
      </c>
      <c r="F1779" s="1006">
        <f>F46+1274</f>
        <v>2524</v>
      </c>
      <c r="G1779" s="609" t="s">
        <v>1689</v>
      </c>
      <c r="H1779" s="160" t="s">
        <v>1311</v>
      </c>
      <c r="I1779" s="37" t="s">
        <v>2526</v>
      </c>
      <c r="J1779" s="37" t="s">
        <v>1211</v>
      </c>
      <c r="K1779" s="5">
        <v>30</v>
      </c>
      <c r="L1779" s="607" t="s">
        <v>653</v>
      </c>
      <c r="M1779" s="156">
        <v>43076</v>
      </c>
      <c r="N1779" s="156">
        <v>43083</v>
      </c>
      <c r="O1779" s="153" t="s">
        <v>2529</v>
      </c>
      <c r="P1779" s="61"/>
      <c r="Q1779" s="61" t="s">
        <v>2128</v>
      </c>
      <c r="R1779" s="606" t="s">
        <v>2528</v>
      </c>
      <c r="S1779" s="316" t="s">
        <v>2943</v>
      </c>
      <c r="T1779" s="858"/>
    </row>
    <row r="1780" spans="1:20" ht="20.100000000000001" customHeight="1">
      <c r="A1780" s="1256" t="s">
        <v>2971</v>
      </c>
      <c r="B1780" s="1138" t="s">
        <v>2527</v>
      </c>
      <c r="C1780" s="1138" t="s">
        <v>4209</v>
      </c>
      <c r="D1780" s="1006">
        <f>D4+1055</f>
        <v>2230</v>
      </c>
      <c r="E1780" s="1006">
        <f>E4+1161</f>
        <v>2411</v>
      </c>
      <c r="F1780" s="1006">
        <f>F4+1161</f>
        <v>2411</v>
      </c>
      <c r="G1780" s="609" t="s">
        <v>1689</v>
      </c>
      <c r="H1780" s="160" t="s">
        <v>645</v>
      </c>
      <c r="I1780" s="37" t="s">
        <v>2127</v>
      </c>
      <c r="J1780" s="37" t="s">
        <v>1211</v>
      </c>
      <c r="K1780" s="5">
        <v>20</v>
      </c>
      <c r="L1780" s="607" t="s">
        <v>653</v>
      </c>
      <c r="M1780" s="156">
        <v>43076</v>
      </c>
      <c r="N1780" s="156">
        <v>43083</v>
      </c>
      <c r="O1780" s="153" t="s">
        <v>2529</v>
      </c>
      <c r="P1780" s="61"/>
      <c r="Q1780" s="61" t="s">
        <v>2133</v>
      </c>
      <c r="R1780" s="606" t="s">
        <v>2530</v>
      </c>
      <c r="S1780" s="316" t="s">
        <v>2943</v>
      </c>
      <c r="T1780" s="858"/>
    </row>
    <row r="1781" spans="1:20" ht="20.100000000000001" customHeight="1">
      <c r="A1781" s="1256" t="s">
        <v>2971</v>
      </c>
      <c r="B1781" s="1138" t="s">
        <v>2527</v>
      </c>
      <c r="C1781" s="1138" t="s">
        <v>4209</v>
      </c>
      <c r="D1781" s="1006">
        <f>D18+1270+50</f>
        <v>2870</v>
      </c>
      <c r="E1781" s="1006">
        <f>E18+1270+100</f>
        <v>3170</v>
      </c>
      <c r="F1781" s="1006">
        <f>F18+1270+100</f>
        <v>3170</v>
      </c>
      <c r="G1781" s="608" t="s">
        <v>94</v>
      </c>
      <c r="H1781" s="56" t="s">
        <v>657</v>
      </c>
      <c r="I1781" s="5" t="s">
        <v>2127</v>
      </c>
      <c r="J1781" s="37" t="s">
        <v>1211</v>
      </c>
      <c r="K1781" s="5">
        <v>26</v>
      </c>
      <c r="L1781" s="607" t="s">
        <v>653</v>
      </c>
      <c r="M1781" s="108">
        <v>43087</v>
      </c>
      <c r="N1781" s="108">
        <v>43094</v>
      </c>
      <c r="O1781" s="61" t="s">
        <v>2444</v>
      </c>
      <c r="P1781" s="7"/>
      <c r="Q1781" s="7"/>
      <c r="R1781" s="606" t="s">
        <v>2126</v>
      </c>
      <c r="S1781" s="322" t="s">
        <v>1176</v>
      </c>
      <c r="T1781" s="858"/>
    </row>
    <row r="1782" spans="1:20" ht="20.100000000000001" customHeight="1">
      <c r="A1782" s="1256" t="s">
        <v>2971</v>
      </c>
      <c r="B1782" s="1138" t="s">
        <v>2527</v>
      </c>
      <c r="C1782" s="1138" t="s">
        <v>4209</v>
      </c>
      <c r="D1782" s="1006">
        <f>D41+1240+50</f>
        <v>2840</v>
      </c>
      <c r="E1782" s="1006">
        <f>E41+1250+100</f>
        <v>3150</v>
      </c>
      <c r="F1782" s="1006">
        <f>F41+1250+100</f>
        <v>3150</v>
      </c>
      <c r="G1782" s="608" t="s">
        <v>94</v>
      </c>
      <c r="H1782" s="168" t="s">
        <v>1102</v>
      </c>
      <c r="I1782" s="5" t="s">
        <v>2526</v>
      </c>
      <c r="J1782" s="37" t="s">
        <v>1211</v>
      </c>
      <c r="K1782" s="16">
        <v>26</v>
      </c>
      <c r="L1782" s="607" t="s">
        <v>653</v>
      </c>
      <c r="M1782" s="108">
        <v>43087</v>
      </c>
      <c r="N1782" s="108">
        <v>43094</v>
      </c>
      <c r="O1782" s="61" t="s">
        <v>2444</v>
      </c>
      <c r="P1782" s="7"/>
      <c r="Q1782" s="7"/>
      <c r="R1782" s="606" t="s">
        <v>2524</v>
      </c>
      <c r="S1782" s="322" t="s">
        <v>1176</v>
      </c>
      <c r="T1782" s="858"/>
    </row>
    <row r="1783" spans="1:20" ht="20.100000000000001" customHeight="1">
      <c r="A1783" s="1256" t="s">
        <v>2971</v>
      </c>
      <c r="B1783" s="1138" t="s">
        <v>2527</v>
      </c>
      <c r="C1783" s="1138" t="s">
        <v>4209</v>
      </c>
      <c r="D1783" s="1006">
        <f>D4+1300</f>
        <v>2475</v>
      </c>
      <c r="E1783" s="1006">
        <f>E4+1300</f>
        <v>2550</v>
      </c>
      <c r="F1783" s="1006">
        <f>F4+1300</f>
        <v>2550</v>
      </c>
      <c r="G1783" s="609" t="s">
        <v>1689</v>
      </c>
      <c r="H1783" s="160" t="s">
        <v>645</v>
      </c>
      <c r="I1783" s="37" t="s">
        <v>2127</v>
      </c>
      <c r="J1783" s="37" t="s">
        <v>2525</v>
      </c>
      <c r="K1783" s="5">
        <v>20</v>
      </c>
      <c r="L1783" s="607" t="s">
        <v>653</v>
      </c>
      <c r="M1783" s="156">
        <v>43076</v>
      </c>
      <c r="N1783" s="156">
        <v>43083</v>
      </c>
      <c r="O1783" s="153" t="s">
        <v>2529</v>
      </c>
      <c r="P1783" s="61"/>
      <c r="Q1783" s="61" t="s">
        <v>2125</v>
      </c>
      <c r="R1783" s="606" t="s">
        <v>2530</v>
      </c>
      <c r="S1783" s="316" t="s">
        <v>2943</v>
      </c>
      <c r="T1783" s="858"/>
    </row>
    <row r="1784" spans="1:20" ht="20.100000000000001" customHeight="1">
      <c r="A1784" s="1256" t="s">
        <v>2971</v>
      </c>
      <c r="B1784" s="1138" t="s">
        <v>2527</v>
      </c>
      <c r="C1784" s="1138" t="s">
        <v>4209</v>
      </c>
      <c r="D1784" s="1006">
        <f>D46+1312</f>
        <v>2487</v>
      </c>
      <c r="E1784" s="1006">
        <f>E46+1312</f>
        <v>2562</v>
      </c>
      <c r="F1784" s="1006">
        <f>F46+1312</f>
        <v>2562</v>
      </c>
      <c r="G1784" s="609" t="s">
        <v>1689</v>
      </c>
      <c r="H1784" s="160" t="s">
        <v>1311</v>
      </c>
      <c r="I1784" s="37" t="s">
        <v>2526</v>
      </c>
      <c r="J1784" s="37" t="s">
        <v>2525</v>
      </c>
      <c r="K1784" s="5">
        <v>30</v>
      </c>
      <c r="L1784" s="607" t="s">
        <v>653</v>
      </c>
      <c r="M1784" s="156">
        <v>43076</v>
      </c>
      <c r="N1784" s="156">
        <v>43083</v>
      </c>
      <c r="O1784" s="153" t="s">
        <v>2529</v>
      </c>
      <c r="P1784" s="61"/>
      <c r="Q1784" s="61" t="s">
        <v>2125</v>
      </c>
      <c r="R1784" s="606" t="s">
        <v>2528</v>
      </c>
      <c r="S1784" s="316" t="s">
        <v>2943</v>
      </c>
      <c r="T1784" s="858"/>
    </row>
    <row r="1785" spans="1:20" ht="20.100000000000001" customHeight="1">
      <c r="A1785" s="1256" t="s">
        <v>2971</v>
      </c>
      <c r="B1785" s="1138" t="s">
        <v>2527</v>
      </c>
      <c r="C1785" s="1138" t="s">
        <v>4209</v>
      </c>
      <c r="D1785" s="1006">
        <f>D18+1600+50</f>
        <v>3200</v>
      </c>
      <c r="E1785" s="1006">
        <f>E18+1600+100</f>
        <v>3500</v>
      </c>
      <c r="F1785" s="1006">
        <f>F18+1600+100</f>
        <v>3500</v>
      </c>
      <c r="G1785" s="608" t="s">
        <v>94</v>
      </c>
      <c r="H1785" s="56" t="s">
        <v>657</v>
      </c>
      <c r="I1785" s="5" t="s">
        <v>2127</v>
      </c>
      <c r="J1785" s="37" t="s">
        <v>2525</v>
      </c>
      <c r="K1785" s="5">
        <v>22</v>
      </c>
      <c r="L1785" s="607" t="s">
        <v>653</v>
      </c>
      <c r="M1785" s="108">
        <v>43087</v>
      </c>
      <c r="N1785" s="108">
        <v>43094</v>
      </c>
      <c r="O1785" s="61" t="s">
        <v>2444</v>
      </c>
      <c r="P1785" s="7"/>
      <c r="Q1785" s="7"/>
      <c r="R1785" s="606" t="s">
        <v>2126</v>
      </c>
      <c r="S1785" s="322" t="s">
        <v>1176</v>
      </c>
      <c r="T1785" s="858"/>
    </row>
    <row r="1786" spans="1:20" ht="20.100000000000001" customHeight="1">
      <c r="A1786" s="1256" t="s">
        <v>2971</v>
      </c>
      <c r="B1786" s="1138" t="s">
        <v>2527</v>
      </c>
      <c r="C1786" s="1138" t="s">
        <v>4209</v>
      </c>
      <c r="D1786" s="1006">
        <f>D41+1644+50</f>
        <v>3244</v>
      </c>
      <c r="E1786" s="1006">
        <f>E41+1644+100</f>
        <v>3544</v>
      </c>
      <c r="F1786" s="1006">
        <f>F41+1644+100</f>
        <v>3544</v>
      </c>
      <c r="G1786" s="608" t="s">
        <v>94</v>
      </c>
      <c r="H1786" s="168" t="s">
        <v>1102</v>
      </c>
      <c r="I1786" s="5" t="s">
        <v>2526</v>
      </c>
      <c r="J1786" s="37" t="s">
        <v>2525</v>
      </c>
      <c r="K1786" s="16">
        <v>26</v>
      </c>
      <c r="L1786" s="607" t="s">
        <v>653</v>
      </c>
      <c r="M1786" s="108">
        <v>43087</v>
      </c>
      <c r="N1786" s="108">
        <v>43094</v>
      </c>
      <c r="O1786" s="61" t="s">
        <v>2444</v>
      </c>
      <c r="P1786" s="7"/>
      <c r="Q1786" s="7"/>
      <c r="R1786" s="606" t="s">
        <v>2524</v>
      </c>
      <c r="S1786" s="322" t="s">
        <v>1176</v>
      </c>
      <c r="T1786" s="858"/>
    </row>
    <row r="1787" spans="1:20" ht="20.100000000000001" customHeight="1">
      <c r="A1787" s="1256" t="s">
        <v>2971</v>
      </c>
      <c r="B1787" s="1138" t="s">
        <v>2527</v>
      </c>
      <c r="C1787" s="1138" t="s">
        <v>4209</v>
      </c>
      <c r="D1787" s="1006">
        <f>D135+1750</f>
        <v>3350</v>
      </c>
      <c r="E1787" s="1006">
        <f>E135+1750</f>
        <v>3750</v>
      </c>
      <c r="F1787" s="1006">
        <f>F135+1750</f>
        <v>3750</v>
      </c>
      <c r="G1787" s="613" t="s">
        <v>33</v>
      </c>
      <c r="H1787" s="56" t="s">
        <v>2535</v>
      </c>
      <c r="I1787" s="10" t="s">
        <v>2127</v>
      </c>
      <c r="J1787" s="37" t="s">
        <v>2525</v>
      </c>
      <c r="K1787" s="27">
        <v>20</v>
      </c>
      <c r="L1787" s="607" t="s">
        <v>653</v>
      </c>
      <c r="M1787" s="159">
        <v>43080</v>
      </c>
      <c r="N1787" s="159">
        <v>43086</v>
      </c>
      <c r="O1787" s="153" t="s">
        <v>2445</v>
      </c>
      <c r="P1787" s="14"/>
      <c r="Q1787" s="7"/>
      <c r="R1787" s="612" t="s">
        <v>2130</v>
      </c>
      <c r="S1787" s="316" t="s">
        <v>3333</v>
      </c>
      <c r="T1787" s="858"/>
    </row>
    <row r="1788" spans="1:20" ht="20.100000000000001" customHeight="1">
      <c r="A1788" s="1256" t="s">
        <v>2971</v>
      </c>
      <c r="B1788" s="1138" t="s">
        <v>2527</v>
      </c>
      <c r="C1788" s="1138" t="s">
        <v>2275</v>
      </c>
      <c r="D1788" s="1006">
        <f>D46+529</f>
        <v>1704</v>
      </c>
      <c r="E1788" s="1006">
        <f>E46+637</f>
        <v>1887</v>
      </c>
      <c r="F1788" s="1006">
        <f>F46+637</f>
        <v>1887</v>
      </c>
      <c r="G1788" s="609" t="s">
        <v>1689</v>
      </c>
      <c r="H1788" s="160" t="s">
        <v>1311</v>
      </c>
      <c r="I1788" s="37" t="s">
        <v>2526</v>
      </c>
      <c r="J1788" s="37" t="s">
        <v>2539</v>
      </c>
      <c r="K1788" s="5">
        <v>30</v>
      </c>
      <c r="L1788" s="607" t="s">
        <v>653</v>
      </c>
      <c r="M1788" s="156">
        <v>43076</v>
      </c>
      <c r="N1788" s="156">
        <v>43083</v>
      </c>
      <c r="O1788" s="153" t="s">
        <v>2529</v>
      </c>
      <c r="P1788" s="61"/>
      <c r="Q1788" s="61" t="s">
        <v>2128</v>
      </c>
      <c r="R1788" s="606" t="s">
        <v>2528</v>
      </c>
      <c r="S1788" s="316" t="s">
        <v>2943</v>
      </c>
      <c r="T1788" s="858"/>
    </row>
    <row r="1789" spans="1:20" ht="20.100000000000001" customHeight="1">
      <c r="A1789" s="1256" t="s">
        <v>2971</v>
      </c>
      <c r="B1789" s="1138" t="s">
        <v>2527</v>
      </c>
      <c r="C1789" s="1138" t="s">
        <v>2275</v>
      </c>
      <c r="D1789" s="1006">
        <f>D53+500</f>
        <v>2050</v>
      </c>
      <c r="E1789" s="1006">
        <f>E53+600</f>
        <v>2400</v>
      </c>
      <c r="F1789" s="1006">
        <f>F53+600</f>
        <v>2400</v>
      </c>
      <c r="G1789" s="615" t="s">
        <v>51</v>
      </c>
      <c r="H1789" s="160" t="s">
        <v>645</v>
      </c>
      <c r="I1789" s="37" t="s">
        <v>2526</v>
      </c>
      <c r="J1789" s="37" t="s">
        <v>2539</v>
      </c>
      <c r="K1789" s="5"/>
      <c r="L1789" s="607" t="s">
        <v>653</v>
      </c>
      <c r="M1789" s="611">
        <v>43086</v>
      </c>
      <c r="N1789" s="611">
        <v>43100</v>
      </c>
      <c r="O1789" s="61" t="s">
        <v>3291</v>
      </c>
      <c r="P1789" s="52"/>
      <c r="Q1789" s="61"/>
      <c r="R1789" s="610"/>
      <c r="S1789" s="315" t="s">
        <v>3290</v>
      </c>
      <c r="T1789" s="858"/>
    </row>
    <row r="1790" spans="1:20" ht="20.100000000000001" customHeight="1">
      <c r="A1790" s="1256" t="s">
        <v>2971</v>
      </c>
      <c r="B1790" s="1138" t="s">
        <v>2527</v>
      </c>
      <c r="C1790" s="1138" t="s">
        <v>2275</v>
      </c>
      <c r="D1790" s="1006">
        <f>D44+656</f>
        <v>2206</v>
      </c>
      <c r="E1790" s="1006">
        <f>E44+757</f>
        <v>2557</v>
      </c>
      <c r="F1790" s="1006">
        <f>F44+757</f>
        <v>2557</v>
      </c>
      <c r="G1790" s="614" t="s">
        <v>19</v>
      </c>
      <c r="H1790" s="56" t="s">
        <v>1444</v>
      </c>
      <c r="I1790" s="37" t="s">
        <v>2526</v>
      </c>
      <c r="J1790" s="37" t="s">
        <v>2539</v>
      </c>
      <c r="K1790" s="5" t="s">
        <v>764</v>
      </c>
      <c r="L1790" s="607" t="s">
        <v>653</v>
      </c>
      <c r="M1790" s="156">
        <v>43084</v>
      </c>
      <c r="N1790" s="156">
        <v>43093</v>
      </c>
      <c r="O1790" s="153" t="s">
        <v>2131</v>
      </c>
      <c r="P1790" s="61" t="s">
        <v>3338</v>
      </c>
      <c r="Q1790" s="7"/>
      <c r="R1790" s="610" t="s">
        <v>1841</v>
      </c>
      <c r="S1790" s="315" t="s">
        <v>3337</v>
      </c>
      <c r="T1790" s="858"/>
    </row>
    <row r="1791" spans="1:20" ht="20.100000000000001" customHeight="1">
      <c r="A1791" s="1256" t="s">
        <v>2971</v>
      </c>
      <c r="B1791" s="1138" t="s">
        <v>2527</v>
      </c>
      <c r="C1791" s="1138" t="s">
        <v>2275</v>
      </c>
      <c r="D1791" s="1006">
        <f>D41+700+50</f>
        <v>2300</v>
      </c>
      <c r="E1791" s="1006">
        <f>E41+710+100</f>
        <v>2610</v>
      </c>
      <c r="F1791" s="1006">
        <f>F41+710+100</f>
        <v>2610</v>
      </c>
      <c r="G1791" s="608" t="s">
        <v>94</v>
      </c>
      <c r="H1791" s="168" t="s">
        <v>1102</v>
      </c>
      <c r="I1791" s="37" t="s">
        <v>2526</v>
      </c>
      <c r="J1791" s="37" t="s">
        <v>2539</v>
      </c>
      <c r="K1791" s="5">
        <v>28</v>
      </c>
      <c r="L1791" s="607" t="s">
        <v>653</v>
      </c>
      <c r="M1791" s="108">
        <v>43087</v>
      </c>
      <c r="N1791" s="108">
        <v>43094</v>
      </c>
      <c r="O1791" s="61" t="s">
        <v>2444</v>
      </c>
      <c r="P1791" s="7"/>
      <c r="Q1791" s="7"/>
      <c r="R1791" s="606" t="s">
        <v>2524</v>
      </c>
      <c r="S1791" s="322" t="s">
        <v>1176</v>
      </c>
      <c r="T1791" s="858"/>
    </row>
    <row r="1792" spans="1:20" ht="20.100000000000001" customHeight="1">
      <c r="A1792" s="1256" t="s">
        <v>2971</v>
      </c>
      <c r="B1792" s="1138" t="s">
        <v>2527</v>
      </c>
      <c r="C1792" s="1138" t="s">
        <v>2275</v>
      </c>
      <c r="D1792" s="1006">
        <f>D136+550</f>
        <v>2150</v>
      </c>
      <c r="E1792" s="1006">
        <f>E136+650</f>
        <v>2650</v>
      </c>
      <c r="F1792" s="1006">
        <f>F136+650</f>
        <v>2650</v>
      </c>
      <c r="G1792" s="613" t="s">
        <v>33</v>
      </c>
      <c r="H1792" s="56">
        <v>5</v>
      </c>
      <c r="I1792" s="37" t="s">
        <v>2526</v>
      </c>
      <c r="J1792" s="37" t="s">
        <v>2539</v>
      </c>
      <c r="K1792" s="16">
        <v>20</v>
      </c>
      <c r="L1792" s="607" t="s">
        <v>653</v>
      </c>
      <c r="M1792" s="159">
        <v>43080</v>
      </c>
      <c r="N1792" s="159">
        <v>43086</v>
      </c>
      <c r="O1792" s="153" t="s">
        <v>2445</v>
      </c>
      <c r="P1792" s="61"/>
      <c r="Q1792" s="7"/>
      <c r="R1792" s="606" t="s">
        <v>2538</v>
      </c>
      <c r="S1792" s="316" t="s">
        <v>3333</v>
      </c>
      <c r="T1792" s="858"/>
    </row>
    <row r="1793" spans="1:20" ht="20.100000000000001" customHeight="1">
      <c r="A1793" s="1256" t="s">
        <v>2971</v>
      </c>
      <c r="B1793" s="1138" t="s">
        <v>2527</v>
      </c>
      <c r="C1793" s="1138" t="s">
        <v>2275</v>
      </c>
      <c r="D1793" s="1006">
        <f>D49+520</f>
        <v>1770</v>
      </c>
      <c r="E1793" s="1006">
        <f>E49+650</f>
        <v>2050</v>
      </c>
      <c r="F1793" s="1006">
        <f>F49+650</f>
        <v>2050</v>
      </c>
      <c r="G1793" s="613" t="s">
        <v>13</v>
      </c>
      <c r="H1793" s="56">
        <v>5</v>
      </c>
      <c r="I1793" s="37" t="s">
        <v>2526</v>
      </c>
      <c r="J1793" s="37" t="s">
        <v>2539</v>
      </c>
      <c r="K1793" s="16">
        <v>20</v>
      </c>
      <c r="L1793" s="607" t="s">
        <v>653</v>
      </c>
      <c r="M1793" s="156">
        <v>43073</v>
      </c>
      <c r="N1793" s="156">
        <v>43083</v>
      </c>
      <c r="O1793" s="61" t="s">
        <v>3335</v>
      </c>
      <c r="P1793" s="61"/>
      <c r="Q1793" s="7"/>
      <c r="R1793" s="606" t="s">
        <v>2536</v>
      </c>
      <c r="S1793" s="316" t="s">
        <v>3334</v>
      </c>
      <c r="T1793" s="858"/>
    </row>
    <row r="1794" spans="1:20" ht="20.100000000000001" customHeight="1">
      <c r="A1794" s="1256" t="s">
        <v>2971</v>
      </c>
      <c r="B1794" s="1138" t="s">
        <v>2527</v>
      </c>
      <c r="C1794" s="1138" t="s">
        <v>2275</v>
      </c>
      <c r="D1794" s="1006">
        <f>D4+913</f>
        <v>2088</v>
      </c>
      <c r="E1794" s="1006">
        <f>E4+1019</f>
        <v>2269</v>
      </c>
      <c r="F1794" s="1006">
        <f>F4+1019</f>
        <v>2269</v>
      </c>
      <c r="G1794" s="609" t="s">
        <v>1689</v>
      </c>
      <c r="H1794" s="160" t="s">
        <v>645</v>
      </c>
      <c r="I1794" s="37" t="s">
        <v>2127</v>
      </c>
      <c r="J1794" s="37" t="s">
        <v>1211</v>
      </c>
      <c r="K1794" s="5">
        <v>20</v>
      </c>
      <c r="L1794" s="607" t="s">
        <v>653</v>
      </c>
      <c r="M1794" s="156">
        <v>43076</v>
      </c>
      <c r="N1794" s="156">
        <v>43083</v>
      </c>
      <c r="O1794" s="153" t="s">
        <v>2529</v>
      </c>
      <c r="P1794" s="61"/>
      <c r="Q1794" s="61" t="s">
        <v>2133</v>
      </c>
      <c r="R1794" s="606" t="s">
        <v>2530</v>
      </c>
      <c r="S1794" s="316" t="s">
        <v>2943</v>
      </c>
      <c r="T1794" s="858"/>
    </row>
    <row r="1795" spans="1:20" ht="20.100000000000001" customHeight="1">
      <c r="A1795" s="1256" t="s">
        <v>2971</v>
      </c>
      <c r="B1795" s="1138" t="s">
        <v>2527</v>
      </c>
      <c r="C1795" s="1138" t="s">
        <v>2275</v>
      </c>
      <c r="D1795" s="1006">
        <f>D46+924</f>
        <v>2099</v>
      </c>
      <c r="E1795" s="1006">
        <f>E46+1033</f>
        <v>2283</v>
      </c>
      <c r="F1795" s="1006">
        <f>F46+1033</f>
        <v>2283</v>
      </c>
      <c r="G1795" s="609" t="s">
        <v>1689</v>
      </c>
      <c r="H1795" s="160" t="s">
        <v>1311</v>
      </c>
      <c r="I1795" s="37" t="s">
        <v>2526</v>
      </c>
      <c r="J1795" s="37" t="s">
        <v>1211</v>
      </c>
      <c r="K1795" s="5">
        <v>30</v>
      </c>
      <c r="L1795" s="607" t="s">
        <v>653</v>
      </c>
      <c r="M1795" s="156">
        <v>43076</v>
      </c>
      <c r="N1795" s="156">
        <v>43083</v>
      </c>
      <c r="O1795" s="153" t="s">
        <v>2529</v>
      </c>
      <c r="P1795" s="61"/>
      <c r="Q1795" s="61" t="s">
        <v>2128</v>
      </c>
      <c r="R1795" s="606" t="s">
        <v>2528</v>
      </c>
      <c r="S1795" s="316" t="s">
        <v>2943</v>
      </c>
      <c r="T1795" s="858"/>
    </row>
    <row r="1796" spans="1:20" ht="20.100000000000001" customHeight="1">
      <c r="A1796" s="1256" t="s">
        <v>2971</v>
      </c>
      <c r="B1796" s="1138" t="s">
        <v>2527</v>
      </c>
      <c r="C1796" s="1138" t="s">
        <v>2275</v>
      </c>
      <c r="D1796" s="1006">
        <f>D53+850</f>
        <v>2400</v>
      </c>
      <c r="E1796" s="1006">
        <f>E53+950</f>
        <v>2750</v>
      </c>
      <c r="F1796" s="1006">
        <f>F53+950</f>
        <v>2750</v>
      </c>
      <c r="G1796" s="615" t="s">
        <v>51</v>
      </c>
      <c r="H1796" s="160" t="s">
        <v>645</v>
      </c>
      <c r="I1796" s="37" t="s">
        <v>2526</v>
      </c>
      <c r="J1796" s="37" t="s">
        <v>1211</v>
      </c>
      <c r="K1796" s="5"/>
      <c r="L1796" s="607" t="s">
        <v>653</v>
      </c>
      <c r="M1796" s="611">
        <v>43086</v>
      </c>
      <c r="N1796" s="611">
        <v>43100</v>
      </c>
      <c r="O1796" s="61" t="s">
        <v>3291</v>
      </c>
      <c r="P1796" s="52"/>
      <c r="Q1796" s="61" t="s">
        <v>2599</v>
      </c>
      <c r="R1796" s="610"/>
      <c r="S1796" s="315" t="s">
        <v>3290</v>
      </c>
      <c r="T1796" s="858"/>
    </row>
    <row r="1797" spans="1:20" ht="20.100000000000001" customHeight="1">
      <c r="A1797" s="1256" t="s">
        <v>2971</v>
      </c>
      <c r="B1797" s="1138" t="s">
        <v>2527</v>
      </c>
      <c r="C1797" s="1138" t="s">
        <v>2275</v>
      </c>
      <c r="D1797" s="1006">
        <f>D6+825</f>
        <v>2375</v>
      </c>
      <c r="E1797" s="1006">
        <f>E6+940</f>
        <v>2740</v>
      </c>
      <c r="F1797" s="1006">
        <f>F6+940</f>
        <v>2740</v>
      </c>
      <c r="G1797" s="614" t="s">
        <v>19</v>
      </c>
      <c r="H1797" s="160" t="s">
        <v>2537</v>
      </c>
      <c r="I1797" s="37" t="s">
        <v>2127</v>
      </c>
      <c r="J1797" s="37" t="s">
        <v>1211</v>
      </c>
      <c r="K1797" s="5" t="s">
        <v>728</v>
      </c>
      <c r="L1797" s="607" t="s">
        <v>653</v>
      </c>
      <c r="M1797" s="156">
        <v>43084</v>
      </c>
      <c r="N1797" s="156">
        <v>43093</v>
      </c>
      <c r="O1797" s="153" t="s">
        <v>2131</v>
      </c>
      <c r="P1797" s="61" t="s">
        <v>2276</v>
      </c>
      <c r="Q1797" s="7"/>
      <c r="R1797" s="606" t="s">
        <v>3339</v>
      </c>
      <c r="S1797" s="315" t="s">
        <v>3337</v>
      </c>
      <c r="T1797" s="858"/>
    </row>
    <row r="1798" spans="1:20" ht="20.100000000000001" customHeight="1">
      <c r="A1798" s="1256" t="s">
        <v>2971</v>
      </c>
      <c r="B1798" s="1138" t="s">
        <v>2527</v>
      </c>
      <c r="C1798" s="1138" t="s">
        <v>2275</v>
      </c>
      <c r="D1798" s="1006">
        <f>D44+893</f>
        <v>2443</v>
      </c>
      <c r="E1798" s="1006">
        <f>E44+995</f>
        <v>2795</v>
      </c>
      <c r="F1798" s="1006">
        <f>F44+995</f>
        <v>2795</v>
      </c>
      <c r="G1798" s="614" t="s">
        <v>19</v>
      </c>
      <c r="H1798" s="56" t="s">
        <v>1444</v>
      </c>
      <c r="I1798" s="37" t="s">
        <v>2526</v>
      </c>
      <c r="J1798" s="37" t="s">
        <v>1211</v>
      </c>
      <c r="K1798" s="5" t="s">
        <v>764</v>
      </c>
      <c r="L1798" s="607" t="s">
        <v>653</v>
      </c>
      <c r="M1798" s="156">
        <v>43084</v>
      </c>
      <c r="N1798" s="156">
        <v>43093</v>
      </c>
      <c r="O1798" s="153" t="s">
        <v>2131</v>
      </c>
      <c r="P1798" s="61" t="s">
        <v>3338</v>
      </c>
      <c r="Q1798" s="7"/>
      <c r="R1798" s="610" t="s">
        <v>1841</v>
      </c>
      <c r="S1798" s="315" t="s">
        <v>3337</v>
      </c>
      <c r="T1798" s="858"/>
    </row>
    <row r="1799" spans="1:20" ht="20.100000000000001" customHeight="1">
      <c r="A1799" s="1256" t="s">
        <v>2971</v>
      </c>
      <c r="B1799" s="1138" t="s">
        <v>2527</v>
      </c>
      <c r="C1799" s="1138" t="s">
        <v>2275</v>
      </c>
      <c r="D1799" s="1006">
        <f>D41+1120+50</f>
        <v>2720</v>
      </c>
      <c r="E1799" s="1006">
        <f>E41+1130+100</f>
        <v>3030</v>
      </c>
      <c r="F1799" s="1006">
        <f>F41+1130+100</f>
        <v>3030</v>
      </c>
      <c r="G1799" s="608" t="s">
        <v>94</v>
      </c>
      <c r="H1799" s="168" t="s">
        <v>1102</v>
      </c>
      <c r="I1799" s="5" t="s">
        <v>2526</v>
      </c>
      <c r="J1799" s="37" t="s">
        <v>1211</v>
      </c>
      <c r="K1799" s="34">
        <v>29</v>
      </c>
      <c r="L1799" s="607" t="s">
        <v>653</v>
      </c>
      <c r="M1799" s="108">
        <v>43087</v>
      </c>
      <c r="N1799" s="108">
        <v>43094</v>
      </c>
      <c r="O1799" s="61" t="s">
        <v>2444</v>
      </c>
      <c r="P1799" s="7"/>
      <c r="Q1799" s="7"/>
      <c r="R1799" s="606" t="s">
        <v>2524</v>
      </c>
      <c r="S1799" s="322" t="s">
        <v>1176</v>
      </c>
      <c r="T1799" s="858"/>
    </row>
    <row r="1800" spans="1:20" ht="20.100000000000001" customHeight="1">
      <c r="A1800" s="1256" t="s">
        <v>2971</v>
      </c>
      <c r="B1800" s="1138" t="s">
        <v>2527</v>
      </c>
      <c r="C1800" s="1138" t="s">
        <v>2275</v>
      </c>
      <c r="D1800" s="1006">
        <f>D18+1140+50</f>
        <v>2740</v>
      </c>
      <c r="E1800" s="1006">
        <f>E18+1140+100</f>
        <v>3040</v>
      </c>
      <c r="F1800" s="1006">
        <f>F18+1140+100</f>
        <v>3040</v>
      </c>
      <c r="G1800" s="608" t="s">
        <v>94</v>
      </c>
      <c r="H1800" s="56" t="s">
        <v>657</v>
      </c>
      <c r="I1800" s="5" t="s">
        <v>2127</v>
      </c>
      <c r="J1800" s="37" t="s">
        <v>1211</v>
      </c>
      <c r="K1800" s="16">
        <v>21</v>
      </c>
      <c r="L1800" s="607" t="s">
        <v>653</v>
      </c>
      <c r="M1800" s="108">
        <v>43087</v>
      </c>
      <c r="N1800" s="108">
        <v>43094</v>
      </c>
      <c r="O1800" s="61" t="s">
        <v>2444</v>
      </c>
      <c r="P1800" s="7"/>
      <c r="Q1800" s="7"/>
      <c r="R1800" s="606" t="s">
        <v>2126</v>
      </c>
      <c r="S1800" s="322" t="s">
        <v>1176</v>
      </c>
      <c r="T1800" s="858"/>
    </row>
    <row r="1801" spans="1:20" ht="20.100000000000001" customHeight="1">
      <c r="A1801" s="1256" t="s">
        <v>2971</v>
      </c>
      <c r="B1801" s="1138" t="s">
        <v>2527</v>
      </c>
      <c r="C1801" s="1138" t="s">
        <v>2275</v>
      </c>
      <c r="D1801" s="1006">
        <f>D136+750</f>
        <v>2350</v>
      </c>
      <c r="E1801" s="1006">
        <f>E136+800</f>
        <v>2800</v>
      </c>
      <c r="F1801" s="1006">
        <f>F136+800</f>
        <v>2800</v>
      </c>
      <c r="G1801" s="616" t="s">
        <v>33</v>
      </c>
      <c r="H1801" s="56">
        <v>5</v>
      </c>
      <c r="I1801" s="37" t="s">
        <v>2526</v>
      </c>
      <c r="J1801" s="37" t="s">
        <v>1211</v>
      </c>
      <c r="K1801" s="16">
        <v>20</v>
      </c>
      <c r="L1801" s="607" t="s">
        <v>653</v>
      </c>
      <c r="M1801" s="159">
        <v>43080</v>
      </c>
      <c r="N1801" s="159">
        <v>43086</v>
      </c>
      <c r="O1801" s="153" t="s">
        <v>2445</v>
      </c>
      <c r="P1801" s="61"/>
      <c r="Q1801" s="7"/>
      <c r="R1801" s="606" t="s">
        <v>2538</v>
      </c>
      <c r="S1801" s="316" t="s">
        <v>3333</v>
      </c>
      <c r="T1801" s="858"/>
    </row>
    <row r="1802" spans="1:20" ht="20.100000000000001" customHeight="1">
      <c r="A1802" s="1256" t="s">
        <v>2971</v>
      </c>
      <c r="B1802" s="1138" t="s">
        <v>2527</v>
      </c>
      <c r="C1802" s="1138" t="s">
        <v>2275</v>
      </c>
      <c r="D1802" s="1006">
        <f>D32+1320</f>
        <v>2570</v>
      </c>
      <c r="E1802" s="1006">
        <f>E32+1480</f>
        <v>2880</v>
      </c>
      <c r="F1802" s="1006">
        <f>F32+1480</f>
        <v>2880</v>
      </c>
      <c r="G1802" s="613" t="s">
        <v>13</v>
      </c>
      <c r="H1802" s="56">
        <v>6</v>
      </c>
      <c r="I1802" s="37" t="s">
        <v>2127</v>
      </c>
      <c r="J1802" s="37" t="s">
        <v>1211</v>
      </c>
      <c r="K1802" s="16">
        <v>18</v>
      </c>
      <c r="L1802" s="607" t="s">
        <v>653</v>
      </c>
      <c r="M1802" s="156">
        <v>43073</v>
      </c>
      <c r="N1802" s="156">
        <v>43083</v>
      </c>
      <c r="O1802" s="61" t="s">
        <v>3335</v>
      </c>
      <c r="P1802" s="61"/>
      <c r="Q1802" s="7"/>
      <c r="R1802" s="606" t="s">
        <v>3336</v>
      </c>
      <c r="S1802" s="316" t="s">
        <v>3334</v>
      </c>
      <c r="T1802" s="858"/>
    </row>
    <row r="1803" spans="1:20" ht="20.100000000000001" customHeight="1">
      <c r="A1803" s="1256" t="s">
        <v>2971</v>
      </c>
      <c r="B1803" s="1138" t="s">
        <v>2527</v>
      </c>
      <c r="C1803" s="1138" t="s">
        <v>2275</v>
      </c>
      <c r="D1803" s="1006">
        <f>D49+740</f>
        <v>1990</v>
      </c>
      <c r="E1803" s="1006">
        <f>E49+870</f>
        <v>2270</v>
      </c>
      <c r="F1803" s="1006">
        <f>F49+870</f>
        <v>2270</v>
      </c>
      <c r="G1803" s="613" t="s">
        <v>13</v>
      </c>
      <c r="H1803" s="56">
        <v>5</v>
      </c>
      <c r="I1803" s="37" t="s">
        <v>2526</v>
      </c>
      <c r="J1803" s="37" t="s">
        <v>1211</v>
      </c>
      <c r="K1803" s="16">
        <v>20</v>
      </c>
      <c r="L1803" s="607" t="s">
        <v>653</v>
      </c>
      <c r="M1803" s="156">
        <v>43073</v>
      </c>
      <c r="N1803" s="156">
        <v>43083</v>
      </c>
      <c r="O1803" s="61" t="s">
        <v>3335</v>
      </c>
      <c r="P1803" s="61"/>
      <c r="Q1803" s="7"/>
      <c r="R1803" s="606" t="s">
        <v>2536</v>
      </c>
      <c r="S1803" s="316" t="s">
        <v>3334</v>
      </c>
      <c r="T1803" s="858"/>
    </row>
    <row r="1804" spans="1:20" ht="20.100000000000001" customHeight="1">
      <c r="A1804" s="1256" t="s">
        <v>2971</v>
      </c>
      <c r="B1804" s="1138" t="s">
        <v>2527</v>
      </c>
      <c r="C1804" s="1138" t="s">
        <v>2275</v>
      </c>
      <c r="D1804" s="1006">
        <f>D135+950</f>
        <v>2550</v>
      </c>
      <c r="E1804" s="1006">
        <f>E135+1150</f>
        <v>3150</v>
      </c>
      <c r="F1804" s="1006">
        <f>F135+1150</f>
        <v>3150</v>
      </c>
      <c r="G1804" s="613" t="s">
        <v>33</v>
      </c>
      <c r="H1804" s="56" t="s">
        <v>2535</v>
      </c>
      <c r="I1804" s="10" t="s">
        <v>2127</v>
      </c>
      <c r="J1804" s="37" t="s">
        <v>1211</v>
      </c>
      <c r="K1804" s="27">
        <v>20</v>
      </c>
      <c r="L1804" s="607" t="s">
        <v>653</v>
      </c>
      <c r="M1804" s="159">
        <v>43080</v>
      </c>
      <c r="N1804" s="159">
        <v>43086</v>
      </c>
      <c r="O1804" s="153" t="s">
        <v>2445</v>
      </c>
      <c r="P1804" s="14"/>
      <c r="Q1804" s="7"/>
      <c r="R1804" s="612" t="s">
        <v>2130</v>
      </c>
      <c r="S1804" s="316" t="s">
        <v>3333</v>
      </c>
      <c r="T1804" s="858"/>
    </row>
    <row r="1805" spans="1:20" ht="20.100000000000001" customHeight="1">
      <c r="A1805" s="1256" t="s">
        <v>2971</v>
      </c>
      <c r="B1805" s="1138" t="s">
        <v>2527</v>
      </c>
      <c r="C1805" s="1138" t="s">
        <v>2275</v>
      </c>
      <c r="D1805" s="1006">
        <f>D4+1104</f>
        <v>2279</v>
      </c>
      <c r="E1805" s="1006">
        <f>E4+1104</f>
        <v>2354</v>
      </c>
      <c r="F1805" s="1006">
        <f>F4+1104</f>
        <v>2354</v>
      </c>
      <c r="G1805" s="609" t="s">
        <v>1689</v>
      </c>
      <c r="H1805" s="160" t="s">
        <v>645</v>
      </c>
      <c r="I1805" s="37" t="s">
        <v>2127</v>
      </c>
      <c r="J1805" s="37" t="s">
        <v>2525</v>
      </c>
      <c r="K1805" s="5">
        <v>20</v>
      </c>
      <c r="L1805" s="607" t="s">
        <v>653</v>
      </c>
      <c r="M1805" s="156">
        <v>43076</v>
      </c>
      <c r="N1805" s="156">
        <v>43083</v>
      </c>
      <c r="O1805" s="153" t="s">
        <v>2529</v>
      </c>
      <c r="P1805" s="61"/>
      <c r="Q1805" s="61" t="s">
        <v>2125</v>
      </c>
      <c r="R1805" s="606" t="s">
        <v>2530</v>
      </c>
      <c r="S1805" s="316" t="s">
        <v>2943</v>
      </c>
      <c r="T1805" s="858"/>
    </row>
    <row r="1806" spans="1:20" ht="20.100000000000001" customHeight="1">
      <c r="A1806" s="1256" t="s">
        <v>2971</v>
      </c>
      <c r="B1806" s="1138" t="s">
        <v>2527</v>
      </c>
      <c r="C1806" s="1138" t="s">
        <v>2275</v>
      </c>
      <c r="D1806" s="1006">
        <f>D46+958</f>
        <v>2133</v>
      </c>
      <c r="E1806" s="1006">
        <f>E46+958</f>
        <v>2208</v>
      </c>
      <c r="F1806" s="1006">
        <f>F46+958</f>
        <v>2208</v>
      </c>
      <c r="G1806" s="609" t="s">
        <v>1689</v>
      </c>
      <c r="H1806" s="160" t="s">
        <v>1311</v>
      </c>
      <c r="I1806" s="37" t="s">
        <v>2526</v>
      </c>
      <c r="J1806" s="37" t="s">
        <v>2525</v>
      </c>
      <c r="K1806" s="5">
        <v>30</v>
      </c>
      <c r="L1806" s="607" t="s">
        <v>653</v>
      </c>
      <c r="M1806" s="156">
        <v>43076</v>
      </c>
      <c r="N1806" s="156">
        <v>43083</v>
      </c>
      <c r="O1806" s="153" t="s">
        <v>2529</v>
      </c>
      <c r="P1806" s="61"/>
      <c r="Q1806" s="61" t="s">
        <v>2125</v>
      </c>
      <c r="R1806" s="606" t="s">
        <v>2528</v>
      </c>
      <c r="S1806" s="316" t="s">
        <v>2943</v>
      </c>
      <c r="T1806" s="858"/>
    </row>
    <row r="1807" spans="1:20" ht="20.100000000000001" customHeight="1">
      <c r="A1807" s="1256" t="s">
        <v>2971</v>
      </c>
      <c r="B1807" s="1138" t="s">
        <v>2527</v>
      </c>
      <c r="C1807" s="1138" t="s">
        <v>2275</v>
      </c>
      <c r="D1807" s="1006">
        <f>D53+1600</f>
        <v>3150</v>
      </c>
      <c r="E1807" s="1006">
        <f>E53+1200</f>
        <v>3000</v>
      </c>
      <c r="F1807" s="1006">
        <f>F53+1200</f>
        <v>3000</v>
      </c>
      <c r="G1807" s="615" t="s">
        <v>51</v>
      </c>
      <c r="H1807" s="160" t="s">
        <v>645</v>
      </c>
      <c r="I1807" s="37" t="s">
        <v>2526</v>
      </c>
      <c r="J1807" s="37" t="s">
        <v>2525</v>
      </c>
      <c r="K1807" s="5"/>
      <c r="L1807" s="607" t="s">
        <v>653</v>
      </c>
      <c r="M1807" s="611">
        <v>43086</v>
      </c>
      <c r="N1807" s="611">
        <v>43100</v>
      </c>
      <c r="O1807" s="61" t="s">
        <v>3291</v>
      </c>
      <c r="P1807" s="52"/>
      <c r="Q1807" s="61" t="s">
        <v>2466</v>
      </c>
      <c r="R1807" s="610"/>
      <c r="S1807" s="315" t="s">
        <v>3290</v>
      </c>
      <c r="T1807" s="858"/>
    </row>
    <row r="1808" spans="1:20" ht="20.100000000000001" customHeight="1">
      <c r="A1808" s="1256" t="s">
        <v>2971</v>
      </c>
      <c r="B1808" s="1138" t="s">
        <v>2527</v>
      </c>
      <c r="C1808" s="1138" t="s">
        <v>2275</v>
      </c>
      <c r="D1808" s="1006">
        <f>D6+1328</f>
        <v>2878</v>
      </c>
      <c r="E1808" s="1006">
        <f>E6+1328</f>
        <v>3128</v>
      </c>
      <c r="F1808" s="1006">
        <f>F6+1328</f>
        <v>3128</v>
      </c>
      <c r="G1808" s="614" t="s">
        <v>19</v>
      </c>
      <c r="H1808" s="160" t="s">
        <v>2537</v>
      </c>
      <c r="I1808" s="37" t="s">
        <v>2127</v>
      </c>
      <c r="J1808" s="37" t="s">
        <v>2525</v>
      </c>
      <c r="K1808" s="5" t="s">
        <v>728</v>
      </c>
      <c r="L1808" s="607" t="s">
        <v>653</v>
      </c>
      <c r="M1808" s="156">
        <v>43084</v>
      </c>
      <c r="N1808" s="156">
        <v>43093</v>
      </c>
      <c r="O1808" s="153" t="s">
        <v>2131</v>
      </c>
      <c r="P1808" s="61" t="s">
        <v>2276</v>
      </c>
      <c r="Q1808" s="7"/>
      <c r="R1808" s="606" t="s">
        <v>3339</v>
      </c>
      <c r="S1808" s="315" t="s">
        <v>3337</v>
      </c>
      <c r="T1808" s="858"/>
    </row>
    <row r="1809" spans="1:20" ht="20.100000000000001" customHeight="1">
      <c r="A1809" s="1256" t="s">
        <v>2971</v>
      </c>
      <c r="B1809" s="1138" t="s">
        <v>2527</v>
      </c>
      <c r="C1809" s="1138" t="s">
        <v>2275</v>
      </c>
      <c r="D1809" s="1006">
        <f>D44+1219</f>
        <v>2769</v>
      </c>
      <c r="E1809" s="1006">
        <f>E44+1219</f>
        <v>3019</v>
      </c>
      <c r="F1809" s="1006">
        <f>F44+1219</f>
        <v>3019</v>
      </c>
      <c r="G1809" s="614" t="s">
        <v>19</v>
      </c>
      <c r="H1809" s="56" t="s">
        <v>1444</v>
      </c>
      <c r="I1809" s="37" t="s">
        <v>2526</v>
      </c>
      <c r="J1809" s="37" t="s">
        <v>2525</v>
      </c>
      <c r="K1809" s="5" t="s">
        <v>764</v>
      </c>
      <c r="L1809" s="607" t="s">
        <v>653</v>
      </c>
      <c r="M1809" s="156">
        <v>43084</v>
      </c>
      <c r="N1809" s="156">
        <v>43093</v>
      </c>
      <c r="O1809" s="153" t="s">
        <v>2131</v>
      </c>
      <c r="P1809" s="61" t="s">
        <v>3338</v>
      </c>
      <c r="Q1809" s="7"/>
      <c r="R1809" s="610" t="s">
        <v>1841</v>
      </c>
      <c r="S1809" s="315" t="s">
        <v>3337</v>
      </c>
      <c r="T1809" s="858"/>
    </row>
    <row r="1810" spans="1:20" ht="20.100000000000001" customHeight="1">
      <c r="A1810" s="1256" t="s">
        <v>2971</v>
      </c>
      <c r="B1810" s="1138" t="s">
        <v>2527</v>
      </c>
      <c r="C1810" s="1138" t="s">
        <v>2275</v>
      </c>
      <c r="D1810" s="1006">
        <f>D41+1255+50</f>
        <v>2855</v>
      </c>
      <c r="E1810" s="1006">
        <f>E41+1255+100</f>
        <v>3155</v>
      </c>
      <c r="F1810" s="1006">
        <f>F41+1255+100</f>
        <v>3155</v>
      </c>
      <c r="G1810" s="608" t="s">
        <v>94</v>
      </c>
      <c r="H1810" s="168" t="s">
        <v>1102</v>
      </c>
      <c r="I1810" s="37" t="s">
        <v>2526</v>
      </c>
      <c r="J1810" s="37" t="s">
        <v>2525</v>
      </c>
      <c r="K1810" s="16">
        <v>26</v>
      </c>
      <c r="L1810" s="607" t="s">
        <v>653</v>
      </c>
      <c r="M1810" s="108">
        <v>43087</v>
      </c>
      <c r="N1810" s="108">
        <v>43094</v>
      </c>
      <c r="O1810" s="61" t="s">
        <v>2444</v>
      </c>
      <c r="P1810" s="7"/>
      <c r="Q1810" s="7"/>
      <c r="R1810" s="606" t="s">
        <v>2524</v>
      </c>
      <c r="S1810" s="322" t="s">
        <v>1176</v>
      </c>
      <c r="T1810" s="858"/>
    </row>
    <row r="1811" spans="1:20" ht="20.100000000000001" customHeight="1">
      <c r="A1811" s="1256" t="s">
        <v>2971</v>
      </c>
      <c r="B1811" s="1138" t="s">
        <v>2527</v>
      </c>
      <c r="C1811" s="1138" t="s">
        <v>2275</v>
      </c>
      <c r="D1811" s="1006">
        <f>D18+1300+50</f>
        <v>2900</v>
      </c>
      <c r="E1811" s="1006">
        <f>E18+1300+100</f>
        <v>3200</v>
      </c>
      <c r="F1811" s="1006">
        <f>F18+1300+100</f>
        <v>3200</v>
      </c>
      <c r="G1811" s="608" t="s">
        <v>94</v>
      </c>
      <c r="H1811" s="56" t="s">
        <v>657</v>
      </c>
      <c r="I1811" s="5" t="s">
        <v>2127</v>
      </c>
      <c r="J1811" s="37" t="s">
        <v>2525</v>
      </c>
      <c r="K1811" s="16">
        <v>21</v>
      </c>
      <c r="L1811" s="607" t="s">
        <v>653</v>
      </c>
      <c r="M1811" s="108">
        <v>43087</v>
      </c>
      <c r="N1811" s="108">
        <v>43094</v>
      </c>
      <c r="O1811" s="61" t="s">
        <v>2444</v>
      </c>
      <c r="P1811" s="7"/>
      <c r="Q1811" s="7"/>
      <c r="R1811" s="606" t="s">
        <v>2126</v>
      </c>
      <c r="S1811" s="322" t="s">
        <v>1176</v>
      </c>
      <c r="T1811" s="858"/>
    </row>
    <row r="1812" spans="1:20" ht="20.100000000000001" customHeight="1">
      <c r="A1812" s="1256" t="s">
        <v>2971</v>
      </c>
      <c r="B1812" s="1138" t="s">
        <v>2527</v>
      </c>
      <c r="C1812" s="1138" t="s">
        <v>2275</v>
      </c>
      <c r="D1812" s="1006">
        <f>D32+1810</f>
        <v>3060</v>
      </c>
      <c r="E1812" s="1006">
        <f>E32+1810</f>
        <v>3210</v>
      </c>
      <c r="F1812" s="1006">
        <f>F32+1810</f>
        <v>3210</v>
      </c>
      <c r="G1812" s="613" t="s">
        <v>13</v>
      </c>
      <c r="H1812" s="56">
        <v>6</v>
      </c>
      <c r="I1812" s="37" t="s">
        <v>2127</v>
      </c>
      <c r="J1812" s="37" t="s">
        <v>2525</v>
      </c>
      <c r="K1812" s="16">
        <v>18</v>
      </c>
      <c r="L1812" s="607" t="s">
        <v>653</v>
      </c>
      <c r="M1812" s="156">
        <v>43073</v>
      </c>
      <c r="N1812" s="156">
        <v>43083</v>
      </c>
      <c r="O1812" s="61" t="s">
        <v>3335</v>
      </c>
      <c r="P1812" s="61"/>
      <c r="Q1812" s="7"/>
      <c r="R1812" s="606" t="s">
        <v>3336</v>
      </c>
      <c r="S1812" s="316" t="s">
        <v>3334</v>
      </c>
      <c r="T1812" s="858"/>
    </row>
    <row r="1813" spans="1:20" ht="20.100000000000001" customHeight="1">
      <c r="A1813" s="1256" t="s">
        <v>2971</v>
      </c>
      <c r="B1813" s="1138" t="s">
        <v>2527</v>
      </c>
      <c r="C1813" s="1138" t="s">
        <v>2275</v>
      </c>
      <c r="D1813" s="1006">
        <f>D49+1260</f>
        <v>2510</v>
      </c>
      <c r="E1813" s="1006">
        <f>E49+1260</f>
        <v>2660</v>
      </c>
      <c r="F1813" s="1006">
        <f>F49+1260</f>
        <v>2660</v>
      </c>
      <c r="G1813" s="613" t="s">
        <v>13</v>
      </c>
      <c r="H1813" s="56">
        <v>5</v>
      </c>
      <c r="I1813" s="37" t="s">
        <v>2526</v>
      </c>
      <c r="J1813" s="37" t="s">
        <v>2525</v>
      </c>
      <c r="K1813" s="16">
        <v>20</v>
      </c>
      <c r="L1813" s="607" t="s">
        <v>653</v>
      </c>
      <c r="M1813" s="156">
        <v>43073</v>
      </c>
      <c r="N1813" s="156">
        <v>43083</v>
      </c>
      <c r="O1813" s="61" t="s">
        <v>3335</v>
      </c>
      <c r="P1813" s="61"/>
      <c r="Q1813" s="7"/>
      <c r="R1813" s="606" t="s">
        <v>2536</v>
      </c>
      <c r="S1813" s="316" t="s">
        <v>3334</v>
      </c>
      <c r="T1813" s="858"/>
    </row>
    <row r="1814" spans="1:20" ht="20.100000000000001" customHeight="1">
      <c r="A1814" s="1256" t="s">
        <v>2971</v>
      </c>
      <c r="B1814" s="1138" t="s">
        <v>2527</v>
      </c>
      <c r="C1814" s="1138" t="s">
        <v>2275</v>
      </c>
      <c r="D1814" s="1006">
        <f>D135+1900</f>
        <v>3500</v>
      </c>
      <c r="E1814" s="1006">
        <f>E135+1900</f>
        <v>3900</v>
      </c>
      <c r="F1814" s="1006">
        <f>F135+1900</f>
        <v>3900</v>
      </c>
      <c r="G1814" s="613" t="s">
        <v>33</v>
      </c>
      <c r="H1814" s="56" t="s">
        <v>2535</v>
      </c>
      <c r="I1814" s="10" t="s">
        <v>2127</v>
      </c>
      <c r="J1814" s="37" t="s">
        <v>2525</v>
      </c>
      <c r="K1814" s="27">
        <v>20</v>
      </c>
      <c r="L1814" s="607" t="s">
        <v>653</v>
      </c>
      <c r="M1814" s="159">
        <v>43080</v>
      </c>
      <c r="N1814" s="159">
        <v>43086</v>
      </c>
      <c r="O1814" s="153" t="s">
        <v>2445</v>
      </c>
      <c r="P1814" s="14"/>
      <c r="Q1814" s="7"/>
      <c r="R1814" s="612" t="s">
        <v>2130</v>
      </c>
      <c r="S1814" s="316" t="s">
        <v>3333</v>
      </c>
      <c r="T1814" s="858"/>
    </row>
    <row r="1815" spans="1:20" ht="20.100000000000001" customHeight="1">
      <c r="A1815" s="925" t="s">
        <v>2971</v>
      </c>
      <c r="B1815" s="899" t="s">
        <v>2527</v>
      </c>
      <c r="C1815" s="899" t="s">
        <v>2534</v>
      </c>
      <c r="D1815" s="1006">
        <f>D46+1233</f>
        <v>2408</v>
      </c>
      <c r="E1815" s="1006">
        <f>E46+1233</f>
        <v>2483</v>
      </c>
      <c r="F1815" s="1006">
        <f>F46+1233</f>
        <v>2483</v>
      </c>
      <c r="G1815" s="609" t="s">
        <v>1689</v>
      </c>
      <c r="H1815" s="160" t="s">
        <v>1311</v>
      </c>
      <c r="I1815" s="37" t="s">
        <v>2526</v>
      </c>
      <c r="J1815" s="37" t="s">
        <v>2525</v>
      </c>
      <c r="K1815" s="5">
        <v>30</v>
      </c>
      <c r="L1815" s="607" t="s">
        <v>653</v>
      </c>
      <c r="M1815" s="156">
        <v>43076</v>
      </c>
      <c r="N1815" s="156">
        <v>43083</v>
      </c>
      <c r="O1815" s="153" t="s">
        <v>2529</v>
      </c>
      <c r="P1815" s="61"/>
      <c r="Q1815" s="61" t="s">
        <v>2125</v>
      </c>
      <c r="R1815" s="606" t="s">
        <v>2528</v>
      </c>
      <c r="S1815" s="316" t="s">
        <v>2943</v>
      </c>
      <c r="T1815" s="858"/>
    </row>
    <row r="1816" spans="1:20" ht="20.100000000000001" customHeight="1">
      <c r="A1816" s="925" t="s">
        <v>2972</v>
      </c>
      <c r="B1816" s="899" t="s">
        <v>2527</v>
      </c>
      <c r="C1816" s="899" t="s">
        <v>2533</v>
      </c>
      <c r="D1816" s="1006">
        <f>D41+1221+50</f>
        <v>2821</v>
      </c>
      <c r="E1816" s="1006">
        <f>E41+1221+100</f>
        <v>3121</v>
      </c>
      <c r="F1816" s="1006">
        <f>F41+1221+100</f>
        <v>3121</v>
      </c>
      <c r="G1816" s="608" t="s">
        <v>94</v>
      </c>
      <c r="H1816" s="168" t="s">
        <v>1102</v>
      </c>
      <c r="I1816" s="37" t="s">
        <v>2526</v>
      </c>
      <c r="J1816" s="37" t="s">
        <v>2525</v>
      </c>
      <c r="K1816" s="16">
        <v>26</v>
      </c>
      <c r="L1816" s="607" t="s">
        <v>653</v>
      </c>
      <c r="M1816" s="108">
        <v>43087</v>
      </c>
      <c r="N1816" s="108">
        <v>43094</v>
      </c>
      <c r="O1816" s="61" t="s">
        <v>2444</v>
      </c>
      <c r="P1816" s="7"/>
      <c r="Q1816" s="7"/>
      <c r="R1816" s="606" t="s">
        <v>2524</v>
      </c>
      <c r="S1816" s="322" t="s">
        <v>1176</v>
      </c>
      <c r="T1816" s="858"/>
    </row>
    <row r="1817" spans="1:20" ht="20.100000000000001" customHeight="1">
      <c r="A1817" s="1256" t="s">
        <v>2129</v>
      </c>
      <c r="B1817" s="1138" t="s">
        <v>2527</v>
      </c>
      <c r="C1817" s="1138" t="s">
        <v>3332</v>
      </c>
      <c r="D1817" s="1006">
        <f>D46+1372</f>
        <v>2547</v>
      </c>
      <c r="E1817" s="1006">
        <f>E46+1478</f>
        <v>2728</v>
      </c>
      <c r="F1817" s="1006">
        <f>F46+1478</f>
        <v>2728</v>
      </c>
      <c r="G1817" s="609" t="s">
        <v>1689</v>
      </c>
      <c r="H1817" s="160" t="s">
        <v>1311</v>
      </c>
      <c r="I1817" s="37" t="s">
        <v>2526</v>
      </c>
      <c r="J1817" s="37" t="s">
        <v>1211</v>
      </c>
      <c r="K1817" s="5">
        <v>30</v>
      </c>
      <c r="L1817" s="607" t="s">
        <v>653</v>
      </c>
      <c r="M1817" s="156">
        <v>43076</v>
      </c>
      <c r="N1817" s="156">
        <v>43083</v>
      </c>
      <c r="O1817" s="153" t="s">
        <v>2529</v>
      </c>
      <c r="P1817" s="61"/>
      <c r="Q1817" s="61" t="s">
        <v>2128</v>
      </c>
      <c r="R1817" s="606" t="s">
        <v>2528</v>
      </c>
      <c r="S1817" s="316" t="s">
        <v>2943</v>
      </c>
      <c r="T1817" s="858"/>
    </row>
    <row r="1818" spans="1:20" ht="20.100000000000001" customHeight="1">
      <c r="A1818" s="1256" t="s">
        <v>2971</v>
      </c>
      <c r="B1818" s="1138" t="s">
        <v>2527</v>
      </c>
      <c r="C1818" s="1138" t="s">
        <v>3332</v>
      </c>
      <c r="D1818" s="1006">
        <f>D18+1825+50</f>
        <v>3425</v>
      </c>
      <c r="E1818" s="1006">
        <f>E18+1740+100</f>
        <v>3640</v>
      </c>
      <c r="F1818" s="1006">
        <f>F18+1740+100</f>
        <v>3640</v>
      </c>
      <c r="G1818" s="608" t="s">
        <v>94</v>
      </c>
      <c r="H1818" s="56" t="s">
        <v>657</v>
      </c>
      <c r="I1818" s="5" t="s">
        <v>2127</v>
      </c>
      <c r="J1818" s="37" t="s">
        <v>1211</v>
      </c>
      <c r="K1818" s="5">
        <v>28</v>
      </c>
      <c r="L1818" s="607" t="s">
        <v>653</v>
      </c>
      <c r="M1818" s="108">
        <v>43087</v>
      </c>
      <c r="N1818" s="108">
        <v>43094</v>
      </c>
      <c r="O1818" s="61" t="s">
        <v>2444</v>
      </c>
      <c r="P1818" s="7"/>
      <c r="Q1818" s="7"/>
      <c r="R1818" s="606" t="s">
        <v>2126</v>
      </c>
      <c r="S1818" s="322" t="s">
        <v>1176</v>
      </c>
      <c r="T1818" s="858"/>
    </row>
    <row r="1819" spans="1:20" ht="20.100000000000001" customHeight="1">
      <c r="A1819" s="1256" t="s">
        <v>2971</v>
      </c>
      <c r="B1819" s="1138" t="s">
        <v>2527</v>
      </c>
      <c r="C1819" s="1138" t="s">
        <v>3332</v>
      </c>
      <c r="D1819" s="1006">
        <f>D41+1825+50</f>
        <v>3425</v>
      </c>
      <c r="E1819" s="1006">
        <f>E41+1730+100</f>
        <v>3630</v>
      </c>
      <c r="F1819" s="1006">
        <f>F41+1720+100</f>
        <v>3620</v>
      </c>
      <c r="G1819" s="608" t="s">
        <v>94</v>
      </c>
      <c r="H1819" s="168" t="s">
        <v>1102</v>
      </c>
      <c r="I1819" s="5" t="s">
        <v>2526</v>
      </c>
      <c r="J1819" s="37" t="s">
        <v>1211</v>
      </c>
      <c r="K1819" s="16">
        <v>26</v>
      </c>
      <c r="L1819" s="607" t="s">
        <v>653</v>
      </c>
      <c r="M1819" s="108">
        <v>43087</v>
      </c>
      <c r="N1819" s="108">
        <v>43094</v>
      </c>
      <c r="O1819" s="61" t="s">
        <v>2444</v>
      </c>
      <c r="P1819" s="7"/>
      <c r="Q1819" s="7"/>
      <c r="R1819" s="606" t="s">
        <v>2524</v>
      </c>
      <c r="S1819" s="322" t="s">
        <v>1176</v>
      </c>
      <c r="T1819" s="858"/>
    </row>
    <row r="1820" spans="1:20" ht="20.100000000000001" customHeight="1">
      <c r="A1820" s="1256" t="s">
        <v>2971</v>
      </c>
      <c r="B1820" s="1138" t="s">
        <v>2527</v>
      </c>
      <c r="C1820" s="1138" t="s">
        <v>3332</v>
      </c>
      <c r="D1820" s="1006">
        <f>D4+1300</f>
        <v>2475</v>
      </c>
      <c r="E1820" s="1006">
        <f>E4+1300</f>
        <v>2550</v>
      </c>
      <c r="F1820" s="1006">
        <f>F4+1300</f>
        <v>2550</v>
      </c>
      <c r="G1820" s="609" t="s">
        <v>1689</v>
      </c>
      <c r="H1820" s="160" t="s">
        <v>645</v>
      </c>
      <c r="I1820" s="37" t="s">
        <v>2127</v>
      </c>
      <c r="J1820" s="37" t="s">
        <v>2525</v>
      </c>
      <c r="K1820" s="5">
        <v>20</v>
      </c>
      <c r="L1820" s="607" t="s">
        <v>653</v>
      </c>
      <c r="M1820" s="156">
        <v>43076</v>
      </c>
      <c r="N1820" s="156">
        <v>43083</v>
      </c>
      <c r="O1820" s="153" t="s">
        <v>2529</v>
      </c>
      <c r="P1820" s="61"/>
      <c r="Q1820" s="61" t="s">
        <v>2125</v>
      </c>
      <c r="R1820" s="606" t="s">
        <v>2530</v>
      </c>
      <c r="S1820" s="316" t="s">
        <v>2943</v>
      </c>
      <c r="T1820" s="858"/>
    </row>
    <row r="1821" spans="1:20" ht="20.100000000000001" customHeight="1">
      <c r="A1821" s="1256" t="s">
        <v>2971</v>
      </c>
      <c r="B1821" s="1138" t="s">
        <v>2527</v>
      </c>
      <c r="C1821" s="1138" t="s">
        <v>3332</v>
      </c>
      <c r="D1821" s="1006">
        <f>D46+1705</f>
        <v>2880</v>
      </c>
      <c r="E1821" s="1006">
        <f>E46+1705</f>
        <v>2955</v>
      </c>
      <c r="F1821" s="1006">
        <f>F46+1705</f>
        <v>2955</v>
      </c>
      <c r="G1821" s="609" t="s">
        <v>1689</v>
      </c>
      <c r="H1821" s="160" t="s">
        <v>1311</v>
      </c>
      <c r="I1821" s="37" t="s">
        <v>2526</v>
      </c>
      <c r="J1821" s="37" t="s">
        <v>2525</v>
      </c>
      <c r="K1821" s="5">
        <v>30</v>
      </c>
      <c r="L1821" s="607" t="s">
        <v>653</v>
      </c>
      <c r="M1821" s="156">
        <v>43076</v>
      </c>
      <c r="N1821" s="156">
        <v>43083</v>
      </c>
      <c r="O1821" s="153" t="s">
        <v>2529</v>
      </c>
      <c r="P1821" s="61"/>
      <c r="Q1821" s="61" t="s">
        <v>2125</v>
      </c>
      <c r="R1821" s="606" t="s">
        <v>2528</v>
      </c>
      <c r="S1821" s="316" t="s">
        <v>2943</v>
      </c>
      <c r="T1821" s="858"/>
    </row>
    <row r="1822" spans="1:20" ht="20.100000000000001" customHeight="1">
      <c r="A1822" s="1256" t="s">
        <v>2971</v>
      </c>
      <c r="B1822" s="1138" t="s">
        <v>2527</v>
      </c>
      <c r="C1822" s="1138" t="s">
        <v>3332</v>
      </c>
      <c r="D1822" s="1006">
        <f>D18+1910+50</f>
        <v>3510</v>
      </c>
      <c r="E1822" s="1006">
        <f>E18+1910+100</f>
        <v>3810</v>
      </c>
      <c r="F1822" s="1006">
        <f>F18+1910+100</f>
        <v>3810</v>
      </c>
      <c r="G1822" s="608" t="s">
        <v>94</v>
      </c>
      <c r="H1822" s="56" t="s">
        <v>657</v>
      </c>
      <c r="I1822" s="5" t="s">
        <v>2127</v>
      </c>
      <c r="J1822" s="37" t="s">
        <v>2525</v>
      </c>
      <c r="K1822" s="5">
        <v>22</v>
      </c>
      <c r="L1822" s="607" t="s">
        <v>653</v>
      </c>
      <c r="M1822" s="108">
        <v>43087</v>
      </c>
      <c r="N1822" s="108">
        <v>43094</v>
      </c>
      <c r="O1822" s="61" t="s">
        <v>2444</v>
      </c>
      <c r="P1822" s="7"/>
      <c r="Q1822" s="7"/>
      <c r="R1822" s="606" t="s">
        <v>2126</v>
      </c>
      <c r="S1822" s="322" t="s">
        <v>1176</v>
      </c>
      <c r="T1822" s="858"/>
    </row>
    <row r="1823" spans="1:20" ht="20.100000000000001" customHeight="1">
      <c r="A1823" s="1256" t="s">
        <v>2971</v>
      </c>
      <c r="B1823" s="1138" t="s">
        <v>2527</v>
      </c>
      <c r="C1823" s="1138" t="s">
        <v>3332</v>
      </c>
      <c r="D1823" s="1006">
        <f>D41+2040+50</f>
        <v>3640</v>
      </c>
      <c r="E1823" s="1006">
        <f>E41+2040+100</f>
        <v>3940</v>
      </c>
      <c r="F1823" s="1006">
        <f>F41+2040+100</f>
        <v>3940</v>
      </c>
      <c r="G1823" s="608" t="s">
        <v>94</v>
      </c>
      <c r="H1823" s="168" t="s">
        <v>1102</v>
      </c>
      <c r="I1823" s="5" t="s">
        <v>2526</v>
      </c>
      <c r="J1823" s="37" t="s">
        <v>2525</v>
      </c>
      <c r="K1823" s="16">
        <v>26</v>
      </c>
      <c r="L1823" s="607" t="s">
        <v>653</v>
      </c>
      <c r="M1823" s="108">
        <v>43087</v>
      </c>
      <c r="N1823" s="108">
        <v>43094</v>
      </c>
      <c r="O1823" s="61" t="s">
        <v>2444</v>
      </c>
      <c r="P1823" s="7"/>
      <c r="Q1823" s="7"/>
      <c r="R1823" s="606" t="s">
        <v>2524</v>
      </c>
      <c r="S1823" s="322" t="s">
        <v>1176</v>
      </c>
      <c r="T1823" s="858"/>
    </row>
    <row r="1824" spans="1:20" ht="20.100000000000001" customHeight="1">
      <c r="A1824" s="1256" t="s">
        <v>2971</v>
      </c>
      <c r="B1824" s="1138" t="s">
        <v>2527</v>
      </c>
      <c r="C1824" s="1138" t="s">
        <v>2820</v>
      </c>
      <c r="D1824" s="1006">
        <f>D46+1093</f>
        <v>2268</v>
      </c>
      <c r="E1824" s="1006">
        <f>E46+1274</f>
        <v>2524</v>
      </c>
      <c r="F1824" s="1006">
        <f>F46+1274</f>
        <v>2524</v>
      </c>
      <c r="G1824" s="609" t="s">
        <v>1689</v>
      </c>
      <c r="H1824" s="160" t="s">
        <v>1311</v>
      </c>
      <c r="I1824" s="37" t="s">
        <v>2526</v>
      </c>
      <c r="J1824" s="37" t="s">
        <v>1211</v>
      </c>
      <c r="K1824" s="5">
        <v>30</v>
      </c>
      <c r="L1824" s="607" t="s">
        <v>653</v>
      </c>
      <c r="M1824" s="156">
        <v>43076</v>
      </c>
      <c r="N1824" s="156">
        <v>43083</v>
      </c>
      <c r="O1824" s="153" t="s">
        <v>2529</v>
      </c>
      <c r="P1824" s="61"/>
      <c r="Q1824" s="61" t="s">
        <v>2128</v>
      </c>
      <c r="R1824" s="606" t="s">
        <v>2528</v>
      </c>
      <c r="S1824" s="316" t="s">
        <v>2943</v>
      </c>
      <c r="T1824" s="858"/>
    </row>
    <row r="1825" spans="1:20" ht="20.100000000000001" customHeight="1">
      <c r="A1825" s="1256" t="s">
        <v>2971</v>
      </c>
      <c r="B1825" s="1138" t="s">
        <v>2527</v>
      </c>
      <c r="C1825" s="1138" t="s">
        <v>2820</v>
      </c>
      <c r="D1825" s="1006">
        <f>D18+1270+50</f>
        <v>2870</v>
      </c>
      <c r="E1825" s="1006">
        <f>E18+1270+100</f>
        <v>3170</v>
      </c>
      <c r="F1825" s="1006">
        <f>F18+1270+100</f>
        <v>3170</v>
      </c>
      <c r="G1825" s="608" t="s">
        <v>94</v>
      </c>
      <c r="H1825" s="56" t="s">
        <v>657</v>
      </c>
      <c r="I1825" s="5" t="s">
        <v>2127</v>
      </c>
      <c r="J1825" s="37" t="s">
        <v>1211</v>
      </c>
      <c r="K1825" s="5">
        <v>26</v>
      </c>
      <c r="L1825" s="607" t="s">
        <v>653</v>
      </c>
      <c r="M1825" s="108">
        <v>43087</v>
      </c>
      <c r="N1825" s="108">
        <v>43094</v>
      </c>
      <c r="O1825" s="61" t="s">
        <v>2444</v>
      </c>
      <c r="P1825" s="7"/>
      <c r="Q1825" s="7"/>
      <c r="R1825" s="606" t="s">
        <v>2126</v>
      </c>
      <c r="S1825" s="322" t="s">
        <v>1176</v>
      </c>
      <c r="T1825" s="858"/>
    </row>
    <row r="1826" spans="1:20" ht="20.100000000000001" customHeight="1">
      <c r="A1826" s="1256" t="s">
        <v>2971</v>
      </c>
      <c r="B1826" s="1138" t="s">
        <v>2527</v>
      </c>
      <c r="C1826" s="1138" t="s">
        <v>2820</v>
      </c>
      <c r="D1826" s="1006">
        <f>D41+1240+50</f>
        <v>2840</v>
      </c>
      <c r="E1826" s="1006">
        <f>E41+1250+100</f>
        <v>3150</v>
      </c>
      <c r="F1826" s="1006">
        <f>F41+1250+100</f>
        <v>3150</v>
      </c>
      <c r="G1826" s="608" t="s">
        <v>94</v>
      </c>
      <c r="H1826" s="168" t="s">
        <v>1102</v>
      </c>
      <c r="I1826" s="5" t="s">
        <v>2526</v>
      </c>
      <c r="J1826" s="37" t="s">
        <v>1211</v>
      </c>
      <c r="K1826" s="16">
        <v>26</v>
      </c>
      <c r="L1826" s="607" t="s">
        <v>653</v>
      </c>
      <c r="M1826" s="108">
        <v>43087</v>
      </c>
      <c r="N1826" s="108">
        <v>43094</v>
      </c>
      <c r="O1826" s="61" t="s">
        <v>2444</v>
      </c>
      <c r="P1826" s="7"/>
      <c r="Q1826" s="7"/>
      <c r="R1826" s="606" t="s">
        <v>2524</v>
      </c>
      <c r="S1826" s="322" t="s">
        <v>1176</v>
      </c>
      <c r="T1826" s="858"/>
    </row>
    <row r="1827" spans="1:20" ht="20.100000000000001" customHeight="1">
      <c r="A1827" s="1256" t="s">
        <v>2971</v>
      </c>
      <c r="B1827" s="1138" t="s">
        <v>2527</v>
      </c>
      <c r="C1827" s="1138" t="s">
        <v>2820</v>
      </c>
      <c r="D1827" s="1006">
        <f>D4+1379</f>
        <v>2554</v>
      </c>
      <c r="E1827" s="1006">
        <f>E4+1379</f>
        <v>2629</v>
      </c>
      <c r="F1827" s="1006">
        <f>F4+1379</f>
        <v>2629</v>
      </c>
      <c r="G1827" s="609" t="s">
        <v>1689</v>
      </c>
      <c r="H1827" s="160" t="s">
        <v>645</v>
      </c>
      <c r="I1827" s="37" t="s">
        <v>2127</v>
      </c>
      <c r="J1827" s="37" t="s">
        <v>2525</v>
      </c>
      <c r="K1827" s="5">
        <v>20</v>
      </c>
      <c r="L1827" s="607" t="s">
        <v>653</v>
      </c>
      <c r="M1827" s="156">
        <v>43076</v>
      </c>
      <c r="N1827" s="156">
        <v>43083</v>
      </c>
      <c r="O1827" s="153" t="s">
        <v>2529</v>
      </c>
      <c r="P1827" s="61"/>
      <c r="Q1827" s="61" t="s">
        <v>2125</v>
      </c>
      <c r="R1827" s="606" t="s">
        <v>2530</v>
      </c>
      <c r="S1827" s="316" t="s">
        <v>2943</v>
      </c>
      <c r="T1827" s="858"/>
    </row>
    <row r="1828" spans="1:20" ht="20.100000000000001" customHeight="1">
      <c r="A1828" s="1271" t="s">
        <v>2971</v>
      </c>
      <c r="B1828" s="1142" t="s">
        <v>2527</v>
      </c>
      <c r="C1828" s="1142" t="s">
        <v>2598</v>
      </c>
      <c r="D1828" s="1006">
        <f t="shared" ref="D1828:F1829" si="21">D1182</f>
        <v>2380</v>
      </c>
      <c r="E1828" s="1006">
        <f t="shared" si="21"/>
        <v>2685</v>
      </c>
      <c r="F1828" s="1006">
        <f t="shared" si="21"/>
        <v>2685</v>
      </c>
      <c r="G1828" s="609" t="s">
        <v>51</v>
      </c>
      <c r="H1828" s="160" t="s">
        <v>2532</v>
      </c>
      <c r="I1828" s="37" t="s">
        <v>2127</v>
      </c>
      <c r="J1828" s="37" t="s">
        <v>1211</v>
      </c>
      <c r="K1828" s="5"/>
      <c r="L1828" s="607" t="s">
        <v>653</v>
      </c>
      <c r="M1828" s="611">
        <v>43086</v>
      </c>
      <c r="N1828" s="611">
        <v>43100</v>
      </c>
      <c r="O1828" s="61" t="s">
        <v>3291</v>
      </c>
      <c r="P1828" s="52"/>
      <c r="Q1828" s="61" t="s">
        <v>3381</v>
      </c>
      <c r="R1828" s="610"/>
      <c r="S1828" s="315" t="s">
        <v>3290</v>
      </c>
      <c r="T1828" s="858"/>
    </row>
    <row r="1829" spans="1:20" ht="20.100000000000001" customHeight="1">
      <c r="A1829" s="1272" t="s">
        <v>2971</v>
      </c>
      <c r="B1829" s="1160" t="s">
        <v>2527</v>
      </c>
      <c r="C1829" s="1160" t="s">
        <v>2598</v>
      </c>
      <c r="D1829" s="1006">
        <f t="shared" si="21"/>
        <v>2275</v>
      </c>
      <c r="E1829" s="1006">
        <f t="shared" si="21"/>
        <v>2675</v>
      </c>
      <c r="F1829" s="1006">
        <f t="shared" si="21"/>
        <v>2675</v>
      </c>
      <c r="G1829" s="609" t="s">
        <v>51</v>
      </c>
      <c r="H1829" s="160" t="s">
        <v>645</v>
      </c>
      <c r="I1829" s="37" t="s">
        <v>2526</v>
      </c>
      <c r="J1829" s="37" t="s">
        <v>1211</v>
      </c>
      <c r="K1829" s="5"/>
      <c r="L1829" s="607" t="s">
        <v>653</v>
      </c>
      <c r="M1829" s="611">
        <v>43086</v>
      </c>
      <c r="N1829" s="611">
        <v>43100</v>
      </c>
      <c r="O1829" s="61" t="s">
        <v>3291</v>
      </c>
      <c r="P1829" s="52"/>
      <c r="Q1829" s="61" t="s">
        <v>2599</v>
      </c>
      <c r="R1829" s="610"/>
      <c r="S1829" s="315" t="s">
        <v>3290</v>
      </c>
      <c r="T1829" s="858"/>
    </row>
    <row r="1830" spans="1:20" ht="20.100000000000001" customHeight="1">
      <c r="A1830" s="1272" t="s">
        <v>2971</v>
      </c>
      <c r="B1830" s="1160" t="s">
        <v>2527</v>
      </c>
      <c r="C1830" s="1160" t="s">
        <v>2598</v>
      </c>
      <c r="D1830" s="1006">
        <f t="shared" ref="D1830:F1831" si="22">D1200</f>
        <v>2700</v>
      </c>
      <c r="E1830" s="1006">
        <f t="shared" si="22"/>
        <v>2770</v>
      </c>
      <c r="F1830" s="1006">
        <f t="shared" si="22"/>
        <v>2770</v>
      </c>
      <c r="G1830" s="609" t="s">
        <v>51</v>
      </c>
      <c r="H1830" s="160" t="s">
        <v>2532</v>
      </c>
      <c r="I1830" s="37" t="s">
        <v>2127</v>
      </c>
      <c r="J1830" s="37" t="s">
        <v>2525</v>
      </c>
      <c r="K1830" s="5"/>
      <c r="L1830" s="607" t="s">
        <v>653</v>
      </c>
      <c r="M1830" s="611">
        <v>43086</v>
      </c>
      <c r="N1830" s="611">
        <v>43100</v>
      </c>
      <c r="O1830" s="61" t="s">
        <v>3291</v>
      </c>
      <c r="P1830" s="52"/>
      <c r="Q1830" s="61" t="s">
        <v>2466</v>
      </c>
      <c r="R1830" s="610"/>
      <c r="S1830" s="315" t="s">
        <v>3290</v>
      </c>
      <c r="T1830" s="858"/>
    </row>
    <row r="1831" spans="1:20" ht="20.100000000000001" customHeight="1">
      <c r="A1831" s="1272" t="s">
        <v>2971</v>
      </c>
      <c r="B1831" s="1160" t="s">
        <v>2527</v>
      </c>
      <c r="C1831" s="1160" t="s">
        <v>2598</v>
      </c>
      <c r="D1831" s="1006">
        <f t="shared" si="22"/>
        <v>2900</v>
      </c>
      <c r="E1831" s="1006">
        <f t="shared" si="22"/>
        <v>2945</v>
      </c>
      <c r="F1831" s="1006">
        <f t="shared" si="22"/>
        <v>2945</v>
      </c>
      <c r="G1831" s="609" t="s">
        <v>51</v>
      </c>
      <c r="H1831" s="160" t="s">
        <v>645</v>
      </c>
      <c r="I1831" s="37" t="s">
        <v>2526</v>
      </c>
      <c r="J1831" s="37" t="s">
        <v>2525</v>
      </c>
      <c r="K1831" s="5"/>
      <c r="L1831" s="607" t="s">
        <v>653</v>
      </c>
      <c r="M1831" s="611">
        <v>43086</v>
      </c>
      <c r="N1831" s="611">
        <v>43100</v>
      </c>
      <c r="O1831" s="61" t="s">
        <v>3291</v>
      </c>
      <c r="P1831" s="52"/>
      <c r="Q1831" s="61" t="s">
        <v>2466</v>
      </c>
      <c r="R1831" s="610"/>
      <c r="S1831" s="315" t="s">
        <v>3290</v>
      </c>
      <c r="T1831" s="858"/>
    </row>
    <row r="1832" spans="1:20" ht="20.100000000000001" customHeight="1">
      <c r="A1832" s="1272" t="s">
        <v>2971</v>
      </c>
      <c r="B1832" s="1160" t="s">
        <v>2527</v>
      </c>
      <c r="C1832" s="1160" t="s">
        <v>2598</v>
      </c>
      <c r="D1832" s="1006">
        <f>D4+900</f>
        <v>2075</v>
      </c>
      <c r="E1832" s="1006">
        <f>E4+900</f>
        <v>2150</v>
      </c>
      <c r="F1832" s="1006">
        <f>F4+900</f>
        <v>2150</v>
      </c>
      <c r="G1832" s="609" t="s">
        <v>1689</v>
      </c>
      <c r="H1832" s="160" t="s">
        <v>645</v>
      </c>
      <c r="I1832" s="37" t="s">
        <v>2127</v>
      </c>
      <c r="J1832" s="37" t="s">
        <v>2525</v>
      </c>
      <c r="K1832" s="5">
        <v>20</v>
      </c>
      <c r="L1832" s="607" t="s">
        <v>653</v>
      </c>
      <c r="M1832" s="156">
        <v>43076</v>
      </c>
      <c r="N1832" s="156">
        <v>43083</v>
      </c>
      <c r="O1832" s="153" t="s">
        <v>2529</v>
      </c>
      <c r="P1832" s="61"/>
      <c r="Q1832" s="61" t="s">
        <v>2125</v>
      </c>
      <c r="R1832" s="606" t="s">
        <v>2530</v>
      </c>
      <c r="S1832" s="316" t="s">
        <v>2943</v>
      </c>
      <c r="T1832" s="858"/>
    </row>
    <row r="1833" spans="1:20" ht="20.100000000000001" customHeight="1">
      <c r="A1833" s="1273" t="s">
        <v>2971</v>
      </c>
      <c r="B1833" s="1161" t="s">
        <v>2527</v>
      </c>
      <c r="C1833" s="1161" t="s">
        <v>2598</v>
      </c>
      <c r="D1833" s="1006">
        <f>D46+970</f>
        <v>2145</v>
      </c>
      <c r="E1833" s="1006">
        <f>E46+970</f>
        <v>2220</v>
      </c>
      <c r="F1833" s="1006">
        <f>F46+970</f>
        <v>2220</v>
      </c>
      <c r="G1833" s="609" t="s">
        <v>1689</v>
      </c>
      <c r="H1833" s="160" t="s">
        <v>1311</v>
      </c>
      <c r="I1833" s="37" t="s">
        <v>2526</v>
      </c>
      <c r="J1833" s="37" t="s">
        <v>2525</v>
      </c>
      <c r="K1833" s="5">
        <v>30</v>
      </c>
      <c r="L1833" s="607" t="s">
        <v>653</v>
      </c>
      <c r="M1833" s="156">
        <v>43076</v>
      </c>
      <c r="N1833" s="156">
        <v>43083</v>
      </c>
      <c r="O1833" s="153" t="s">
        <v>2529</v>
      </c>
      <c r="P1833" s="61"/>
      <c r="Q1833" s="61" t="s">
        <v>2125</v>
      </c>
      <c r="R1833" s="606" t="s">
        <v>2528</v>
      </c>
      <c r="S1833" s="316" t="s">
        <v>2943</v>
      </c>
      <c r="T1833" s="858"/>
    </row>
    <row r="1834" spans="1:20" ht="20.100000000000001" customHeight="1">
      <c r="A1834" s="1271" t="s">
        <v>2971</v>
      </c>
      <c r="B1834" s="1142" t="s">
        <v>2527</v>
      </c>
      <c r="C1834" s="1142" t="s">
        <v>2531</v>
      </c>
      <c r="D1834" s="1006">
        <f t="shared" ref="D1834:F1835" si="23">D1182</f>
        <v>2380</v>
      </c>
      <c r="E1834" s="1006">
        <f t="shared" si="23"/>
        <v>2685</v>
      </c>
      <c r="F1834" s="1006">
        <f t="shared" si="23"/>
        <v>2685</v>
      </c>
      <c r="G1834" s="609" t="s">
        <v>51</v>
      </c>
      <c r="H1834" s="160" t="s">
        <v>2532</v>
      </c>
      <c r="I1834" s="37" t="s">
        <v>2127</v>
      </c>
      <c r="J1834" s="37" t="s">
        <v>1211</v>
      </c>
      <c r="K1834" s="5"/>
      <c r="L1834" s="607" t="s">
        <v>653</v>
      </c>
      <c r="M1834" s="611">
        <v>43086</v>
      </c>
      <c r="N1834" s="611">
        <v>43100</v>
      </c>
      <c r="O1834" s="61" t="s">
        <v>3291</v>
      </c>
      <c r="P1834" s="52"/>
      <c r="Q1834" s="61" t="s">
        <v>3381</v>
      </c>
      <c r="R1834" s="610"/>
      <c r="S1834" s="315" t="s">
        <v>3290</v>
      </c>
      <c r="T1834" s="858"/>
    </row>
    <row r="1835" spans="1:20" ht="20.100000000000001" customHeight="1">
      <c r="A1835" s="1272" t="s">
        <v>2971</v>
      </c>
      <c r="B1835" s="1160" t="s">
        <v>2527</v>
      </c>
      <c r="C1835" s="1160" t="s">
        <v>2531</v>
      </c>
      <c r="D1835" s="1006">
        <f t="shared" si="23"/>
        <v>2275</v>
      </c>
      <c r="E1835" s="1006">
        <f t="shared" si="23"/>
        <v>2675</v>
      </c>
      <c r="F1835" s="1006">
        <f t="shared" si="23"/>
        <v>2675</v>
      </c>
      <c r="G1835" s="609" t="s">
        <v>51</v>
      </c>
      <c r="H1835" s="160" t="s">
        <v>645</v>
      </c>
      <c r="I1835" s="37" t="s">
        <v>2526</v>
      </c>
      <c r="J1835" s="37" t="s">
        <v>1211</v>
      </c>
      <c r="K1835" s="5"/>
      <c r="L1835" s="607" t="s">
        <v>653</v>
      </c>
      <c r="M1835" s="611">
        <v>43086</v>
      </c>
      <c r="N1835" s="611">
        <v>43100</v>
      </c>
      <c r="O1835" s="61" t="s">
        <v>3291</v>
      </c>
      <c r="P1835" s="52"/>
      <c r="Q1835" s="61" t="s">
        <v>2599</v>
      </c>
      <c r="R1835" s="610"/>
      <c r="S1835" s="315" t="s">
        <v>5395</v>
      </c>
      <c r="T1835" s="858"/>
    </row>
    <row r="1836" spans="1:20" ht="20.100000000000001" customHeight="1">
      <c r="A1836" s="1272" t="s">
        <v>5391</v>
      </c>
      <c r="B1836" s="1160" t="s">
        <v>5390</v>
      </c>
      <c r="C1836" s="1160" t="s">
        <v>5394</v>
      </c>
      <c r="D1836" s="1006">
        <f t="shared" ref="D1836:F1837" si="24">D1200</f>
        <v>2700</v>
      </c>
      <c r="E1836" s="1006">
        <f t="shared" si="24"/>
        <v>2770</v>
      </c>
      <c r="F1836" s="1006">
        <f t="shared" si="24"/>
        <v>2770</v>
      </c>
      <c r="G1836" s="609" t="s">
        <v>51</v>
      </c>
      <c r="H1836" s="160" t="s">
        <v>2532</v>
      </c>
      <c r="I1836" s="37" t="s">
        <v>2127</v>
      </c>
      <c r="J1836" s="37" t="s">
        <v>2525</v>
      </c>
      <c r="K1836" s="5"/>
      <c r="L1836" s="607" t="s">
        <v>653</v>
      </c>
      <c r="M1836" s="611">
        <v>43086</v>
      </c>
      <c r="N1836" s="611">
        <v>43100</v>
      </c>
      <c r="O1836" s="61" t="s">
        <v>3291</v>
      </c>
      <c r="P1836" s="52"/>
      <c r="Q1836" s="61" t="s">
        <v>2466</v>
      </c>
      <c r="R1836" s="610"/>
      <c r="S1836" s="315" t="s">
        <v>3290</v>
      </c>
      <c r="T1836" s="858"/>
    </row>
    <row r="1837" spans="1:20" ht="20.100000000000001" customHeight="1">
      <c r="A1837" s="1273" t="s">
        <v>2971</v>
      </c>
      <c r="B1837" s="1161" t="s">
        <v>2527</v>
      </c>
      <c r="C1837" s="1161" t="s">
        <v>2531</v>
      </c>
      <c r="D1837" s="1006">
        <f t="shared" si="24"/>
        <v>2900</v>
      </c>
      <c r="E1837" s="1006">
        <f t="shared" si="24"/>
        <v>2945</v>
      </c>
      <c r="F1837" s="1006">
        <f t="shared" si="24"/>
        <v>2945</v>
      </c>
      <c r="G1837" s="609" t="s">
        <v>51</v>
      </c>
      <c r="H1837" s="160" t="s">
        <v>645</v>
      </c>
      <c r="I1837" s="37" t="s">
        <v>2526</v>
      </c>
      <c r="J1837" s="37" t="s">
        <v>2525</v>
      </c>
      <c r="K1837" s="5"/>
      <c r="L1837" s="607" t="s">
        <v>653</v>
      </c>
      <c r="M1837" s="611">
        <v>43086</v>
      </c>
      <c r="N1837" s="611">
        <v>43100</v>
      </c>
      <c r="O1837" s="61" t="s">
        <v>3291</v>
      </c>
      <c r="P1837" s="52"/>
      <c r="Q1837" s="61" t="s">
        <v>2466</v>
      </c>
      <c r="R1837" s="610"/>
      <c r="S1837" s="315" t="s">
        <v>3290</v>
      </c>
      <c r="T1837" s="858"/>
    </row>
    <row r="1838" spans="1:20" ht="20.100000000000001" customHeight="1">
      <c r="A1838" s="925" t="s">
        <v>2971</v>
      </c>
      <c r="B1838" s="899" t="s">
        <v>2527</v>
      </c>
      <c r="C1838" s="899" t="s">
        <v>2597</v>
      </c>
      <c r="D1838" s="1006">
        <f>D4+671</f>
        <v>1846</v>
      </c>
      <c r="E1838" s="1006">
        <f>E4+671</f>
        <v>1921</v>
      </c>
      <c r="F1838" s="1006">
        <f>F4+671</f>
        <v>1921</v>
      </c>
      <c r="G1838" s="609" t="s">
        <v>1689</v>
      </c>
      <c r="H1838" s="160" t="s">
        <v>645</v>
      </c>
      <c r="I1838" s="37" t="s">
        <v>2127</v>
      </c>
      <c r="J1838" s="37" t="s">
        <v>2525</v>
      </c>
      <c r="K1838" s="5">
        <v>20</v>
      </c>
      <c r="L1838" s="607" t="s">
        <v>653</v>
      </c>
      <c r="M1838" s="156">
        <v>43076</v>
      </c>
      <c r="N1838" s="156">
        <v>43083</v>
      </c>
      <c r="O1838" s="153" t="s">
        <v>2529</v>
      </c>
      <c r="P1838" s="61"/>
      <c r="Q1838" s="61" t="s">
        <v>2125</v>
      </c>
      <c r="R1838" s="606" t="s">
        <v>2530</v>
      </c>
      <c r="S1838" s="316" t="s">
        <v>2943</v>
      </c>
      <c r="T1838" s="858"/>
    </row>
    <row r="1839" spans="1:20" ht="20.100000000000001" customHeight="1">
      <c r="A1839" s="925" t="s">
        <v>2971</v>
      </c>
      <c r="B1839" s="899" t="s">
        <v>2527</v>
      </c>
      <c r="C1839" s="899" t="s">
        <v>2596</v>
      </c>
      <c r="D1839" s="1006">
        <f>D41+2439+50</f>
        <v>4039</v>
      </c>
      <c r="E1839" s="1006">
        <f>E41+2439+100</f>
        <v>4339</v>
      </c>
      <c r="F1839" s="1006">
        <f>F41+2439+100</f>
        <v>4339</v>
      </c>
      <c r="G1839" s="608" t="s">
        <v>94</v>
      </c>
      <c r="H1839" s="168" t="s">
        <v>1102</v>
      </c>
      <c r="I1839" s="5" t="s">
        <v>2526</v>
      </c>
      <c r="J1839" s="37" t="s">
        <v>2525</v>
      </c>
      <c r="K1839" s="16">
        <v>26</v>
      </c>
      <c r="L1839" s="607" t="s">
        <v>653</v>
      </c>
      <c r="M1839" s="108">
        <v>43087</v>
      </c>
      <c r="N1839" s="108">
        <v>43094</v>
      </c>
      <c r="O1839" s="61" t="s">
        <v>2444</v>
      </c>
      <c r="P1839" s="7"/>
      <c r="Q1839" s="7"/>
      <c r="R1839" s="606" t="s">
        <v>2524</v>
      </c>
      <c r="S1839" s="322" t="s">
        <v>1176</v>
      </c>
      <c r="T1839" s="858"/>
    </row>
    <row r="1840" spans="1:20" ht="20.100000000000001" customHeight="1">
      <c r="A1840" s="1256" t="s">
        <v>2971</v>
      </c>
      <c r="B1840" s="1138" t="s">
        <v>2527</v>
      </c>
      <c r="C1840" s="1138" t="s">
        <v>3331</v>
      </c>
      <c r="D1840" s="1006">
        <f>D18+4000+50</f>
        <v>5600</v>
      </c>
      <c r="E1840" s="1006">
        <f>E18+4000+100</f>
        <v>5900</v>
      </c>
      <c r="F1840" s="1006">
        <f>F18+4000+100</f>
        <v>5900</v>
      </c>
      <c r="G1840" s="608" t="s">
        <v>94</v>
      </c>
      <c r="H1840" s="56" t="s">
        <v>657</v>
      </c>
      <c r="I1840" s="5" t="s">
        <v>2127</v>
      </c>
      <c r="J1840" s="37" t="s">
        <v>2525</v>
      </c>
      <c r="K1840" s="5">
        <v>24</v>
      </c>
      <c r="L1840" s="607" t="s">
        <v>653</v>
      </c>
      <c r="M1840" s="108">
        <v>43087</v>
      </c>
      <c r="N1840" s="108">
        <v>43094</v>
      </c>
      <c r="O1840" s="61" t="s">
        <v>2444</v>
      </c>
      <c r="P1840" s="7"/>
      <c r="Q1840" s="7"/>
      <c r="R1840" s="606" t="s">
        <v>2126</v>
      </c>
      <c r="S1840" s="322" t="s">
        <v>1176</v>
      </c>
      <c r="T1840" s="858"/>
    </row>
    <row r="1841" spans="1:20" ht="20.100000000000001" customHeight="1">
      <c r="A1841" s="1256" t="s">
        <v>2971</v>
      </c>
      <c r="B1841" s="1138" t="s">
        <v>2527</v>
      </c>
      <c r="C1841" s="1138" t="s">
        <v>3331</v>
      </c>
      <c r="D1841" s="1006">
        <f>D41+2939+50</f>
        <v>4539</v>
      </c>
      <c r="E1841" s="1006">
        <f>E41+2939+100</f>
        <v>4839</v>
      </c>
      <c r="F1841" s="1006">
        <f>F41+2939+100</f>
        <v>4839</v>
      </c>
      <c r="G1841" s="608" t="s">
        <v>94</v>
      </c>
      <c r="H1841" s="168" t="s">
        <v>1102</v>
      </c>
      <c r="I1841" s="5" t="s">
        <v>2526</v>
      </c>
      <c r="J1841" s="37" t="s">
        <v>2525</v>
      </c>
      <c r="K1841" s="16">
        <v>26</v>
      </c>
      <c r="L1841" s="607" t="s">
        <v>653</v>
      </c>
      <c r="M1841" s="108">
        <v>43087</v>
      </c>
      <c r="N1841" s="108">
        <v>43094</v>
      </c>
      <c r="O1841" s="61" t="s">
        <v>2444</v>
      </c>
      <c r="P1841" s="7"/>
      <c r="Q1841" s="7"/>
      <c r="R1841" s="606" t="s">
        <v>2524</v>
      </c>
      <c r="S1841" s="322" t="s">
        <v>1176</v>
      </c>
      <c r="T1841" s="858"/>
    </row>
    <row r="1842" spans="1:20" ht="20.100000000000001" customHeight="1">
      <c r="A1842" s="1256" t="s">
        <v>2971</v>
      </c>
      <c r="B1842" s="1138" t="s">
        <v>2527</v>
      </c>
      <c r="C1842" s="1138" t="s">
        <v>3330</v>
      </c>
      <c r="D1842" s="1006">
        <f>D4+1143</f>
        <v>2318</v>
      </c>
      <c r="E1842" s="1006">
        <f>E4+1143</f>
        <v>2393</v>
      </c>
      <c r="F1842" s="1006">
        <f>F4+1143</f>
        <v>2393</v>
      </c>
      <c r="G1842" s="609" t="s">
        <v>1689</v>
      </c>
      <c r="H1842" s="160" t="s">
        <v>645</v>
      </c>
      <c r="I1842" s="37" t="s">
        <v>2127</v>
      </c>
      <c r="J1842" s="37" t="s">
        <v>2525</v>
      </c>
      <c r="K1842" s="5">
        <v>20</v>
      </c>
      <c r="L1842" s="607" t="s">
        <v>653</v>
      </c>
      <c r="M1842" s="156">
        <v>43076</v>
      </c>
      <c r="N1842" s="156">
        <v>43083</v>
      </c>
      <c r="O1842" s="153" t="s">
        <v>2529</v>
      </c>
      <c r="P1842" s="61"/>
      <c r="Q1842" s="61" t="s">
        <v>2125</v>
      </c>
      <c r="R1842" s="606" t="s">
        <v>2530</v>
      </c>
      <c r="S1842" s="316" t="s">
        <v>2943</v>
      </c>
      <c r="T1842" s="858"/>
    </row>
    <row r="1843" spans="1:20" ht="20.100000000000001" customHeight="1">
      <c r="A1843" s="1256" t="s">
        <v>2971</v>
      </c>
      <c r="B1843" s="1138" t="s">
        <v>2527</v>
      </c>
      <c r="C1843" s="1138" t="s">
        <v>3330</v>
      </c>
      <c r="D1843" s="1006">
        <f>D46+762</f>
        <v>1937</v>
      </c>
      <c r="E1843" s="1006">
        <f>E46+762</f>
        <v>2012</v>
      </c>
      <c r="F1843" s="1006">
        <f>F46+762</f>
        <v>2012</v>
      </c>
      <c r="G1843" s="609" t="s">
        <v>1689</v>
      </c>
      <c r="H1843" s="160" t="s">
        <v>1311</v>
      </c>
      <c r="I1843" s="37" t="s">
        <v>2526</v>
      </c>
      <c r="J1843" s="37" t="s">
        <v>2525</v>
      </c>
      <c r="K1843" s="5">
        <v>30</v>
      </c>
      <c r="L1843" s="607" t="s">
        <v>653</v>
      </c>
      <c r="M1843" s="156">
        <v>43076</v>
      </c>
      <c r="N1843" s="156">
        <v>43083</v>
      </c>
      <c r="O1843" s="153" t="s">
        <v>2529</v>
      </c>
      <c r="P1843" s="61"/>
      <c r="Q1843" s="61" t="s">
        <v>2125</v>
      </c>
      <c r="R1843" s="606" t="s">
        <v>2528</v>
      </c>
      <c r="S1843" s="316" t="s">
        <v>2943</v>
      </c>
      <c r="T1843" s="858"/>
    </row>
    <row r="1844" spans="1:20" ht="20.100000000000001" customHeight="1">
      <c r="A1844" s="1256" t="s">
        <v>2971</v>
      </c>
      <c r="B1844" s="1138" t="s">
        <v>2527</v>
      </c>
      <c r="C1844" s="1138" t="s">
        <v>3330</v>
      </c>
      <c r="D1844" s="1006">
        <f>D18+1350+50</f>
        <v>2950</v>
      </c>
      <c r="E1844" s="1006">
        <f>E18+1350+100</f>
        <v>3250</v>
      </c>
      <c r="F1844" s="1006">
        <f>F18+1350+100</f>
        <v>3250</v>
      </c>
      <c r="G1844" s="608" t="s">
        <v>94</v>
      </c>
      <c r="H1844" s="56" t="s">
        <v>657</v>
      </c>
      <c r="I1844" s="5" t="s">
        <v>2127</v>
      </c>
      <c r="J1844" s="37" t="s">
        <v>2525</v>
      </c>
      <c r="K1844" s="16">
        <v>21</v>
      </c>
      <c r="L1844" s="607" t="s">
        <v>653</v>
      </c>
      <c r="M1844" s="108">
        <v>43087</v>
      </c>
      <c r="N1844" s="108">
        <v>43094</v>
      </c>
      <c r="O1844" s="61" t="s">
        <v>2444</v>
      </c>
      <c r="P1844" s="7"/>
      <c r="Q1844" s="7"/>
      <c r="R1844" s="606" t="s">
        <v>2126</v>
      </c>
      <c r="S1844" s="322" t="s">
        <v>1176</v>
      </c>
      <c r="T1844" s="858"/>
    </row>
    <row r="1845" spans="1:20" ht="20.100000000000001" customHeight="1">
      <c r="A1845" s="1256" t="s">
        <v>2971</v>
      </c>
      <c r="B1845" s="1138" t="s">
        <v>2527</v>
      </c>
      <c r="C1845" s="1138" t="s">
        <v>3330</v>
      </c>
      <c r="D1845" s="1006">
        <f>D41+662+50</f>
        <v>2262</v>
      </c>
      <c r="E1845" s="1006">
        <f>E41+662+100</f>
        <v>2562</v>
      </c>
      <c r="F1845" s="1006">
        <f>F41+662+100</f>
        <v>2562</v>
      </c>
      <c r="G1845" s="608" t="s">
        <v>94</v>
      </c>
      <c r="H1845" s="168" t="s">
        <v>1102</v>
      </c>
      <c r="I1845" s="5" t="s">
        <v>2526</v>
      </c>
      <c r="J1845" s="37" t="s">
        <v>2525</v>
      </c>
      <c r="K1845" s="16">
        <v>26</v>
      </c>
      <c r="L1845" s="607" t="s">
        <v>653</v>
      </c>
      <c r="M1845" s="108">
        <v>43087</v>
      </c>
      <c r="N1845" s="108">
        <v>43094</v>
      </c>
      <c r="O1845" s="61" t="s">
        <v>2444</v>
      </c>
      <c r="P1845" s="7"/>
      <c r="Q1845" s="7"/>
      <c r="R1845" s="606" t="s">
        <v>2524</v>
      </c>
      <c r="S1845" s="322" t="s">
        <v>1176</v>
      </c>
      <c r="T1845" s="858"/>
    </row>
    <row r="1846" spans="1:20" ht="20.100000000000001" customHeight="1">
      <c r="A1846" s="1256" t="s">
        <v>2971</v>
      </c>
      <c r="B1846" s="1138" t="s">
        <v>2527</v>
      </c>
      <c r="C1846" s="1138" t="s">
        <v>3329</v>
      </c>
      <c r="D1846" s="1006">
        <f>D4+2637</f>
        <v>3812</v>
      </c>
      <c r="E1846" s="1006">
        <f>E4+2637</f>
        <v>3887</v>
      </c>
      <c r="F1846" s="1006">
        <f>F4+2637</f>
        <v>3887</v>
      </c>
      <c r="G1846" s="609" t="s">
        <v>1689</v>
      </c>
      <c r="H1846" s="160" t="s">
        <v>645</v>
      </c>
      <c r="I1846" s="37" t="s">
        <v>2127</v>
      </c>
      <c r="J1846" s="37" t="s">
        <v>2525</v>
      </c>
      <c r="K1846" s="5">
        <v>20</v>
      </c>
      <c r="L1846" s="607" t="s">
        <v>653</v>
      </c>
      <c r="M1846" s="156">
        <v>43076</v>
      </c>
      <c r="N1846" s="156">
        <v>43083</v>
      </c>
      <c r="O1846" s="153" t="s">
        <v>2529</v>
      </c>
      <c r="P1846" s="61"/>
      <c r="Q1846" s="61" t="s">
        <v>2125</v>
      </c>
      <c r="R1846" s="606" t="s">
        <v>2530</v>
      </c>
      <c r="S1846" s="316" t="s">
        <v>2943</v>
      </c>
      <c r="T1846" s="858"/>
    </row>
    <row r="1847" spans="1:20" ht="20.100000000000001" customHeight="1">
      <c r="A1847" s="1256" t="s">
        <v>2971</v>
      </c>
      <c r="B1847" s="1138" t="s">
        <v>2527</v>
      </c>
      <c r="C1847" s="1138" t="s">
        <v>3329</v>
      </c>
      <c r="D1847" s="1006">
        <f>D18+4120+50</f>
        <v>5720</v>
      </c>
      <c r="E1847" s="1006">
        <f>E18+4120+100</f>
        <v>6020</v>
      </c>
      <c r="F1847" s="1006">
        <f>F18+4120+100</f>
        <v>6020</v>
      </c>
      <c r="G1847" s="608" t="s">
        <v>94</v>
      </c>
      <c r="H1847" s="56" t="s">
        <v>657</v>
      </c>
      <c r="I1847" s="5" t="s">
        <v>2127</v>
      </c>
      <c r="J1847" s="37" t="s">
        <v>2525</v>
      </c>
      <c r="K1847" s="16">
        <v>23</v>
      </c>
      <c r="L1847" s="607" t="s">
        <v>653</v>
      </c>
      <c r="M1847" s="108">
        <v>43087</v>
      </c>
      <c r="N1847" s="108">
        <v>43094</v>
      </c>
      <c r="O1847" s="61" t="s">
        <v>2444</v>
      </c>
      <c r="P1847" s="7"/>
      <c r="Q1847" s="7"/>
      <c r="R1847" s="606" t="s">
        <v>2126</v>
      </c>
      <c r="S1847" s="322" t="s">
        <v>1176</v>
      </c>
      <c r="T1847" s="858"/>
    </row>
    <row r="1848" spans="1:20" ht="20.100000000000001" customHeight="1">
      <c r="A1848" s="1256" t="s">
        <v>2971</v>
      </c>
      <c r="B1848" s="1138" t="s">
        <v>2527</v>
      </c>
      <c r="C1848" s="1138" t="s">
        <v>3329</v>
      </c>
      <c r="D1848" s="1006">
        <f>D41+3312+50</f>
        <v>4912</v>
      </c>
      <c r="E1848" s="1006">
        <f>E41+3312+100</f>
        <v>5212</v>
      </c>
      <c r="F1848" s="1006">
        <f>F41+3312+100</f>
        <v>5212</v>
      </c>
      <c r="G1848" s="608" t="s">
        <v>94</v>
      </c>
      <c r="H1848" s="168" t="s">
        <v>1102</v>
      </c>
      <c r="I1848" s="5" t="s">
        <v>2526</v>
      </c>
      <c r="J1848" s="37" t="s">
        <v>2525</v>
      </c>
      <c r="K1848" s="16">
        <v>26</v>
      </c>
      <c r="L1848" s="607" t="s">
        <v>653</v>
      </c>
      <c r="M1848" s="108">
        <v>43087</v>
      </c>
      <c r="N1848" s="108">
        <v>43094</v>
      </c>
      <c r="O1848" s="61" t="s">
        <v>2444</v>
      </c>
      <c r="P1848" s="7"/>
      <c r="Q1848" s="7"/>
      <c r="R1848" s="606" t="s">
        <v>2524</v>
      </c>
      <c r="S1848" s="322" t="s">
        <v>1176</v>
      </c>
      <c r="T1848" s="858"/>
    </row>
    <row r="1849" spans="1:20" ht="20.100000000000001" customHeight="1">
      <c r="A1849" s="925" t="s">
        <v>2971</v>
      </c>
      <c r="B1849" s="899" t="s">
        <v>2527</v>
      </c>
      <c r="C1849" s="899" t="s">
        <v>3328</v>
      </c>
      <c r="D1849" s="1006">
        <f>D41+842+50</f>
        <v>2442</v>
      </c>
      <c r="E1849" s="1006">
        <f>E41+842+100</f>
        <v>2742</v>
      </c>
      <c r="F1849" s="1006">
        <f>F41+842+100</f>
        <v>2742</v>
      </c>
      <c r="G1849" s="608" t="s">
        <v>94</v>
      </c>
      <c r="H1849" s="168" t="s">
        <v>1102</v>
      </c>
      <c r="I1849" s="5" t="s">
        <v>2526</v>
      </c>
      <c r="J1849" s="37" t="s">
        <v>2525</v>
      </c>
      <c r="K1849" s="16">
        <v>26</v>
      </c>
      <c r="L1849" s="607" t="s">
        <v>653</v>
      </c>
      <c r="M1849" s="108">
        <v>43087</v>
      </c>
      <c r="N1849" s="108">
        <v>43094</v>
      </c>
      <c r="O1849" s="61" t="s">
        <v>2444</v>
      </c>
      <c r="P1849" s="7"/>
      <c r="Q1849" s="7"/>
      <c r="R1849" s="606" t="s">
        <v>2524</v>
      </c>
      <c r="S1849" s="322" t="s">
        <v>1176</v>
      </c>
      <c r="T1849" s="858"/>
    </row>
    <row r="1850" spans="1:20" ht="20.100000000000001" customHeight="1">
      <c r="A1850" s="1256" t="s">
        <v>2971</v>
      </c>
      <c r="B1850" s="1138" t="s">
        <v>2527</v>
      </c>
      <c r="C1850" s="1138" t="s">
        <v>3327</v>
      </c>
      <c r="D1850" s="1006">
        <f>D18+2100+50</f>
        <v>3700</v>
      </c>
      <c r="E1850" s="1006">
        <f>E18+2100+100</f>
        <v>4000</v>
      </c>
      <c r="F1850" s="1006">
        <f>F18+2100+100</f>
        <v>4000</v>
      </c>
      <c r="G1850" s="608" t="s">
        <v>94</v>
      </c>
      <c r="H1850" s="56" t="s">
        <v>657</v>
      </c>
      <c r="I1850" s="5" t="s">
        <v>2127</v>
      </c>
      <c r="J1850" s="37" t="s">
        <v>2525</v>
      </c>
      <c r="K1850" s="5">
        <v>22</v>
      </c>
      <c r="L1850" s="607" t="s">
        <v>653</v>
      </c>
      <c r="M1850" s="108">
        <v>43087</v>
      </c>
      <c r="N1850" s="108">
        <v>43094</v>
      </c>
      <c r="O1850" s="61" t="s">
        <v>2444</v>
      </c>
      <c r="P1850" s="7"/>
      <c r="Q1850" s="7"/>
      <c r="R1850" s="606" t="s">
        <v>2126</v>
      </c>
      <c r="S1850" s="322" t="s">
        <v>1176</v>
      </c>
      <c r="T1850" s="858"/>
    </row>
    <row r="1851" spans="1:20" ht="20.100000000000001" customHeight="1">
      <c r="A1851" s="1256" t="s">
        <v>2971</v>
      </c>
      <c r="B1851" s="1138" t="s">
        <v>2527</v>
      </c>
      <c r="C1851" s="1138" t="s">
        <v>3327</v>
      </c>
      <c r="D1851" s="1006">
        <f>D41+1998+50</f>
        <v>3598</v>
      </c>
      <c r="E1851" s="1006">
        <f>E41+1998+100</f>
        <v>3898</v>
      </c>
      <c r="F1851" s="1006">
        <f>F41+1998+100</f>
        <v>3898</v>
      </c>
      <c r="G1851" s="608" t="s">
        <v>94</v>
      </c>
      <c r="H1851" s="168" t="s">
        <v>1102</v>
      </c>
      <c r="I1851" s="5" t="s">
        <v>2526</v>
      </c>
      <c r="J1851" s="37" t="s">
        <v>2525</v>
      </c>
      <c r="K1851" s="16">
        <v>26</v>
      </c>
      <c r="L1851" s="607" t="s">
        <v>653</v>
      </c>
      <c r="M1851" s="108">
        <v>43087</v>
      </c>
      <c r="N1851" s="108">
        <v>43094</v>
      </c>
      <c r="O1851" s="61" t="s">
        <v>2444</v>
      </c>
      <c r="P1851" s="7"/>
      <c r="Q1851" s="7"/>
      <c r="R1851" s="606" t="s">
        <v>2524</v>
      </c>
      <c r="S1851" s="322" t="s">
        <v>1176</v>
      </c>
      <c r="T1851" s="858"/>
    </row>
    <row r="1852" spans="1:20" ht="20.100000000000001" customHeight="1">
      <c r="A1852" s="1256" t="s">
        <v>2971</v>
      </c>
      <c r="B1852" s="1138" t="s">
        <v>2527</v>
      </c>
      <c r="C1852" s="1138" t="s">
        <v>3326</v>
      </c>
      <c r="D1852" s="1006">
        <f>D4+900</f>
        <v>2075</v>
      </c>
      <c r="E1852" s="1006">
        <f>E4+900</f>
        <v>2150</v>
      </c>
      <c r="F1852" s="1006">
        <f>F4+900</f>
        <v>2150</v>
      </c>
      <c r="G1852" s="609" t="s">
        <v>1689</v>
      </c>
      <c r="H1852" s="160" t="s">
        <v>645</v>
      </c>
      <c r="I1852" s="37" t="s">
        <v>2127</v>
      </c>
      <c r="J1852" s="37" t="s">
        <v>2525</v>
      </c>
      <c r="K1852" s="5">
        <v>20</v>
      </c>
      <c r="L1852" s="607" t="s">
        <v>653</v>
      </c>
      <c r="M1852" s="156">
        <v>43076</v>
      </c>
      <c r="N1852" s="156">
        <v>43083</v>
      </c>
      <c r="O1852" s="153" t="s">
        <v>2529</v>
      </c>
      <c r="P1852" s="61"/>
      <c r="Q1852" s="61" t="s">
        <v>2125</v>
      </c>
      <c r="R1852" s="606" t="s">
        <v>2530</v>
      </c>
      <c r="S1852" s="316" t="s">
        <v>2943</v>
      </c>
      <c r="T1852" s="858"/>
    </row>
    <row r="1853" spans="1:20" ht="20.100000000000001" customHeight="1">
      <c r="A1853" s="1256" t="s">
        <v>2971</v>
      </c>
      <c r="B1853" s="1138" t="s">
        <v>2527</v>
      </c>
      <c r="C1853" s="1138" t="s">
        <v>3326</v>
      </c>
      <c r="D1853" s="1006">
        <f>D46+970</f>
        <v>2145</v>
      </c>
      <c r="E1853" s="1006">
        <f>E46+970</f>
        <v>2220</v>
      </c>
      <c r="F1853" s="1006">
        <f>F46+970</f>
        <v>2220</v>
      </c>
      <c r="G1853" s="609" t="s">
        <v>1689</v>
      </c>
      <c r="H1853" s="160" t="s">
        <v>1311</v>
      </c>
      <c r="I1853" s="37" t="s">
        <v>2526</v>
      </c>
      <c r="J1853" s="37" t="s">
        <v>2525</v>
      </c>
      <c r="K1853" s="5">
        <v>30</v>
      </c>
      <c r="L1853" s="607" t="s">
        <v>653</v>
      </c>
      <c r="M1853" s="156">
        <v>43076</v>
      </c>
      <c r="N1853" s="156">
        <v>43083</v>
      </c>
      <c r="O1853" s="153" t="s">
        <v>2529</v>
      </c>
      <c r="P1853" s="61"/>
      <c r="Q1853" s="61" t="s">
        <v>2125</v>
      </c>
      <c r="R1853" s="606" t="s">
        <v>2528</v>
      </c>
      <c r="S1853" s="316" t="s">
        <v>2943</v>
      </c>
      <c r="T1853" s="858"/>
    </row>
    <row r="1854" spans="1:20" ht="20.100000000000001" customHeight="1">
      <c r="A1854" s="1256" t="s">
        <v>2971</v>
      </c>
      <c r="B1854" s="1138" t="s">
        <v>2527</v>
      </c>
      <c r="C1854" s="1138" t="s">
        <v>2595</v>
      </c>
      <c r="D1854" s="1006">
        <f>D4+1300</f>
        <v>2475</v>
      </c>
      <c r="E1854" s="1006">
        <f>E4+1300</f>
        <v>2550</v>
      </c>
      <c r="F1854" s="1006">
        <f>F4+1300</f>
        <v>2550</v>
      </c>
      <c r="G1854" s="609" t="s">
        <v>1689</v>
      </c>
      <c r="H1854" s="160" t="s">
        <v>645</v>
      </c>
      <c r="I1854" s="37" t="s">
        <v>2127</v>
      </c>
      <c r="J1854" s="37" t="s">
        <v>2525</v>
      </c>
      <c r="K1854" s="5">
        <v>20</v>
      </c>
      <c r="L1854" s="607" t="s">
        <v>653</v>
      </c>
      <c r="M1854" s="156">
        <v>43076</v>
      </c>
      <c r="N1854" s="156">
        <v>43083</v>
      </c>
      <c r="O1854" s="153" t="s">
        <v>2529</v>
      </c>
      <c r="P1854" s="61"/>
      <c r="Q1854" s="61" t="s">
        <v>2125</v>
      </c>
      <c r="R1854" s="606" t="s">
        <v>2530</v>
      </c>
      <c r="S1854" s="316" t="s">
        <v>2943</v>
      </c>
      <c r="T1854" s="858"/>
    </row>
    <row r="1855" spans="1:20" ht="20.100000000000001" customHeight="1">
      <c r="A1855" s="1256" t="s">
        <v>2971</v>
      </c>
      <c r="B1855" s="1138" t="s">
        <v>2527</v>
      </c>
      <c r="C1855" s="1138" t="s">
        <v>2595</v>
      </c>
      <c r="D1855" s="1006">
        <f>D46+1627</f>
        <v>2802</v>
      </c>
      <c r="E1855" s="1006">
        <f>E46+1627</f>
        <v>2877</v>
      </c>
      <c r="F1855" s="1006">
        <f>F46+1627</f>
        <v>2877</v>
      </c>
      <c r="G1855" s="609" t="s">
        <v>1689</v>
      </c>
      <c r="H1855" s="160" t="s">
        <v>1311</v>
      </c>
      <c r="I1855" s="37" t="s">
        <v>2526</v>
      </c>
      <c r="J1855" s="37" t="s">
        <v>2525</v>
      </c>
      <c r="K1855" s="5">
        <v>30</v>
      </c>
      <c r="L1855" s="607" t="s">
        <v>653</v>
      </c>
      <c r="M1855" s="156">
        <v>43076</v>
      </c>
      <c r="N1855" s="156">
        <v>43083</v>
      </c>
      <c r="O1855" s="153" t="s">
        <v>2529</v>
      </c>
      <c r="P1855" s="61"/>
      <c r="Q1855" s="61" t="s">
        <v>2125</v>
      </c>
      <c r="R1855" s="606" t="s">
        <v>2528</v>
      </c>
      <c r="S1855" s="316" t="s">
        <v>2943</v>
      </c>
      <c r="T1855" s="858"/>
    </row>
    <row r="1856" spans="1:20" ht="20.100000000000001" customHeight="1">
      <c r="A1856" s="1256" t="s">
        <v>2971</v>
      </c>
      <c r="B1856" s="1138" t="s">
        <v>2527</v>
      </c>
      <c r="C1856" s="1138" t="s">
        <v>2595</v>
      </c>
      <c r="D1856" s="1006">
        <f>D18+1250+50</f>
        <v>2850</v>
      </c>
      <c r="E1856" s="1006">
        <f>E18+1250+100</f>
        <v>3150</v>
      </c>
      <c r="F1856" s="1006">
        <f>F18+1250+100</f>
        <v>3150</v>
      </c>
      <c r="G1856" s="608" t="s">
        <v>94</v>
      </c>
      <c r="H1856" s="56" t="s">
        <v>657</v>
      </c>
      <c r="I1856" s="5" t="s">
        <v>2127</v>
      </c>
      <c r="J1856" s="37" t="s">
        <v>2525</v>
      </c>
      <c r="K1856" s="16">
        <v>21</v>
      </c>
      <c r="L1856" s="607" t="s">
        <v>653</v>
      </c>
      <c r="M1856" s="108">
        <v>43087</v>
      </c>
      <c r="N1856" s="108">
        <v>43094</v>
      </c>
      <c r="O1856" s="61" t="s">
        <v>2444</v>
      </c>
      <c r="P1856" s="7"/>
      <c r="Q1856" s="7"/>
      <c r="R1856" s="606" t="s">
        <v>2126</v>
      </c>
      <c r="S1856" s="322" t="s">
        <v>1176</v>
      </c>
      <c r="T1856" s="858"/>
    </row>
    <row r="1857" spans="1:24" ht="20.100000000000001" customHeight="1">
      <c r="A1857" s="1256" t="s">
        <v>2971</v>
      </c>
      <c r="B1857" s="1138" t="s">
        <v>2527</v>
      </c>
      <c r="C1857" s="1138" t="s">
        <v>2595</v>
      </c>
      <c r="D1857" s="1006">
        <f>D41+1310+50</f>
        <v>2910</v>
      </c>
      <c r="E1857" s="1006">
        <f>E41+1310+100</f>
        <v>3210</v>
      </c>
      <c r="F1857" s="1006">
        <f>F41+1310+100</f>
        <v>3210</v>
      </c>
      <c r="G1857" s="608" t="s">
        <v>94</v>
      </c>
      <c r="H1857" s="168" t="s">
        <v>1102</v>
      </c>
      <c r="I1857" s="5" t="s">
        <v>2526</v>
      </c>
      <c r="J1857" s="37" t="s">
        <v>2525</v>
      </c>
      <c r="K1857" s="16">
        <v>26</v>
      </c>
      <c r="L1857" s="607" t="s">
        <v>653</v>
      </c>
      <c r="M1857" s="108">
        <v>43087</v>
      </c>
      <c r="N1857" s="108">
        <v>43094</v>
      </c>
      <c r="O1857" s="61" t="s">
        <v>2444</v>
      </c>
      <c r="P1857" s="7"/>
      <c r="Q1857" s="7"/>
      <c r="R1857" s="606" t="s">
        <v>2524</v>
      </c>
      <c r="S1857" s="322" t="s">
        <v>1176</v>
      </c>
      <c r="T1857" s="858"/>
    </row>
    <row r="1858" spans="1:24" ht="20.100000000000001" customHeight="1">
      <c r="A1858" s="1256" t="s">
        <v>2971</v>
      </c>
      <c r="B1858" s="1138" t="s">
        <v>2527</v>
      </c>
      <c r="C1858" s="1138" t="s">
        <v>2594</v>
      </c>
      <c r="D1858" s="1006">
        <f>D18+1540+50</f>
        <v>3140</v>
      </c>
      <c r="E1858" s="1006">
        <f>E18+1540+100</f>
        <v>3440</v>
      </c>
      <c r="F1858" s="1006">
        <f>F18+1540+100</f>
        <v>3440</v>
      </c>
      <c r="G1858" s="608" t="s">
        <v>94</v>
      </c>
      <c r="H1858" s="56" t="s">
        <v>657</v>
      </c>
      <c r="I1858" s="5" t="s">
        <v>2127</v>
      </c>
      <c r="J1858" s="37" t="s">
        <v>1211</v>
      </c>
      <c r="K1858" s="5">
        <v>26</v>
      </c>
      <c r="L1858" s="607" t="s">
        <v>653</v>
      </c>
      <c r="M1858" s="108">
        <v>43087</v>
      </c>
      <c r="N1858" s="108">
        <v>43094</v>
      </c>
      <c r="O1858" s="61" t="s">
        <v>2444</v>
      </c>
      <c r="P1858" s="7"/>
      <c r="Q1858" s="7"/>
      <c r="R1858" s="606" t="s">
        <v>2126</v>
      </c>
      <c r="S1858" s="322" t="s">
        <v>1176</v>
      </c>
      <c r="T1858" s="858"/>
    </row>
    <row r="1859" spans="1:24" ht="20.100000000000001" customHeight="1">
      <c r="A1859" s="1256" t="s">
        <v>2971</v>
      </c>
      <c r="B1859" s="1138" t="s">
        <v>2527</v>
      </c>
      <c r="C1859" s="1138" t="s">
        <v>2594</v>
      </c>
      <c r="D1859" s="1006">
        <f>D41+1510+50</f>
        <v>3110</v>
      </c>
      <c r="E1859" s="1006">
        <f>E41+1520+100</f>
        <v>3420</v>
      </c>
      <c r="F1859" s="1006">
        <f>F41+1520+100</f>
        <v>3420</v>
      </c>
      <c r="G1859" s="608" t="s">
        <v>94</v>
      </c>
      <c r="H1859" s="168" t="s">
        <v>1102</v>
      </c>
      <c r="I1859" s="5" t="s">
        <v>2526</v>
      </c>
      <c r="J1859" s="37" t="s">
        <v>1211</v>
      </c>
      <c r="K1859" s="16">
        <v>26</v>
      </c>
      <c r="L1859" s="607" t="s">
        <v>653</v>
      </c>
      <c r="M1859" s="108">
        <v>43087</v>
      </c>
      <c r="N1859" s="108">
        <v>43094</v>
      </c>
      <c r="O1859" s="61" t="s">
        <v>2444</v>
      </c>
      <c r="P1859" s="7"/>
      <c r="Q1859" s="7"/>
      <c r="R1859" s="606" t="s">
        <v>2524</v>
      </c>
      <c r="S1859" s="322" t="s">
        <v>1176</v>
      </c>
      <c r="T1859" s="858"/>
    </row>
    <row r="1860" spans="1:24" ht="20.100000000000001" customHeight="1">
      <c r="A1860" s="1256" t="s">
        <v>2971</v>
      </c>
      <c r="B1860" s="1138" t="s">
        <v>2527</v>
      </c>
      <c r="C1860" s="1138" t="s">
        <v>4208</v>
      </c>
      <c r="D1860" s="1006">
        <f>D18+980+50</f>
        <v>2580</v>
      </c>
      <c r="E1860" s="1006">
        <f>E18+1130+100</f>
        <v>3030</v>
      </c>
      <c r="F1860" s="1006">
        <f>F18+1130+100</f>
        <v>3030</v>
      </c>
      <c r="G1860" s="608" t="s">
        <v>94</v>
      </c>
      <c r="H1860" s="56" t="s">
        <v>657</v>
      </c>
      <c r="I1860" s="5" t="s">
        <v>2127</v>
      </c>
      <c r="J1860" s="37" t="s">
        <v>1211</v>
      </c>
      <c r="K1860" s="5">
        <v>26</v>
      </c>
      <c r="L1860" s="607" t="s">
        <v>653</v>
      </c>
      <c r="M1860" s="108">
        <v>43087</v>
      </c>
      <c r="N1860" s="108">
        <v>43094</v>
      </c>
      <c r="O1860" s="61" t="s">
        <v>2444</v>
      </c>
      <c r="P1860" s="7"/>
      <c r="Q1860" s="7"/>
      <c r="R1860" s="606" t="s">
        <v>2126</v>
      </c>
      <c r="S1860" s="322" t="s">
        <v>1176</v>
      </c>
      <c r="T1860" s="858"/>
      <c r="U1860" s="596"/>
      <c r="V1860" s="596"/>
      <c r="W1860" s="596"/>
      <c r="X1860" s="596"/>
    </row>
    <row r="1861" spans="1:24" ht="20.100000000000001" customHeight="1">
      <c r="A1861" s="1256" t="s">
        <v>2971</v>
      </c>
      <c r="B1861" s="1138" t="s">
        <v>2527</v>
      </c>
      <c r="C1861" s="1138" t="s">
        <v>4208</v>
      </c>
      <c r="D1861" s="1006">
        <f>D46+919</f>
        <v>2094</v>
      </c>
      <c r="E1861" s="1006">
        <f>E46+919</f>
        <v>2169</v>
      </c>
      <c r="F1861" s="1006">
        <f>F46+919</f>
        <v>2169</v>
      </c>
      <c r="G1861" s="609" t="s">
        <v>1689</v>
      </c>
      <c r="H1861" s="160" t="s">
        <v>1311</v>
      </c>
      <c r="I1861" s="37" t="s">
        <v>2526</v>
      </c>
      <c r="J1861" s="37" t="s">
        <v>2525</v>
      </c>
      <c r="K1861" s="5">
        <v>30</v>
      </c>
      <c r="L1861" s="607" t="s">
        <v>653</v>
      </c>
      <c r="M1861" s="156">
        <v>43076</v>
      </c>
      <c r="N1861" s="156">
        <v>43083</v>
      </c>
      <c r="O1861" s="153" t="s">
        <v>2529</v>
      </c>
      <c r="P1861" s="61"/>
      <c r="Q1861" s="61" t="s">
        <v>2125</v>
      </c>
      <c r="R1861" s="606" t="s">
        <v>2528</v>
      </c>
      <c r="S1861" s="316" t="s">
        <v>2943</v>
      </c>
      <c r="T1861" s="858"/>
      <c r="U1861" s="596"/>
      <c r="V1861" s="596"/>
      <c r="W1861" s="596"/>
      <c r="X1861" s="596"/>
    </row>
    <row r="1862" spans="1:24" ht="20.100000000000001" customHeight="1">
      <c r="A1862" s="1256" t="s">
        <v>2971</v>
      </c>
      <c r="B1862" s="1138" t="s">
        <v>2527</v>
      </c>
      <c r="C1862" s="1138" t="s">
        <v>4208</v>
      </c>
      <c r="D1862" s="1006">
        <f>D18+1250+50</f>
        <v>2850</v>
      </c>
      <c r="E1862" s="1006">
        <f>E18+1250+100</f>
        <v>3150</v>
      </c>
      <c r="F1862" s="1006">
        <f>F18+1250+100</f>
        <v>3150</v>
      </c>
      <c r="G1862" s="608" t="s">
        <v>94</v>
      </c>
      <c r="H1862" s="56" t="s">
        <v>657</v>
      </c>
      <c r="I1862" s="5" t="s">
        <v>2127</v>
      </c>
      <c r="J1862" s="37" t="s">
        <v>2525</v>
      </c>
      <c r="K1862" s="16">
        <v>21</v>
      </c>
      <c r="L1862" s="607" t="s">
        <v>653</v>
      </c>
      <c r="M1862" s="108">
        <v>43087</v>
      </c>
      <c r="N1862" s="108">
        <v>43094</v>
      </c>
      <c r="O1862" s="61" t="s">
        <v>2444</v>
      </c>
      <c r="P1862" s="7"/>
      <c r="Q1862" s="7"/>
      <c r="R1862" s="606" t="s">
        <v>2126</v>
      </c>
      <c r="S1862" s="322" t="s">
        <v>1176</v>
      </c>
      <c r="T1862" s="858"/>
    </row>
    <row r="1863" spans="1:24" ht="20.100000000000001" customHeight="1">
      <c r="A1863" s="1256" t="s">
        <v>2971</v>
      </c>
      <c r="B1863" s="1138" t="s">
        <v>2527</v>
      </c>
      <c r="C1863" s="1138" t="s">
        <v>4208</v>
      </c>
      <c r="D1863" s="1006">
        <f>D41+884+50</f>
        <v>2484</v>
      </c>
      <c r="E1863" s="1006">
        <f>E41+884+100</f>
        <v>2784</v>
      </c>
      <c r="F1863" s="1006">
        <f>F41+884+100</f>
        <v>2784</v>
      </c>
      <c r="G1863" s="608" t="s">
        <v>94</v>
      </c>
      <c r="H1863" s="168" t="s">
        <v>1102</v>
      </c>
      <c r="I1863" s="5" t="s">
        <v>2526</v>
      </c>
      <c r="J1863" s="37" t="s">
        <v>2525</v>
      </c>
      <c r="K1863" s="16">
        <v>26</v>
      </c>
      <c r="L1863" s="607" t="s">
        <v>653</v>
      </c>
      <c r="M1863" s="108">
        <v>43087</v>
      </c>
      <c r="N1863" s="108">
        <v>43094</v>
      </c>
      <c r="O1863" s="61" t="s">
        <v>2444</v>
      </c>
      <c r="P1863" s="7"/>
      <c r="Q1863" s="7"/>
      <c r="R1863" s="606" t="s">
        <v>2524</v>
      </c>
      <c r="S1863" s="322" t="s">
        <v>1176</v>
      </c>
      <c r="T1863" s="858"/>
    </row>
    <row r="1864" spans="1:24" ht="20.100000000000001" customHeight="1">
      <c r="A1864" s="925" t="s">
        <v>2971</v>
      </c>
      <c r="B1864" s="899" t="s">
        <v>2527</v>
      </c>
      <c r="C1864" s="899" t="s">
        <v>4465</v>
      </c>
      <c r="D1864" s="1006">
        <f>D46+1233</f>
        <v>2408</v>
      </c>
      <c r="E1864" s="1006">
        <f>E46+1233</f>
        <v>2483</v>
      </c>
      <c r="F1864" s="1006">
        <f>F46+1233</f>
        <v>2483</v>
      </c>
      <c r="G1864" s="609" t="s">
        <v>1689</v>
      </c>
      <c r="H1864" s="160" t="s">
        <v>1311</v>
      </c>
      <c r="I1864" s="37" t="s">
        <v>2526</v>
      </c>
      <c r="J1864" s="37" t="s">
        <v>2525</v>
      </c>
      <c r="K1864" s="5">
        <v>30</v>
      </c>
      <c r="L1864" s="607" t="s">
        <v>653</v>
      </c>
      <c r="M1864" s="156">
        <v>43076</v>
      </c>
      <c r="N1864" s="156">
        <v>43083</v>
      </c>
      <c r="O1864" s="153" t="s">
        <v>2529</v>
      </c>
      <c r="P1864" s="61"/>
      <c r="Q1864" s="61" t="s">
        <v>2125</v>
      </c>
      <c r="R1864" s="606" t="s">
        <v>2528</v>
      </c>
      <c r="S1864" s="316" t="s">
        <v>2943</v>
      </c>
      <c r="T1864" s="858"/>
    </row>
    <row r="1865" spans="1:24" ht="20.100000000000001" customHeight="1">
      <c r="A1865" s="925" t="s">
        <v>2971</v>
      </c>
      <c r="B1865" s="899" t="s">
        <v>2527</v>
      </c>
      <c r="C1865" s="899" t="s">
        <v>4207</v>
      </c>
      <c r="D1865" s="1006">
        <f>D41+938+50</f>
        <v>2538</v>
      </c>
      <c r="E1865" s="1006">
        <f>E41+938+100</f>
        <v>2838</v>
      </c>
      <c r="F1865" s="1006">
        <f>F41+938+100</f>
        <v>2838</v>
      </c>
      <c r="G1865" s="608" t="s">
        <v>94</v>
      </c>
      <c r="H1865" s="168" t="s">
        <v>1102</v>
      </c>
      <c r="I1865" s="5" t="s">
        <v>2526</v>
      </c>
      <c r="J1865" s="37" t="s">
        <v>2525</v>
      </c>
      <c r="K1865" s="16">
        <v>26</v>
      </c>
      <c r="L1865" s="607" t="s">
        <v>653</v>
      </c>
      <c r="M1865" s="108">
        <v>43087</v>
      </c>
      <c r="N1865" s="108">
        <v>43094</v>
      </c>
      <c r="O1865" s="61" t="s">
        <v>2444</v>
      </c>
      <c r="P1865" s="7"/>
      <c r="Q1865" s="7"/>
      <c r="R1865" s="606" t="s">
        <v>5393</v>
      </c>
      <c r="S1865" s="322" t="s">
        <v>5392</v>
      </c>
      <c r="T1865" s="858"/>
    </row>
    <row r="1866" spans="1:24" ht="20.100000000000001" customHeight="1">
      <c r="A1866" s="925" t="s">
        <v>5391</v>
      </c>
      <c r="B1866" s="899" t="s">
        <v>5390</v>
      </c>
      <c r="C1866" s="899" t="s">
        <v>5389</v>
      </c>
      <c r="D1866" s="1006">
        <f>D41+1109+50</f>
        <v>2709</v>
      </c>
      <c r="E1866" s="1006">
        <f>E41+1109+100</f>
        <v>3009</v>
      </c>
      <c r="F1866" s="1006">
        <f>F41+1109+100</f>
        <v>3009</v>
      </c>
      <c r="G1866" s="608" t="s">
        <v>94</v>
      </c>
      <c r="H1866" s="168" t="s">
        <v>5388</v>
      </c>
      <c r="I1866" s="5" t="s">
        <v>5387</v>
      </c>
      <c r="J1866" s="37" t="s">
        <v>2525</v>
      </c>
      <c r="K1866" s="16">
        <v>26</v>
      </c>
      <c r="L1866" s="607" t="s">
        <v>653</v>
      </c>
      <c r="M1866" s="108">
        <v>43087</v>
      </c>
      <c r="N1866" s="108">
        <v>43094</v>
      </c>
      <c r="O1866" s="61" t="s">
        <v>2444</v>
      </c>
      <c r="P1866" s="7"/>
      <c r="Q1866" s="7"/>
      <c r="R1866" s="606" t="s">
        <v>2524</v>
      </c>
      <c r="S1866" s="322" t="s">
        <v>1176</v>
      </c>
      <c r="T1866" s="858"/>
    </row>
    <row r="1867" spans="1:24" ht="20.100000000000001" customHeight="1">
      <c r="B1867" s="307"/>
      <c r="C1867" s="307"/>
      <c r="D1867" s="41"/>
      <c r="E1867" s="41"/>
      <c r="F1867" s="41"/>
      <c r="I1867" s="44"/>
      <c r="J1867" s="44"/>
      <c r="K1867" s="45"/>
      <c r="L1867" s="1"/>
      <c r="M1867" s="1"/>
      <c r="N1867" s="1"/>
      <c r="O1867" s="44"/>
      <c r="P1867" s="44"/>
      <c r="R1867" s="46"/>
    </row>
    <row r="1868" spans="1:24" ht="20.100000000000001" customHeight="1">
      <c r="B1868" s="307"/>
      <c r="C1868" s="307"/>
      <c r="D1868" s="41"/>
      <c r="E1868" s="41"/>
      <c r="F1868" s="41"/>
      <c r="I1868" s="44"/>
      <c r="J1868" s="44"/>
      <c r="K1868" s="45"/>
      <c r="L1868" s="1"/>
      <c r="M1868" s="1"/>
      <c r="N1868" s="1"/>
      <c r="O1868" s="44"/>
      <c r="P1868" s="44"/>
      <c r="R1868" s="46"/>
    </row>
    <row r="1869" spans="1:24" ht="20.100000000000001" customHeight="1">
      <c r="B1869" s="307"/>
      <c r="C1869" s="307"/>
      <c r="D1869" s="41"/>
      <c r="E1869" s="41"/>
      <c r="F1869" s="41"/>
      <c r="I1869" s="44"/>
      <c r="J1869" s="44"/>
      <c r="K1869" s="45"/>
      <c r="L1869" s="1"/>
      <c r="M1869" s="1"/>
      <c r="N1869" s="1"/>
      <c r="O1869" s="44"/>
      <c r="P1869" s="44"/>
      <c r="R1869" s="46"/>
    </row>
    <row r="1870" spans="1:24" ht="20.100000000000001" customHeight="1">
      <c r="B1870" s="307"/>
      <c r="C1870" s="307"/>
      <c r="D1870" s="41"/>
      <c r="E1870" s="41"/>
      <c r="F1870" s="41"/>
      <c r="I1870" s="44"/>
      <c r="J1870" s="44"/>
      <c r="K1870" s="45"/>
      <c r="L1870" s="1"/>
      <c r="M1870" s="1"/>
      <c r="N1870" s="1"/>
      <c r="O1870" s="44"/>
      <c r="P1870" s="44"/>
      <c r="R1870" s="46"/>
    </row>
    <row r="1871" spans="1:24" ht="20.100000000000001" customHeight="1">
      <c r="B1871" s="307"/>
      <c r="C1871" s="307"/>
      <c r="D1871" s="41"/>
      <c r="E1871" s="41"/>
      <c r="F1871" s="41"/>
      <c r="I1871" s="44"/>
      <c r="J1871" s="44"/>
      <c r="K1871" s="45"/>
      <c r="L1871" s="1"/>
      <c r="M1871" s="1"/>
      <c r="N1871" s="1"/>
      <c r="O1871" s="44"/>
      <c r="P1871" s="44"/>
      <c r="R1871" s="46"/>
    </row>
    <row r="1872" spans="1:24" ht="20.100000000000001" customHeight="1">
      <c r="B1872" s="307"/>
      <c r="C1872" s="307"/>
      <c r="D1872" s="41"/>
      <c r="E1872" s="41"/>
      <c r="F1872" s="41"/>
      <c r="I1872" s="44"/>
      <c r="J1872" s="44"/>
      <c r="K1872" s="45"/>
      <c r="L1872" s="1"/>
      <c r="M1872" s="1"/>
      <c r="N1872" s="1"/>
      <c r="O1872" s="44"/>
      <c r="P1872" s="44"/>
      <c r="R1872" s="46"/>
    </row>
    <row r="1873" spans="2:18" ht="20.100000000000001" customHeight="1">
      <c r="B1873" s="307"/>
      <c r="C1873" s="307"/>
      <c r="D1873" s="41"/>
      <c r="E1873" s="41"/>
      <c r="F1873" s="41"/>
      <c r="I1873" s="44"/>
      <c r="J1873" s="44"/>
      <c r="K1873" s="45"/>
      <c r="L1873" s="1"/>
      <c r="M1873" s="1"/>
      <c r="N1873" s="1"/>
      <c r="O1873" s="44"/>
      <c r="P1873" s="44"/>
      <c r="R1873" s="46"/>
    </row>
    <row r="1874" spans="2:18" ht="20.100000000000001" customHeight="1">
      <c r="B1874" s="307"/>
      <c r="C1874" s="307"/>
      <c r="D1874" s="41"/>
      <c r="E1874" s="41"/>
      <c r="F1874" s="41"/>
      <c r="I1874" s="44"/>
      <c r="J1874" s="44"/>
      <c r="K1874" s="45"/>
      <c r="L1874" s="1"/>
      <c r="M1874" s="1"/>
      <c r="N1874" s="1"/>
      <c r="O1874" s="44"/>
      <c r="P1874" s="44"/>
      <c r="R1874" s="46"/>
    </row>
    <row r="1875" spans="2:18" ht="20.100000000000001" customHeight="1">
      <c r="B1875" s="307"/>
      <c r="C1875" s="307"/>
      <c r="D1875" s="41"/>
      <c r="E1875" s="41"/>
      <c r="F1875" s="41"/>
      <c r="I1875" s="44"/>
      <c r="J1875" s="44"/>
      <c r="K1875" s="45"/>
      <c r="L1875" s="1"/>
      <c r="M1875" s="1"/>
      <c r="N1875" s="1"/>
      <c r="O1875" s="44"/>
      <c r="P1875" s="44"/>
      <c r="R1875" s="46"/>
    </row>
    <row r="1876" spans="2:18" ht="20.100000000000001" customHeight="1">
      <c r="B1876" s="307"/>
      <c r="C1876" s="307"/>
      <c r="D1876" s="41"/>
      <c r="E1876" s="41"/>
      <c r="F1876" s="41"/>
      <c r="I1876" s="44"/>
      <c r="J1876" s="44"/>
      <c r="K1876" s="45"/>
      <c r="L1876" s="1"/>
      <c r="M1876" s="1"/>
      <c r="N1876" s="1"/>
      <c r="O1876" s="44"/>
      <c r="P1876" s="44"/>
      <c r="R1876" s="46"/>
    </row>
    <row r="1877" spans="2:18" ht="20.100000000000001" customHeight="1">
      <c r="B1877" s="307"/>
      <c r="C1877" s="307"/>
      <c r="D1877" s="41"/>
      <c r="E1877" s="41"/>
      <c r="F1877" s="41"/>
      <c r="I1877" s="44"/>
      <c r="J1877" s="44"/>
      <c r="K1877" s="45"/>
      <c r="L1877" s="1"/>
      <c r="M1877" s="1"/>
      <c r="N1877" s="1"/>
      <c r="O1877" s="44"/>
      <c r="P1877" s="44"/>
      <c r="R1877" s="46"/>
    </row>
    <row r="1878" spans="2:18" ht="20.100000000000001" customHeight="1">
      <c r="B1878" s="307"/>
      <c r="C1878" s="307"/>
      <c r="D1878" s="41"/>
      <c r="E1878" s="41"/>
      <c r="F1878" s="41"/>
      <c r="I1878" s="44"/>
      <c r="J1878" s="44"/>
      <c r="K1878" s="45"/>
      <c r="L1878" s="1"/>
      <c r="M1878" s="1"/>
      <c r="N1878" s="1"/>
      <c r="O1878" s="44"/>
      <c r="P1878" s="44"/>
      <c r="R1878" s="46"/>
    </row>
    <row r="1879" spans="2:18" ht="20.100000000000001" customHeight="1">
      <c r="B1879" s="307"/>
      <c r="C1879" s="307"/>
      <c r="D1879" s="41"/>
      <c r="E1879" s="41"/>
      <c r="F1879" s="41"/>
      <c r="I1879" s="44"/>
      <c r="J1879" s="44"/>
      <c r="K1879" s="45"/>
      <c r="L1879" s="1"/>
      <c r="M1879" s="1"/>
      <c r="N1879" s="1"/>
      <c r="O1879" s="44"/>
      <c r="P1879" s="44"/>
      <c r="R1879" s="46"/>
    </row>
    <row r="1880" spans="2:18" ht="20.100000000000001" customHeight="1">
      <c r="B1880" s="307"/>
      <c r="C1880" s="307"/>
      <c r="D1880" s="41"/>
      <c r="E1880" s="41"/>
      <c r="F1880" s="41"/>
      <c r="I1880" s="44"/>
      <c r="J1880" s="44"/>
      <c r="K1880" s="45"/>
      <c r="L1880" s="1"/>
      <c r="M1880" s="1"/>
      <c r="N1880" s="1"/>
      <c r="O1880" s="44"/>
      <c r="P1880" s="44"/>
      <c r="R1880" s="46"/>
    </row>
    <row r="1881" spans="2:18" ht="20.100000000000001" customHeight="1">
      <c r="B1881" s="307"/>
      <c r="C1881" s="307"/>
      <c r="I1881" s="44"/>
      <c r="J1881" s="44"/>
      <c r="K1881" s="45"/>
      <c r="L1881" s="1"/>
      <c r="M1881" s="1"/>
      <c r="N1881" s="1"/>
      <c r="O1881" s="44"/>
      <c r="P1881" s="44"/>
      <c r="R1881" s="46"/>
    </row>
  </sheetData>
  <sheetProtection selectLockedCells="1" autoFilter="0" selectUnlockedCells="1"/>
  <autoFilter ref="A2:T1866">
    <filterColumn colId="3" showButton="0"/>
    <filterColumn colId="4" showButton="0"/>
  </autoFilter>
  <mergeCells count="937">
    <mergeCell ref="A1858:A1859"/>
    <mergeCell ref="B1858:B1859"/>
    <mergeCell ref="C1858:C1859"/>
    <mergeCell ref="A1854:A1857"/>
    <mergeCell ref="B1854:B1857"/>
    <mergeCell ref="C1854:C1857"/>
    <mergeCell ref="B1738:B1740"/>
    <mergeCell ref="B1716:B1718"/>
    <mergeCell ref="C1852:C1853"/>
    <mergeCell ref="A1852:A1853"/>
    <mergeCell ref="B1852:B1853"/>
    <mergeCell ref="B1755:B1759"/>
    <mergeCell ref="B1842:B1845"/>
    <mergeCell ref="A1840:A1841"/>
    <mergeCell ref="B1721:B1724"/>
    <mergeCell ref="C1721:C1724"/>
    <mergeCell ref="C1719:C1720"/>
    <mergeCell ref="A1721:A1724"/>
    <mergeCell ref="C1728:C1735"/>
    <mergeCell ref="C1741:C1749"/>
    <mergeCell ref="C1817:C1823"/>
    <mergeCell ref="C1794:C1804"/>
    <mergeCell ref="C1805:C1814"/>
    <mergeCell ref="C1828:C1833"/>
    <mergeCell ref="B1763:B1768"/>
    <mergeCell ref="C1763:C1768"/>
    <mergeCell ref="A1770:A1775"/>
    <mergeCell ref="B1770:B1775"/>
    <mergeCell ref="C1770:C1775"/>
    <mergeCell ref="A1728:A1735"/>
    <mergeCell ref="B1728:B1735"/>
    <mergeCell ref="B1725:B1726"/>
    <mergeCell ref="B1719:B1720"/>
    <mergeCell ref="C1725:C1726"/>
    <mergeCell ref="A1719:A1720"/>
    <mergeCell ref="C1640:C1645"/>
    <mergeCell ref="C1646:C1648"/>
    <mergeCell ref="A1662:A1665"/>
    <mergeCell ref="A1694:A1695"/>
    <mergeCell ref="B1646:B1648"/>
    <mergeCell ref="A1640:A1645"/>
    <mergeCell ref="C1649:C1659"/>
    <mergeCell ref="A1725:A1726"/>
    <mergeCell ref="A1649:A1659"/>
    <mergeCell ref="A1716:A1718"/>
    <mergeCell ref="C1678:C1693"/>
    <mergeCell ref="B1662:B1665"/>
    <mergeCell ref="C1662:C1665"/>
    <mergeCell ref="B1834:B1837"/>
    <mergeCell ref="C1834:C1837"/>
    <mergeCell ref="C1842:C1845"/>
    <mergeCell ref="A1846:A1848"/>
    <mergeCell ref="B1846:B1848"/>
    <mergeCell ref="C1846:C1848"/>
    <mergeCell ref="C1564:C1566"/>
    <mergeCell ref="C1569:C1571"/>
    <mergeCell ref="B1575:B1576"/>
    <mergeCell ref="B1700:B1713"/>
    <mergeCell ref="A1700:A1713"/>
    <mergeCell ref="C1666:C1669"/>
    <mergeCell ref="A1671:A1677"/>
    <mergeCell ref="C1671:C1677"/>
    <mergeCell ref="B1678:B1693"/>
    <mergeCell ref="A1666:A1669"/>
    <mergeCell ref="B1694:B1695"/>
    <mergeCell ref="B1626:B1633"/>
    <mergeCell ref="A1585:A1598"/>
    <mergeCell ref="B1585:B1598"/>
    <mergeCell ref="A1564:A1566"/>
    <mergeCell ref="A1567:A1568"/>
    <mergeCell ref="B1622:B1625"/>
    <mergeCell ref="C1634:C1635"/>
    <mergeCell ref="C1532:C1533"/>
    <mergeCell ref="B1515:B1518"/>
    <mergeCell ref="C1515:C1518"/>
    <mergeCell ref="C1522:C1524"/>
    <mergeCell ref="B1541:B1546"/>
    <mergeCell ref="B1519:B1520"/>
    <mergeCell ref="A1519:A1520"/>
    <mergeCell ref="A1561:A1563"/>
    <mergeCell ref="C1538:C1540"/>
    <mergeCell ref="C1534:C1537"/>
    <mergeCell ref="C1525:C1526"/>
    <mergeCell ref="C1530:C1531"/>
    <mergeCell ref="B1558:B1560"/>
    <mergeCell ref="B1532:B1533"/>
    <mergeCell ref="A1541:A1546"/>
    <mergeCell ref="A1522:A1524"/>
    <mergeCell ref="A747:A753"/>
    <mergeCell ref="B604:B611"/>
    <mergeCell ref="A502:A506"/>
    <mergeCell ref="B502:B506"/>
    <mergeCell ref="C486:C487"/>
    <mergeCell ref="B507:B509"/>
    <mergeCell ref="B486:B487"/>
    <mergeCell ref="A477:A481"/>
    <mergeCell ref="A467:A470"/>
    <mergeCell ref="A472:A476"/>
    <mergeCell ref="A587:A592"/>
    <mergeCell ref="A598:A603"/>
    <mergeCell ref="A594:A597"/>
    <mergeCell ref="C495:C501"/>
    <mergeCell ref="A486:A487"/>
    <mergeCell ref="B490:B494"/>
    <mergeCell ref="A490:A494"/>
    <mergeCell ref="A495:A501"/>
    <mergeCell ref="B520:B521"/>
    <mergeCell ref="C507:C509"/>
    <mergeCell ref="C502:C506"/>
    <mergeCell ref="A520:A521"/>
    <mergeCell ref="A515:A519"/>
    <mergeCell ref="C520:C521"/>
    <mergeCell ref="A410:A411"/>
    <mergeCell ref="C529:C530"/>
    <mergeCell ref="A512:A514"/>
    <mergeCell ref="C433:C439"/>
    <mergeCell ref="C472:C476"/>
    <mergeCell ref="C407:C409"/>
    <mergeCell ref="C410:C411"/>
    <mergeCell ref="B522:B524"/>
    <mergeCell ref="C450:C454"/>
    <mergeCell ref="A440:A448"/>
    <mergeCell ref="C424:C432"/>
    <mergeCell ref="C440:C448"/>
    <mergeCell ref="B450:B454"/>
    <mergeCell ref="C512:C514"/>
    <mergeCell ref="B424:B432"/>
    <mergeCell ref="A412:A416"/>
    <mergeCell ref="B412:B416"/>
    <mergeCell ref="B422:B423"/>
    <mergeCell ref="A457:A465"/>
    <mergeCell ref="A450:A454"/>
    <mergeCell ref="C482:C485"/>
    <mergeCell ref="A420:A421"/>
    <mergeCell ref="C420:C421"/>
    <mergeCell ref="C522:C524"/>
    <mergeCell ref="A585:A586"/>
    <mergeCell ref="C477:C481"/>
    <mergeCell ref="C422:C423"/>
    <mergeCell ref="B477:B481"/>
    <mergeCell ref="B433:B439"/>
    <mergeCell ref="B440:B448"/>
    <mergeCell ref="B457:B465"/>
    <mergeCell ref="C457:C465"/>
    <mergeCell ref="B472:B476"/>
    <mergeCell ref="B467:B470"/>
    <mergeCell ref="C467:C470"/>
    <mergeCell ref="A422:A423"/>
    <mergeCell ref="C549:C551"/>
    <mergeCell ref="A522:A524"/>
    <mergeCell ref="A531:A536"/>
    <mergeCell ref="B531:B536"/>
    <mergeCell ref="A544:A546"/>
    <mergeCell ref="C490:C494"/>
    <mergeCell ref="C515:C519"/>
    <mergeCell ref="C544:C546"/>
    <mergeCell ref="B529:B530"/>
    <mergeCell ref="C531:C536"/>
    <mergeCell ref="A507:A509"/>
    <mergeCell ref="A433:A439"/>
    <mergeCell ref="C780:C789"/>
    <mergeCell ref="C612:C637"/>
    <mergeCell ref="C537:C539"/>
    <mergeCell ref="B544:B546"/>
    <mergeCell ref="B557:B581"/>
    <mergeCell ref="C557:C581"/>
    <mergeCell ref="B555:B556"/>
    <mergeCell ref="C555:C556"/>
    <mergeCell ref="C585:C586"/>
    <mergeCell ref="B549:B551"/>
    <mergeCell ref="C583:C584"/>
    <mergeCell ref="B775:B779"/>
    <mergeCell ref="B686:B694"/>
    <mergeCell ref="C650:C672"/>
    <mergeCell ref="B583:B584"/>
    <mergeCell ref="C770:C771"/>
    <mergeCell ref="B770:B771"/>
    <mergeCell ref="C768:C769"/>
    <mergeCell ref="B768:B769"/>
    <mergeCell ref="C587:C592"/>
    <mergeCell ref="C594:C597"/>
    <mergeCell ref="B495:B501"/>
    <mergeCell ref="B515:B519"/>
    <mergeCell ref="B552:B553"/>
    <mergeCell ref="C552:C553"/>
    <mergeCell ref="C747:C753"/>
    <mergeCell ref="C638:C649"/>
    <mergeCell ref="C760:C766"/>
    <mergeCell ref="C775:C779"/>
    <mergeCell ref="B754:B759"/>
    <mergeCell ref="C598:C603"/>
    <mergeCell ref="B594:B597"/>
    <mergeCell ref="B585:B586"/>
    <mergeCell ref="B722:B729"/>
    <mergeCell ref="C722:C729"/>
    <mergeCell ref="B598:B603"/>
    <mergeCell ref="B730:B737"/>
    <mergeCell ref="C686:C694"/>
    <mergeCell ref="B760:B766"/>
    <mergeCell ref="C604:C611"/>
    <mergeCell ref="C673:C685"/>
    <mergeCell ref="C527:C528"/>
    <mergeCell ref="B650:B672"/>
    <mergeCell ref="B673:B685"/>
    <mergeCell ref="C730:C737"/>
    <mergeCell ref="B870:B872"/>
    <mergeCell ref="C833:C843"/>
    <mergeCell ref="A864:A869"/>
    <mergeCell ref="B918:B920"/>
    <mergeCell ref="A812:A832"/>
    <mergeCell ref="A833:A843"/>
    <mergeCell ref="B833:B843"/>
    <mergeCell ref="A896:A898"/>
    <mergeCell ref="C873:C875"/>
    <mergeCell ref="A894:A895"/>
    <mergeCell ref="C894:C895"/>
    <mergeCell ref="B844:B851"/>
    <mergeCell ref="A909:A913"/>
    <mergeCell ref="B909:B913"/>
    <mergeCell ref="A855:A863"/>
    <mergeCell ref="C876:C879"/>
    <mergeCell ref="C870:C872"/>
    <mergeCell ref="C880:C886"/>
    <mergeCell ref="C899:C901"/>
    <mergeCell ref="A899:A901"/>
    <mergeCell ref="C887:C893"/>
    <mergeCell ref="B852:B854"/>
    <mergeCell ref="C855:C863"/>
    <mergeCell ref="C864:C869"/>
    <mergeCell ref="A754:A759"/>
    <mergeCell ref="C754:C759"/>
    <mergeCell ref="C790:C793"/>
    <mergeCell ref="C806:C809"/>
    <mergeCell ref="B864:B869"/>
    <mergeCell ref="C772:C773"/>
    <mergeCell ref="C812:C832"/>
    <mergeCell ref="A804:A805"/>
    <mergeCell ref="B772:B773"/>
    <mergeCell ref="A775:A779"/>
    <mergeCell ref="C798:C802"/>
    <mergeCell ref="B780:B789"/>
    <mergeCell ref="B794:B797"/>
    <mergeCell ref="A806:A809"/>
    <mergeCell ref="A852:A854"/>
    <mergeCell ref="A770:A771"/>
    <mergeCell ref="A768:A769"/>
    <mergeCell ref="C852:C854"/>
    <mergeCell ref="B812:B832"/>
    <mergeCell ref="A772:A773"/>
    <mergeCell ref="B798:B802"/>
    <mergeCell ref="C794:C797"/>
    <mergeCell ref="C804:C805"/>
    <mergeCell ref="B806:B809"/>
    <mergeCell ref="C844:C851"/>
    <mergeCell ref="B804:B805"/>
    <mergeCell ref="A583:A584"/>
    <mergeCell ref="A529:A530"/>
    <mergeCell ref="A549:A551"/>
    <mergeCell ref="A541:A543"/>
    <mergeCell ref="A1042:A1044"/>
    <mergeCell ref="C1020:C1021"/>
    <mergeCell ref="C921:C925"/>
    <mergeCell ref="C902:C908"/>
    <mergeCell ref="C918:C920"/>
    <mergeCell ref="C914:C916"/>
    <mergeCell ref="C896:C898"/>
    <mergeCell ref="C931:C935"/>
    <mergeCell ref="C909:C913"/>
    <mergeCell ref="C965:C966"/>
    <mergeCell ref="C967:C980"/>
    <mergeCell ref="C1033:C1034"/>
    <mergeCell ref="C1027:C1028"/>
    <mergeCell ref="C963:C964"/>
    <mergeCell ref="C1023:C1024"/>
    <mergeCell ref="C936:C961"/>
    <mergeCell ref="B1042:B1044"/>
    <mergeCell ref="B914:B916"/>
    <mergeCell ref="B1031:B1032"/>
    <mergeCell ref="A1035:A1036"/>
    <mergeCell ref="A1027:A1028"/>
    <mergeCell ref="A936:A961"/>
    <mergeCell ref="B1029:B1030"/>
    <mergeCell ref="A1023:A1024"/>
    <mergeCell ref="B1027:B1028"/>
    <mergeCell ref="A1031:A1032"/>
    <mergeCell ref="A963:A964"/>
    <mergeCell ref="A1033:A1034"/>
    <mergeCell ref="B1035:B1036"/>
    <mergeCell ref="B963:B964"/>
    <mergeCell ref="A1018:A1019"/>
    <mergeCell ref="B1018:B1019"/>
    <mergeCell ref="A1029:A1030"/>
    <mergeCell ref="A1025:A1026"/>
    <mergeCell ref="B1033:B1034"/>
    <mergeCell ref="B1020:B1021"/>
    <mergeCell ref="A921:A925"/>
    <mergeCell ref="B921:B925"/>
    <mergeCell ref="A918:A920"/>
    <mergeCell ref="A914:A916"/>
    <mergeCell ref="A981:A984"/>
    <mergeCell ref="A985:A988"/>
    <mergeCell ref="B894:B895"/>
    <mergeCell ref="A931:A935"/>
    <mergeCell ref="B896:B898"/>
    <mergeCell ref="B936:B961"/>
    <mergeCell ref="A967:A980"/>
    <mergeCell ref="B985:B988"/>
    <mergeCell ref="B981:B984"/>
    <mergeCell ref="A1037:A1038"/>
    <mergeCell ref="B993:B1017"/>
    <mergeCell ref="A993:A1017"/>
    <mergeCell ref="A902:A908"/>
    <mergeCell ref="B902:B908"/>
    <mergeCell ref="B931:B935"/>
    <mergeCell ref="B587:B592"/>
    <mergeCell ref="A844:A851"/>
    <mergeCell ref="B747:B753"/>
    <mergeCell ref="A870:A872"/>
    <mergeCell ref="B855:B863"/>
    <mergeCell ref="A730:A737"/>
    <mergeCell ref="B638:B649"/>
    <mergeCell ref="A650:A672"/>
    <mergeCell ref="A790:A793"/>
    <mergeCell ref="A926:A929"/>
    <mergeCell ref="A760:A766"/>
    <mergeCell ref="B612:B637"/>
    <mergeCell ref="A794:A797"/>
    <mergeCell ref="B887:B893"/>
    <mergeCell ref="A876:A879"/>
    <mergeCell ref="B876:B879"/>
    <mergeCell ref="A880:A886"/>
    <mergeCell ref="A873:A875"/>
    <mergeCell ref="B873:B875"/>
    <mergeCell ref="B880:B886"/>
    <mergeCell ref="A887:A893"/>
    <mergeCell ref="A780:A789"/>
    <mergeCell ref="A798:A802"/>
    <mergeCell ref="A1049:A1054"/>
    <mergeCell ref="A1860:A1863"/>
    <mergeCell ref="B1860:B1863"/>
    <mergeCell ref="A1755:A1759"/>
    <mergeCell ref="B1752:B1753"/>
    <mergeCell ref="A1776:A1777"/>
    <mergeCell ref="B1776:B1777"/>
    <mergeCell ref="A1817:A1823"/>
    <mergeCell ref="A1788:A1793"/>
    <mergeCell ref="B1805:B1814"/>
    <mergeCell ref="B1788:B1793"/>
    <mergeCell ref="B1426:B1429"/>
    <mergeCell ref="A1482:A1483"/>
    <mergeCell ref="A1440:A1443"/>
    <mergeCell ref="A1065:A1066"/>
    <mergeCell ref="A1126:A1129"/>
    <mergeCell ref="B1075:B1079"/>
    <mergeCell ref="A1805:A1814"/>
    <mergeCell ref="A1824:A1827"/>
    <mergeCell ref="C1860:C1863"/>
    <mergeCell ref="A1842:A1845"/>
    <mergeCell ref="C1760:C1762"/>
    <mergeCell ref="A1760:A1762"/>
    <mergeCell ref="A1794:A1804"/>
    <mergeCell ref="B1431:B1433"/>
    <mergeCell ref="A1446:A1450"/>
    <mergeCell ref="B1491:B1492"/>
    <mergeCell ref="B1482:B1483"/>
    <mergeCell ref="A1491:A1492"/>
    <mergeCell ref="A1506:A1509"/>
    <mergeCell ref="B1440:B1443"/>
    <mergeCell ref="B1446:B1450"/>
    <mergeCell ref="A1466:A1475"/>
    <mergeCell ref="B1457:B1461"/>
    <mergeCell ref="A1444:A1445"/>
    <mergeCell ref="C1561:C1563"/>
    <mergeCell ref="A1532:A1533"/>
    <mergeCell ref="A1548:A1557"/>
    <mergeCell ref="B1548:B1557"/>
    <mergeCell ref="C1548:C1557"/>
    <mergeCell ref="A1476:A1479"/>
    <mergeCell ref="B1476:B1479"/>
    <mergeCell ref="C1476:C1479"/>
    <mergeCell ref="B1817:B1823"/>
    <mergeCell ref="B1824:B1827"/>
    <mergeCell ref="B1417:B1419"/>
    <mergeCell ref="B1296:B1309"/>
    <mergeCell ref="B1840:B1841"/>
    <mergeCell ref="A1457:A1461"/>
    <mergeCell ref="A1488:A1490"/>
    <mergeCell ref="A1406:A1413"/>
    <mergeCell ref="A1420:A1425"/>
    <mergeCell ref="B1420:B1425"/>
    <mergeCell ref="A1515:A1518"/>
    <mergeCell ref="A1828:A1833"/>
    <mergeCell ref="B1828:B1833"/>
    <mergeCell ref="A1763:A1768"/>
    <mergeCell ref="A1741:A1749"/>
    <mergeCell ref="B1741:B1749"/>
    <mergeCell ref="A1575:A1576"/>
    <mergeCell ref="B1451:B1455"/>
    <mergeCell ref="B1464:B1465"/>
    <mergeCell ref="B1444:B1445"/>
    <mergeCell ref="A1534:A1537"/>
    <mergeCell ref="A1527:A1529"/>
    <mergeCell ref="A1525:A1526"/>
    <mergeCell ref="A1834:A1837"/>
    <mergeCell ref="C1824:C1827"/>
    <mergeCell ref="B1538:B1540"/>
    <mergeCell ref="C1776:C1777"/>
    <mergeCell ref="C1840:C1841"/>
    <mergeCell ref="A1678:A1693"/>
    <mergeCell ref="C1700:C1713"/>
    <mergeCell ref="C1716:C1718"/>
    <mergeCell ref="C1694:C1695"/>
    <mergeCell ref="B1671:B1677"/>
    <mergeCell ref="B1666:B1669"/>
    <mergeCell ref="B1649:B1659"/>
    <mergeCell ref="A1646:A1648"/>
    <mergeCell ref="B1640:B1645"/>
    <mergeCell ref="C1636:C1638"/>
    <mergeCell ref="C1626:C1633"/>
    <mergeCell ref="C1585:C1598"/>
    <mergeCell ref="C1575:C1576"/>
    <mergeCell ref="C1577:C1583"/>
    <mergeCell ref="C1600:C1621"/>
    <mergeCell ref="C1567:C1568"/>
    <mergeCell ref="C1622:C1625"/>
    <mergeCell ref="A1538:A1540"/>
    <mergeCell ref="C1541:C1546"/>
    <mergeCell ref="B1750:B1751"/>
    <mergeCell ref="A1464:A1465"/>
    <mergeCell ref="B1577:B1583"/>
    <mergeCell ref="A1569:A1571"/>
    <mergeCell ref="B1564:B1566"/>
    <mergeCell ref="B1561:B1563"/>
    <mergeCell ref="B1567:B1568"/>
    <mergeCell ref="B1569:B1571"/>
    <mergeCell ref="A1622:A1625"/>
    <mergeCell ref="A1600:A1621"/>
    <mergeCell ref="A1577:A1583"/>
    <mergeCell ref="B1512:B1514"/>
    <mergeCell ref="B1493:B1505"/>
    <mergeCell ref="B1600:B1621"/>
    <mergeCell ref="A1296:A1309"/>
    <mergeCell ref="B1272:B1283"/>
    <mergeCell ref="B1284:B1295"/>
    <mergeCell ref="B1436:B1439"/>
    <mergeCell ref="B1355:B1356"/>
    <mergeCell ref="B1361:B1362"/>
    <mergeCell ref="B1366:B1371"/>
    <mergeCell ref="B1534:B1537"/>
    <mergeCell ref="A1573:A1574"/>
    <mergeCell ref="B1530:B1531"/>
    <mergeCell ref="A1510:A1511"/>
    <mergeCell ref="A1558:A1560"/>
    <mergeCell ref="A1512:A1514"/>
    <mergeCell ref="A1414:A1416"/>
    <mergeCell ref="A1426:A1429"/>
    <mergeCell ref="A1396:A1405"/>
    <mergeCell ref="B1414:B1416"/>
    <mergeCell ref="A1436:A1439"/>
    <mergeCell ref="A1480:A1481"/>
    <mergeCell ref="A1355:A1356"/>
    <mergeCell ref="A1366:A1371"/>
    <mergeCell ref="B1380:B1385"/>
    <mergeCell ref="B1345:B1348"/>
    <mergeCell ref="B1331:B1332"/>
    <mergeCell ref="A1314:A1320"/>
    <mergeCell ref="B1310:B1313"/>
    <mergeCell ref="A1322:A1323"/>
    <mergeCell ref="A1361:A1362"/>
    <mergeCell ref="A1380:A1385"/>
    <mergeCell ref="B1357:B1360"/>
    <mergeCell ref="A1374:A1379"/>
    <mergeCell ref="B1363:B1365"/>
    <mergeCell ref="A1363:A1365"/>
    <mergeCell ref="B1322:B1323"/>
    <mergeCell ref="A1357:A1360"/>
    <mergeCell ref="A1349:A1353"/>
    <mergeCell ref="A1331:A1332"/>
    <mergeCell ref="A1339:A1340"/>
    <mergeCell ref="A1343:A1344"/>
    <mergeCell ref="B1343:B1344"/>
    <mergeCell ref="B1349:B1353"/>
    <mergeCell ref="B1339:B1340"/>
    <mergeCell ref="A1345:A1348"/>
    <mergeCell ref="A1333:A1335"/>
    <mergeCell ref="B1133:B1134"/>
    <mergeCell ref="A1200:A1218"/>
    <mergeCell ref="A1394:A1395"/>
    <mergeCell ref="C1151:C1153"/>
    <mergeCell ref="C1464:C1465"/>
    <mergeCell ref="C1446:C1450"/>
    <mergeCell ref="C1426:C1429"/>
    <mergeCell ref="C1414:C1416"/>
    <mergeCell ref="C1141:C1145"/>
    <mergeCell ref="C1148:C1150"/>
    <mergeCell ref="C1349:C1353"/>
    <mergeCell ref="C1314:C1320"/>
    <mergeCell ref="C1363:C1365"/>
    <mergeCell ref="C1156:C1158"/>
    <mergeCell ref="C1284:C1295"/>
    <mergeCell ref="C1310:C1313"/>
    <mergeCell ref="C1272:C1283"/>
    <mergeCell ref="C1182:C1199"/>
    <mergeCell ref="C1322:C1323"/>
    <mergeCell ref="C1219:C1235"/>
    <mergeCell ref="A1388:A1389"/>
    <mergeCell ref="A1310:A1313"/>
    <mergeCell ref="B1254:B1271"/>
    <mergeCell ref="B1314:B1320"/>
    <mergeCell ref="C1510:C1511"/>
    <mergeCell ref="C1162:C1181"/>
    <mergeCell ref="C1200:C1218"/>
    <mergeCell ref="A1284:A1295"/>
    <mergeCell ref="A1272:A1283"/>
    <mergeCell ref="A1254:A1271"/>
    <mergeCell ref="A1151:A1153"/>
    <mergeCell ref="A1182:A1199"/>
    <mergeCell ref="B1219:B1235"/>
    <mergeCell ref="B1182:B1199"/>
    <mergeCell ref="B1236:B1253"/>
    <mergeCell ref="B1466:B1475"/>
    <mergeCell ref="B1396:B1405"/>
    <mergeCell ref="B1506:B1509"/>
    <mergeCell ref="A1451:A1455"/>
    <mergeCell ref="B1510:B1511"/>
    <mergeCell ref="A1493:A1505"/>
    <mergeCell ref="B1406:B1413"/>
    <mergeCell ref="B1394:B1395"/>
    <mergeCell ref="C1380:C1385"/>
    <mergeCell ref="C1444:C1445"/>
    <mergeCell ref="C1436:C1439"/>
    <mergeCell ref="C1488:C1490"/>
    <mergeCell ref="C1343:C1344"/>
    <mergeCell ref="C1512:C1514"/>
    <mergeCell ref="C1345:C1348"/>
    <mergeCell ref="C1331:C1332"/>
    <mergeCell ref="C1466:C1475"/>
    <mergeCell ref="C1440:C1443"/>
    <mergeCell ref="C1482:C1483"/>
    <mergeCell ref="C1558:C1560"/>
    <mergeCell ref="B1488:B1490"/>
    <mergeCell ref="B1527:B1529"/>
    <mergeCell ref="B1525:B1526"/>
    <mergeCell ref="C1431:C1433"/>
    <mergeCell ref="C1519:C1520"/>
    <mergeCell ref="B1522:B1524"/>
    <mergeCell ref="C1527:C1529"/>
    <mergeCell ref="C1480:C1481"/>
    <mergeCell ref="C1491:C1492"/>
    <mergeCell ref="C1506:C1509"/>
    <mergeCell ref="C1406:C1413"/>
    <mergeCell ref="C1493:C1505"/>
    <mergeCell ref="C1451:C1455"/>
    <mergeCell ref="C1396:C1405"/>
    <mergeCell ref="C1394:C1395"/>
    <mergeCell ref="C1457:C1461"/>
    <mergeCell ref="C1417:C1419"/>
    <mergeCell ref="C1067:C1074"/>
    <mergeCell ref="C1075:C1079"/>
    <mergeCell ref="C1236:C1253"/>
    <mergeCell ref="C1111:C1116"/>
    <mergeCell ref="C1136:C1140"/>
    <mergeCell ref="C1374:C1379"/>
    <mergeCell ref="C1333:C1335"/>
    <mergeCell ref="C1361:C1362"/>
    <mergeCell ref="C1357:C1360"/>
    <mergeCell ref="C1355:C1356"/>
    <mergeCell ref="C1339:C1340"/>
    <mergeCell ref="C1133:C1134"/>
    <mergeCell ref="C1366:C1371"/>
    <mergeCell ref="C1126:C1129"/>
    <mergeCell ref="C1254:C1271"/>
    <mergeCell ref="C1296:C1309"/>
    <mergeCell ref="A137:A149"/>
    <mergeCell ref="B137:B149"/>
    <mergeCell ref="A179:A187"/>
    <mergeCell ref="C1045:C1048"/>
    <mergeCell ref="C1055:C1058"/>
    <mergeCell ref="C1037:C1038"/>
    <mergeCell ref="C1039:C1041"/>
    <mergeCell ref="C1049:C1054"/>
    <mergeCell ref="C1042:C1044"/>
    <mergeCell ref="B1049:B1054"/>
    <mergeCell ref="B1055:B1058"/>
    <mergeCell ref="B1045:B1048"/>
    <mergeCell ref="B1039:B1041"/>
    <mergeCell ref="A1045:A1048"/>
    <mergeCell ref="B967:B980"/>
    <mergeCell ref="A965:A966"/>
    <mergeCell ref="A989:A992"/>
    <mergeCell ref="A1039:A1041"/>
    <mergeCell ref="B790:B793"/>
    <mergeCell ref="B1037:B1038"/>
    <mergeCell ref="B989:B992"/>
    <mergeCell ref="B965:B966"/>
    <mergeCell ref="B926:B929"/>
    <mergeCell ref="A1020:A1021"/>
    <mergeCell ref="A39:A57"/>
    <mergeCell ref="B39:B57"/>
    <mergeCell ref="B89:B94"/>
    <mergeCell ref="C989:C992"/>
    <mergeCell ref="C926:C929"/>
    <mergeCell ref="C981:C984"/>
    <mergeCell ref="C985:C988"/>
    <mergeCell ref="C993:C1017"/>
    <mergeCell ref="B899:B901"/>
    <mergeCell ref="A256:A265"/>
    <mergeCell ref="A123:A128"/>
    <mergeCell ref="B218:B224"/>
    <mergeCell ref="A210:A217"/>
    <mergeCell ref="A195:A198"/>
    <mergeCell ref="B195:B198"/>
    <mergeCell ref="B160:B161"/>
    <mergeCell ref="B208:B209"/>
    <mergeCell ref="A225:A234"/>
    <mergeCell ref="A150:A159"/>
    <mergeCell ref="B150:B159"/>
    <mergeCell ref="A188:A194"/>
    <mergeCell ref="B188:B194"/>
    <mergeCell ref="A218:A224"/>
    <mergeCell ref="A129:A134"/>
    <mergeCell ref="C39:C57"/>
    <mergeCell ref="C4:C38"/>
    <mergeCell ref="M2:M3"/>
    <mergeCell ref="B179:B187"/>
    <mergeCell ref="A162:A175"/>
    <mergeCell ref="B162:B175"/>
    <mergeCell ref="A235:A243"/>
    <mergeCell ref="A245:A252"/>
    <mergeCell ref="A199:A207"/>
    <mergeCell ref="A160:A161"/>
    <mergeCell ref="A176:A178"/>
    <mergeCell ref="A2:A3"/>
    <mergeCell ref="B2:B3"/>
    <mergeCell ref="A102:A104"/>
    <mergeCell ref="B105:B110"/>
    <mergeCell ref="B102:B104"/>
    <mergeCell ref="B117:B122"/>
    <mergeCell ref="A105:A110"/>
    <mergeCell ref="A111:A116"/>
    <mergeCell ref="A89:A94"/>
    <mergeCell ref="B111:B116"/>
    <mergeCell ref="A117:A122"/>
    <mergeCell ref="A4:A38"/>
    <mergeCell ref="B4:B38"/>
    <mergeCell ref="L2:L3"/>
    <mergeCell ref="H2:H3"/>
    <mergeCell ref="I2:I3"/>
    <mergeCell ref="D2:F2"/>
    <mergeCell ref="G2:G3"/>
    <mergeCell ref="J2:J3"/>
    <mergeCell ref="C2:C3"/>
    <mergeCell ref="K2:K3"/>
    <mergeCell ref="Q2:Q3"/>
    <mergeCell ref="A95:A101"/>
    <mergeCell ref="A76:A79"/>
    <mergeCell ref="A58:A69"/>
    <mergeCell ref="B58:B69"/>
    <mergeCell ref="C85:C88"/>
    <mergeCell ref="C102:C104"/>
    <mergeCell ref="A85:A88"/>
    <mergeCell ref="A80:A84"/>
    <mergeCell ref="A70:A75"/>
    <mergeCell ref="C70:C75"/>
    <mergeCell ref="C80:C84"/>
    <mergeCell ref="B80:B84"/>
    <mergeCell ref="C95:C101"/>
    <mergeCell ref="B70:B75"/>
    <mergeCell ref="C58:C69"/>
    <mergeCell ref="C291:C299"/>
    <mergeCell ref="C312:C316"/>
    <mergeCell ref="B245:B252"/>
    <mergeCell ref="B235:B243"/>
    <mergeCell ref="C117:C122"/>
    <mergeCell ref="C111:C116"/>
    <mergeCell ref="B275:B276"/>
    <mergeCell ref="C317:C321"/>
    <mergeCell ref="C275:C276"/>
    <mergeCell ref="C277:C281"/>
    <mergeCell ref="C245:C252"/>
    <mergeCell ref="B310:B311"/>
    <mergeCell ref="C123:C128"/>
    <mergeCell ref="C129:C134"/>
    <mergeCell ref="C137:C149"/>
    <mergeCell ref="B256:B265"/>
    <mergeCell ref="B199:B207"/>
    <mergeCell ref="C218:C224"/>
    <mergeCell ref="C256:C265"/>
    <mergeCell ref="C282:C290"/>
    <mergeCell ref="C150:C159"/>
    <mergeCell ref="C266:C274"/>
    <mergeCell ref="C390:C391"/>
    <mergeCell ref="C392:C400"/>
    <mergeCell ref="B338:B339"/>
    <mergeCell ref="C336:C337"/>
    <mergeCell ref="C338:C339"/>
    <mergeCell ref="C340:C341"/>
    <mergeCell ref="C364:C366"/>
    <mergeCell ref="B367:B375"/>
    <mergeCell ref="C367:C375"/>
    <mergeCell ref="B392:B400"/>
    <mergeCell ref="C1850:C1851"/>
    <mergeCell ref="A1850:A1851"/>
    <mergeCell ref="B1850:B1851"/>
    <mergeCell ref="B1573:B1574"/>
    <mergeCell ref="C1750:C1751"/>
    <mergeCell ref="A1530:A1531"/>
    <mergeCell ref="A1:T1"/>
    <mergeCell ref="T2:T3"/>
    <mergeCell ref="A208:A209"/>
    <mergeCell ref="A340:A341"/>
    <mergeCell ref="A305:A308"/>
    <mergeCell ref="B305:B308"/>
    <mergeCell ref="C305:C308"/>
    <mergeCell ref="B340:B341"/>
    <mergeCell ref="A364:A366"/>
    <mergeCell ref="C342:C348"/>
    <mergeCell ref="B342:B348"/>
    <mergeCell ref="B322:B330"/>
    <mergeCell ref="B331:B335"/>
    <mergeCell ref="A312:A316"/>
    <mergeCell ref="A282:A290"/>
    <mergeCell ref="C89:C94"/>
    <mergeCell ref="C188:C194"/>
    <mergeCell ref="C179:C187"/>
    <mergeCell ref="S2:S3"/>
    <mergeCell ref="N2:N3"/>
    <mergeCell ref="O2:O3"/>
    <mergeCell ref="C235:C243"/>
    <mergeCell ref="C195:C198"/>
    <mergeCell ref="C225:C234"/>
    <mergeCell ref="B225:B234"/>
    <mergeCell ref="C176:C178"/>
    <mergeCell ref="C199:C207"/>
    <mergeCell ref="C208:C209"/>
    <mergeCell ref="C162:C175"/>
    <mergeCell ref="B176:B178"/>
    <mergeCell ref="B123:B128"/>
    <mergeCell ref="B129:B134"/>
    <mergeCell ref="C160:C161"/>
    <mergeCell ref="B210:B217"/>
    <mergeCell ref="C210:C217"/>
    <mergeCell ref="C105:C110"/>
    <mergeCell ref="B95:B101"/>
    <mergeCell ref="B85:B88"/>
    <mergeCell ref="C76:C79"/>
    <mergeCell ref="B76:B79"/>
    <mergeCell ref="R2:R3"/>
    <mergeCell ref="P2:P3"/>
    <mergeCell ref="A392:A400"/>
    <mergeCell ref="A300:A304"/>
    <mergeCell ref="A355:A357"/>
    <mergeCell ref="B300:B304"/>
    <mergeCell ref="B388:B389"/>
    <mergeCell ref="C388:C389"/>
    <mergeCell ref="C331:C335"/>
    <mergeCell ref="C310:C311"/>
    <mergeCell ref="C322:C330"/>
    <mergeCell ref="A350:A354"/>
    <mergeCell ref="B350:B354"/>
    <mergeCell ref="C350:C354"/>
    <mergeCell ref="B355:B357"/>
    <mergeCell ref="C355:C357"/>
    <mergeCell ref="A358:A363"/>
    <mergeCell ref="B358:B363"/>
    <mergeCell ref="C358:C363"/>
    <mergeCell ref="B336:B337"/>
    <mergeCell ref="B364:B366"/>
    <mergeCell ref="A388:A389"/>
    <mergeCell ref="C300:C304"/>
    <mergeCell ref="A390:A391"/>
    <mergeCell ref="B390:B391"/>
    <mergeCell ref="C376:C383"/>
    <mergeCell ref="A266:A274"/>
    <mergeCell ref="A338:A339"/>
    <mergeCell ref="B317:B321"/>
    <mergeCell ref="B312:B316"/>
    <mergeCell ref="A277:A281"/>
    <mergeCell ref="A376:A383"/>
    <mergeCell ref="B376:B383"/>
    <mergeCell ref="A367:A375"/>
    <mergeCell ref="A275:A276"/>
    <mergeCell ref="A291:A299"/>
    <mergeCell ref="A336:A337"/>
    <mergeCell ref="A322:A330"/>
    <mergeCell ref="A331:A335"/>
    <mergeCell ref="A310:A311"/>
    <mergeCell ref="A317:A321"/>
    <mergeCell ref="A342:A348"/>
    <mergeCell ref="B277:B281"/>
    <mergeCell ref="B282:B290"/>
    <mergeCell ref="B291:B299"/>
    <mergeCell ref="B266:B274"/>
    <mergeCell ref="A555:A556"/>
    <mergeCell ref="A557:A581"/>
    <mergeCell ref="C417:C418"/>
    <mergeCell ref="A417:A418"/>
    <mergeCell ref="A407:A409"/>
    <mergeCell ref="B407:B409"/>
    <mergeCell ref="B410:B411"/>
    <mergeCell ref="B417:B418"/>
    <mergeCell ref="A401:A406"/>
    <mergeCell ref="B401:B406"/>
    <mergeCell ref="C401:C406"/>
    <mergeCell ref="C412:C416"/>
    <mergeCell ref="B527:B528"/>
    <mergeCell ref="B420:B421"/>
    <mergeCell ref="A537:A539"/>
    <mergeCell ref="A552:A553"/>
    <mergeCell ref="B537:B539"/>
    <mergeCell ref="A424:A432"/>
    <mergeCell ref="A482:A485"/>
    <mergeCell ref="B482:B485"/>
    <mergeCell ref="A527:A528"/>
    <mergeCell ref="B541:B543"/>
    <mergeCell ref="C541:C543"/>
    <mergeCell ref="B512:B514"/>
    <mergeCell ref="A1063:A1064"/>
    <mergeCell ref="B1480:B1481"/>
    <mergeCell ref="A1750:A1751"/>
    <mergeCell ref="A1392:A1393"/>
    <mergeCell ref="B1462:B1463"/>
    <mergeCell ref="B1392:B1393"/>
    <mergeCell ref="A1431:A1433"/>
    <mergeCell ref="A1417:A1419"/>
    <mergeCell ref="B1636:B1638"/>
    <mergeCell ref="A1636:A1638"/>
    <mergeCell ref="A1634:A1635"/>
    <mergeCell ref="B1634:B1635"/>
    <mergeCell ref="A1626:A1633"/>
    <mergeCell ref="B1325:B1326"/>
    <mergeCell ref="A1325:A1326"/>
    <mergeCell ref="B1337:B1338"/>
    <mergeCell ref="B1386:B1387"/>
    <mergeCell ref="B1333:B1335"/>
    <mergeCell ref="B1374:B1379"/>
    <mergeCell ref="A1156:A1158"/>
    <mergeCell ref="B1141:B1145"/>
    <mergeCell ref="B1200:B1218"/>
    <mergeCell ref="A1236:A1253"/>
    <mergeCell ref="A1219:A1235"/>
    <mergeCell ref="B1061:B1062"/>
    <mergeCell ref="B1065:B1066"/>
    <mergeCell ref="A1067:A1074"/>
    <mergeCell ref="C1788:C1793"/>
    <mergeCell ref="C1738:C1740"/>
    <mergeCell ref="B1794:B1804"/>
    <mergeCell ref="B1779:B1787"/>
    <mergeCell ref="A1779:A1787"/>
    <mergeCell ref="A1738:A1740"/>
    <mergeCell ref="C1755:C1759"/>
    <mergeCell ref="A1752:A1753"/>
    <mergeCell ref="B1760:B1762"/>
    <mergeCell ref="C1779:C1787"/>
    <mergeCell ref="C1752:C1753"/>
    <mergeCell ref="C1573:C1574"/>
    <mergeCell ref="A1390:A1391"/>
    <mergeCell ref="A1462:A1463"/>
    <mergeCell ref="C1390:C1391"/>
    <mergeCell ref="A1329:A1330"/>
    <mergeCell ref="A1327:A1328"/>
    <mergeCell ref="A1386:A1387"/>
    <mergeCell ref="B1327:B1328"/>
    <mergeCell ref="B1329:B1330"/>
    <mergeCell ref="A1337:A1338"/>
    <mergeCell ref="C1420:C1425"/>
    <mergeCell ref="B1067:B1074"/>
    <mergeCell ref="B1151:B1153"/>
    <mergeCell ref="B1148:B1150"/>
    <mergeCell ref="B1136:B1140"/>
    <mergeCell ref="B1126:B1129"/>
    <mergeCell ref="A1162:A1181"/>
    <mergeCell ref="B1162:B1181"/>
    <mergeCell ref="A1136:A1140"/>
    <mergeCell ref="A1148:A1150"/>
    <mergeCell ref="A1133:A1134"/>
    <mergeCell ref="A1117:A1125"/>
    <mergeCell ref="A1090:A1097"/>
    <mergeCell ref="A1075:A1079"/>
    <mergeCell ref="B1090:B1097"/>
    <mergeCell ref="B1117:B1125"/>
    <mergeCell ref="A1141:A1145"/>
    <mergeCell ref="B1111:B1116"/>
    <mergeCell ref="A1111:A1116"/>
    <mergeCell ref="A1080:A1089"/>
    <mergeCell ref="B1080:B1089"/>
    <mergeCell ref="A1098:A1110"/>
    <mergeCell ref="B1098:B1110"/>
    <mergeCell ref="B1156:B1158"/>
    <mergeCell ref="A638:A649"/>
    <mergeCell ref="A1055:A1058"/>
    <mergeCell ref="C1329:C1330"/>
    <mergeCell ref="C1386:C1387"/>
    <mergeCell ref="C1462:C1463"/>
    <mergeCell ref="C1325:C1326"/>
    <mergeCell ref="B1388:B1389"/>
    <mergeCell ref="B1390:B1391"/>
    <mergeCell ref="C1327:C1328"/>
    <mergeCell ref="C1337:C1338"/>
    <mergeCell ref="C1388:C1389"/>
    <mergeCell ref="C1392:C1393"/>
    <mergeCell ref="C1063:C1064"/>
    <mergeCell ref="A1059:A1060"/>
    <mergeCell ref="B1063:B1064"/>
    <mergeCell ref="C1061:C1062"/>
    <mergeCell ref="B1059:B1060"/>
    <mergeCell ref="C1059:C1060"/>
    <mergeCell ref="C1065:C1066"/>
    <mergeCell ref="C1117:C1125"/>
    <mergeCell ref="C1090:C1097"/>
    <mergeCell ref="C1080:C1089"/>
    <mergeCell ref="C1098:C1110"/>
    <mergeCell ref="A1061:A1062"/>
    <mergeCell ref="A612:A637"/>
    <mergeCell ref="A384:A387"/>
    <mergeCell ref="B384:B387"/>
    <mergeCell ref="C384:C387"/>
    <mergeCell ref="C1029:C1030"/>
    <mergeCell ref="C1031:C1032"/>
    <mergeCell ref="C1018:C1019"/>
    <mergeCell ref="C1025:C1026"/>
    <mergeCell ref="C1035:C1036"/>
    <mergeCell ref="B1023:B1024"/>
    <mergeCell ref="B1025:B1026"/>
    <mergeCell ref="A686:A694"/>
    <mergeCell ref="A722:A729"/>
    <mergeCell ref="A738:A746"/>
    <mergeCell ref="B738:B746"/>
    <mergeCell ref="C738:C746"/>
    <mergeCell ref="A706:A720"/>
    <mergeCell ref="B706:B720"/>
    <mergeCell ref="C706:C720"/>
    <mergeCell ref="A695:A705"/>
    <mergeCell ref="B695:B705"/>
    <mergeCell ref="C695:C705"/>
    <mergeCell ref="A604:A611"/>
    <mergeCell ref="A673:A685"/>
  </mergeCells>
  <phoneticPr fontId="3" type="noConversion"/>
  <pageMargins left="0.75" right="0.75" top="1" bottom="1" header="0.5" footer="0.5"/>
  <pageSetup paperSize="9" orientation="landscape" verticalDpi="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indexed="63"/>
  </sheetPr>
  <dimension ref="A1:T740"/>
  <sheetViews>
    <sheetView showGridLines="0" zoomScaleNormal="100" workbookViewId="0">
      <pane ySplit="3" topLeftCell="A473" activePane="bottomLeft" state="frozen"/>
      <selection activeCell="A5" sqref="A5:G5"/>
      <selection pane="bottomLeft" activeCell="P482" sqref="P482"/>
    </sheetView>
  </sheetViews>
  <sheetFormatPr defaultColWidth="9" defaultRowHeight="20.100000000000001" customHeight="1"/>
  <cols>
    <col min="1" max="1" width="2.75" style="79" customWidth="1"/>
    <col min="2" max="2" width="7.875" style="79" customWidth="1"/>
    <col min="3" max="3" width="12.625" style="43" customWidth="1"/>
    <col min="4" max="4" width="6.875" style="794" customWidth="1"/>
    <col min="5" max="5" width="7.125" style="794" customWidth="1"/>
    <col min="6" max="6" width="7" style="794" customWidth="1"/>
    <col min="7" max="7" width="10.5" style="41" customWidth="1"/>
    <col min="8" max="8" width="8.875" style="41" customWidth="1"/>
    <col min="9" max="9" width="7.25" style="44" customWidth="1"/>
    <col min="10" max="10" width="9.625" style="44" customWidth="1"/>
    <col min="11" max="11" width="5.5" style="45" customWidth="1"/>
    <col min="12" max="12" width="7.125" style="41" customWidth="1"/>
    <col min="13" max="14" width="10.75" style="41" customWidth="1"/>
    <col min="15" max="15" width="15.875" style="44" customWidth="1"/>
    <col min="16" max="16" width="14.5" style="44" customWidth="1"/>
    <col min="17" max="17" width="13.625" style="44" customWidth="1"/>
    <col min="18" max="18" width="16.5" style="46" customWidth="1"/>
    <col min="19" max="19" width="20.875" style="324" customWidth="1"/>
    <col min="20" max="20" width="9" style="45"/>
    <col min="21" max="16384" width="9" style="1"/>
  </cols>
  <sheetData>
    <row r="1" spans="1:20" ht="20.100000000000001" customHeight="1">
      <c r="A1" s="1277"/>
      <c r="B1" s="1277"/>
      <c r="C1" s="1277"/>
      <c r="D1" s="1277"/>
      <c r="E1" s="1277"/>
      <c r="F1" s="1277"/>
      <c r="G1" s="1277"/>
      <c r="H1" s="1277"/>
      <c r="I1" s="1277"/>
      <c r="J1" s="1277"/>
      <c r="K1" s="1277"/>
      <c r="L1" s="1277"/>
      <c r="M1" s="1277"/>
      <c r="N1" s="1277"/>
      <c r="O1" s="1277"/>
      <c r="P1" s="1277"/>
      <c r="Q1" s="1277"/>
      <c r="R1" s="1277"/>
      <c r="S1" s="1277"/>
      <c r="T1" s="1277"/>
    </row>
    <row r="2" spans="1:20" s="41" customFormat="1" ht="20.100000000000001" customHeight="1">
      <c r="A2" s="1129" t="s">
        <v>3482</v>
      </c>
      <c r="B2" s="1129" t="s">
        <v>3481</v>
      </c>
      <c r="C2" s="1129" t="s">
        <v>3480</v>
      </c>
      <c r="D2" s="1133" t="s">
        <v>3318</v>
      </c>
      <c r="E2" s="1133"/>
      <c r="F2" s="1133"/>
      <c r="G2" s="1129" t="s">
        <v>2881</v>
      </c>
      <c r="H2" s="1129" t="s">
        <v>2882</v>
      </c>
      <c r="I2" s="1129" t="s">
        <v>2883</v>
      </c>
      <c r="J2" s="1129" t="s">
        <v>2884</v>
      </c>
      <c r="K2" s="1129" t="s">
        <v>2885</v>
      </c>
      <c r="L2" s="1129" t="s">
        <v>2886</v>
      </c>
      <c r="M2" s="1132" t="s">
        <v>3019</v>
      </c>
      <c r="N2" s="1129" t="s">
        <v>803</v>
      </c>
      <c r="O2" s="1129" t="s">
        <v>804</v>
      </c>
      <c r="P2" s="1129" t="s">
        <v>805</v>
      </c>
      <c r="Q2" s="1129" t="s">
        <v>806</v>
      </c>
      <c r="R2" s="1129" t="s">
        <v>1029</v>
      </c>
      <c r="S2" s="1129" t="s">
        <v>3289</v>
      </c>
      <c r="T2" s="1173" t="s">
        <v>2833</v>
      </c>
    </row>
    <row r="3" spans="1:20" s="41" customFormat="1" ht="20.100000000000001" customHeight="1">
      <c r="A3" s="1129"/>
      <c r="B3" s="1129"/>
      <c r="C3" s="1129"/>
      <c r="D3" s="879" t="s">
        <v>327</v>
      </c>
      <c r="E3" s="879" t="s">
        <v>58</v>
      </c>
      <c r="F3" s="879" t="s">
        <v>59</v>
      </c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73"/>
    </row>
    <row r="4" spans="1:20" s="41" customFormat="1" ht="20.100000000000001" customHeight="1">
      <c r="A4" s="1127" t="s">
        <v>3241</v>
      </c>
      <c r="B4" s="1127" t="s">
        <v>3240</v>
      </c>
      <c r="C4" s="1127" t="s">
        <v>3279</v>
      </c>
      <c r="D4" s="81" t="s">
        <v>3286</v>
      </c>
      <c r="E4" s="81" t="s">
        <v>3285</v>
      </c>
      <c r="F4" s="81" t="s">
        <v>3285</v>
      </c>
      <c r="G4" s="80" t="s">
        <v>62</v>
      </c>
      <c r="H4" s="277" t="s">
        <v>948</v>
      </c>
      <c r="I4" s="82" t="s">
        <v>17</v>
      </c>
      <c r="J4" s="82"/>
      <c r="K4" s="82" t="s">
        <v>1102</v>
      </c>
      <c r="L4" s="82" t="s">
        <v>649</v>
      </c>
      <c r="M4" s="9">
        <v>43009</v>
      </c>
      <c r="N4" s="9">
        <v>43100</v>
      </c>
      <c r="O4" s="91" t="s">
        <v>955</v>
      </c>
      <c r="P4" s="61" t="s">
        <v>3237</v>
      </c>
      <c r="Q4" s="171"/>
      <c r="R4" s="17" t="s">
        <v>2067</v>
      </c>
      <c r="S4" s="337" t="s">
        <v>2848</v>
      </c>
      <c r="T4" s="338"/>
    </row>
    <row r="5" spans="1:20" s="41" customFormat="1" ht="20.100000000000001" customHeight="1">
      <c r="A5" s="1127" t="s">
        <v>3241</v>
      </c>
      <c r="B5" s="1127" t="s">
        <v>3240</v>
      </c>
      <c r="C5" s="1127" t="s">
        <v>3279</v>
      </c>
      <c r="D5" s="801" t="s">
        <v>2994</v>
      </c>
      <c r="E5" s="801" t="s">
        <v>2995</v>
      </c>
      <c r="F5" s="801" t="s">
        <v>2995</v>
      </c>
      <c r="G5" s="84" t="s">
        <v>3267</v>
      </c>
      <c r="H5" s="81" t="s">
        <v>1102</v>
      </c>
      <c r="I5" s="82" t="s">
        <v>17</v>
      </c>
      <c r="J5" s="82"/>
      <c r="K5" s="82">
        <v>2</v>
      </c>
      <c r="L5" s="82" t="s">
        <v>637</v>
      </c>
      <c r="M5" s="9">
        <v>43032</v>
      </c>
      <c r="N5" s="9">
        <v>43079</v>
      </c>
      <c r="O5" s="91" t="s">
        <v>955</v>
      </c>
      <c r="P5" s="61" t="s">
        <v>3237</v>
      </c>
      <c r="Q5" s="88"/>
      <c r="R5" s="77"/>
      <c r="S5" s="334"/>
      <c r="T5" s="338" t="s">
        <v>1678</v>
      </c>
    </row>
    <row r="6" spans="1:20" s="41" customFormat="1" ht="20.100000000000001" customHeight="1">
      <c r="A6" s="1127" t="s">
        <v>3241</v>
      </c>
      <c r="B6" s="1127" t="s">
        <v>3240</v>
      </c>
      <c r="C6" s="1127" t="s">
        <v>3279</v>
      </c>
      <c r="D6" s="801"/>
      <c r="E6" s="801"/>
      <c r="F6" s="801"/>
      <c r="G6" s="281" t="s">
        <v>491</v>
      </c>
      <c r="H6" s="299" t="s">
        <v>1102</v>
      </c>
      <c r="I6" s="82" t="s">
        <v>17</v>
      </c>
      <c r="J6" s="82"/>
      <c r="K6" s="82">
        <v>2</v>
      </c>
      <c r="L6" s="82" t="s">
        <v>1192</v>
      </c>
      <c r="M6" s="9">
        <v>43055</v>
      </c>
      <c r="N6" s="9">
        <v>43079</v>
      </c>
      <c r="O6" s="91" t="s">
        <v>955</v>
      </c>
      <c r="P6" s="61" t="s">
        <v>3237</v>
      </c>
      <c r="Q6" s="249"/>
      <c r="R6" s="77"/>
      <c r="S6" s="334"/>
      <c r="T6" s="338" t="s">
        <v>1678</v>
      </c>
    </row>
    <row r="7" spans="1:20" s="41" customFormat="1" ht="20.100000000000001" customHeight="1">
      <c r="A7" s="1127" t="s">
        <v>3241</v>
      </c>
      <c r="B7" s="1127" t="s">
        <v>3240</v>
      </c>
      <c r="C7" s="1127" t="s">
        <v>3279</v>
      </c>
      <c r="D7" s="801" t="s">
        <v>3836</v>
      </c>
      <c r="E7" s="801" t="s">
        <v>3837</v>
      </c>
      <c r="F7" s="801" t="s">
        <v>3837</v>
      </c>
      <c r="G7" s="80" t="s">
        <v>2234</v>
      </c>
      <c r="H7" s="81" t="s">
        <v>1102</v>
      </c>
      <c r="I7" s="82" t="s">
        <v>17</v>
      </c>
      <c r="J7" s="82"/>
      <c r="K7" s="82">
        <v>2</v>
      </c>
      <c r="L7" s="82" t="s">
        <v>5436</v>
      </c>
      <c r="M7" s="9">
        <v>43079</v>
      </c>
      <c r="N7" s="9">
        <v>43086</v>
      </c>
      <c r="O7" s="91" t="s">
        <v>955</v>
      </c>
      <c r="P7" s="61" t="s">
        <v>3237</v>
      </c>
      <c r="Q7" s="249"/>
      <c r="R7" s="77"/>
      <c r="S7" s="334"/>
      <c r="T7" s="338" t="s">
        <v>1678</v>
      </c>
    </row>
    <row r="8" spans="1:20" s="41" customFormat="1" ht="20.100000000000001" customHeight="1">
      <c r="A8" s="1127" t="s">
        <v>3241</v>
      </c>
      <c r="B8" s="1127" t="s">
        <v>3240</v>
      </c>
      <c r="C8" s="1127" t="s">
        <v>3279</v>
      </c>
      <c r="D8" s="801" t="s">
        <v>4317</v>
      </c>
      <c r="E8" s="801" t="s">
        <v>4318</v>
      </c>
      <c r="F8" s="801" t="s">
        <v>4318</v>
      </c>
      <c r="G8" s="85" t="s">
        <v>278</v>
      </c>
      <c r="H8" s="277" t="s">
        <v>1102</v>
      </c>
      <c r="I8" s="278" t="s">
        <v>17</v>
      </c>
      <c r="J8" s="82"/>
      <c r="K8" s="82">
        <v>2</v>
      </c>
      <c r="L8" s="82" t="s">
        <v>1192</v>
      </c>
      <c r="M8" s="9">
        <v>43076</v>
      </c>
      <c r="N8" s="9">
        <v>43079</v>
      </c>
      <c r="O8" s="91" t="s">
        <v>955</v>
      </c>
      <c r="P8" s="61" t="s">
        <v>3237</v>
      </c>
      <c r="Q8" s="249"/>
      <c r="R8" s="77" t="s">
        <v>1811</v>
      </c>
      <c r="S8" s="334"/>
      <c r="T8" s="338" t="s">
        <v>3213</v>
      </c>
    </row>
    <row r="9" spans="1:20" s="41" customFormat="1" ht="20.100000000000001" customHeight="1">
      <c r="A9" s="1127" t="s">
        <v>3241</v>
      </c>
      <c r="B9" s="1127" t="s">
        <v>3240</v>
      </c>
      <c r="C9" s="1127" t="s">
        <v>3279</v>
      </c>
      <c r="D9" s="801">
        <v>41</v>
      </c>
      <c r="E9" s="801">
        <v>82</v>
      </c>
      <c r="F9" s="801">
        <v>82</v>
      </c>
      <c r="G9" s="85" t="s">
        <v>3223</v>
      </c>
      <c r="H9" s="81" t="s">
        <v>1102</v>
      </c>
      <c r="I9" s="82" t="s">
        <v>17</v>
      </c>
      <c r="J9" s="82" t="s">
        <v>3280</v>
      </c>
      <c r="K9" s="82" t="s">
        <v>1102</v>
      </c>
      <c r="L9" s="82" t="s">
        <v>1192</v>
      </c>
      <c r="M9" s="9">
        <v>43053</v>
      </c>
      <c r="N9" s="9">
        <v>43093</v>
      </c>
      <c r="O9" s="91" t="s">
        <v>955</v>
      </c>
      <c r="P9" s="61" t="s">
        <v>3237</v>
      </c>
      <c r="Q9" s="173"/>
      <c r="R9" s="89" t="s">
        <v>3263</v>
      </c>
      <c r="S9" s="334"/>
      <c r="T9" s="338"/>
    </row>
    <row r="10" spans="1:20" s="41" customFormat="1" ht="20.100000000000001" customHeight="1">
      <c r="A10" s="1127" t="s">
        <v>3241</v>
      </c>
      <c r="B10" s="1127" t="s">
        <v>3240</v>
      </c>
      <c r="C10" s="1127" t="s">
        <v>3279</v>
      </c>
      <c r="D10" s="801" t="s">
        <v>3836</v>
      </c>
      <c r="E10" s="801" t="s">
        <v>3837</v>
      </c>
      <c r="F10" s="801" t="s">
        <v>3837</v>
      </c>
      <c r="G10" s="80" t="s">
        <v>87</v>
      </c>
      <c r="H10" s="81" t="s">
        <v>1102</v>
      </c>
      <c r="I10" s="82" t="s">
        <v>17</v>
      </c>
      <c r="J10" s="82"/>
      <c r="K10" s="82">
        <v>2</v>
      </c>
      <c r="L10" s="82" t="s">
        <v>1192</v>
      </c>
      <c r="M10" s="9">
        <v>43078</v>
      </c>
      <c r="N10" s="9">
        <v>43082</v>
      </c>
      <c r="O10" s="91" t="s">
        <v>955</v>
      </c>
      <c r="P10" s="61" t="s">
        <v>3237</v>
      </c>
      <c r="Q10" s="7"/>
      <c r="R10" s="57" t="s">
        <v>3263</v>
      </c>
      <c r="S10" s="322" t="s">
        <v>2849</v>
      </c>
      <c r="T10" s="338"/>
    </row>
    <row r="11" spans="1:20" s="41" customFormat="1" ht="20.100000000000001" customHeight="1">
      <c r="A11" s="1127" t="s">
        <v>3241</v>
      </c>
      <c r="B11" s="1127" t="s">
        <v>3240</v>
      </c>
      <c r="C11" s="1127" t="s">
        <v>3279</v>
      </c>
      <c r="D11" s="801" t="s">
        <v>3836</v>
      </c>
      <c r="E11" s="801" t="s">
        <v>3837</v>
      </c>
      <c r="F11" s="801" t="s">
        <v>3837</v>
      </c>
      <c r="G11" s="80" t="s">
        <v>87</v>
      </c>
      <c r="H11" s="81" t="s">
        <v>1102</v>
      </c>
      <c r="I11" s="82" t="s">
        <v>17</v>
      </c>
      <c r="J11" s="82"/>
      <c r="K11" s="82">
        <v>2</v>
      </c>
      <c r="L11" s="82" t="s">
        <v>1192</v>
      </c>
      <c r="M11" s="9">
        <v>43078</v>
      </c>
      <c r="N11" s="9">
        <v>43082</v>
      </c>
      <c r="O11" s="91" t="s">
        <v>955</v>
      </c>
      <c r="P11" s="61" t="s">
        <v>3237</v>
      </c>
      <c r="Q11" s="7"/>
      <c r="R11" s="57" t="s">
        <v>1353</v>
      </c>
      <c r="S11" s="322" t="s">
        <v>2849</v>
      </c>
      <c r="T11" s="338"/>
    </row>
    <row r="12" spans="1:20" s="41" customFormat="1" ht="20.100000000000001" customHeight="1">
      <c r="A12" s="1127" t="s">
        <v>3241</v>
      </c>
      <c r="B12" s="1127" t="s">
        <v>3240</v>
      </c>
      <c r="C12" s="1127" t="s">
        <v>3279</v>
      </c>
      <c r="D12" s="801" t="s">
        <v>3836</v>
      </c>
      <c r="E12" s="801" t="s">
        <v>3837</v>
      </c>
      <c r="F12" s="801" t="s">
        <v>3837</v>
      </c>
      <c r="G12" s="80" t="s">
        <v>87</v>
      </c>
      <c r="H12" s="81" t="s">
        <v>1102</v>
      </c>
      <c r="I12" s="82" t="s">
        <v>17</v>
      </c>
      <c r="J12" s="82"/>
      <c r="K12" s="82">
        <v>2</v>
      </c>
      <c r="L12" s="82" t="s">
        <v>1192</v>
      </c>
      <c r="M12" s="9">
        <v>43078</v>
      </c>
      <c r="N12" s="9">
        <v>43082</v>
      </c>
      <c r="O12" s="91" t="s">
        <v>955</v>
      </c>
      <c r="P12" s="61" t="s">
        <v>3237</v>
      </c>
      <c r="Q12" s="167"/>
      <c r="R12" s="57" t="s">
        <v>3246</v>
      </c>
      <c r="S12" s="322" t="s">
        <v>2849</v>
      </c>
      <c r="T12" s="338"/>
    </row>
    <row r="13" spans="1:20" s="41" customFormat="1" ht="20.100000000000001" customHeight="1">
      <c r="A13" s="1127" t="s">
        <v>3241</v>
      </c>
      <c r="B13" s="1127" t="s">
        <v>3240</v>
      </c>
      <c r="C13" s="1127" t="s">
        <v>3279</v>
      </c>
      <c r="D13" s="801" t="s">
        <v>3061</v>
      </c>
      <c r="E13" s="801" t="s">
        <v>1683</v>
      </c>
      <c r="F13" s="801" t="s">
        <v>1683</v>
      </c>
      <c r="G13" s="47" t="s">
        <v>1535</v>
      </c>
      <c r="H13" s="277" t="s">
        <v>1102</v>
      </c>
      <c r="I13" s="82" t="s">
        <v>17</v>
      </c>
      <c r="J13" s="82"/>
      <c r="K13" s="169" t="s">
        <v>1102</v>
      </c>
      <c r="L13" s="82" t="s">
        <v>1192</v>
      </c>
      <c r="M13" s="9">
        <v>43079</v>
      </c>
      <c r="N13" s="9">
        <v>43086</v>
      </c>
      <c r="O13" s="284" t="s">
        <v>3257</v>
      </c>
      <c r="P13" s="61" t="s">
        <v>3237</v>
      </c>
      <c r="Q13" s="7" t="s">
        <v>3256</v>
      </c>
      <c r="R13" s="87" t="s">
        <v>3262</v>
      </c>
      <c r="S13" s="334"/>
      <c r="T13" s="338"/>
    </row>
    <row r="14" spans="1:20" s="41" customFormat="1" ht="20.100000000000001" customHeight="1">
      <c r="A14" s="1127" t="s">
        <v>3241</v>
      </c>
      <c r="B14" s="1127" t="s">
        <v>3240</v>
      </c>
      <c r="C14" s="1127" t="s">
        <v>3279</v>
      </c>
      <c r="D14" s="81" t="s">
        <v>2993</v>
      </c>
      <c r="E14" s="81" t="s">
        <v>2992</v>
      </c>
      <c r="F14" s="81" t="s">
        <v>2992</v>
      </c>
      <c r="G14" s="80" t="s">
        <v>142</v>
      </c>
      <c r="H14" s="81" t="s">
        <v>1102</v>
      </c>
      <c r="I14" s="82" t="s">
        <v>17</v>
      </c>
      <c r="J14" s="82"/>
      <c r="K14" s="82">
        <v>2</v>
      </c>
      <c r="L14" s="82" t="s">
        <v>637</v>
      </c>
      <c r="M14" s="9">
        <v>43078</v>
      </c>
      <c r="N14" s="9">
        <v>43084</v>
      </c>
      <c r="O14" s="284" t="s">
        <v>3257</v>
      </c>
      <c r="P14" s="61" t="s">
        <v>3237</v>
      </c>
      <c r="Q14" s="88"/>
      <c r="R14" s="87"/>
      <c r="S14" s="334"/>
      <c r="T14" s="338"/>
    </row>
    <row r="15" spans="1:20" s="41" customFormat="1" ht="20.100000000000001" customHeight="1">
      <c r="A15" s="1127" t="s">
        <v>3241</v>
      </c>
      <c r="B15" s="1127" t="s">
        <v>3240</v>
      </c>
      <c r="C15" s="1127" t="s">
        <v>3279</v>
      </c>
      <c r="D15" s="81" t="s">
        <v>3245</v>
      </c>
      <c r="E15" s="81" t="s">
        <v>3244</v>
      </c>
      <c r="F15" s="81" t="s">
        <v>3244</v>
      </c>
      <c r="G15" s="214" t="s">
        <v>796</v>
      </c>
      <c r="H15" s="81" t="s">
        <v>1102</v>
      </c>
      <c r="I15" s="82" t="s">
        <v>17</v>
      </c>
      <c r="J15" s="82"/>
      <c r="K15" s="82">
        <v>1</v>
      </c>
      <c r="L15" s="82" t="s">
        <v>641</v>
      </c>
      <c r="M15" s="9">
        <v>43032</v>
      </c>
      <c r="N15" s="9">
        <v>43079</v>
      </c>
      <c r="O15" s="91" t="s">
        <v>955</v>
      </c>
      <c r="P15" s="61" t="s">
        <v>3237</v>
      </c>
      <c r="Q15" s="7"/>
      <c r="R15" s="87" t="s">
        <v>3247</v>
      </c>
      <c r="S15" s="305" t="s">
        <v>1176</v>
      </c>
      <c r="T15" s="338" t="s">
        <v>1678</v>
      </c>
    </row>
    <row r="16" spans="1:20" s="41" customFormat="1" ht="20.100000000000001" customHeight="1">
      <c r="A16" s="1127" t="s">
        <v>3241</v>
      </c>
      <c r="B16" s="1127" t="s">
        <v>3240</v>
      </c>
      <c r="C16" s="1127" t="s">
        <v>3279</v>
      </c>
      <c r="D16" s="81" t="s">
        <v>3238</v>
      </c>
      <c r="E16" s="81" t="s">
        <v>2994</v>
      </c>
      <c r="F16" s="81" t="s">
        <v>2994</v>
      </c>
      <c r="G16" s="85" t="s">
        <v>2397</v>
      </c>
      <c r="H16" s="81" t="s">
        <v>3288</v>
      </c>
      <c r="I16" s="82" t="s">
        <v>17</v>
      </c>
      <c r="J16" s="82"/>
      <c r="K16" s="82">
        <v>2</v>
      </c>
      <c r="L16" s="82" t="s">
        <v>637</v>
      </c>
      <c r="M16" s="82"/>
      <c r="N16" s="6">
        <v>43044</v>
      </c>
      <c r="O16" s="91" t="s">
        <v>955</v>
      </c>
      <c r="P16" s="61" t="s">
        <v>3237</v>
      </c>
      <c r="Q16" s="7"/>
      <c r="R16" s="87"/>
      <c r="S16" s="305"/>
      <c r="T16" s="338"/>
    </row>
    <row r="17" spans="1:20" s="41" customFormat="1" ht="20.100000000000001" customHeight="1">
      <c r="A17" s="1127" t="s">
        <v>3241</v>
      </c>
      <c r="B17" s="1127" t="s">
        <v>3240</v>
      </c>
      <c r="C17" s="1127" t="s">
        <v>3279</v>
      </c>
      <c r="D17" s="801" t="s">
        <v>3836</v>
      </c>
      <c r="E17" s="801" t="s">
        <v>3837</v>
      </c>
      <c r="F17" s="801" t="s">
        <v>3837</v>
      </c>
      <c r="G17" s="80" t="s">
        <v>87</v>
      </c>
      <c r="H17" s="277" t="s">
        <v>828</v>
      </c>
      <c r="I17" s="82" t="s">
        <v>17</v>
      </c>
      <c r="J17" s="82"/>
      <c r="K17" s="82" t="s">
        <v>1102</v>
      </c>
      <c r="L17" s="82" t="s">
        <v>1192</v>
      </c>
      <c r="M17" s="9">
        <v>43078</v>
      </c>
      <c r="N17" s="9">
        <v>43082</v>
      </c>
      <c r="O17" s="91" t="s">
        <v>955</v>
      </c>
      <c r="P17" s="61" t="s">
        <v>3237</v>
      </c>
      <c r="Q17" s="374"/>
      <c r="R17" s="87" t="s">
        <v>3260</v>
      </c>
      <c r="S17" s="322" t="s">
        <v>2849</v>
      </c>
      <c r="T17" s="338"/>
    </row>
    <row r="18" spans="1:20" s="41" customFormat="1" ht="20.100000000000001" customHeight="1">
      <c r="A18" s="1127" t="s">
        <v>3241</v>
      </c>
      <c r="B18" s="1127" t="s">
        <v>3240</v>
      </c>
      <c r="C18" s="1127" t="s">
        <v>3279</v>
      </c>
      <c r="D18" s="801" t="s">
        <v>3061</v>
      </c>
      <c r="E18" s="801" t="s">
        <v>1683</v>
      </c>
      <c r="F18" s="801" t="s">
        <v>1683</v>
      </c>
      <c r="G18" s="47" t="s">
        <v>1535</v>
      </c>
      <c r="H18" s="277" t="s">
        <v>828</v>
      </c>
      <c r="I18" s="82" t="s">
        <v>17</v>
      </c>
      <c r="J18" s="82"/>
      <c r="K18" s="82" t="s">
        <v>1102</v>
      </c>
      <c r="L18" s="82" t="s">
        <v>1192</v>
      </c>
      <c r="M18" s="9">
        <v>43079</v>
      </c>
      <c r="N18" s="9">
        <v>43086</v>
      </c>
      <c r="O18" s="284" t="s">
        <v>3257</v>
      </c>
      <c r="P18" s="61" t="s">
        <v>3237</v>
      </c>
      <c r="Q18" s="7" t="s">
        <v>3256</v>
      </c>
      <c r="R18" s="87" t="s">
        <v>3260</v>
      </c>
      <c r="S18" s="305"/>
      <c r="T18" s="338"/>
    </row>
    <row r="19" spans="1:20" s="41" customFormat="1" ht="20.100000000000001" customHeight="1">
      <c r="A19" s="1127" t="s">
        <v>3241</v>
      </c>
      <c r="B19" s="1127" t="s">
        <v>3240</v>
      </c>
      <c r="C19" s="1127" t="s">
        <v>3279</v>
      </c>
      <c r="D19" s="801" t="s">
        <v>2994</v>
      </c>
      <c r="E19" s="801" t="s">
        <v>2995</v>
      </c>
      <c r="F19" s="801" t="s">
        <v>2995</v>
      </c>
      <c r="G19" s="84" t="s">
        <v>3267</v>
      </c>
      <c r="H19" s="81" t="s">
        <v>828</v>
      </c>
      <c r="I19" s="82" t="s">
        <v>17</v>
      </c>
      <c r="J19" s="82"/>
      <c r="K19" s="82">
        <v>2</v>
      </c>
      <c r="L19" s="82" t="s">
        <v>637</v>
      </c>
      <c r="M19" s="9">
        <v>43032</v>
      </c>
      <c r="N19" s="9">
        <v>43079</v>
      </c>
      <c r="O19" s="91" t="s">
        <v>955</v>
      </c>
      <c r="P19" s="61" t="s">
        <v>3237</v>
      </c>
      <c r="Q19" s="249"/>
      <c r="R19" s="77"/>
      <c r="S19" s="334"/>
      <c r="T19" s="338" t="s">
        <v>1678</v>
      </c>
    </row>
    <row r="20" spans="1:20" s="41" customFormat="1" ht="20.100000000000001" customHeight="1">
      <c r="A20" s="1127" t="s">
        <v>3241</v>
      </c>
      <c r="B20" s="1127" t="s">
        <v>3240</v>
      </c>
      <c r="C20" s="1127" t="s">
        <v>3279</v>
      </c>
      <c r="D20" s="801" t="s">
        <v>4317</v>
      </c>
      <c r="E20" s="801" t="s">
        <v>4318</v>
      </c>
      <c r="F20" s="801" t="s">
        <v>4318</v>
      </c>
      <c r="G20" s="80" t="s">
        <v>2234</v>
      </c>
      <c r="H20" s="81" t="s">
        <v>828</v>
      </c>
      <c r="I20" s="82" t="s">
        <v>17</v>
      </c>
      <c r="J20" s="82"/>
      <c r="K20" s="82">
        <v>2</v>
      </c>
      <c r="L20" s="82" t="s">
        <v>637</v>
      </c>
      <c r="M20" s="9">
        <v>43079</v>
      </c>
      <c r="N20" s="9">
        <v>43086</v>
      </c>
      <c r="O20" s="91" t="s">
        <v>955</v>
      </c>
      <c r="P20" s="61" t="s">
        <v>3237</v>
      </c>
      <c r="Q20" s="249"/>
      <c r="R20" s="77"/>
      <c r="S20" s="334"/>
      <c r="T20" s="338" t="s">
        <v>1678</v>
      </c>
    </row>
    <row r="21" spans="1:20" s="41" customFormat="1" ht="20.100000000000001" customHeight="1">
      <c r="A21" s="1127" t="s">
        <v>3241</v>
      </c>
      <c r="B21" s="1127" t="s">
        <v>3240</v>
      </c>
      <c r="C21" s="1127" t="s">
        <v>3279</v>
      </c>
      <c r="D21" s="801" t="s">
        <v>4317</v>
      </c>
      <c r="E21" s="801" t="s">
        <v>4318</v>
      </c>
      <c r="F21" s="801" t="s">
        <v>4318</v>
      </c>
      <c r="G21" s="85" t="s">
        <v>278</v>
      </c>
      <c r="H21" s="277" t="s">
        <v>828</v>
      </c>
      <c r="I21" s="278" t="s">
        <v>17</v>
      </c>
      <c r="J21" s="82"/>
      <c r="K21" s="82">
        <v>2</v>
      </c>
      <c r="L21" s="82" t="s">
        <v>1192</v>
      </c>
      <c r="M21" s="9">
        <v>43076</v>
      </c>
      <c r="N21" s="9">
        <v>43079</v>
      </c>
      <c r="O21" s="91" t="s">
        <v>955</v>
      </c>
      <c r="P21" s="61" t="s">
        <v>3237</v>
      </c>
      <c r="Q21" s="249"/>
      <c r="R21" s="77" t="s">
        <v>1810</v>
      </c>
      <c r="S21" s="334"/>
      <c r="T21" s="338" t="s">
        <v>3213</v>
      </c>
    </row>
    <row r="22" spans="1:20" s="41" customFormat="1" ht="20.100000000000001" customHeight="1">
      <c r="A22" s="1127" t="s">
        <v>3241</v>
      </c>
      <c r="B22" s="1127" t="s">
        <v>3240</v>
      </c>
      <c r="C22" s="1127" t="s">
        <v>3279</v>
      </c>
      <c r="D22" s="801" t="s">
        <v>3061</v>
      </c>
      <c r="E22" s="801" t="s">
        <v>1683</v>
      </c>
      <c r="F22" s="801" t="s">
        <v>1683</v>
      </c>
      <c r="G22" s="47" t="s">
        <v>1535</v>
      </c>
      <c r="H22" s="277" t="s">
        <v>828</v>
      </c>
      <c r="I22" s="82" t="s">
        <v>17</v>
      </c>
      <c r="J22" s="82"/>
      <c r="K22" s="169" t="s">
        <v>1102</v>
      </c>
      <c r="L22" s="82" t="s">
        <v>1192</v>
      </c>
      <c r="M22" s="9">
        <v>43079</v>
      </c>
      <c r="N22" s="9">
        <v>43086</v>
      </c>
      <c r="O22" s="284" t="s">
        <v>3257</v>
      </c>
      <c r="P22" s="61" t="s">
        <v>3237</v>
      </c>
      <c r="Q22" s="7" t="s">
        <v>3256</v>
      </c>
      <c r="R22" s="87" t="s">
        <v>3287</v>
      </c>
      <c r="S22" s="334"/>
      <c r="T22" s="338"/>
    </row>
    <row r="23" spans="1:20" s="41" customFormat="1" ht="20.100000000000001" customHeight="1">
      <c r="A23" s="1127" t="s">
        <v>3241</v>
      </c>
      <c r="B23" s="1127" t="s">
        <v>3240</v>
      </c>
      <c r="C23" s="1127" t="s">
        <v>3279</v>
      </c>
      <c r="D23" s="801" t="s">
        <v>3836</v>
      </c>
      <c r="E23" s="801" t="s">
        <v>3837</v>
      </c>
      <c r="F23" s="801" t="s">
        <v>3837</v>
      </c>
      <c r="G23" s="80" t="s">
        <v>87</v>
      </c>
      <c r="H23" s="81" t="s">
        <v>828</v>
      </c>
      <c r="I23" s="82" t="s">
        <v>17</v>
      </c>
      <c r="J23" s="82"/>
      <c r="K23" s="82">
        <v>2</v>
      </c>
      <c r="L23" s="82" t="s">
        <v>1192</v>
      </c>
      <c r="M23" s="9">
        <v>43078</v>
      </c>
      <c r="N23" s="9">
        <v>43082</v>
      </c>
      <c r="O23" s="91" t="s">
        <v>955</v>
      </c>
      <c r="P23" s="61" t="s">
        <v>3237</v>
      </c>
      <c r="Q23" s="167"/>
      <c r="R23" s="57" t="s">
        <v>3162</v>
      </c>
      <c r="S23" s="322" t="s">
        <v>2849</v>
      </c>
      <c r="T23" s="338"/>
    </row>
    <row r="24" spans="1:20" s="41" customFormat="1" ht="20.100000000000001" customHeight="1">
      <c r="A24" s="1127" t="s">
        <v>3241</v>
      </c>
      <c r="B24" s="1127" t="s">
        <v>3240</v>
      </c>
      <c r="C24" s="1127" t="s">
        <v>3279</v>
      </c>
      <c r="D24" s="81" t="s">
        <v>3245</v>
      </c>
      <c r="E24" s="81" t="s">
        <v>3244</v>
      </c>
      <c r="F24" s="81" t="s">
        <v>3244</v>
      </c>
      <c r="G24" s="214" t="s">
        <v>796</v>
      </c>
      <c r="H24" s="81" t="s">
        <v>828</v>
      </c>
      <c r="I24" s="82" t="s">
        <v>17</v>
      </c>
      <c r="J24" s="82"/>
      <c r="K24" s="82">
        <v>1</v>
      </c>
      <c r="L24" s="82" t="s">
        <v>1192</v>
      </c>
      <c r="M24" s="9">
        <v>43032</v>
      </c>
      <c r="N24" s="9">
        <v>43079</v>
      </c>
      <c r="O24" s="91" t="s">
        <v>955</v>
      </c>
      <c r="P24" s="61" t="s">
        <v>3237</v>
      </c>
      <c r="Q24" s="7"/>
      <c r="R24" s="87" t="s">
        <v>3160</v>
      </c>
      <c r="S24" s="305" t="s">
        <v>1176</v>
      </c>
      <c r="T24" s="338" t="s">
        <v>1678</v>
      </c>
    </row>
    <row r="25" spans="1:20" s="41" customFormat="1" ht="20.100000000000001" customHeight="1">
      <c r="A25" s="1127" t="s">
        <v>3241</v>
      </c>
      <c r="B25" s="1127" t="s">
        <v>3240</v>
      </c>
      <c r="C25" s="1127" t="s">
        <v>3279</v>
      </c>
      <c r="D25" s="801" t="s">
        <v>2994</v>
      </c>
      <c r="E25" s="801" t="s">
        <v>2995</v>
      </c>
      <c r="F25" s="801" t="s">
        <v>2995</v>
      </c>
      <c r="G25" s="84" t="s">
        <v>3267</v>
      </c>
      <c r="H25" s="81" t="s">
        <v>725</v>
      </c>
      <c r="I25" s="82" t="s">
        <v>17</v>
      </c>
      <c r="J25" s="82"/>
      <c r="K25" s="82">
        <v>2</v>
      </c>
      <c r="L25" s="82" t="s">
        <v>637</v>
      </c>
      <c r="M25" s="9">
        <v>43032</v>
      </c>
      <c r="N25" s="9">
        <v>43079</v>
      </c>
      <c r="O25" s="91" t="s">
        <v>955</v>
      </c>
      <c r="P25" s="61" t="s">
        <v>3237</v>
      </c>
      <c r="Q25" s="88"/>
      <c r="R25" s="77"/>
      <c r="S25" s="334"/>
      <c r="T25" s="338" t="s">
        <v>1678</v>
      </c>
    </row>
    <row r="26" spans="1:20" s="41" customFormat="1" ht="20.100000000000001" customHeight="1">
      <c r="A26" s="1127" t="s">
        <v>3241</v>
      </c>
      <c r="B26" s="1127" t="s">
        <v>3240</v>
      </c>
      <c r="C26" s="1127" t="s">
        <v>3279</v>
      </c>
      <c r="D26" s="801" t="s">
        <v>4061</v>
      </c>
      <c r="E26" s="801" t="s">
        <v>4062</v>
      </c>
      <c r="F26" s="801" t="s">
        <v>4062</v>
      </c>
      <c r="G26" s="281" t="s">
        <v>491</v>
      </c>
      <c r="H26" s="81" t="s">
        <v>725</v>
      </c>
      <c r="I26" s="82" t="s">
        <v>17</v>
      </c>
      <c r="J26" s="82"/>
      <c r="K26" s="82">
        <v>2</v>
      </c>
      <c r="L26" s="82" t="s">
        <v>1192</v>
      </c>
      <c r="M26" s="9">
        <v>43055</v>
      </c>
      <c r="N26" s="9">
        <v>43079</v>
      </c>
      <c r="O26" s="91" t="s">
        <v>955</v>
      </c>
      <c r="P26" s="61" t="s">
        <v>3237</v>
      </c>
      <c r="Q26" s="249"/>
      <c r="R26" s="94" t="s">
        <v>3153</v>
      </c>
      <c r="S26" s="334"/>
      <c r="T26" s="338" t="s">
        <v>1678</v>
      </c>
    </row>
    <row r="27" spans="1:20" s="41" customFormat="1" ht="20.100000000000001" customHeight="1">
      <c r="A27" s="1127" t="s">
        <v>3241</v>
      </c>
      <c r="B27" s="1127" t="s">
        <v>3240</v>
      </c>
      <c r="C27" s="1127" t="s">
        <v>3279</v>
      </c>
      <c r="D27" s="801" t="s">
        <v>3836</v>
      </c>
      <c r="E27" s="801" t="s">
        <v>3837</v>
      </c>
      <c r="F27" s="801" t="s">
        <v>3837</v>
      </c>
      <c r="G27" s="80" t="s">
        <v>2234</v>
      </c>
      <c r="H27" s="81" t="s">
        <v>725</v>
      </c>
      <c r="I27" s="82" t="s">
        <v>17</v>
      </c>
      <c r="J27" s="82"/>
      <c r="K27" s="82">
        <v>2</v>
      </c>
      <c r="L27" s="82" t="s">
        <v>637</v>
      </c>
      <c r="M27" s="9">
        <v>43079</v>
      </c>
      <c r="N27" s="9">
        <v>43086</v>
      </c>
      <c r="O27" s="91" t="s">
        <v>955</v>
      </c>
      <c r="P27" s="61" t="s">
        <v>3237</v>
      </c>
      <c r="Q27" s="88"/>
      <c r="R27" s="77"/>
      <c r="S27" s="334"/>
      <c r="T27" s="338" t="s">
        <v>1678</v>
      </c>
    </row>
    <row r="28" spans="1:20" s="41" customFormat="1" ht="20.100000000000001" customHeight="1">
      <c r="A28" s="1127" t="s">
        <v>3241</v>
      </c>
      <c r="B28" s="1127" t="s">
        <v>3240</v>
      </c>
      <c r="C28" s="1127" t="s">
        <v>3279</v>
      </c>
      <c r="D28" s="801" t="s">
        <v>4317</v>
      </c>
      <c r="E28" s="801" t="s">
        <v>4318</v>
      </c>
      <c r="F28" s="801" t="s">
        <v>4318</v>
      </c>
      <c r="G28" s="85" t="s">
        <v>278</v>
      </c>
      <c r="H28" s="277" t="s">
        <v>725</v>
      </c>
      <c r="I28" s="278" t="s">
        <v>17</v>
      </c>
      <c r="J28" s="82"/>
      <c r="K28" s="82">
        <v>2</v>
      </c>
      <c r="L28" s="82" t="s">
        <v>1192</v>
      </c>
      <c r="M28" s="9">
        <v>43076</v>
      </c>
      <c r="N28" s="9">
        <v>43079</v>
      </c>
      <c r="O28" s="91" t="s">
        <v>955</v>
      </c>
      <c r="P28" s="61" t="s">
        <v>3237</v>
      </c>
      <c r="Q28" s="88"/>
      <c r="R28" s="77" t="s">
        <v>1809</v>
      </c>
      <c r="S28" s="334"/>
      <c r="T28" s="338" t="s">
        <v>3213</v>
      </c>
    </row>
    <row r="29" spans="1:20" s="41" customFormat="1" ht="20.100000000000001" customHeight="1">
      <c r="A29" s="1127" t="s">
        <v>3241</v>
      </c>
      <c r="B29" s="1127" t="s">
        <v>3240</v>
      </c>
      <c r="C29" s="1127" t="s">
        <v>3279</v>
      </c>
      <c r="D29" s="55" t="s">
        <v>751</v>
      </c>
      <c r="E29" s="55" t="s">
        <v>738</v>
      </c>
      <c r="F29" s="55" t="s">
        <v>738</v>
      </c>
      <c r="G29" s="214" t="s">
        <v>51</v>
      </c>
      <c r="H29" s="81" t="s">
        <v>725</v>
      </c>
      <c r="I29" s="82" t="s">
        <v>17</v>
      </c>
      <c r="J29" s="82"/>
      <c r="K29" s="82" t="s">
        <v>1102</v>
      </c>
      <c r="L29" s="82" t="s">
        <v>1192</v>
      </c>
      <c r="M29" s="6">
        <v>43040</v>
      </c>
      <c r="N29" s="381">
        <v>43089</v>
      </c>
      <c r="O29" s="284" t="s">
        <v>1144</v>
      </c>
      <c r="P29" s="61" t="s">
        <v>3237</v>
      </c>
      <c r="Q29" s="249"/>
      <c r="R29" s="77" t="s">
        <v>1808</v>
      </c>
      <c r="S29" s="334"/>
      <c r="T29" s="338"/>
    </row>
    <row r="30" spans="1:20" s="41" customFormat="1" ht="20.100000000000001" customHeight="1">
      <c r="A30" s="1127" t="s">
        <v>3241</v>
      </c>
      <c r="B30" s="1127" t="s">
        <v>3240</v>
      </c>
      <c r="C30" s="1127" t="s">
        <v>3279</v>
      </c>
      <c r="D30" s="55" t="s">
        <v>751</v>
      </c>
      <c r="E30" s="55" t="s">
        <v>738</v>
      </c>
      <c r="F30" s="55" t="s">
        <v>738</v>
      </c>
      <c r="G30" s="214" t="s">
        <v>51</v>
      </c>
      <c r="H30" s="81" t="s">
        <v>725</v>
      </c>
      <c r="I30" s="82" t="s">
        <v>17</v>
      </c>
      <c r="J30" s="82"/>
      <c r="K30" s="82" t="s">
        <v>1102</v>
      </c>
      <c r="L30" s="82" t="s">
        <v>1192</v>
      </c>
      <c r="M30" s="6">
        <v>43040</v>
      </c>
      <c r="N30" s="381">
        <v>43089</v>
      </c>
      <c r="O30" s="284" t="s">
        <v>1144</v>
      </c>
      <c r="P30" s="61" t="s">
        <v>3237</v>
      </c>
      <c r="Q30" s="249"/>
      <c r="R30" s="77" t="s">
        <v>1807</v>
      </c>
      <c r="S30" s="334"/>
      <c r="T30" s="338"/>
    </row>
    <row r="31" spans="1:20" s="41" customFormat="1" ht="20.100000000000001" customHeight="1">
      <c r="A31" s="1127" t="s">
        <v>3241</v>
      </c>
      <c r="B31" s="1127" t="s">
        <v>3240</v>
      </c>
      <c r="C31" s="1127" t="s">
        <v>3279</v>
      </c>
      <c r="D31" s="277" t="s">
        <v>1172</v>
      </c>
      <c r="E31" s="277" t="s">
        <v>1172</v>
      </c>
      <c r="F31" s="277" t="s">
        <v>1172</v>
      </c>
      <c r="G31" s="80" t="s">
        <v>232</v>
      </c>
      <c r="H31" s="81" t="s">
        <v>725</v>
      </c>
      <c r="I31" s="82" t="s">
        <v>17</v>
      </c>
      <c r="J31" s="82" t="s">
        <v>3284</v>
      </c>
      <c r="K31" s="278" t="s">
        <v>1102</v>
      </c>
      <c r="L31" s="278" t="s">
        <v>1481</v>
      </c>
      <c r="M31" s="9" t="s">
        <v>4188</v>
      </c>
      <c r="N31" s="9">
        <v>43079</v>
      </c>
      <c r="O31" s="284" t="s">
        <v>3257</v>
      </c>
      <c r="P31" s="61" t="s">
        <v>3237</v>
      </c>
      <c r="Q31" s="88"/>
      <c r="R31" s="77" t="s">
        <v>3259</v>
      </c>
      <c r="S31" s="334"/>
      <c r="T31" s="338"/>
    </row>
    <row r="32" spans="1:20" s="41" customFormat="1" ht="20.100000000000001" customHeight="1">
      <c r="A32" s="1127" t="s">
        <v>3241</v>
      </c>
      <c r="B32" s="1127" t="s">
        <v>3240</v>
      </c>
      <c r="C32" s="1127" t="s">
        <v>3279</v>
      </c>
      <c r="D32" s="81" t="s">
        <v>2993</v>
      </c>
      <c r="E32" s="81" t="s">
        <v>2992</v>
      </c>
      <c r="F32" s="81" t="s">
        <v>2992</v>
      </c>
      <c r="G32" s="80" t="s">
        <v>142</v>
      </c>
      <c r="H32" s="81" t="s">
        <v>725</v>
      </c>
      <c r="I32" s="82" t="s">
        <v>17</v>
      </c>
      <c r="J32" s="82"/>
      <c r="K32" s="82">
        <v>2</v>
      </c>
      <c r="L32" s="82" t="s">
        <v>637</v>
      </c>
      <c r="M32" s="9">
        <v>43078</v>
      </c>
      <c r="N32" s="9">
        <v>43084</v>
      </c>
      <c r="O32" s="284" t="s">
        <v>3257</v>
      </c>
      <c r="P32" s="61" t="s">
        <v>3237</v>
      </c>
      <c r="Q32" s="249"/>
      <c r="R32" s="87"/>
      <c r="S32" s="334"/>
      <c r="T32" s="338"/>
    </row>
    <row r="33" spans="1:20" s="41" customFormat="1" ht="20.100000000000001" customHeight="1">
      <c r="A33" s="1127" t="s">
        <v>3241</v>
      </c>
      <c r="B33" s="1127" t="s">
        <v>3240</v>
      </c>
      <c r="C33" s="1127" t="s">
        <v>3279</v>
      </c>
      <c r="D33" s="81" t="s">
        <v>3286</v>
      </c>
      <c r="E33" s="81" t="s">
        <v>3285</v>
      </c>
      <c r="F33" s="81" t="s">
        <v>3285</v>
      </c>
      <c r="G33" s="80" t="s">
        <v>62</v>
      </c>
      <c r="H33" s="277" t="s">
        <v>681</v>
      </c>
      <c r="I33" s="82" t="s">
        <v>17</v>
      </c>
      <c r="J33" s="82" t="s">
        <v>3284</v>
      </c>
      <c r="K33" s="82" t="s">
        <v>1102</v>
      </c>
      <c r="L33" s="82" t="s">
        <v>649</v>
      </c>
      <c r="M33" s="9">
        <v>43009</v>
      </c>
      <c r="N33" s="9">
        <v>43100</v>
      </c>
      <c r="O33" s="91" t="s">
        <v>955</v>
      </c>
      <c r="P33" s="61" t="s">
        <v>3237</v>
      </c>
      <c r="Q33" s="171"/>
      <c r="R33" s="17" t="s">
        <v>2406</v>
      </c>
      <c r="S33" s="337" t="s">
        <v>2848</v>
      </c>
      <c r="T33" s="338"/>
    </row>
    <row r="34" spans="1:20" s="41" customFormat="1" ht="20.100000000000001" customHeight="1">
      <c r="A34" s="1127" t="s">
        <v>3241</v>
      </c>
      <c r="B34" s="1127" t="s">
        <v>3240</v>
      </c>
      <c r="C34" s="1127" t="s">
        <v>3279</v>
      </c>
      <c r="D34" s="801" t="s">
        <v>2994</v>
      </c>
      <c r="E34" s="801" t="s">
        <v>2995</v>
      </c>
      <c r="F34" s="801" t="s">
        <v>2995</v>
      </c>
      <c r="G34" s="84" t="s">
        <v>3267</v>
      </c>
      <c r="H34" s="81" t="s">
        <v>681</v>
      </c>
      <c r="I34" s="82" t="s">
        <v>17</v>
      </c>
      <c r="J34" s="82"/>
      <c r="K34" s="82">
        <v>2</v>
      </c>
      <c r="L34" s="82" t="s">
        <v>637</v>
      </c>
      <c r="M34" s="9">
        <v>43032</v>
      </c>
      <c r="N34" s="9">
        <v>43079</v>
      </c>
      <c r="O34" s="91" t="s">
        <v>955</v>
      </c>
      <c r="P34" s="61" t="s">
        <v>3237</v>
      </c>
      <c r="Q34" s="88"/>
      <c r="R34" s="77"/>
      <c r="S34" s="334"/>
      <c r="T34" s="338" t="s">
        <v>1678</v>
      </c>
    </row>
    <row r="35" spans="1:20" s="41" customFormat="1" ht="20.100000000000001" customHeight="1">
      <c r="A35" s="1127" t="s">
        <v>3241</v>
      </c>
      <c r="B35" s="1127" t="s">
        <v>3240</v>
      </c>
      <c r="C35" s="1127" t="s">
        <v>3279</v>
      </c>
      <c r="D35" s="801" t="s">
        <v>3836</v>
      </c>
      <c r="E35" s="801" t="s">
        <v>3837</v>
      </c>
      <c r="F35" s="801" t="s">
        <v>3837</v>
      </c>
      <c r="G35" s="80" t="s">
        <v>2234</v>
      </c>
      <c r="H35" s="81" t="s">
        <v>681</v>
      </c>
      <c r="I35" s="82" t="s">
        <v>17</v>
      </c>
      <c r="J35" s="82"/>
      <c r="K35" s="82">
        <v>2</v>
      </c>
      <c r="L35" s="82" t="s">
        <v>637</v>
      </c>
      <c r="M35" s="9">
        <v>43079</v>
      </c>
      <c r="N35" s="9">
        <v>43086</v>
      </c>
      <c r="O35" s="91" t="s">
        <v>955</v>
      </c>
      <c r="P35" s="61" t="s">
        <v>3237</v>
      </c>
      <c r="Q35" s="88"/>
      <c r="R35" s="77"/>
      <c r="S35" s="334"/>
      <c r="T35" s="338" t="s">
        <v>1678</v>
      </c>
    </row>
    <row r="36" spans="1:20" s="41" customFormat="1" ht="20.100000000000001" customHeight="1">
      <c r="A36" s="1127" t="s">
        <v>3241</v>
      </c>
      <c r="B36" s="1127" t="s">
        <v>3240</v>
      </c>
      <c r="C36" s="1127" t="s">
        <v>3279</v>
      </c>
      <c r="D36" s="55" t="s">
        <v>751</v>
      </c>
      <c r="E36" s="55" t="s">
        <v>738</v>
      </c>
      <c r="F36" s="55" t="s">
        <v>738</v>
      </c>
      <c r="G36" s="214" t="s">
        <v>51</v>
      </c>
      <c r="H36" s="81" t="s">
        <v>681</v>
      </c>
      <c r="I36" s="82" t="s">
        <v>17</v>
      </c>
      <c r="J36" s="82"/>
      <c r="K36" s="82" t="s">
        <v>1102</v>
      </c>
      <c r="L36" s="82" t="s">
        <v>1192</v>
      </c>
      <c r="M36" s="6">
        <v>43040</v>
      </c>
      <c r="N36" s="381">
        <v>43089</v>
      </c>
      <c r="O36" s="284" t="s">
        <v>1144</v>
      </c>
      <c r="P36" s="61" t="s">
        <v>3237</v>
      </c>
      <c r="Q36" s="249"/>
      <c r="R36" s="77" t="s">
        <v>1806</v>
      </c>
      <c r="S36" s="334"/>
      <c r="T36" s="338"/>
    </row>
    <row r="37" spans="1:20" s="41" customFormat="1" ht="20.100000000000001" customHeight="1">
      <c r="A37" s="1127" t="s">
        <v>3241</v>
      </c>
      <c r="B37" s="1127" t="s">
        <v>3240</v>
      </c>
      <c r="C37" s="1127" t="s">
        <v>3279</v>
      </c>
      <c r="D37" s="801" t="s">
        <v>4317</v>
      </c>
      <c r="E37" s="801" t="s">
        <v>4318</v>
      </c>
      <c r="F37" s="801" t="s">
        <v>4318</v>
      </c>
      <c r="G37" s="85" t="s">
        <v>278</v>
      </c>
      <c r="H37" s="277" t="s">
        <v>681</v>
      </c>
      <c r="I37" s="278" t="s">
        <v>17</v>
      </c>
      <c r="J37" s="82"/>
      <c r="K37" s="82">
        <v>2</v>
      </c>
      <c r="L37" s="82" t="s">
        <v>1192</v>
      </c>
      <c r="M37" s="9">
        <v>43076</v>
      </c>
      <c r="N37" s="9">
        <v>43079</v>
      </c>
      <c r="O37" s="91" t="s">
        <v>955</v>
      </c>
      <c r="P37" s="61" t="s">
        <v>3237</v>
      </c>
      <c r="Q37" s="88"/>
      <c r="R37" s="77" t="s">
        <v>1805</v>
      </c>
      <c r="S37" s="334"/>
      <c r="T37" s="338" t="s">
        <v>3213</v>
      </c>
    </row>
    <row r="38" spans="1:20" s="41" customFormat="1" ht="20.100000000000001" customHeight="1">
      <c r="A38" s="1127" t="s">
        <v>3241</v>
      </c>
      <c r="B38" s="1127" t="s">
        <v>3240</v>
      </c>
      <c r="C38" s="1127" t="s">
        <v>3279</v>
      </c>
      <c r="D38" s="81"/>
      <c r="E38" s="81"/>
      <c r="F38" s="81"/>
      <c r="G38" s="301" t="s">
        <v>36</v>
      </c>
      <c r="H38" s="298" t="s">
        <v>681</v>
      </c>
      <c r="I38" s="82" t="s">
        <v>17</v>
      </c>
      <c r="J38" s="82"/>
      <c r="K38" s="82" t="s">
        <v>681</v>
      </c>
      <c r="L38" s="82" t="s">
        <v>641</v>
      </c>
      <c r="M38" s="9">
        <v>43058</v>
      </c>
      <c r="N38" s="9">
        <v>43058</v>
      </c>
      <c r="O38" s="91" t="s">
        <v>955</v>
      </c>
      <c r="P38" s="61" t="s">
        <v>3237</v>
      </c>
      <c r="Q38" s="374"/>
      <c r="R38" s="87" t="s">
        <v>3118</v>
      </c>
      <c r="S38" s="334"/>
      <c r="T38" s="317">
        <v>14</v>
      </c>
    </row>
    <row r="39" spans="1:20" s="41" customFormat="1" ht="20.100000000000001" customHeight="1">
      <c r="A39" s="1127" t="s">
        <v>3241</v>
      </c>
      <c r="B39" s="1127" t="s">
        <v>3240</v>
      </c>
      <c r="C39" s="1127" t="s">
        <v>3279</v>
      </c>
      <c r="D39" s="81" t="s">
        <v>3245</v>
      </c>
      <c r="E39" s="81" t="s">
        <v>3244</v>
      </c>
      <c r="F39" s="81" t="s">
        <v>3244</v>
      </c>
      <c r="G39" s="214" t="s">
        <v>796</v>
      </c>
      <c r="H39" s="81" t="s">
        <v>681</v>
      </c>
      <c r="I39" s="82" t="s">
        <v>17</v>
      </c>
      <c r="J39" s="82"/>
      <c r="K39" s="82">
        <v>1</v>
      </c>
      <c r="L39" s="82" t="s">
        <v>3283</v>
      </c>
      <c r="M39" s="9">
        <v>43032</v>
      </c>
      <c r="N39" s="9">
        <v>43079</v>
      </c>
      <c r="O39" s="91" t="s">
        <v>955</v>
      </c>
      <c r="P39" s="61" t="s">
        <v>3237</v>
      </c>
      <c r="Q39" s="7"/>
      <c r="R39" s="87" t="s">
        <v>3282</v>
      </c>
      <c r="S39" s="305" t="s">
        <v>1176</v>
      </c>
      <c r="T39" s="338" t="s">
        <v>1678</v>
      </c>
    </row>
    <row r="40" spans="1:20" s="41" customFormat="1" ht="20.100000000000001" customHeight="1">
      <c r="A40" s="1127" t="s">
        <v>3241</v>
      </c>
      <c r="B40" s="1127" t="s">
        <v>3240</v>
      </c>
      <c r="C40" s="1127" t="s">
        <v>3279</v>
      </c>
      <c r="D40" s="801" t="s">
        <v>2994</v>
      </c>
      <c r="E40" s="801" t="s">
        <v>2995</v>
      </c>
      <c r="F40" s="801" t="s">
        <v>2995</v>
      </c>
      <c r="G40" s="84" t="s">
        <v>3267</v>
      </c>
      <c r="H40" s="81" t="s">
        <v>1098</v>
      </c>
      <c r="I40" s="82" t="s">
        <v>17</v>
      </c>
      <c r="J40" s="82"/>
      <c r="K40" s="82">
        <v>2</v>
      </c>
      <c r="L40" s="82" t="s">
        <v>637</v>
      </c>
      <c r="M40" s="9">
        <v>43032</v>
      </c>
      <c r="N40" s="9">
        <v>43079</v>
      </c>
      <c r="O40" s="91" t="s">
        <v>955</v>
      </c>
      <c r="P40" s="61" t="s">
        <v>3237</v>
      </c>
      <c r="Q40" s="88"/>
      <c r="R40" s="77"/>
      <c r="S40" s="334"/>
      <c r="T40" s="338" t="s">
        <v>1678</v>
      </c>
    </row>
    <row r="41" spans="1:20" s="41" customFormat="1" ht="20.100000000000001" customHeight="1">
      <c r="A41" s="1127" t="s">
        <v>3241</v>
      </c>
      <c r="B41" s="1127" t="s">
        <v>3240</v>
      </c>
      <c r="C41" s="1127" t="s">
        <v>3279</v>
      </c>
      <c r="D41" s="801"/>
      <c r="E41" s="801"/>
      <c r="F41" s="801"/>
      <c r="G41" s="281" t="s">
        <v>491</v>
      </c>
      <c r="H41" s="298" t="s">
        <v>1098</v>
      </c>
      <c r="I41" s="82" t="s">
        <v>17</v>
      </c>
      <c r="J41" s="82"/>
      <c r="K41" s="82">
        <v>2</v>
      </c>
      <c r="L41" s="82" t="s">
        <v>1192</v>
      </c>
      <c r="M41" s="9">
        <v>43055</v>
      </c>
      <c r="N41" s="9">
        <v>43079</v>
      </c>
      <c r="O41" s="91" t="s">
        <v>955</v>
      </c>
      <c r="P41" s="61" t="s">
        <v>3237</v>
      </c>
      <c r="Q41" s="249"/>
      <c r="R41" s="77"/>
      <c r="S41" s="334"/>
      <c r="T41" s="338" t="s">
        <v>1678</v>
      </c>
    </row>
    <row r="42" spans="1:20" s="41" customFormat="1" ht="20.100000000000001" customHeight="1">
      <c r="A42" s="1127" t="s">
        <v>3241</v>
      </c>
      <c r="B42" s="1127" t="s">
        <v>3240</v>
      </c>
      <c r="C42" s="1127" t="s">
        <v>3279</v>
      </c>
      <c r="D42" s="801" t="s">
        <v>3836</v>
      </c>
      <c r="E42" s="801" t="s">
        <v>3837</v>
      </c>
      <c r="F42" s="801" t="s">
        <v>3837</v>
      </c>
      <c r="G42" s="80" t="s">
        <v>2234</v>
      </c>
      <c r="H42" s="81" t="s">
        <v>1098</v>
      </c>
      <c r="I42" s="82" t="s">
        <v>17</v>
      </c>
      <c r="J42" s="82"/>
      <c r="K42" s="82">
        <v>2</v>
      </c>
      <c r="L42" s="82" t="s">
        <v>637</v>
      </c>
      <c r="M42" s="9">
        <v>43079</v>
      </c>
      <c r="N42" s="9">
        <v>43086</v>
      </c>
      <c r="O42" s="91" t="s">
        <v>955</v>
      </c>
      <c r="P42" s="61" t="s">
        <v>3237</v>
      </c>
      <c r="Q42" s="88"/>
      <c r="R42" s="77"/>
      <c r="S42" s="334"/>
      <c r="T42" s="338" t="s">
        <v>1678</v>
      </c>
    </row>
    <row r="43" spans="1:20" s="41" customFormat="1" ht="20.100000000000001" customHeight="1">
      <c r="A43" s="1127" t="s">
        <v>3241</v>
      </c>
      <c r="B43" s="1127" t="s">
        <v>3240</v>
      </c>
      <c r="C43" s="1127" t="s">
        <v>3279</v>
      </c>
      <c r="D43" s="81" t="s">
        <v>3245</v>
      </c>
      <c r="E43" s="81" t="s">
        <v>3244</v>
      </c>
      <c r="F43" s="81" t="s">
        <v>3244</v>
      </c>
      <c r="G43" s="214" t="s">
        <v>796</v>
      </c>
      <c r="H43" s="81" t="s">
        <v>1098</v>
      </c>
      <c r="I43" s="82" t="s">
        <v>17</v>
      </c>
      <c r="J43" s="82"/>
      <c r="K43" s="82" t="s">
        <v>1102</v>
      </c>
      <c r="L43" s="278" t="s">
        <v>1192</v>
      </c>
      <c r="M43" s="9">
        <v>43032</v>
      </c>
      <c r="N43" s="9">
        <v>43079</v>
      </c>
      <c r="O43" s="91" t="s">
        <v>955</v>
      </c>
      <c r="P43" s="61" t="s">
        <v>3237</v>
      </c>
      <c r="Q43" s="7"/>
      <c r="R43" s="87" t="s">
        <v>3243</v>
      </c>
      <c r="S43" s="305" t="s">
        <v>1176</v>
      </c>
      <c r="T43" s="338" t="s">
        <v>1678</v>
      </c>
    </row>
    <row r="44" spans="1:20" s="41" customFormat="1" ht="20.100000000000001" customHeight="1">
      <c r="A44" s="1127" t="s">
        <v>3241</v>
      </c>
      <c r="B44" s="1127" t="s">
        <v>3240</v>
      </c>
      <c r="C44" s="1127" t="s">
        <v>3279</v>
      </c>
      <c r="D44" s="801" t="s">
        <v>4317</v>
      </c>
      <c r="E44" s="801" t="s">
        <v>4318</v>
      </c>
      <c r="F44" s="801" t="s">
        <v>4318</v>
      </c>
      <c r="G44" s="85" t="s">
        <v>278</v>
      </c>
      <c r="H44" s="277" t="s">
        <v>1098</v>
      </c>
      <c r="I44" s="278" t="s">
        <v>17</v>
      </c>
      <c r="J44" s="82"/>
      <c r="K44" s="82">
        <v>2</v>
      </c>
      <c r="L44" s="82" t="s">
        <v>1192</v>
      </c>
      <c r="M44" s="9">
        <v>43076</v>
      </c>
      <c r="N44" s="9">
        <v>43079</v>
      </c>
      <c r="O44" s="91" t="s">
        <v>955</v>
      </c>
      <c r="P44" s="61" t="s">
        <v>3237</v>
      </c>
      <c r="Q44" s="88"/>
      <c r="R44" s="77" t="s">
        <v>1804</v>
      </c>
      <c r="S44" s="334"/>
      <c r="T44" s="338" t="s">
        <v>3213</v>
      </c>
    </row>
    <row r="45" spans="1:20" s="41" customFormat="1" ht="20.100000000000001" customHeight="1">
      <c r="A45" s="1127" t="s">
        <v>3241</v>
      </c>
      <c r="B45" s="1127" t="s">
        <v>3240</v>
      </c>
      <c r="C45" s="1127" t="s">
        <v>3279</v>
      </c>
      <c r="D45" s="801" t="s">
        <v>1174</v>
      </c>
      <c r="E45" s="801" t="s">
        <v>2232</v>
      </c>
      <c r="F45" s="801" t="s">
        <v>2232</v>
      </c>
      <c r="G45" s="80" t="s">
        <v>558</v>
      </c>
      <c r="H45" s="81" t="s">
        <v>1098</v>
      </c>
      <c r="I45" s="82" t="s">
        <v>17</v>
      </c>
      <c r="J45" s="82"/>
      <c r="K45" s="82" t="s">
        <v>1102</v>
      </c>
      <c r="L45" s="82" t="s">
        <v>1192</v>
      </c>
      <c r="M45" s="9">
        <v>43043</v>
      </c>
      <c r="N45" s="9">
        <v>43086</v>
      </c>
      <c r="O45" s="284" t="s">
        <v>3257</v>
      </c>
      <c r="P45" s="61" t="s">
        <v>3237</v>
      </c>
      <c r="Q45" s="88"/>
      <c r="R45" s="77" t="s">
        <v>1803</v>
      </c>
      <c r="S45" s="334"/>
      <c r="T45" s="338"/>
    </row>
    <row r="46" spans="1:20" s="41" customFormat="1" ht="20.100000000000001" customHeight="1">
      <c r="A46" s="1127" t="s">
        <v>3241</v>
      </c>
      <c r="B46" s="1127" t="s">
        <v>3240</v>
      </c>
      <c r="C46" s="1127" t="s">
        <v>3279</v>
      </c>
      <c r="D46" s="81" t="s">
        <v>1146</v>
      </c>
      <c r="E46" s="81" t="s">
        <v>1147</v>
      </c>
      <c r="F46" s="81" t="s">
        <v>1147</v>
      </c>
      <c r="G46" s="80" t="s">
        <v>873</v>
      </c>
      <c r="H46" s="81" t="s">
        <v>1098</v>
      </c>
      <c r="I46" s="82" t="s">
        <v>17</v>
      </c>
      <c r="J46" s="82"/>
      <c r="K46" s="82" t="s">
        <v>725</v>
      </c>
      <c r="L46" s="82" t="s">
        <v>637</v>
      </c>
      <c r="M46" s="9">
        <v>43032</v>
      </c>
      <c r="N46" s="9">
        <v>43037</v>
      </c>
      <c r="O46" s="284" t="s">
        <v>3257</v>
      </c>
      <c r="P46" s="61" t="s">
        <v>3237</v>
      </c>
      <c r="Q46" s="88"/>
      <c r="R46" s="77" t="s">
        <v>3281</v>
      </c>
      <c r="S46" s="334"/>
      <c r="T46" s="338"/>
    </row>
    <row r="47" spans="1:20" s="41" customFormat="1" ht="20.100000000000001" customHeight="1">
      <c r="A47" s="1127" t="s">
        <v>3241</v>
      </c>
      <c r="B47" s="1127" t="s">
        <v>3240</v>
      </c>
      <c r="C47" s="1127" t="s">
        <v>3279</v>
      </c>
      <c r="D47" s="81" t="s">
        <v>2993</v>
      </c>
      <c r="E47" s="81" t="s">
        <v>2992</v>
      </c>
      <c r="F47" s="81" t="s">
        <v>2992</v>
      </c>
      <c r="G47" s="80" t="s">
        <v>142</v>
      </c>
      <c r="H47" s="81" t="s">
        <v>1098</v>
      </c>
      <c r="I47" s="82" t="s">
        <v>17</v>
      </c>
      <c r="J47" s="82"/>
      <c r="K47" s="82">
        <v>2</v>
      </c>
      <c r="L47" s="82" t="s">
        <v>637</v>
      </c>
      <c r="M47" s="9">
        <v>43078</v>
      </c>
      <c r="N47" s="9">
        <v>43084</v>
      </c>
      <c r="O47" s="284" t="s">
        <v>3257</v>
      </c>
      <c r="P47" s="61" t="s">
        <v>3237</v>
      </c>
      <c r="Q47" s="88"/>
      <c r="R47" s="77"/>
      <c r="S47" s="334"/>
      <c r="T47" s="338"/>
    </row>
    <row r="48" spans="1:20" s="41" customFormat="1" ht="20.100000000000001" customHeight="1">
      <c r="A48" s="1127" t="s">
        <v>3241</v>
      </c>
      <c r="B48" s="1127" t="s">
        <v>3240</v>
      </c>
      <c r="C48" s="1127" t="s">
        <v>3279</v>
      </c>
      <c r="D48" s="81" t="s">
        <v>3245</v>
      </c>
      <c r="E48" s="81" t="s">
        <v>3244</v>
      </c>
      <c r="F48" s="81" t="s">
        <v>3244</v>
      </c>
      <c r="G48" s="214" t="s">
        <v>796</v>
      </c>
      <c r="H48" s="81" t="s">
        <v>1098</v>
      </c>
      <c r="I48" s="82" t="s">
        <v>17</v>
      </c>
      <c r="J48" s="82"/>
      <c r="K48" s="82">
        <v>1</v>
      </c>
      <c r="L48" s="278" t="s">
        <v>1192</v>
      </c>
      <c r="M48" s="9">
        <v>43032</v>
      </c>
      <c r="N48" s="9">
        <v>43079</v>
      </c>
      <c r="O48" s="91" t="s">
        <v>955</v>
      </c>
      <c r="P48" s="61" t="s">
        <v>3237</v>
      </c>
      <c r="Q48" s="7"/>
      <c r="R48" s="87" t="s">
        <v>1559</v>
      </c>
      <c r="S48" s="305" t="s">
        <v>1176</v>
      </c>
      <c r="T48" s="338" t="s">
        <v>1678</v>
      </c>
    </row>
    <row r="49" spans="1:20" s="41" customFormat="1" ht="20.100000000000001" customHeight="1">
      <c r="A49" s="1127" t="s">
        <v>3241</v>
      </c>
      <c r="B49" s="1127" t="s">
        <v>3240</v>
      </c>
      <c r="C49" s="1127" t="s">
        <v>3279</v>
      </c>
      <c r="D49" s="801" t="s">
        <v>2994</v>
      </c>
      <c r="E49" s="801" t="s">
        <v>2995</v>
      </c>
      <c r="F49" s="801" t="s">
        <v>2995</v>
      </c>
      <c r="G49" s="84" t="s">
        <v>3267</v>
      </c>
      <c r="H49" s="81" t="s">
        <v>706</v>
      </c>
      <c r="I49" s="82" t="s">
        <v>17</v>
      </c>
      <c r="J49" s="82"/>
      <c r="K49" s="82">
        <v>2</v>
      </c>
      <c r="L49" s="82" t="s">
        <v>637</v>
      </c>
      <c r="M49" s="9">
        <v>43032</v>
      </c>
      <c r="N49" s="9">
        <v>43079</v>
      </c>
      <c r="O49" s="91" t="s">
        <v>955</v>
      </c>
      <c r="P49" s="61" t="s">
        <v>3237</v>
      </c>
      <c r="Q49" s="88"/>
      <c r="R49" s="77"/>
      <c r="S49" s="334"/>
      <c r="T49" s="338" t="s">
        <v>1678</v>
      </c>
    </row>
    <row r="50" spans="1:20" s="41" customFormat="1" ht="20.100000000000001" customHeight="1">
      <c r="A50" s="1127" t="s">
        <v>3241</v>
      </c>
      <c r="B50" s="1127" t="s">
        <v>3240</v>
      </c>
      <c r="C50" s="1127" t="s">
        <v>3279</v>
      </c>
      <c r="D50" s="801" t="s">
        <v>4061</v>
      </c>
      <c r="E50" s="801" t="s">
        <v>4062</v>
      </c>
      <c r="F50" s="801" t="s">
        <v>4062</v>
      </c>
      <c r="G50" s="281" t="s">
        <v>491</v>
      </c>
      <c r="H50" s="81" t="s">
        <v>706</v>
      </c>
      <c r="I50" s="82" t="s">
        <v>17</v>
      </c>
      <c r="J50" s="82"/>
      <c r="K50" s="82">
        <v>2</v>
      </c>
      <c r="L50" s="82" t="s">
        <v>1192</v>
      </c>
      <c r="M50" s="9">
        <v>43055</v>
      </c>
      <c r="N50" s="9">
        <v>43079</v>
      </c>
      <c r="O50" s="91" t="s">
        <v>955</v>
      </c>
      <c r="P50" s="61" t="s">
        <v>3237</v>
      </c>
      <c r="Q50" s="249"/>
      <c r="R50" s="77" t="s">
        <v>201</v>
      </c>
      <c r="S50" s="334"/>
      <c r="T50" s="338" t="s">
        <v>1678</v>
      </c>
    </row>
    <row r="51" spans="1:20" s="41" customFormat="1" ht="20.100000000000001" customHeight="1">
      <c r="A51" s="1127" t="s">
        <v>3241</v>
      </c>
      <c r="B51" s="1127" t="s">
        <v>3240</v>
      </c>
      <c r="C51" s="1127" t="s">
        <v>3279</v>
      </c>
      <c r="D51" s="801" t="s">
        <v>3836</v>
      </c>
      <c r="E51" s="801" t="s">
        <v>3837</v>
      </c>
      <c r="F51" s="801" t="s">
        <v>3837</v>
      </c>
      <c r="G51" s="80" t="s">
        <v>2234</v>
      </c>
      <c r="H51" s="81" t="s">
        <v>706</v>
      </c>
      <c r="I51" s="82" t="s">
        <v>17</v>
      </c>
      <c r="J51" s="82"/>
      <c r="K51" s="82">
        <v>2</v>
      </c>
      <c r="L51" s="82" t="s">
        <v>637</v>
      </c>
      <c r="M51" s="9">
        <v>43079</v>
      </c>
      <c r="N51" s="9">
        <v>43086</v>
      </c>
      <c r="O51" s="91" t="s">
        <v>955</v>
      </c>
      <c r="P51" s="61" t="s">
        <v>3237</v>
      </c>
      <c r="Q51" s="88"/>
      <c r="R51" s="77"/>
      <c r="S51" s="334"/>
      <c r="T51" s="338" t="s">
        <v>1678</v>
      </c>
    </row>
    <row r="52" spans="1:20" s="41" customFormat="1" ht="20.100000000000001" customHeight="1">
      <c r="A52" s="1127" t="s">
        <v>3241</v>
      </c>
      <c r="B52" s="1127" t="s">
        <v>3240</v>
      </c>
      <c r="C52" s="1127" t="s">
        <v>3279</v>
      </c>
      <c r="D52" s="801" t="s">
        <v>4317</v>
      </c>
      <c r="E52" s="801" t="s">
        <v>4318</v>
      </c>
      <c r="F52" s="801" t="s">
        <v>4318</v>
      </c>
      <c r="G52" s="85" t="s">
        <v>278</v>
      </c>
      <c r="H52" s="277" t="s">
        <v>706</v>
      </c>
      <c r="I52" s="278" t="s">
        <v>17</v>
      </c>
      <c r="J52" s="278" t="s">
        <v>3280</v>
      </c>
      <c r="K52" s="278" t="s">
        <v>1102</v>
      </c>
      <c r="L52" s="278" t="s">
        <v>1192</v>
      </c>
      <c r="M52" s="9">
        <v>43076</v>
      </c>
      <c r="N52" s="9">
        <v>43079</v>
      </c>
      <c r="O52" s="91" t="s">
        <v>955</v>
      </c>
      <c r="P52" s="61" t="s">
        <v>3237</v>
      </c>
      <c r="Q52" s="88"/>
      <c r="R52" s="77" t="s">
        <v>1802</v>
      </c>
      <c r="S52" s="334"/>
      <c r="T52" s="338" t="s">
        <v>3213</v>
      </c>
    </row>
    <row r="53" spans="1:20" s="41" customFormat="1" ht="20.100000000000001" customHeight="1">
      <c r="A53" s="1127" t="s">
        <v>3241</v>
      </c>
      <c r="B53" s="1127" t="s">
        <v>3240</v>
      </c>
      <c r="C53" s="1127" t="s">
        <v>3279</v>
      </c>
      <c r="D53" s="277" t="s">
        <v>1172</v>
      </c>
      <c r="E53" s="277" t="s">
        <v>1172</v>
      </c>
      <c r="F53" s="277" t="s">
        <v>1172</v>
      </c>
      <c r="G53" s="80" t="s">
        <v>232</v>
      </c>
      <c r="H53" s="81" t="s">
        <v>706</v>
      </c>
      <c r="I53" s="82" t="s">
        <v>17</v>
      </c>
      <c r="J53" s="278" t="s">
        <v>3280</v>
      </c>
      <c r="K53" s="278" t="s">
        <v>725</v>
      </c>
      <c r="L53" s="278" t="s">
        <v>1192</v>
      </c>
      <c r="M53" s="9" t="s">
        <v>4188</v>
      </c>
      <c r="N53" s="9">
        <v>43079</v>
      </c>
      <c r="O53" s="284" t="s">
        <v>3257</v>
      </c>
      <c r="P53" s="61" t="s">
        <v>3237</v>
      </c>
      <c r="Q53" s="88"/>
      <c r="R53" s="77" t="s">
        <v>201</v>
      </c>
      <c r="S53" s="334"/>
      <c r="T53" s="338"/>
    </row>
    <row r="54" spans="1:20" s="41" customFormat="1" ht="20.100000000000001" customHeight="1">
      <c r="A54" s="1127" t="s">
        <v>3241</v>
      </c>
      <c r="B54" s="1127" t="s">
        <v>3240</v>
      </c>
      <c r="C54" s="1127" t="s">
        <v>3279</v>
      </c>
      <c r="D54" s="81" t="s">
        <v>3493</v>
      </c>
      <c r="E54" s="81" t="s">
        <v>3494</v>
      </c>
      <c r="F54" s="81" t="s">
        <v>3494</v>
      </c>
      <c r="G54" s="80" t="s">
        <v>36</v>
      </c>
      <c r="H54" s="81" t="s">
        <v>706</v>
      </c>
      <c r="I54" s="82" t="s">
        <v>17</v>
      </c>
      <c r="J54" s="278" t="s">
        <v>3280</v>
      </c>
      <c r="K54" s="278" t="s">
        <v>725</v>
      </c>
      <c r="L54" s="278" t="s">
        <v>1192</v>
      </c>
      <c r="M54" s="9">
        <v>43058</v>
      </c>
      <c r="N54" s="9">
        <v>43058</v>
      </c>
      <c r="O54" s="91" t="s">
        <v>955</v>
      </c>
      <c r="P54" s="61" t="s">
        <v>3237</v>
      </c>
      <c r="Q54" s="249"/>
      <c r="R54" s="87" t="s">
        <v>201</v>
      </c>
      <c r="S54" s="334"/>
      <c r="T54" s="317">
        <v>14</v>
      </c>
    </row>
    <row r="55" spans="1:20" s="41" customFormat="1" ht="20.100000000000001" customHeight="1">
      <c r="A55" s="1127" t="s">
        <v>3241</v>
      </c>
      <c r="B55" s="1127" t="s">
        <v>3240</v>
      </c>
      <c r="C55" s="1127" t="s">
        <v>3279</v>
      </c>
      <c r="D55" s="801" t="s">
        <v>3836</v>
      </c>
      <c r="E55" s="801" t="s">
        <v>3837</v>
      </c>
      <c r="F55" s="801" t="s">
        <v>3837</v>
      </c>
      <c r="G55" s="80" t="s">
        <v>87</v>
      </c>
      <c r="H55" s="81" t="s">
        <v>706</v>
      </c>
      <c r="I55" s="82" t="s">
        <v>17</v>
      </c>
      <c r="J55" s="278" t="s">
        <v>3280</v>
      </c>
      <c r="K55" s="278" t="s">
        <v>725</v>
      </c>
      <c r="L55" s="278" t="s">
        <v>1192</v>
      </c>
      <c r="M55" s="9">
        <v>43078</v>
      </c>
      <c r="N55" s="9">
        <v>43082</v>
      </c>
      <c r="O55" s="91" t="s">
        <v>955</v>
      </c>
      <c r="P55" s="61" t="s">
        <v>3237</v>
      </c>
      <c r="Q55" s="7"/>
      <c r="R55" s="57" t="s">
        <v>201</v>
      </c>
      <c r="S55" s="322" t="s">
        <v>2849</v>
      </c>
      <c r="T55" s="338"/>
    </row>
    <row r="56" spans="1:20" s="41" customFormat="1" ht="20.100000000000001" customHeight="1">
      <c r="A56" s="1127" t="s">
        <v>3241</v>
      </c>
      <c r="B56" s="1127" t="s">
        <v>3240</v>
      </c>
      <c r="C56" s="1127" t="s">
        <v>3279</v>
      </c>
      <c r="D56" s="81" t="s">
        <v>3245</v>
      </c>
      <c r="E56" s="81" t="s">
        <v>3244</v>
      </c>
      <c r="F56" s="81" t="s">
        <v>3244</v>
      </c>
      <c r="G56" s="214" t="s">
        <v>796</v>
      </c>
      <c r="H56" s="81" t="s">
        <v>706</v>
      </c>
      <c r="I56" s="82" t="s">
        <v>17</v>
      </c>
      <c r="J56" s="278" t="s">
        <v>3280</v>
      </c>
      <c r="K56" s="278" t="s">
        <v>725</v>
      </c>
      <c r="L56" s="278" t="s">
        <v>1192</v>
      </c>
      <c r="M56" s="9">
        <v>43032</v>
      </c>
      <c r="N56" s="9">
        <v>43079</v>
      </c>
      <c r="O56" s="91" t="s">
        <v>955</v>
      </c>
      <c r="P56" s="61" t="s">
        <v>3237</v>
      </c>
      <c r="Q56" s="7"/>
      <c r="R56" s="87" t="s">
        <v>201</v>
      </c>
      <c r="S56" s="305" t="s">
        <v>1176</v>
      </c>
      <c r="T56" s="338" t="s">
        <v>1678</v>
      </c>
    </row>
    <row r="57" spans="1:20" s="41" customFormat="1" ht="20.100000000000001" customHeight="1">
      <c r="A57" s="1127" t="s">
        <v>3241</v>
      </c>
      <c r="B57" s="1127" t="s">
        <v>3240</v>
      </c>
      <c r="C57" s="1127" t="s">
        <v>3279</v>
      </c>
      <c r="D57" s="801" t="s">
        <v>1174</v>
      </c>
      <c r="E57" s="801" t="s">
        <v>2232</v>
      </c>
      <c r="F57" s="801" t="s">
        <v>2232</v>
      </c>
      <c r="G57" s="80" t="s">
        <v>558</v>
      </c>
      <c r="H57" s="81" t="s">
        <v>706</v>
      </c>
      <c r="I57" s="82" t="s">
        <v>17</v>
      </c>
      <c r="J57" s="82"/>
      <c r="K57" s="82" t="s">
        <v>828</v>
      </c>
      <c r="L57" s="82" t="s">
        <v>1192</v>
      </c>
      <c r="M57" s="9">
        <v>43043</v>
      </c>
      <c r="N57" s="9">
        <v>43086</v>
      </c>
      <c r="O57" s="284" t="s">
        <v>3257</v>
      </c>
      <c r="P57" s="61" t="s">
        <v>3237</v>
      </c>
      <c r="Q57" s="88"/>
      <c r="R57" s="77" t="s">
        <v>1801</v>
      </c>
      <c r="S57" s="334"/>
      <c r="T57" s="338"/>
    </row>
    <row r="58" spans="1:20" s="41" customFormat="1" ht="20.100000000000001" customHeight="1">
      <c r="A58" s="1127" t="s">
        <v>3241</v>
      </c>
      <c r="B58" s="1127" t="s">
        <v>3240</v>
      </c>
      <c r="C58" s="1127" t="s">
        <v>3279</v>
      </c>
      <c r="D58" s="81"/>
      <c r="E58" s="81"/>
      <c r="F58" s="81"/>
      <c r="G58" s="80" t="s">
        <v>62</v>
      </c>
      <c r="H58" s="299" t="s">
        <v>706</v>
      </c>
      <c r="I58" s="82" t="s">
        <v>17</v>
      </c>
      <c r="J58" s="82"/>
      <c r="K58" s="82" t="s">
        <v>725</v>
      </c>
      <c r="L58" s="82" t="s">
        <v>1192</v>
      </c>
      <c r="M58" s="9">
        <v>43009</v>
      </c>
      <c r="N58" s="9">
        <v>43100</v>
      </c>
      <c r="O58" s="91" t="s">
        <v>955</v>
      </c>
      <c r="P58" s="61" t="s">
        <v>3237</v>
      </c>
      <c r="Q58" s="171"/>
      <c r="R58" s="17" t="s">
        <v>2051</v>
      </c>
      <c r="S58" s="337" t="s">
        <v>2848</v>
      </c>
      <c r="T58" s="338"/>
    </row>
    <row r="59" spans="1:20" s="41" customFormat="1" ht="20.100000000000001" customHeight="1">
      <c r="A59" s="1127" t="s">
        <v>3241</v>
      </c>
      <c r="B59" s="1127" t="s">
        <v>3240</v>
      </c>
      <c r="C59" s="1127" t="s">
        <v>3279</v>
      </c>
      <c r="D59" s="801" t="s">
        <v>3061</v>
      </c>
      <c r="E59" s="801" t="s">
        <v>1683</v>
      </c>
      <c r="F59" s="801" t="s">
        <v>1683</v>
      </c>
      <c r="G59" s="47" t="s">
        <v>1535</v>
      </c>
      <c r="H59" s="277" t="s">
        <v>706</v>
      </c>
      <c r="I59" s="82" t="s">
        <v>17</v>
      </c>
      <c r="J59" s="82"/>
      <c r="K59" s="169" t="s">
        <v>1102</v>
      </c>
      <c r="L59" s="82" t="s">
        <v>1192</v>
      </c>
      <c r="M59" s="9">
        <v>43079</v>
      </c>
      <c r="N59" s="9">
        <v>43086</v>
      </c>
      <c r="O59" s="284" t="s">
        <v>3257</v>
      </c>
      <c r="P59" s="61" t="s">
        <v>3237</v>
      </c>
      <c r="Q59" s="7" t="s">
        <v>3256</v>
      </c>
      <c r="R59" s="87" t="s">
        <v>3255</v>
      </c>
      <c r="S59" s="334"/>
      <c r="T59" s="338"/>
    </row>
    <row r="60" spans="1:20" s="41" customFormat="1" ht="20.100000000000001" customHeight="1">
      <c r="A60" s="796" t="s">
        <v>3241</v>
      </c>
      <c r="B60" s="796" t="s">
        <v>3240</v>
      </c>
      <c r="C60" s="796" t="s">
        <v>3278</v>
      </c>
      <c r="D60" s="160" t="s">
        <v>3253</v>
      </c>
      <c r="E60" s="160" t="s">
        <v>2416</v>
      </c>
      <c r="F60" s="160" t="s">
        <v>2416</v>
      </c>
      <c r="G60" s="80" t="s">
        <v>87</v>
      </c>
      <c r="H60" s="81">
        <v>7</v>
      </c>
      <c r="I60" s="82" t="s">
        <v>17</v>
      </c>
      <c r="J60" s="82"/>
      <c r="K60" s="82">
        <v>3</v>
      </c>
      <c r="L60" s="82" t="s">
        <v>1192</v>
      </c>
      <c r="M60" s="9">
        <v>43040</v>
      </c>
      <c r="N60" s="9">
        <v>43079</v>
      </c>
      <c r="O60" s="91" t="s">
        <v>955</v>
      </c>
      <c r="P60" s="61" t="s">
        <v>3237</v>
      </c>
      <c r="Q60" s="374"/>
      <c r="R60" s="90" t="s">
        <v>3277</v>
      </c>
      <c r="S60" s="322" t="s">
        <v>2849</v>
      </c>
      <c r="T60" s="338"/>
    </row>
    <row r="61" spans="1:20" s="41" customFormat="1" ht="20.100000000000001" customHeight="1">
      <c r="A61" s="1127" t="s">
        <v>3241</v>
      </c>
      <c r="B61" s="1127" t="s">
        <v>3240</v>
      </c>
      <c r="C61" s="1127" t="s">
        <v>3264</v>
      </c>
      <c r="D61" s="81" t="s">
        <v>3272</v>
      </c>
      <c r="E61" s="81" t="s">
        <v>2190</v>
      </c>
      <c r="F61" s="81" t="s">
        <v>2190</v>
      </c>
      <c r="G61" s="84" t="s">
        <v>3267</v>
      </c>
      <c r="H61" s="81">
        <v>2</v>
      </c>
      <c r="I61" s="82" t="s">
        <v>17</v>
      </c>
      <c r="J61" s="82"/>
      <c r="K61" s="82">
        <v>2</v>
      </c>
      <c r="L61" s="82" t="s">
        <v>637</v>
      </c>
      <c r="M61" s="9">
        <v>43079</v>
      </c>
      <c r="N61" s="9">
        <v>43086</v>
      </c>
      <c r="O61" s="91" t="s">
        <v>955</v>
      </c>
      <c r="P61" s="61" t="s">
        <v>3237</v>
      </c>
      <c r="Q61" s="88"/>
      <c r="R61" s="87"/>
      <c r="S61" s="305"/>
      <c r="T61" s="338" t="s">
        <v>1678</v>
      </c>
    </row>
    <row r="62" spans="1:20" s="41" customFormat="1" ht="20.100000000000001" customHeight="1">
      <c r="A62" s="1127" t="s">
        <v>3241</v>
      </c>
      <c r="B62" s="1127" t="s">
        <v>3240</v>
      </c>
      <c r="C62" s="1127" t="s">
        <v>3264</v>
      </c>
      <c r="D62" s="81" t="s">
        <v>4521</v>
      </c>
      <c r="E62" s="81" t="s">
        <v>4522</v>
      </c>
      <c r="F62" s="81" t="s">
        <v>4522</v>
      </c>
      <c r="G62" s="80" t="s">
        <v>3269</v>
      </c>
      <c r="H62" s="81">
        <v>2</v>
      </c>
      <c r="I62" s="82" t="s">
        <v>17</v>
      </c>
      <c r="J62" s="82"/>
      <c r="K62" s="82">
        <v>2</v>
      </c>
      <c r="L62" s="82" t="s">
        <v>1481</v>
      </c>
      <c r="M62" s="9">
        <v>43084</v>
      </c>
      <c r="N62" s="9">
        <v>43088</v>
      </c>
      <c r="O62" s="91" t="s">
        <v>955</v>
      </c>
      <c r="P62" s="61" t="s">
        <v>3237</v>
      </c>
      <c r="Q62" s="374"/>
      <c r="R62" s="87" t="s">
        <v>3276</v>
      </c>
      <c r="S62" s="305"/>
      <c r="T62" s="338"/>
    </row>
    <row r="63" spans="1:20" s="41" customFormat="1" ht="20.100000000000001" customHeight="1">
      <c r="A63" s="1127" t="s">
        <v>3241</v>
      </c>
      <c r="B63" s="1127" t="s">
        <v>3240</v>
      </c>
      <c r="C63" s="1127" t="s">
        <v>3264</v>
      </c>
      <c r="D63" s="81"/>
      <c r="E63" s="81"/>
      <c r="F63" s="81"/>
      <c r="G63" s="80" t="s">
        <v>2397</v>
      </c>
      <c r="H63" s="81" t="s">
        <v>3275</v>
      </c>
      <c r="I63" s="82" t="s">
        <v>17</v>
      </c>
      <c r="J63" s="82"/>
      <c r="K63" s="82">
        <v>2</v>
      </c>
      <c r="L63" s="82" t="s">
        <v>637</v>
      </c>
      <c r="M63" s="82"/>
      <c r="N63" s="6">
        <v>43044</v>
      </c>
      <c r="O63" s="91" t="s">
        <v>955</v>
      </c>
      <c r="P63" s="61" t="s">
        <v>3237</v>
      </c>
      <c r="Q63" s="88"/>
      <c r="R63" s="87"/>
      <c r="S63" s="305"/>
      <c r="T63" s="338"/>
    </row>
    <row r="64" spans="1:20" s="41" customFormat="1" ht="20.100000000000001" customHeight="1">
      <c r="A64" s="1127" t="s">
        <v>3241</v>
      </c>
      <c r="B64" s="1127" t="s">
        <v>3240</v>
      </c>
      <c r="C64" s="1127" t="s">
        <v>3264</v>
      </c>
      <c r="D64" s="81" t="s">
        <v>2993</v>
      </c>
      <c r="E64" s="81" t="s">
        <v>2992</v>
      </c>
      <c r="F64" s="81" t="s">
        <v>2992</v>
      </c>
      <c r="G64" s="84" t="s">
        <v>3267</v>
      </c>
      <c r="H64" s="81">
        <v>3</v>
      </c>
      <c r="I64" s="82" t="s">
        <v>17</v>
      </c>
      <c r="J64" s="82"/>
      <c r="K64" s="82">
        <v>2</v>
      </c>
      <c r="L64" s="82" t="s">
        <v>637</v>
      </c>
      <c r="M64" s="9">
        <v>43079</v>
      </c>
      <c r="N64" s="9">
        <v>43086</v>
      </c>
      <c r="O64" s="91" t="s">
        <v>955</v>
      </c>
      <c r="P64" s="61" t="s">
        <v>3237</v>
      </c>
      <c r="Q64" s="88"/>
      <c r="R64" s="87"/>
      <c r="S64" s="305"/>
      <c r="T64" s="338" t="s">
        <v>1678</v>
      </c>
    </row>
    <row r="65" spans="1:20" s="41" customFormat="1" ht="20.100000000000001" customHeight="1">
      <c r="A65" s="1127" t="s">
        <v>3241</v>
      </c>
      <c r="B65" s="1127" t="s">
        <v>3240</v>
      </c>
      <c r="C65" s="1127" t="s">
        <v>3264</v>
      </c>
      <c r="D65" s="68" t="s">
        <v>2993</v>
      </c>
      <c r="E65" s="68" t="s">
        <v>2992</v>
      </c>
      <c r="F65" s="68" t="s">
        <v>2992</v>
      </c>
      <c r="G65" s="80" t="s">
        <v>87</v>
      </c>
      <c r="H65" s="81">
        <v>3</v>
      </c>
      <c r="I65" s="82" t="s">
        <v>17</v>
      </c>
      <c r="J65" s="82"/>
      <c r="K65" s="82">
        <v>2</v>
      </c>
      <c r="L65" s="82" t="s">
        <v>1192</v>
      </c>
      <c r="M65" s="9">
        <v>43079</v>
      </c>
      <c r="N65" s="9">
        <v>43082</v>
      </c>
      <c r="O65" s="91" t="s">
        <v>955</v>
      </c>
      <c r="P65" s="61" t="s">
        <v>3237</v>
      </c>
      <c r="Q65" s="249"/>
      <c r="R65" s="90" t="s">
        <v>3274</v>
      </c>
      <c r="S65" s="322" t="s">
        <v>2849</v>
      </c>
      <c r="T65" s="338"/>
    </row>
    <row r="66" spans="1:20" s="41" customFormat="1" ht="20.100000000000001" customHeight="1">
      <c r="A66" s="1127" t="s">
        <v>3241</v>
      </c>
      <c r="B66" s="1127" t="s">
        <v>3240</v>
      </c>
      <c r="C66" s="1127" t="s">
        <v>3264</v>
      </c>
      <c r="D66" s="81" t="s">
        <v>2993</v>
      </c>
      <c r="E66" s="81" t="s">
        <v>2992</v>
      </c>
      <c r="F66" s="81" t="s">
        <v>2992</v>
      </c>
      <c r="G66" s="80" t="s">
        <v>142</v>
      </c>
      <c r="H66" s="81" t="s">
        <v>828</v>
      </c>
      <c r="I66" s="82" t="s">
        <v>17</v>
      </c>
      <c r="J66" s="82"/>
      <c r="K66" s="82">
        <v>2</v>
      </c>
      <c r="L66" s="82" t="s">
        <v>637</v>
      </c>
      <c r="M66" s="9">
        <v>43078</v>
      </c>
      <c r="N66" s="9">
        <v>43084</v>
      </c>
      <c r="O66" s="91" t="s">
        <v>955</v>
      </c>
      <c r="P66" s="61" t="s">
        <v>3237</v>
      </c>
      <c r="Q66" s="88"/>
      <c r="R66" s="90"/>
      <c r="S66" s="323"/>
      <c r="T66" s="338"/>
    </row>
    <row r="67" spans="1:20" s="41" customFormat="1" ht="20.100000000000001" customHeight="1">
      <c r="A67" s="1127" t="s">
        <v>3241</v>
      </c>
      <c r="B67" s="1127" t="s">
        <v>3240</v>
      </c>
      <c r="C67" s="1127" t="s">
        <v>3264</v>
      </c>
      <c r="D67" s="68" t="s">
        <v>2993</v>
      </c>
      <c r="E67" s="68" t="s">
        <v>2992</v>
      </c>
      <c r="F67" s="68" t="s">
        <v>2992</v>
      </c>
      <c r="G67" s="85" t="s">
        <v>278</v>
      </c>
      <c r="H67" s="277">
        <v>3</v>
      </c>
      <c r="I67" s="278" t="s">
        <v>17</v>
      </c>
      <c r="J67" s="82"/>
      <c r="K67" s="82">
        <v>2</v>
      </c>
      <c r="L67" s="82" t="s">
        <v>1192</v>
      </c>
      <c r="M67" s="9">
        <v>43052</v>
      </c>
      <c r="N67" s="9">
        <v>43065</v>
      </c>
      <c r="O67" s="91" t="s">
        <v>955</v>
      </c>
      <c r="P67" s="61" t="s">
        <v>3237</v>
      </c>
      <c r="Q67" s="7"/>
      <c r="R67" s="87" t="s">
        <v>3273</v>
      </c>
      <c r="S67" s="305"/>
      <c r="T67" s="338" t="s">
        <v>3213</v>
      </c>
    </row>
    <row r="68" spans="1:20" s="41" customFormat="1" ht="20.100000000000001" customHeight="1">
      <c r="A68" s="1127" t="s">
        <v>3241</v>
      </c>
      <c r="B68" s="1127" t="s">
        <v>3240</v>
      </c>
      <c r="C68" s="1127" t="s">
        <v>3264</v>
      </c>
      <c r="D68" s="81"/>
      <c r="E68" s="81"/>
      <c r="F68" s="81"/>
      <c r="G68" s="85" t="s">
        <v>2397</v>
      </c>
      <c r="H68" s="277" t="s">
        <v>2316</v>
      </c>
      <c r="I68" s="82" t="s">
        <v>17</v>
      </c>
      <c r="J68" s="82"/>
      <c r="K68" s="82">
        <v>2</v>
      </c>
      <c r="L68" s="82" t="s">
        <v>637</v>
      </c>
      <c r="M68" s="82"/>
      <c r="N68" s="6">
        <v>43044</v>
      </c>
      <c r="O68" s="91" t="s">
        <v>955</v>
      </c>
      <c r="P68" s="61" t="s">
        <v>3237</v>
      </c>
      <c r="Q68" s="7"/>
      <c r="R68" s="87"/>
      <c r="S68" s="305"/>
      <c r="T68" s="338"/>
    </row>
    <row r="69" spans="1:20" s="41" customFormat="1" ht="20.100000000000001" customHeight="1">
      <c r="A69" s="1127" t="s">
        <v>3241</v>
      </c>
      <c r="B69" s="1127" t="s">
        <v>3240</v>
      </c>
      <c r="C69" s="1127" t="s">
        <v>3264</v>
      </c>
      <c r="D69" s="81" t="s">
        <v>4200</v>
      </c>
      <c r="E69" s="81" t="s">
        <v>2233</v>
      </c>
      <c r="F69" s="81" t="s">
        <v>2233</v>
      </c>
      <c r="G69" s="84" t="s">
        <v>3267</v>
      </c>
      <c r="H69" s="81">
        <v>4</v>
      </c>
      <c r="I69" s="82" t="s">
        <v>17</v>
      </c>
      <c r="J69" s="82"/>
      <c r="K69" s="82">
        <v>2</v>
      </c>
      <c r="L69" s="82" t="s">
        <v>637</v>
      </c>
      <c r="M69" s="9">
        <v>43079</v>
      </c>
      <c r="N69" s="9">
        <v>43086</v>
      </c>
      <c r="O69" s="91" t="s">
        <v>955</v>
      </c>
      <c r="P69" s="61" t="s">
        <v>3237</v>
      </c>
      <c r="Q69" s="88"/>
      <c r="R69" s="87"/>
      <c r="S69" s="305"/>
      <c r="T69" s="338" t="s">
        <v>1678</v>
      </c>
    </row>
    <row r="70" spans="1:20" s="41" customFormat="1" ht="20.100000000000001" customHeight="1">
      <c r="A70" s="1127" t="s">
        <v>3241</v>
      </c>
      <c r="B70" s="1127" t="s">
        <v>3240</v>
      </c>
      <c r="C70" s="1127" t="s">
        <v>3264</v>
      </c>
      <c r="D70" s="277" t="s">
        <v>3272</v>
      </c>
      <c r="E70" s="277" t="s">
        <v>2190</v>
      </c>
      <c r="F70" s="277" t="s">
        <v>2190</v>
      </c>
      <c r="G70" s="214" t="s">
        <v>51</v>
      </c>
      <c r="H70" s="81" t="s">
        <v>725</v>
      </c>
      <c r="I70" s="82" t="s">
        <v>17</v>
      </c>
      <c r="J70" s="82"/>
      <c r="K70" s="82" t="s">
        <v>1102</v>
      </c>
      <c r="L70" s="82" t="s">
        <v>1192</v>
      </c>
      <c r="M70" s="6">
        <v>43048</v>
      </c>
      <c r="N70" s="381">
        <v>43089</v>
      </c>
      <c r="O70" s="91" t="s">
        <v>955</v>
      </c>
      <c r="P70" s="61" t="s">
        <v>3237</v>
      </c>
      <c r="Q70" s="249"/>
      <c r="R70" s="87" t="s">
        <v>3271</v>
      </c>
      <c r="S70" s="305"/>
      <c r="T70" s="338"/>
    </row>
    <row r="71" spans="1:20" s="41" customFormat="1" ht="20.100000000000001" customHeight="1">
      <c r="A71" s="1127" t="s">
        <v>3241</v>
      </c>
      <c r="B71" s="1127" t="s">
        <v>3240</v>
      </c>
      <c r="C71" s="1127" t="s">
        <v>3264</v>
      </c>
      <c r="D71" s="801" t="s">
        <v>4200</v>
      </c>
      <c r="E71" s="801" t="s">
        <v>2233</v>
      </c>
      <c r="F71" s="801" t="s">
        <v>2233</v>
      </c>
      <c r="G71" s="80" t="s">
        <v>2234</v>
      </c>
      <c r="H71" s="81" t="s">
        <v>725</v>
      </c>
      <c r="I71" s="82" t="s">
        <v>17</v>
      </c>
      <c r="J71" s="82"/>
      <c r="K71" s="82">
        <v>2</v>
      </c>
      <c r="L71" s="82" t="s">
        <v>637</v>
      </c>
      <c r="M71" s="9">
        <v>43079</v>
      </c>
      <c r="N71" s="9">
        <v>43086</v>
      </c>
      <c r="O71" s="91" t="s">
        <v>955</v>
      </c>
      <c r="P71" s="61" t="s">
        <v>3237</v>
      </c>
      <c r="Q71" s="88"/>
      <c r="R71" s="87"/>
      <c r="S71" s="305"/>
      <c r="T71" s="338" t="s">
        <v>1678</v>
      </c>
    </row>
    <row r="72" spans="1:20" s="41" customFormat="1" ht="20.100000000000001" customHeight="1">
      <c r="A72" s="1127" t="s">
        <v>3241</v>
      </c>
      <c r="B72" s="1127" t="s">
        <v>3240</v>
      </c>
      <c r="C72" s="1127" t="s">
        <v>3264</v>
      </c>
      <c r="D72" s="81" t="s">
        <v>4315</v>
      </c>
      <c r="E72" s="81" t="s">
        <v>4316</v>
      </c>
      <c r="F72" s="81" t="s">
        <v>4316</v>
      </c>
      <c r="G72" s="214" t="s">
        <v>3270</v>
      </c>
      <c r="H72" s="81">
        <v>4</v>
      </c>
      <c r="I72" s="82" t="s">
        <v>17</v>
      </c>
      <c r="J72" s="82"/>
      <c r="K72" s="82">
        <v>2</v>
      </c>
      <c r="L72" s="82" t="s">
        <v>637</v>
      </c>
      <c r="M72" s="9">
        <v>43083</v>
      </c>
      <c r="N72" s="9">
        <v>43086</v>
      </c>
      <c r="O72" s="91" t="s">
        <v>955</v>
      </c>
      <c r="P72" s="61" t="s">
        <v>3237</v>
      </c>
      <c r="Q72" s="88"/>
      <c r="R72" s="87"/>
      <c r="S72" s="305"/>
      <c r="T72" s="338"/>
    </row>
    <row r="73" spans="1:20" s="41" customFormat="1" ht="20.100000000000001" customHeight="1">
      <c r="A73" s="1127" t="s">
        <v>3241</v>
      </c>
      <c r="B73" s="1127" t="s">
        <v>3240</v>
      </c>
      <c r="C73" s="1127" t="s">
        <v>3264</v>
      </c>
      <c r="D73" s="81" t="s">
        <v>4200</v>
      </c>
      <c r="E73" s="81" t="s">
        <v>2233</v>
      </c>
      <c r="F73" s="81" t="s">
        <v>2233</v>
      </c>
      <c r="G73" s="84" t="s">
        <v>3267</v>
      </c>
      <c r="H73" s="81">
        <v>5</v>
      </c>
      <c r="I73" s="82" t="s">
        <v>17</v>
      </c>
      <c r="J73" s="82"/>
      <c r="K73" s="82">
        <v>2</v>
      </c>
      <c r="L73" s="82" t="s">
        <v>637</v>
      </c>
      <c r="M73" s="9">
        <v>43079</v>
      </c>
      <c r="N73" s="9">
        <v>43086</v>
      </c>
      <c r="O73" s="91" t="s">
        <v>955</v>
      </c>
      <c r="P73" s="61" t="s">
        <v>3237</v>
      </c>
      <c r="Q73" s="88"/>
      <c r="R73" s="87"/>
      <c r="S73" s="305"/>
      <c r="T73" s="338" t="s">
        <v>1678</v>
      </c>
    </row>
    <row r="74" spans="1:20" s="41" customFormat="1" ht="20.100000000000001" customHeight="1">
      <c r="A74" s="1127" t="s">
        <v>3241</v>
      </c>
      <c r="B74" s="1127" t="s">
        <v>3240</v>
      </c>
      <c r="C74" s="1127" t="s">
        <v>3264</v>
      </c>
      <c r="D74" s="81" t="s">
        <v>4521</v>
      </c>
      <c r="E74" s="81" t="s">
        <v>4522</v>
      </c>
      <c r="F74" s="81" t="s">
        <v>4522</v>
      </c>
      <c r="G74" s="80" t="s">
        <v>3269</v>
      </c>
      <c r="H74" s="81">
        <v>5</v>
      </c>
      <c r="I74" s="82" t="s">
        <v>17</v>
      </c>
      <c r="J74" s="82"/>
      <c r="K74" s="82">
        <v>2</v>
      </c>
      <c r="L74" s="82" t="s">
        <v>1481</v>
      </c>
      <c r="M74" s="9">
        <v>43084</v>
      </c>
      <c r="N74" s="9">
        <v>43088</v>
      </c>
      <c r="O74" s="91" t="s">
        <v>955</v>
      </c>
      <c r="P74" s="61" t="s">
        <v>3237</v>
      </c>
      <c r="Q74" s="374"/>
      <c r="R74" s="87" t="s">
        <v>3268</v>
      </c>
      <c r="S74" s="305"/>
      <c r="T74" s="338"/>
    </row>
    <row r="75" spans="1:20" s="41" customFormat="1" ht="20.100000000000001" customHeight="1">
      <c r="A75" s="1127" t="s">
        <v>3241</v>
      </c>
      <c r="B75" s="1127" t="s">
        <v>3240</v>
      </c>
      <c r="C75" s="1127" t="s">
        <v>3264</v>
      </c>
      <c r="D75" s="81" t="s">
        <v>2993</v>
      </c>
      <c r="E75" s="81" t="s">
        <v>2992</v>
      </c>
      <c r="F75" s="81" t="s">
        <v>2992</v>
      </c>
      <c r="G75" s="84" t="s">
        <v>3267</v>
      </c>
      <c r="H75" s="81">
        <v>7</v>
      </c>
      <c r="I75" s="82" t="s">
        <v>17</v>
      </c>
      <c r="J75" s="82"/>
      <c r="K75" s="82">
        <v>2</v>
      </c>
      <c r="L75" s="82" t="s">
        <v>637</v>
      </c>
      <c r="M75" s="9">
        <v>43079</v>
      </c>
      <c r="N75" s="9">
        <v>43086</v>
      </c>
      <c r="O75" s="91" t="s">
        <v>955</v>
      </c>
      <c r="P75" s="61" t="s">
        <v>3237</v>
      </c>
      <c r="Q75" s="88"/>
      <c r="R75" s="87"/>
      <c r="S75" s="305"/>
      <c r="T75" s="338" t="s">
        <v>1678</v>
      </c>
    </row>
    <row r="76" spans="1:20" s="41" customFormat="1" ht="20.100000000000001" customHeight="1">
      <c r="A76" s="1127" t="s">
        <v>3241</v>
      </c>
      <c r="B76" s="1127" t="s">
        <v>3240</v>
      </c>
      <c r="C76" s="1127" t="s">
        <v>3264</v>
      </c>
      <c r="D76" s="81" t="s">
        <v>3061</v>
      </c>
      <c r="E76" s="81" t="s">
        <v>1683</v>
      </c>
      <c r="F76" s="81" t="s">
        <v>1683</v>
      </c>
      <c r="G76" s="281" t="s">
        <v>491</v>
      </c>
      <c r="H76" s="81">
        <v>7</v>
      </c>
      <c r="I76" s="82" t="s">
        <v>17</v>
      </c>
      <c r="J76" s="82"/>
      <c r="K76" s="82">
        <v>2</v>
      </c>
      <c r="L76" s="82" t="s">
        <v>1192</v>
      </c>
      <c r="M76" s="9">
        <v>43079</v>
      </c>
      <c r="N76" s="9">
        <v>43079</v>
      </c>
      <c r="O76" s="91" t="s">
        <v>955</v>
      </c>
      <c r="P76" s="61" t="s">
        <v>3237</v>
      </c>
      <c r="Q76" s="249"/>
      <c r="R76" s="87"/>
      <c r="S76" s="305"/>
      <c r="T76" s="338" t="s">
        <v>1678</v>
      </c>
    </row>
    <row r="77" spans="1:20" s="41" customFormat="1" ht="20.100000000000001" customHeight="1">
      <c r="A77" s="1127" t="s">
        <v>3241</v>
      </c>
      <c r="B77" s="1127" t="s">
        <v>3240</v>
      </c>
      <c r="C77" s="1127" t="s">
        <v>3264</v>
      </c>
      <c r="D77" s="81" t="s">
        <v>3272</v>
      </c>
      <c r="E77" s="81" t="s">
        <v>2190</v>
      </c>
      <c r="F77" s="81" t="s">
        <v>2190</v>
      </c>
      <c r="G77" s="214" t="s">
        <v>796</v>
      </c>
      <c r="H77" s="81">
        <v>7</v>
      </c>
      <c r="I77" s="82" t="s">
        <v>17</v>
      </c>
      <c r="J77" s="82"/>
      <c r="K77" s="82">
        <v>2</v>
      </c>
      <c r="L77" s="278" t="s">
        <v>1192</v>
      </c>
      <c r="M77" s="9">
        <v>43079</v>
      </c>
      <c r="N77" s="9">
        <v>43079</v>
      </c>
      <c r="O77" s="91" t="s">
        <v>955</v>
      </c>
      <c r="P77" s="61" t="s">
        <v>3237</v>
      </c>
      <c r="Q77" s="88"/>
      <c r="R77" s="87" t="s">
        <v>3266</v>
      </c>
      <c r="S77" s="305" t="s">
        <v>1176</v>
      </c>
      <c r="T77" s="338" t="s">
        <v>1678</v>
      </c>
    </row>
    <row r="78" spans="1:20" s="41" customFormat="1" ht="20.100000000000001" customHeight="1">
      <c r="A78" s="1127" t="s">
        <v>3241</v>
      </c>
      <c r="B78" s="1127" t="s">
        <v>3240</v>
      </c>
      <c r="C78" s="1127" t="s">
        <v>3264</v>
      </c>
      <c r="D78" s="68" t="s">
        <v>2993</v>
      </c>
      <c r="E78" s="68" t="s">
        <v>2992</v>
      </c>
      <c r="F78" s="68" t="s">
        <v>2992</v>
      </c>
      <c r="G78" s="80" t="s">
        <v>87</v>
      </c>
      <c r="H78" s="81">
        <v>7</v>
      </c>
      <c r="I78" s="82" t="s">
        <v>17</v>
      </c>
      <c r="J78" s="82"/>
      <c r="K78" s="82">
        <v>2</v>
      </c>
      <c r="L78" s="82" t="s">
        <v>1192</v>
      </c>
      <c r="M78" s="9">
        <v>43079</v>
      </c>
      <c r="N78" s="9">
        <v>43082</v>
      </c>
      <c r="O78" s="91" t="s">
        <v>955</v>
      </c>
      <c r="P78" s="61" t="s">
        <v>3237</v>
      </c>
      <c r="Q78" s="249"/>
      <c r="R78" s="90" t="s">
        <v>3265</v>
      </c>
      <c r="S78" s="322" t="s">
        <v>2849</v>
      </c>
      <c r="T78" s="338"/>
    </row>
    <row r="79" spans="1:20" s="41" customFormat="1" ht="20.100000000000001" customHeight="1">
      <c r="A79" s="1127" t="s">
        <v>3241</v>
      </c>
      <c r="B79" s="1127" t="s">
        <v>3240</v>
      </c>
      <c r="C79" s="1127" t="s">
        <v>3264</v>
      </c>
      <c r="D79" s="68" t="s">
        <v>1146</v>
      </c>
      <c r="E79" s="68" t="s">
        <v>1147</v>
      </c>
      <c r="F79" s="68" t="s">
        <v>1147</v>
      </c>
      <c r="G79" s="47" t="s">
        <v>1535</v>
      </c>
      <c r="H79" s="277" t="s">
        <v>706</v>
      </c>
      <c r="I79" s="82" t="s">
        <v>17</v>
      </c>
      <c r="J79" s="82"/>
      <c r="K79" s="169" t="s">
        <v>1102</v>
      </c>
      <c r="L79" s="82" t="s">
        <v>1192</v>
      </c>
      <c r="M79" s="9">
        <v>43086</v>
      </c>
      <c r="N79" s="9">
        <v>43086</v>
      </c>
      <c r="O79" s="91" t="s">
        <v>955</v>
      </c>
      <c r="P79" s="61" t="s">
        <v>3237</v>
      </c>
      <c r="Q79" s="88"/>
      <c r="R79" s="87" t="s">
        <v>3265</v>
      </c>
      <c r="S79" s="305"/>
      <c r="T79" s="338"/>
    </row>
    <row r="80" spans="1:20" s="41" customFormat="1" ht="20.100000000000001" customHeight="1">
      <c r="A80" s="1127" t="s">
        <v>3241</v>
      </c>
      <c r="B80" s="1127" t="s">
        <v>3240</v>
      </c>
      <c r="C80" s="1127" t="s">
        <v>3264</v>
      </c>
      <c r="D80" s="81" t="s">
        <v>2993</v>
      </c>
      <c r="E80" s="81" t="s">
        <v>2992</v>
      </c>
      <c r="F80" s="81" t="s">
        <v>2992</v>
      </c>
      <c r="G80" s="80" t="s">
        <v>142</v>
      </c>
      <c r="H80" s="81" t="s">
        <v>706</v>
      </c>
      <c r="I80" s="82" t="s">
        <v>17</v>
      </c>
      <c r="J80" s="82"/>
      <c r="K80" s="82">
        <v>2</v>
      </c>
      <c r="L80" s="82" t="s">
        <v>637</v>
      </c>
      <c r="M80" s="9">
        <v>43078</v>
      </c>
      <c r="N80" s="9">
        <v>43084</v>
      </c>
      <c r="O80" s="91" t="s">
        <v>955</v>
      </c>
      <c r="P80" s="61" t="s">
        <v>3237</v>
      </c>
      <c r="Q80" s="88"/>
      <c r="R80" s="87"/>
      <c r="S80" s="305"/>
      <c r="T80" s="338"/>
    </row>
    <row r="81" spans="1:20" s="41" customFormat="1" ht="20.100000000000001" customHeight="1">
      <c r="A81" s="1127" t="s">
        <v>3241</v>
      </c>
      <c r="B81" s="1127" t="s">
        <v>3240</v>
      </c>
      <c r="C81" s="1127" t="s">
        <v>3254</v>
      </c>
      <c r="D81" s="81" t="s">
        <v>2993</v>
      </c>
      <c r="E81" s="81" t="s">
        <v>2992</v>
      </c>
      <c r="F81" s="81" t="s">
        <v>2992</v>
      </c>
      <c r="G81" s="80" t="s">
        <v>142</v>
      </c>
      <c r="H81" s="81" t="s">
        <v>1102</v>
      </c>
      <c r="I81" s="82" t="s">
        <v>17</v>
      </c>
      <c r="J81" s="82"/>
      <c r="K81" s="82">
        <v>2</v>
      </c>
      <c r="L81" s="82" t="s">
        <v>637</v>
      </c>
      <c r="M81" s="9">
        <v>43078</v>
      </c>
      <c r="N81" s="9">
        <v>43084</v>
      </c>
      <c r="O81" s="284" t="s">
        <v>3257</v>
      </c>
      <c r="P81" s="61" t="s">
        <v>3237</v>
      </c>
      <c r="Q81" s="7"/>
      <c r="R81" s="87"/>
      <c r="S81" s="305"/>
      <c r="T81" s="338"/>
    </row>
    <row r="82" spans="1:20" s="41" customFormat="1" ht="20.100000000000001" customHeight="1">
      <c r="A82" s="1127" t="s">
        <v>3241</v>
      </c>
      <c r="B82" s="1127" t="s">
        <v>3240</v>
      </c>
      <c r="C82" s="1127" t="s">
        <v>3254</v>
      </c>
      <c r="D82" s="801">
        <v>41</v>
      </c>
      <c r="E82" s="801">
        <v>82</v>
      </c>
      <c r="F82" s="801">
        <v>82</v>
      </c>
      <c r="G82" s="85" t="s">
        <v>3223</v>
      </c>
      <c r="H82" s="81" t="s">
        <v>1102</v>
      </c>
      <c r="I82" s="82" t="s">
        <v>17</v>
      </c>
      <c r="J82" s="82"/>
      <c r="K82" s="82" t="s">
        <v>828</v>
      </c>
      <c r="L82" s="82" t="s">
        <v>1192</v>
      </c>
      <c r="M82" s="9">
        <v>43053</v>
      </c>
      <c r="N82" s="9">
        <v>43093</v>
      </c>
      <c r="O82" s="91" t="s">
        <v>955</v>
      </c>
      <c r="P82" s="61" t="s">
        <v>3237</v>
      </c>
      <c r="Q82" s="173"/>
      <c r="R82" s="87" t="s">
        <v>3263</v>
      </c>
      <c r="S82" s="305"/>
      <c r="T82" s="338"/>
    </row>
    <row r="83" spans="1:20" s="41" customFormat="1" ht="20.100000000000001" customHeight="1">
      <c r="A83" s="1127" t="s">
        <v>3241</v>
      </c>
      <c r="B83" s="1127" t="s">
        <v>3240</v>
      </c>
      <c r="C83" s="1127" t="s">
        <v>3254</v>
      </c>
      <c r="D83" s="801" t="s">
        <v>3836</v>
      </c>
      <c r="E83" s="801" t="s">
        <v>3837</v>
      </c>
      <c r="F83" s="801" t="s">
        <v>3837</v>
      </c>
      <c r="G83" s="80" t="s">
        <v>87</v>
      </c>
      <c r="H83" s="81" t="s">
        <v>1102</v>
      </c>
      <c r="I83" s="82" t="s">
        <v>17</v>
      </c>
      <c r="J83" s="82"/>
      <c r="K83" s="82">
        <v>3</v>
      </c>
      <c r="L83" s="82" t="s">
        <v>1192</v>
      </c>
      <c r="M83" s="9">
        <v>43078</v>
      </c>
      <c r="N83" s="9">
        <v>43082</v>
      </c>
      <c r="O83" s="91" t="s">
        <v>955</v>
      </c>
      <c r="P83" s="61" t="s">
        <v>3237</v>
      </c>
      <c r="Q83" s="7"/>
      <c r="R83" s="90" t="s">
        <v>3263</v>
      </c>
      <c r="S83" s="322" t="s">
        <v>2849</v>
      </c>
      <c r="T83" s="338"/>
    </row>
    <row r="84" spans="1:20" s="41" customFormat="1" ht="20.100000000000001" customHeight="1">
      <c r="A84" s="1127" t="s">
        <v>3241</v>
      </c>
      <c r="B84" s="1127" t="s">
        <v>3240</v>
      </c>
      <c r="C84" s="1127" t="s">
        <v>3254</v>
      </c>
      <c r="D84" s="801" t="s">
        <v>3836</v>
      </c>
      <c r="E84" s="801" t="s">
        <v>3837</v>
      </c>
      <c r="F84" s="801" t="s">
        <v>3837</v>
      </c>
      <c r="G84" s="80" t="s">
        <v>87</v>
      </c>
      <c r="H84" s="81" t="s">
        <v>1102</v>
      </c>
      <c r="I84" s="82" t="s">
        <v>17</v>
      </c>
      <c r="J84" s="82"/>
      <c r="K84" s="82">
        <v>3</v>
      </c>
      <c r="L84" s="82" t="s">
        <v>1192</v>
      </c>
      <c r="M84" s="9">
        <v>43078</v>
      </c>
      <c r="N84" s="9">
        <v>43082</v>
      </c>
      <c r="O84" s="91" t="s">
        <v>955</v>
      </c>
      <c r="P84" s="61" t="s">
        <v>3237</v>
      </c>
      <c r="Q84" s="7"/>
      <c r="R84" s="90" t="s">
        <v>1353</v>
      </c>
      <c r="S84" s="322" t="s">
        <v>2849</v>
      </c>
      <c r="T84" s="338"/>
    </row>
    <row r="85" spans="1:20" s="41" customFormat="1" ht="20.100000000000001" customHeight="1">
      <c r="A85" s="1127" t="s">
        <v>3241</v>
      </c>
      <c r="B85" s="1127" t="s">
        <v>3240</v>
      </c>
      <c r="C85" s="1127" t="s">
        <v>3254</v>
      </c>
      <c r="D85" s="801" t="s">
        <v>3836</v>
      </c>
      <c r="E85" s="801" t="s">
        <v>3837</v>
      </c>
      <c r="F85" s="801" t="s">
        <v>3837</v>
      </c>
      <c r="G85" s="80" t="s">
        <v>87</v>
      </c>
      <c r="H85" s="81" t="s">
        <v>1102</v>
      </c>
      <c r="I85" s="82" t="s">
        <v>17</v>
      </c>
      <c r="J85" s="82"/>
      <c r="K85" s="82">
        <v>3</v>
      </c>
      <c r="L85" s="82" t="s">
        <v>1192</v>
      </c>
      <c r="M85" s="9">
        <v>43078</v>
      </c>
      <c r="N85" s="9">
        <v>43082</v>
      </c>
      <c r="O85" s="91" t="s">
        <v>955</v>
      </c>
      <c r="P85" s="61" t="s">
        <v>3237</v>
      </c>
      <c r="Q85" s="167"/>
      <c r="R85" s="90" t="s">
        <v>3246</v>
      </c>
      <c r="S85" s="322" t="s">
        <v>2849</v>
      </c>
      <c r="T85" s="338"/>
    </row>
    <row r="86" spans="1:20" s="41" customFormat="1" ht="20.100000000000001" customHeight="1">
      <c r="A86" s="1127" t="s">
        <v>3241</v>
      </c>
      <c r="B86" s="1127" t="s">
        <v>3240</v>
      </c>
      <c r="C86" s="1127" t="s">
        <v>3254</v>
      </c>
      <c r="D86" s="801" t="s">
        <v>2994</v>
      </c>
      <c r="E86" s="801" t="s">
        <v>2995</v>
      </c>
      <c r="F86" s="801" t="s">
        <v>2995</v>
      </c>
      <c r="G86" s="80" t="s">
        <v>2234</v>
      </c>
      <c r="H86" s="81" t="s">
        <v>1102</v>
      </c>
      <c r="I86" s="82" t="s">
        <v>17</v>
      </c>
      <c r="J86" s="82"/>
      <c r="K86" s="82" t="s">
        <v>1102</v>
      </c>
      <c r="L86" s="82" t="s">
        <v>637</v>
      </c>
      <c r="M86" s="9">
        <v>43079</v>
      </c>
      <c r="N86" s="9">
        <v>43086</v>
      </c>
      <c r="O86" s="91" t="s">
        <v>955</v>
      </c>
      <c r="P86" s="61" t="s">
        <v>3237</v>
      </c>
      <c r="Q86" s="7"/>
      <c r="R86" s="87"/>
      <c r="S86" s="305"/>
      <c r="T86" s="338" t="s">
        <v>1678</v>
      </c>
    </row>
    <row r="87" spans="1:20" s="41" customFormat="1" ht="20.100000000000001" customHeight="1">
      <c r="A87" s="1127" t="s">
        <v>3241</v>
      </c>
      <c r="B87" s="1127" t="s">
        <v>3240</v>
      </c>
      <c r="C87" s="1127" t="s">
        <v>3254</v>
      </c>
      <c r="D87" s="81" t="s">
        <v>3245</v>
      </c>
      <c r="E87" s="81" t="s">
        <v>3244</v>
      </c>
      <c r="F87" s="81" t="s">
        <v>3244</v>
      </c>
      <c r="G87" s="214" t="s">
        <v>796</v>
      </c>
      <c r="H87" s="81" t="s">
        <v>1102</v>
      </c>
      <c r="I87" s="82" t="s">
        <v>17</v>
      </c>
      <c r="J87" s="82"/>
      <c r="K87" s="82">
        <v>3</v>
      </c>
      <c r="L87" s="82" t="s">
        <v>641</v>
      </c>
      <c r="M87" s="9">
        <v>43032</v>
      </c>
      <c r="N87" s="9">
        <v>43079</v>
      </c>
      <c r="O87" s="91" t="s">
        <v>955</v>
      </c>
      <c r="P87" s="61" t="s">
        <v>3237</v>
      </c>
      <c r="Q87" s="7"/>
      <c r="R87" s="87" t="s">
        <v>3247</v>
      </c>
      <c r="S87" s="305" t="s">
        <v>1176</v>
      </c>
      <c r="T87" s="338" t="s">
        <v>1678</v>
      </c>
    </row>
    <row r="88" spans="1:20" s="41" customFormat="1" ht="20.100000000000001" customHeight="1">
      <c r="A88" s="1127" t="s">
        <v>3241</v>
      </c>
      <c r="B88" s="1127" t="s">
        <v>3240</v>
      </c>
      <c r="C88" s="1127" t="s">
        <v>3254</v>
      </c>
      <c r="D88" s="801" t="s">
        <v>3061</v>
      </c>
      <c r="E88" s="801" t="s">
        <v>1683</v>
      </c>
      <c r="F88" s="801" t="s">
        <v>1683</v>
      </c>
      <c r="G88" s="47" t="s">
        <v>1535</v>
      </c>
      <c r="H88" s="277" t="s">
        <v>1102</v>
      </c>
      <c r="I88" s="82" t="s">
        <v>17</v>
      </c>
      <c r="J88" s="82"/>
      <c r="K88" s="82">
        <v>3</v>
      </c>
      <c r="L88" s="82" t="s">
        <v>1192</v>
      </c>
      <c r="M88" s="9">
        <v>43079</v>
      </c>
      <c r="N88" s="9">
        <v>43086</v>
      </c>
      <c r="O88" s="284" t="s">
        <v>3257</v>
      </c>
      <c r="P88" s="61" t="s">
        <v>3237</v>
      </c>
      <c r="Q88" s="7" t="s">
        <v>3256</v>
      </c>
      <c r="R88" s="87" t="s">
        <v>3262</v>
      </c>
      <c r="S88" s="305"/>
      <c r="T88" s="338"/>
    </row>
    <row r="89" spans="1:20" s="41" customFormat="1" ht="20.100000000000001" customHeight="1">
      <c r="A89" s="1127" t="s">
        <v>3241</v>
      </c>
      <c r="B89" s="1127" t="s">
        <v>3240</v>
      </c>
      <c r="C89" s="1127" t="s">
        <v>3254</v>
      </c>
      <c r="D89" s="801" t="s">
        <v>4317</v>
      </c>
      <c r="E89" s="801" t="s">
        <v>4318</v>
      </c>
      <c r="F89" s="801" t="s">
        <v>4318</v>
      </c>
      <c r="G89" s="85" t="s">
        <v>278</v>
      </c>
      <c r="H89" s="277" t="s">
        <v>1102</v>
      </c>
      <c r="I89" s="278" t="s">
        <v>17</v>
      </c>
      <c r="J89" s="82"/>
      <c r="K89" s="82">
        <v>2</v>
      </c>
      <c r="L89" s="82" t="s">
        <v>1192</v>
      </c>
      <c r="M89" s="9">
        <v>43076</v>
      </c>
      <c r="N89" s="9">
        <v>43079</v>
      </c>
      <c r="O89" s="91" t="s">
        <v>955</v>
      </c>
      <c r="P89" s="61" t="s">
        <v>3237</v>
      </c>
      <c r="Q89" s="7"/>
      <c r="R89" s="87" t="s">
        <v>3261</v>
      </c>
      <c r="S89" s="323"/>
      <c r="T89" s="338" t="s">
        <v>3213</v>
      </c>
    </row>
    <row r="90" spans="1:20" s="41" customFormat="1" ht="20.100000000000001" customHeight="1">
      <c r="A90" s="1127" t="s">
        <v>3241</v>
      </c>
      <c r="B90" s="1127" t="s">
        <v>3240</v>
      </c>
      <c r="C90" s="1127" t="s">
        <v>3254</v>
      </c>
      <c r="D90" s="801" t="s">
        <v>3836</v>
      </c>
      <c r="E90" s="801" t="s">
        <v>3837</v>
      </c>
      <c r="F90" s="801" t="s">
        <v>3837</v>
      </c>
      <c r="G90" s="80" t="s">
        <v>87</v>
      </c>
      <c r="H90" s="277" t="s">
        <v>828</v>
      </c>
      <c r="I90" s="82" t="s">
        <v>17</v>
      </c>
      <c r="J90" s="82"/>
      <c r="K90" s="82" t="s">
        <v>828</v>
      </c>
      <c r="L90" s="82" t="s">
        <v>1192</v>
      </c>
      <c r="M90" s="9">
        <v>43078</v>
      </c>
      <c r="N90" s="9">
        <v>43082</v>
      </c>
      <c r="O90" s="91" t="s">
        <v>955</v>
      </c>
      <c r="P90" s="61" t="s">
        <v>3237</v>
      </c>
      <c r="Q90" s="374"/>
      <c r="R90" s="87" t="s">
        <v>3260</v>
      </c>
      <c r="S90" s="322" t="s">
        <v>2849</v>
      </c>
      <c r="T90" s="338"/>
    </row>
    <row r="91" spans="1:20" s="41" customFormat="1" ht="20.100000000000001" customHeight="1">
      <c r="A91" s="1127" t="s">
        <v>3241</v>
      </c>
      <c r="B91" s="1127" t="s">
        <v>3240</v>
      </c>
      <c r="C91" s="1127" t="s">
        <v>3254</v>
      </c>
      <c r="D91" s="801" t="s">
        <v>3061</v>
      </c>
      <c r="E91" s="801" t="s">
        <v>1683</v>
      </c>
      <c r="F91" s="801" t="s">
        <v>1683</v>
      </c>
      <c r="G91" s="47" t="s">
        <v>1535</v>
      </c>
      <c r="H91" s="277" t="s">
        <v>828</v>
      </c>
      <c r="I91" s="82" t="s">
        <v>17</v>
      </c>
      <c r="J91" s="82"/>
      <c r="K91" s="82" t="s">
        <v>828</v>
      </c>
      <c r="L91" s="82" t="s">
        <v>1192</v>
      </c>
      <c r="M91" s="9">
        <v>43079</v>
      </c>
      <c r="N91" s="9">
        <v>43086</v>
      </c>
      <c r="O91" s="284" t="s">
        <v>3257</v>
      </c>
      <c r="P91" s="61" t="s">
        <v>3237</v>
      </c>
      <c r="Q91" s="7" t="s">
        <v>3256</v>
      </c>
      <c r="R91" s="87" t="s">
        <v>3260</v>
      </c>
      <c r="S91" s="323"/>
      <c r="T91" s="338"/>
    </row>
    <row r="92" spans="1:20" s="41" customFormat="1" ht="20.100000000000001" customHeight="1">
      <c r="A92" s="1127" t="s">
        <v>3241</v>
      </c>
      <c r="B92" s="1127" t="s">
        <v>3240</v>
      </c>
      <c r="C92" s="1127" t="s">
        <v>3254</v>
      </c>
      <c r="D92" s="801" t="s">
        <v>3061</v>
      </c>
      <c r="E92" s="801" t="s">
        <v>1683</v>
      </c>
      <c r="F92" s="801" t="s">
        <v>1683</v>
      </c>
      <c r="G92" s="47" t="s">
        <v>1535</v>
      </c>
      <c r="H92" s="277" t="s">
        <v>828</v>
      </c>
      <c r="I92" s="82" t="s">
        <v>17</v>
      </c>
      <c r="J92" s="82"/>
      <c r="K92" s="82">
        <v>3</v>
      </c>
      <c r="L92" s="82" t="s">
        <v>1192</v>
      </c>
      <c r="M92" s="9">
        <v>43079</v>
      </c>
      <c r="N92" s="9">
        <v>43086</v>
      </c>
      <c r="O92" s="284" t="s">
        <v>3257</v>
      </c>
      <c r="P92" s="61" t="s">
        <v>3237</v>
      </c>
      <c r="Q92" s="7" t="s">
        <v>3256</v>
      </c>
      <c r="R92" s="87" t="s">
        <v>1800</v>
      </c>
      <c r="S92" s="305"/>
      <c r="T92" s="338"/>
    </row>
    <row r="93" spans="1:20" s="41" customFormat="1" ht="20.100000000000001" customHeight="1">
      <c r="A93" s="1127" t="s">
        <v>3241</v>
      </c>
      <c r="B93" s="1127" t="s">
        <v>3240</v>
      </c>
      <c r="C93" s="1127" t="s">
        <v>3254</v>
      </c>
      <c r="D93" s="801" t="s">
        <v>2994</v>
      </c>
      <c r="E93" s="801" t="s">
        <v>2995</v>
      </c>
      <c r="F93" s="801" t="s">
        <v>2995</v>
      </c>
      <c r="G93" s="80" t="s">
        <v>2234</v>
      </c>
      <c r="H93" s="81" t="s">
        <v>828</v>
      </c>
      <c r="I93" s="82" t="s">
        <v>17</v>
      </c>
      <c r="J93" s="82"/>
      <c r="K93" s="82" t="s">
        <v>1102</v>
      </c>
      <c r="L93" s="82" t="s">
        <v>637</v>
      </c>
      <c r="M93" s="9">
        <v>43079</v>
      </c>
      <c r="N93" s="9">
        <v>43086</v>
      </c>
      <c r="O93" s="91" t="s">
        <v>955</v>
      </c>
      <c r="P93" s="61" t="s">
        <v>3237</v>
      </c>
      <c r="Q93" s="7"/>
      <c r="R93" s="87"/>
      <c r="S93" s="305"/>
      <c r="T93" s="338" t="s">
        <v>1678</v>
      </c>
    </row>
    <row r="94" spans="1:20" s="41" customFormat="1" ht="20.100000000000001" customHeight="1">
      <c r="A94" s="1127" t="s">
        <v>3241</v>
      </c>
      <c r="B94" s="1127" t="s">
        <v>3240</v>
      </c>
      <c r="C94" s="1127" t="s">
        <v>3254</v>
      </c>
      <c r="D94" s="81" t="s">
        <v>3238</v>
      </c>
      <c r="E94" s="81" t="s">
        <v>2994</v>
      </c>
      <c r="F94" s="81" t="s">
        <v>2994</v>
      </c>
      <c r="G94" s="80" t="s">
        <v>2397</v>
      </c>
      <c r="H94" s="81" t="s">
        <v>629</v>
      </c>
      <c r="I94" s="82" t="s">
        <v>17</v>
      </c>
      <c r="J94" s="82"/>
      <c r="K94" s="82" t="s">
        <v>1102</v>
      </c>
      <c r="L94" s="82" t="s">
        <v>637</v>
      </c>
      <c r="M94" s="82"/>
      <c r="N94" s="6">
        <v>43044</v>
      </c>
      <c r="O94" s="91" t="s">
        <v>955</v>
      </c>
      <c r="P94" s="61" t="s">
        <v>3237</v>
      </c>
      <c r="Q94" s="7"/>
      <c r="R94" s="87"/>
      <c r="S94" s="305"/>
      <c r="T94" s="338"/>
    </row>
    <row r="95" spans="1:20" s="41" customFormat="1" ht="20.100000000000001" customHeight="1">
      <c r="A95" s="1127" t="s">
        <v>3241</v>
      </c>
      <c r="B95" s="1127" t="s">
        <v>3240</v>
      </c>
      <c r="C95" s="1127" t="s">
        <v>3254</v>
      </c>
      <c r="D95" s="277" t="s">
        <v>1172</v>
      </c>
      <c r="E95" s="277" t="s">
        <v>1172</v>
      </c>
      <c r="F95" s="277" t="s">
        <v>1172</v>
      </c>
      <c r="G95" s="80" t="s">
        <v>232</v>
      </c>
      <c r="H95" s="81" t="s">
        <v>725</v>
      </c>
      <c r="I95" s="82" t="s">
        <v>17</v>
      </c>
      <c r="J95" s="82"/>
      <c r="K95" s="278">
        <v>1</v>
      </c>
      <c r="L95" s="278" t="s">
        <v>1481</v>
      </c>
      <c r="M95" s="9" t="s">
        <v>4188</v>
      </c>
      <c r="N95" s="9">
        <v>43079</v>
      </c>
      <c r="O95" s="284" t="s">
        <v>3257</v>
      </c>
      <c r="P95" s="61" t="s">
        <v>3237</v>
      </c>
      <c r="Q95" s="88"/>
      <c r="R95" s="77" t="s">
        <v>3259</v>
      </c>
      <c r="S95" s="334"/>
      <c r="T95" s="338"/>
    </row>
    <row r="96" spans="1:20" s="41" customFormat="1" ht="20.100000000000001" customHeight="1">
      <c r="A96" s="1127" t="s">
        <v>3241</v>
      </c>
      <c r="B96" s="1127" t="s">
        <v>3240</v>
      </c>
      <c r="C96" s="1127" t="s">
        <v>3254</v>
      </c>
      <c r="D96" s="801" t="s">
        <v>4317</v>
      </c>
      <c r="E96" s="801" t="s">
        <v>4318</v>
      </c>
      <c r="F96" s="801" t="s">
        <v>4318</v>
      </c>
      <c r="G96" s="85" t="s">
        <v>278</v>
      </c>
      <c r="H96" s="297" t="s">
        <v>681</v>
      </c>
      <c r="I96" s="278" t="s">
        <v>17</v>
      </c>
      <c r="J96" s="82"/>
      <c r="K96" s="82" t="s">
        <v>725</v>
      </c>
      <c r="L96" s="82" t="s">
        <v>1192</v>
      </c>
      <c r="M96" s="9">
        <v>43076</v>
      </c>
      <c r="N96" s="9">
        <v>43079</v>
      </c>
      <c r="O96" s="91" t="s">
        <v>955</v>
      </c>
      <c r="P96" s="61" t="s">
        <v>3237</v>
      </c>
      <c r="Q96" s="7"/>
      <c r="R96" s="87" t="s">
        <v>3258</v>
      </c>
      <c r="S96" s="323"/>
      <c r="T96" s="338" t="s">
        <v>3213</v>
      </c>
    </row>
    <row r="97" spans="1:20" s="41" customFormat="1" ht="20.100000000000001" customHeight="1">
      <c r="A97" s="1127" t="s">
        <v>3241</v>
      </c>
      <c r="B97" s="1127" t="s">
        <v>3240</v>
      </c>
      <c r="C97" s="1127" t="s">
        <v>3254</v>
      </c>
      <c r="D97" s="81"/>
      <c r="E97" s="81"/>
      <c r="F97" s="81"/>
      <c r="G97" s="214" t="s">
        <v>491</v>
      </c>
      <c r="H97" s="298" t="s">
        <v>1098</v>
      </c>
      <c r="I97" s="82" t="s">
        <v>17</v>
      </c>
      <c r="J97" s="82"/>
      <c r="K97" s="82">
        <v>2</v>
      </c>
      <c r="L97" s="82" t="s">
        <v>1192</v>
      </c>
      <c r="M97" s="9">
        <v>43058</v>
      </c>
      <c r="N97" s="9">
        <v>43079</v>
      </c>
      <c r="O97" s="91" t="s">
        <v>955</v>
      </c>
      <c r="P97" s="61" t="s">
        <v>3237</v>
      </c>
      <c r="Q97" s="249"/>
      <c r="R97" s="77"/>
      <c r="S97" s="305"/>
      <c r="T97" s="338" t="s">
        <v>1678</v>
      </c>
    </row>
    <row r="98" spans="1:20" s="41" customFormat="1" ht="20.100000000000001" customHeight="1">
      <c r="A98" s="1127" t="s">
        <v>3241</v>
      </c>
      <c r="B98" s="1127" t="s">
        <v>3240</v>
      </c>
      <c r="C98" s="1127" t="s">
        <v>3254</v>
      </c>
      <c r="D98" s="81" t="s">
        <v>3245</v>
      </c>
      <c r="E98" s="81" t="s">
        <v>3244</v>
      </c>
      <c r="F98" s="81" t="s">
        <v>3244</v>
      </c>
      <c r="G98" s="214" t="s">
        <v>796</v>
      </c>
      <c r="H98" s="81" t="s">
        <v>1098</v>
      </c>
      <c r="I98" s="82" t="s">
        <v>17</v>
      </c>
      <c r="J98" s="82"/>
      <c r="K98" s="82">
        <v>3</v>
      </c>
      <c r="L98" s="278" t="s">
        <v>1192</v>
      </c>
      <c r="M98" s="9">
        <v>43032</v>
      </c>
      <c r="N98" s="9">
        <v>43079</v>
      </c>
      <c r="O98" s="91" t="s">
        <v>955</v>
      </c>
      <c r="P98" s="61" t="s">
        <v>3237</v>
      </c>
      <c r="Q98" s="7"/>
      <c r="R98" s="87" t="s">
        <v>3243</v>
      </c>
      <c r="S98" s="305" t="s">
        <v>1176</v>
      </c>
      <c r="T98" s="338" t="s">
        <v>1678</v>
      </c>
    </row>
    <row r="99" spans="1:20" s="41" customFormat="1" ht="20.100000000000001" customHeight="1">
      <c r="A99" s="1127" t="s">
        <v>3241</v>
      </c>
      <c r="B99" s="1127" t="s">
        <v>3240</v>
      </c>
      <c r="C99" s="1127" t="s">
        <v>3254</v>
      </c>
      <c r="D99" s="801" t="s">
        <v>4317</v>
      </c>
      <c r="E99" s="801" t="s">
        <v>4318</v>
      </c>
      <c r="F99" s="801" t="s">
        <v>4318</v>
      </c>
      <c r="G99" s="85" t="s">
        <v>278</v>
      </c>
      <c r="H99" s="277" t="s">
        <v>1098</v>
      </c>
      <c r="I99" s="278" t="s">
        <v>17</v>
      </c>
      <c r="J99" s="82"/>
      <c r="K99" s="82" t="s">
        <v>828</v>
      </c>
      <c r="L99" s="82" t="s">
        <v>1192</v>
      </c>
      <c r="M99" s="9">
        <v>43076</v>
      </c>
      <c r="N99" s="9">
        <v>43079</v>
      </c>
      <c r="O99" s="91" t="s">
        <v>955</v>
      </c>
      <c r="P99" s="61" t="s">
        <v>3237</v>
      </c>
      <c r="Q99" s="7"/>
      <c r="R99" s="87" t="s">
        <v>3242</v>
      </c>
      <c r="S99" s="323"/>
      <c r="T99" s="338" t="s">
        <v>3213</v>
      </c>
    </row>
    <row r="100" spans="1:20" s="41" customFormat="1" ht="20.100000000000001" customHeight="1">
      <c r="A100" s="1127" t="s">
        <v>3241</v>
      </c>
      <c r="B100" s="1127" t="s">
        <v>3240</v>
      </c>
      <c r="C100" s="1127" t="s">
        <v>3254</v>
      </c>
      <c r="D100" s="801" t="s">
        <v>2994</v>
      </c>
      <c r="E100" s="801" t="s">
        <v>2995</v>
      </c>
      <c r="F100" s="801" t="s">
        <v>2995</v>
      </c>
      <c r="G100" s="80" t="s">
        <v>2234</v>
      </c>
      <c r="H100" s="81" t="s">
        <v>1098</v>
      </c>
      <c r="I100" s="82" t="s">
        <v>17</v>
      </c>
      <c r="J100" s="82"/>
      <c r="K100" s="82" t="s">
        <v>1102</v>
      </c>
      <c r="L100" s="82" t="s">
        <v>637</v>
      </c>
      <c r="M100" s="9">
        <v>43079</v>
      </c>
      <c r="N100" s="9">
        <v>43086</v>
      </c>
      <c r="O100" s="91" t="s">
        <v>955</v>
      </c>
      <c r="P100" s="61" t="s">
        <v>3237</v>
      </c>
      <c r="Q100" s="7"/>
      <c r="R100" s="87"/>
      <c r="S100" s="305"/>
      <c r="T100" s="338" t="s">
        <v>1678</v>
      </c>
    </row>
    <row r="101" spans="1:20" s="41" customFormat="1" ht="20.100000000000001" customHeight="1">
      <c r="A101" s="1127" t="s">
        <v>3241</v>
      </c>
      <c r="B101" s="1127" t="s">
        <v>3240</v>
      </c>
      <c r="C101" s="1127" t="s">
        <v>3254</v>
      </c>
      <c r="D101" s="801" t="s">
        <v>3836</v>
      </c>
      <c r="E101" s="801" t="s">
        <v>3837</v>
      </c>
      <c r="F101" s="801" t="s">
        <v>3837</v>
      </c>
      <c r="G101" s="80" t="s">
        <v>87</v>
      </c>
      <c r="H101" s="81" t="s">
        <v>1098</v>
      </c>
      <c r="I101" s="82" t="s">
        <v>17</v>
      </c>
      <c r="J101" s="82"/>
      <c r="K101" s="82">
        <v>3</v>
      </c>
      <c r="L101" s="82" t="s">
        <v>1192</v>
      </c>
      <c r="M101" s="9">
        <v>43078</v>
      </c>
      <c r="N101" s="9">
        <v>43082</v>
      </c>
      <c r="O101" s="91" t="s">
        <v>955</v>
      </c>
      <c r="P101" s="61" t="s">
        <v>3237</v>
      </c>
      <c r="Q101" s="167"/>
      <c r="R101" s="90" t="s">
        <v>248</v>
      </c>
      <c r="S101" s="322" t="s">
        <v>2849</v>
      </c>
      <c r="T101" s="338"/>
    </row>
    <row r="102" spans="1:20" s="41" customFormat="1" ht="20.100000000000001" customHeight="1">
      <c r="A102" s="1127" t="s">
        <v>3241</v>
      </c>
      <c r="B102" s="1127" t="s">
        <v>3240</v>
      </c>
      <c r="C102" s="1127" t="s">
        <v>3254</v>
      </c>
      <c r="D102" s="801" t="s">
        <v>4061</v>
      </c>
      <c r="E102" s="801" t="s">
        <v>4062</v>
      </c>
      <c r="F102" s="801" t="s">
        <v>4062</v>
      </c>
      <c r="G102" s="214" t="s">
        <v>491</v>
      </c>
      <c r="H102" s="81" t="s">
        <v>706</v>
      </c>
      <c r="I102" s="82" t="s">
        <v>17</v>
      </c>
      <c r="J102" s="82"/>
      <c r="K102" s="82" t="s">
        <v>828</v>
      </c>
      <c r="L102" s="82" t="s">
        <v>1192</v>
      </c>
      <c r="M102" s="9">
        <v>43058</v>
      </c>
      <c r="N102" s="9">
        <v>43079</v>
      </c>
      <c r="O102" s="91" t="s">
        <v>955</v>
      </c>
      <c r="P102" s="61" t="s">
        <v>3237</v>
      </c>
      <c r="Q102" s="249"/>
      <c r="R102" s="77" t="s">
        <v>201</v>
      </c>
      <c r="S102" s="305"/>
      <c r="T102" s="338" t="s">
        <v>1678</v>
      </c>
    </row>
    <row r="103" spans="1:20" s="41" customFormat="1" ht="20.100000000000001" customHeight="1">
      <c r="A103" s="1127" t="s">
        <v>3241</v>
      </c>
      <c r="B103" s="1127" t="s">
        <v>3240</v>
      </c>
      <c r="C103" s="1127" t="s">
        <v>3254</v>
      </c>
      <c r="D103" s="801" t="s">
        <v>3836</v>
      </c>
      <c r="E103" s="801" t="s">
        <v>3837</v>
      </c>
      <c r="F103" s="801" t="s">
        <v>3837</v>
      </c>
      <c r="G103" s="80" t="s">
        <v>87</v>
      </c>
      <c r="H103" s="81" t="s">
        <v>706</v>
      </c>
      <c r="I103" s="82" t="s">
        <v>17</v>
      </c>
      <c r="J103" s="82"/>
      <c r="K103" s="278" t="s">
        <v>1102</v>
      </c>
      <c r="L103" s="278" t="s">
        <v>1192</v>
      </c>
      <c r="M103" s="9">
        <v>43078</v>
      </c>
      <c r="N103" s="9">
        <v>43082</v>
      </c>
      <c r="O103" s="91" t="s">
        <v>955</v>
      </c>
      <c r="P103" s="61" t="s">
        <v>3237</v>
      </c>
      <c r="Q103" s="7"/>
      <c r="R103" s="90" t="s">
        <v>201</v>
      </c>
      <c r="S103" s="322" t="s">
        <v>2849</v>
      </c>
      <c r="T103" s="338"/>
    </row>
    <row r="104" spans="1:20" s="41" customFormat="1" ht="20.100000000000001" customHeight="1">
      <c r="A104" s="1127" t="s">
        <v>3241</v>
      </c>
      <c r="B104" s="1127" t="s">
        <v>3240</v>
      </c>
      <c r="C104" s="1127" t="s">
        <v>3254</v>
      </c>
      <c r="D104" s="81" t="s">
        <v>3493</v>
      </c>
      <c r="E104" s="81" t="s">
        <v>3494</v>
      </c>
      <c r="F104" s="81" t="s">
        <v>3494</v>
      </c>
      <c r="G104" s="80" t="s">
        <v>36</v>
      </c>
      <c r="H104" s="81" t="s">
        <v>706</v>
      </c>
      <c r="I104" s="82" t="s">
        <v>17</v>
      </c>
      <c r="J104" s="82"/>
      <c r="K104" s="278" t="s">
        <v>1102</v>
      </c>
      <c r="L104" s="278" t="s">
        <v>1192</v>
      </c>
      <c r="M104" s="9">
        <v>43058</v>
      </c>
      <c r="N104" s="9">
        <v>43058</v>
      </c>
      <c r="O104" s="91" t="s">
        <v>955</v>
      </c>
      <c r="P104" s="61" t="s">
        <v>3237</v>
      </c>
      <c r="Q104" s="249"/>
      <c r="R104" s="87" t="s">
        <v>201</v>
      </c>
      <c r="S104" s="305"/>
      <c r="T104" s="317">
        <v>14</v>
      </c>
    </row>
    <row r="105" spans="1:20" s="41" customFormat="1" ht="20.100000000000001" customHeight="1">
      <c r="A105" s="1127" t="s">
        <v>3241</v>
      </c>
      <c r="B105" s="1127" t="s">
        <v>3240</v>
      </c>
      <c r="C105" s="1127" t="s">
        <v>3254</v>
      </c>
      <c r="D105" s="81" t="s">
        <v>3245</v>
      </c>
      <c r="E105" s="81" t="s">
        <v>3244</v>
      </c>
      <c r="F105" s="81" t="s">
        <v>3244</v>
      </c>
      <c r="G105" s="214" t="s">
        <v>796</v>
      </c>
      <c r="H105" s="81" t="s">
        <v>706</v>
      </c>
      <c r="I105" s="82" t="s">
        <v>17</v>
      </c>
      <c r="J105" s="82"/>
      <c r="K105" s="278" t="s">
        <v>1102</v>
      </c>
      <c r="L105" s="278" t="s">
        <v>1192</v>
      </c>
      <c r="M105" s="9">
        <v>43032</v>
      </c>
      <c r="N105" s="9">
        <v>43079</v>
      </c>
      <c r="O105" s="91" t="s">
        <v>955</v>
      </c>
      <c r="P105" s="61" t="s">
        <v>3237</v>
      </c>
      <c r="Q105" s="7"/>
      <c r="R105" s="87" t="s">
        <v>201</v>
      </c>
      <c r="S105" s="305" t="s">
        <v>1176</v>
      </c>
      <c r="T105" s="338" t="s">
        <v>1678</v>
      </c>
    </row>
    <row r="106" spans="1:20" s="41" customFormat="1" ht="20.100000000000001" customHeight="1">
      <c r="A106" s="1127" t="s">
        <v>3241</v>
      </c>
      <c r="B106" s="1127" t="s">
        <v>3240</v>
      </c>
      <c r="C106" s="1127" t="s">
        <v>3254</v>
      </c>
      <c r="D106" s="801" t="s">
        <v>4317</v>
      </c>
      <c r="E106" s="801" t="s">
        <v>4318</v>
      </c>
      <c r="F106" s="801" t="s">
        <v>4318</v>
      </c>
      <c r="G106" s="85" t="s">
        <v>278</v>
      </c>
      <c r="H106" s="297" t="s">
        <v>706</v>
      </c>
      <c r="I106" s="278" t="s">
        <v>17</v>
      </c>
      <c r="J106" s="82"/>
      <c r="K106" s="278" t="s">
        <v>828</v>
      </c>
      <c r="L106" s="278" t="s">
        <v>1192</v>
      </c>
      <c r="M106" s="9">
        <v>43076</v>
      </c>
      <c r="N106" s="9">
        <v>43079</v>
      </c>
      <c r="O106" s="91" t="s">
        <v>955</v>
      </c>
      <c r="P106" s="61" t="s">
        <v>3237</v>
      </c>
      <c r="Q106" s="7"/>
      <c r="R106" s="87" t="s">
        <v>201</v>
      </c>
      <c r="S106" s="323"/>
      <c r="T106" s="338" t="s">
        <v>3213</v>
      </c>
    </row>
    <row r="107" spans="1:20" s="41" customFormat="1" ht="20.100000000000001" customHeight="1">
      <c r="A107" s="1127" t="s">
        <v>3241</v>
      </c>
      <c r="B107" s="1127" t="s">
        <v>3240</v>
      </c>
      <c r="C107" s="1127" t="s">
        <v>3254</v>
      </c>
      <c r="D107" s="277" t="s">
        <v>1172</v>
      </c>
      <c r="E107" s="277" t="s">
        <v>1172</v>
      </c>
      <c r="F107" s="277" t="s">
        <v>1172</v>
      </c>
      <c r="G107" s="80" t="s">
        <v>232</v>
      </c>
      <c r="H107" s="81" t="s">
        <v>706</v>
      </c>
      <c r="I107" s="82" t="s">
        <v>17</v>
      </c>
      <c r="J107" s="82"/>
      <c r="K107" s="278" t="s">
        <v>1102</v>
      </c>
      <c r="L107" s="278" t="s">
        <v>1192</v>
      </c>
      <c r="M107" s="9" t="s">
        <v>4188</v>
      </c>
      <c r="N107" s="9">
        <v>43079</v>
      </c>
      <c r="O107" s="284" t="s">
        <v>3257</v>
      </c>
      <c r="P107" s="61" t="s">
        <v>3237</v>
      </c>
      <c r="Q107" s="88"/>
      <c r="R107" s="77" t="s">
        <v>201</v>
      </c>
      <c r="S107" s="334"/>
      <c r="T107" s="338"/>
    </row>
    <row r="108" spans="1:20" s="41" customFormat="1" ht="20.100000000000001" customHeight="1">
      <c r="A108" s="1127" t="s">
        <v>3241</v>
      </c>
      <c r="B108" s="1127" t="s">
        <v>3240</v>
      </c>
      <c r="C108" s="1127" t="s">
        <v>3254</v>
      </c>
      <c r="D108" s="801" t="s">
        <v>3061</v>
      </c>
      <c r="E108" s="801" t="s">
        <v>1683</v>
      </c>
      <c r="F108" s="801" t="s">
        <v>1683</v>
      </c>
      <c r="G108" s="47" t="s">
        <v>1535</v>
      </c>
      <c r="H108" s="277" t="s">
        <v>706</v>
      </c>
      <c r="I108" s="82" t="s">
        <v>17</v>
      </c>
      <c r="J108" s="82"/>
      <c r="K108" s="82">
        <v>3</v>
      </c>
      <c r="L108" s="82" t="s">
        <v>1192</v>
      </c>
      <c r="M108" s="9">
        <v>43079</v>
      </c>
      <c r="N108" s="9">
        <v>43086</v>
      </c>
      <c r="O108" s="284" t="s">
        <v>3257</v>
      </c>
      <c r="P108" s="61" t="s">
        <v>3237</v>
      </c>
      <c r="Q108" s="7" t="s">
        <v>3256</v>
      </c>
      <c r="R108" s="87" t="s">
        <v>3255</v>
      </c>
      <c r="S108" s="305"/>
      <c r="T108" s="338"/>
    </row>
    <row r="109" spans="1:20" s="41" customFormat="1" ht="20.100000000000001" customHeight="1">
      <c r="A109" s="1127" t="s">
        <v>3241</v>
      </c>
      <c r="B109" s="1127" t="s">
        <v>3240</v>
      </c>
      <c r="C109" s="1127" t="s">
        <v>3254</v>
      </c>
      <c r="D109" s="801" t="s">
        <v>2994</v>
      </c>
      <c r="E109" s="801" t="s">
        <v>2995</v>
      </c>
      <c r="F109" s="801" t="s">
        <v>2995</v>
      </c>
      <c r="G109" s="80" t="s">
        <v>2234</v>
      </c>
      <c r="H109" s="81" t="s">
        <v>706</v>
      </c>
      <c r="I109" s="82" t="s">
        <v>17</v>
      </c>
      <c r="J109" s="82"/>
      <c r="K109" s="82" t="s">
        <v>1102</v>
      </c>
      <c r="L109" s="82" t="s">
        <v>637</v>
      </c>
      <c r="M109" s="9">
        <v>43079</v>
      </c>
      <c r="N109" s="9">
        <v>43086</v>
      </c>
      <c r="O109" s="91" t="s">
        <v>955</v>
      </c>
      <c r="P109" s="61" t="s">
        <v>3237</v>
      </c>
      <c r="Q109" s="7"/>
      <c r="R109" s="87"/>
      <c r="S109" s="305"/>
      <c r="T109" s="338" t="s">
        <v>1678</v>
      </c>
    </row>
    <row r="110" spans="1:20" s="41" customFormat="1" ht="20.100000000000001" customHeight="1">
      <c r="A110" s="1127" t="s">
        <v>3241</v>
      </c>
      <c r="B110" s="1127" t="s">
        <v>3240</v>
      </c>
      <c r="C110" s="1127" t="s">
        <v>3252</v>
      </c>
      <c r="D110" s="81" t="s">
        <v>3253</v>
      </c>
      <c r="E110" s="81" t="s">
        <v>2416</v>
      </c>
      <c r="F110" s="81" t="s">
        <v>2416</v>
      </c>
      <c r="G110" s="80" t="s">
        <v>142</v>
      </c>
      <c r="H110" s="81" t="s">
        <v>828</v>
      </c>
      <c r="I110" s="82" t="s">
        <v>17</v>
      </c>
      <c r="J110" s="82"/>
      <c r="K110" s="82" t="s">
        <v>725</v>
      </c>
      <c r="L110" s="82" t="s">
        <v>637</v>
      </c>
      <c r="M110" s="9">
        <v>43036</v>
      </c>
      <c r="N110" s="9">
        <v>43084</v>
      </c>
      <c r="O110" s="91" t="s">
        <v>955</v>
      </c>
      <c r="P110" s="61" t="s">
        <v>3237</v>
      </c>
      <c r="Q110" s="88"/>
      <c r="R110" s="87"/>
      <c r="S110" s="305"/>
      <c r="T110" s="338"/>
    </row>
    <row r="111" spans="1:20" s="41" customFormat="1" ht="20.100000000000001" customHeight="1">
      <c r="A111" s="1127" t="s">
        <v>3241</v>
      </c>
      <c r="B111" s="1127" t="s">
        <v>3240</v>
      </c>
      <c r="C111" s="1127" t="s">
        <v>3252</v>
      </c>
      <c r="D111" s="160">
        <v>200</v>
      </c>
      <c r="E111" s="160">
        <v>400</v>
      </c>
      <c r="F111" s="160">
        <v>400</v>
      </c>
      <c r="G111" s="85" t="s">
        <v>278</v>
      </c>
      <c r="H111" s="277">
        <v>7</v>
      </c>
      <c r="I111" s="278" t="s">
        <v>17</v>
      </c>
      <c r="J111" s="82"/>
      <c r="K111" s="82">
        <v>3</v>
      </c>
      <c r="L111" s="82" t="s">
        <v>1192</v>
      </c>
      <c r="M111" s="9">
        <v>43040</v>
      </c>
      <c r="N111" s="9">
        <v>43079</v>
      </c>
      <c r="O111" s="91" t="s">
        <v>955</v>
      </c>
      <c r="P111" s="61" t="s">
        <v>3237</v>
      </c>
      <c r="Q111" s="88"/>
      <c r="R111" s="87" t="s">
        <v>3250</v>
      </c>
      <c r="S111" s="305"/>
      <c r="T111" s="338" t="s">
        <v>3213</v>
      </c>
    </row>
    <row r="112" spans="1:20" s="41" customFormat="1" ht="20.100000000000001" customHeight="1">
      <c r="A112" s="1127" t="s">
        <v>3241</v>
      </c>
      <c r="B112" s="1127" t="s">
        <v>3240</v>
      </c>
      <c r="C112" s="1127" t="s">
        <v>3251</v>
      </c>
      <c r="D112" s="68" t="s">
        <v>798</v>
      </c>
      <c r="E112" s="68" t="s">
        <v>1148</v>
      </c>
      <c r="F112" s="68" t="s">
        <v>1148</v>
      </c>
      <c r="G112" s="80" t="s">
        <v>2234</v>
      </c>
      <c r="H112" s="277">
        <v>7</v>
      </c>
      <c r="I112" s="278" t="s">
        <v>17</v>
      </c>
      <c r="J112" s="82"/>
      <c r="K112" s="82" t="s">
        <v>1102</v>
      </c>
      <c r="L112" s="82" t="s">
        <v>1192</v>
      </c>
      <c r="M112" s="9">
        <v>43079</v>
      </c>
      <c r="N112" s="9">
        <v>43086</v>
      </c>
      <c r="O112" s="91" t="s">
        <v>955</v>
      </c>
      <c r="P112" s="61" t="s">
        <v>3237</v>
      </c>
      <c r="Q112" s="88"/>
      <c r="R112" s="87"/>
      <c r="S112" s="305"/>
      <c r="T112" s="338" t="s">
        <v>1678</v>
      </c>
    </row>
    <row r="113" spans="1:20" s="41" customFormat="1" ht="20.100000000000001" customHeight="1">
      <c r="A113" s="1127" t="s">
        <v>3241</v>
      </c>
      <c r="B113" s="1127" t="s">
        <v>3240</v>
      </c>
      <c r="C113" s="1127" t="s">
        <v>3251</v>
      </c>
      <c r="D113" s="68"/>
      <c r="E113" s="68"/>
      <c r="F113" s="68"/>
      <c r="G113" s="80" t="s">
        <v>2397</v>
      </c>
      <c r="H113" s="277">
        <v>7</v>
      </c>
      <c r="I113" s="278" t="s">
        <v>17</v>
      </c>
      <c r="J113" s="82"/>
      <c r="K113" s="82" t="s">
        <v>1102</v>
      </c>
      <c r="L113" s="82" t="s">
        <v>1192</v>
      </c>
      <c r="M113" s="82"/>
      <c r="N113" s="6">
        <v>43044</v>
      </c>
      <c r="O113" s="91" t="s">
        <v>955</v>
      </c>
      <c r="P113" s="61" t="s">
        <v>3237</v>
      </c>
      <c r="Q113" s="88"/>
      <c r="R113" s="87"/>
      <c r="S113" s="305"/>
      <c r="T113" s="338"/>
    </row>
    <row r="114" spans="1:20" s="41" customFormat="1" ht="20.100000000000001" customHeight="1">
      <c r="A114" s="1127" t="s">
        <v>3241</v>
      </c>
      <c r="B114" s="1127" t="s">
        <v>3240</v>
      </c>
      <c r="C114" s="1127" t="s">
        <v>3251</v>
      </c>
      <c r="D114" s="68" t="s">
        <v>4324</v>
      </c>
      <c r="E114" s="68" t="s">
        <v>3253</v>
      </c>
      <c r="F114" s="68" t="s">
        <v>3253</v>
      </c>
      <c r="G114" s="85" t="s">
        <v>278</v>
      </c>
      <c r="H114" s="277">
        <v>7</v>
      </c>
      <c r="I114" s="278" t="s">
        <v>17</v>
      </c>
      <c r="J114" s="82"/>
      <c r="K114" s="82" t="s">
        <v>1102</v>
      </c>
      <c r="L114" s="82" t="s">
        <v>1192</v>
      </c>
      <c r="M114" s="9">
        <v>43079</v>
      </c>
      <c r="N114" s="9">
        <v>43079</v>
      </c>
      <c r="O114" s="91" t="s">
        <v>955</v>
      </c>
      <c r="P114" s="61" t="s">
        <v>3237</v>
      </c>
      <c r="Q114" s="7"/>
      <c r="R114" s="90" t="s">
        <v>3250</v>
      </c>
      <c r="S114" s="323"/>
      <c r="T114" s="338" t="s">
        <v>3213</v>
      </c>
    </row>
    <row r="115" spans="1:20" s="41" customFormat="1" ht="20.100000000000001" customHeight="1">
      <c r="A115" s="1127" t="s">
        <v>3241</v>
      </c>
      <c r="B115" s="1127" t="s">
        <v>3240</v>
      </c>
      <c r="C115" s="1127" t="s">
        <v>3249</v>
      </c>
      <c r="D115" s="801" t="s">
        <v>798</v>
      </c>
      <c r="E115" s="801" t="s">
        <v>1148</v>
      </c>
      <c r="F115" s="801" t="s">
        <v>1148</v>
      </c>
      <c r="G115" s="214" t="s">
        <v>796</v>
      </c>
      <c r="H115" s="81">
        <v>6</v>
      </c>
      <c r="I115" s="82" t="s">
        <v>17</v>
      </c>
      <c r="J115" s="82"/>
      <c r="K115" s="82">
        <v>2</v>
      </c>
      <c r="L115" s="82" t="s">
        <v>1192</v>
      </c>
      <c r="M115" s="9">
        <v>43032</v>
      </c>
      <c r="N115" s="9">
        <v>43079</v>
      </c>
      <c r="O115" s="91" t="s">
        <v>955</v>
      </c>
      <c r="P115" s="61" t="s">
        <v>3237</v>
      </c>
      <c r="Q115" s="88"/>
      <c r="R115" s="57" t="s">
        <v>248</v>
      </c>
      <c r="S115" s="305" t="s">
        <v>1176</v>
      </c>
      <c r="T115" s="338" t="s">
        <v>1678</v>
      </c>
    </row>
    <row r="116" spans="1:20" s="41" customFormat="1" ht="20.100000000000001" customHeight="1">
      <c r="A116" s="1127" t="s">
        <v>3241</v>
      </c>
      <c r="B116" s="1127" t="s">
        <v>3240</v>
      </c>
      <c r="C116" s="1127" t="s">
        <v>3249</v>
      </c>
      <c r="D116" s="277" t="s">
        <v>1242</v>
      </c>
      <c r="E116" s="277" t="s">
        <v>3248</v>
      </c>
      <c r="F116" s="277" t="s">
        <v>3248</v>
      </c>
      <c r="G116" s="80" t="s">
        <v>87</v>
      </c>
      <c r="H116" s="81">
        <v>6</v>
      </c>
      <c r="I116" s="82" t="s">
        <v>17</v>
      </c>
      <c r="J116" s="82"/>
      <c r="K116" s="82">
        <v>2</v>
      </c>
      <c r="L116" s="82" t="s">
        <v>1192</v>
      </c>
      <c r="M116" s="9">
        <v>43040</v>
      </c>
      <c r="N116" s="9">
        <v>43079</v>
      </c>
      <c r="O116" s="91" t="s">
        <v>955</v>
      </c>
      <c r="P116" s="61" t="s">
        <v>3237</v>
      </c>
      <c r="Q116" s="167"/>
      <c r="R116" s="57" t="s">
        <v>248</v>
      </c>
      <c r="S116" s="322" t="s">
        <v>2849</v>
      </c>
      <c r="T116" s="338"/>
    </row>
    <row r="117" spans="1:20" s="41" customFormat="1" ht="20.100000000000001" customHeight="1">
      <c r="A117" s="1127" t="s">
        <v>3241</v>
      </c>
      <c r="B117" s="1127" t="s">
        <v>3240</v>
      </c>
      <c r="C117" s="1127" t="s">
        <v>3239</v>
      </c>
      <c r="D117" s="81" t="s">
        <v>3245</v>
      </c>
      <c r="E117" s="81" t="s">
        <v>3244</v>
      </c>
      <c r="F117" s="81" t="s">
        <v>3244</v>
      </c>
      <c r="G117" s="214" t="s">
        <v>796</v>
      </c>
      <c r="H117" s="81" t="s">
        <v>1102</v>
      </c>
      <c r="I117" s="82" t="s">
        <v>17</v>
      </c>
      <c r="J117" s="82"/>
      <c r="K117" s="82">
        <v>3</v>
      </c>
      <c r="L117" s="82" t="s">
        <v>641</v>
      </c>
      <c r="M117" s="9">
        <v>43032</v>
      </c>
      <c r="N117" s="9">
        <v>43079</v>
      </c>
      <c r="O117" s="91" t="s">
        <v>955</v>
      </c>
      <c r="P117" s="61" t="s">
        <v>3237</v>
      </c>
      <c r="Q117" s="7"/>
      <c r="R117" s="87" t="s">
        <v>3247</v>
      </c>
      <c r="S117" s="305" t="s">
        <v>1176</v>
      </c>
      <c r="T117" s="338" t="s">
        <v>1678</v>
      </c>
    </row>
    <row r="118" spans="1:20" s="41" customFormat="1" ht="20.100000000000001" customHeight="1">
      <c r="A118" s="1127" t="s">
        <v>3241</v>
      </c>
      <c r="B118" s="1127" t="s">
        <v>3240</v>
      </c>
      <c r="C118" s="1127" t="s">
        <v>3239</v>
      </c>
      <c r="D118" s="68"/>
      <c r="E118" s="68"/>
      <c r="F118" s="68"/>
      <c r="G118" s="80" t="s">
        <v>87</v>
      </c>
      <c r="H118" s="298" t="s">
        <v>1102</v>
      </c>
      <c r="I118" s="82" t="s">
        <v>17</v>
      </c>
      <c r="J118" s="82"/>
      <c r="K118" s="82">
        <v>2</v>
      </c>
      <c r="L118" s="82" t="s">
        <v>1192</v>
      </c>
      <c r="M118" s="9">
        <v>43078</v>
      </c>
      <c r="N118" s="9">
        <v>43082</v>
      </c>
      <c r="O118" s="91" t="s">
        <v>955</v>
      </c>
      <c r="P118" s="61" t="s">
        <v>3237</v>
      </c>
      <c r="Q118" s="167"/>
      <c r="R118" s="90" t="s">
        <v>3246</v>
      </c>
      <c r="S118" s="322" t="s">
        <v>2849</v>
      </c>
      <c r="T118" s="338"/>
    </row>
    <row r="119" spans="1:20" s="41" customFormat="1" ht="20.100000000000001" customHeight="1">
      <c r="A119" s="1127" t="s">
        <v>3241</v>
      </c>
      <c r="B119" s="1127" t="s">
        <v>3240</v>
      </c>
      <c r="C119" s="1127" t="s">
        <v>3239</v>
      </c>
      <c r="D119" s="81" t="s">
        <v>3245</v>
      </c>
      <c r="E119" s="81" t="s">
        <v>3244</v>
      </c>
      <c r="F119" s="81" t="s">
        <v>3244</v>
      </c>
      <c r="G119" s="214" t="s">
        <v>796</v>
      </c>
      <c r="H119" s="81" t="s">
        <v>1098</v>
      </c>
      <c r="I119" s="82" t="s">
        <v>17</v>
      </c>
      <c r="J119" s="82"/>
      <c r="K119" s="82">
        <v>3</v>
      </c>
      <c r="L119" s="82" t="s">
        <v>1192</v>
      </c>
      <c r="M119" s="9">
        <v>43032</v>
      </c>
      <c r="N119" s="9">
        <v>43079</v>
      </c>
      <c r="O119" s="91" t="s">
        <v>955</v>
      </c>
      <c r="P119" s="61" t="s">
        <v>3237</v>
      </c>
      <c r="Q119" s="7"/>
      <c r="R119" s="87" t="s">
        <v>3243</v>
      </c>
      <c r="S119" s="305" t="s">
        <v>1176</v>
      </c>
      <c r="T119" s="338" t="s">
        <v>1678</v>
      </c>
    </row>
    <row r="120" spans="1:20" s="41" customFormat="1" ht="20.100000000000001" customHeight="1">
      <c r="A120" s="1127" t="s">
        <v>3241</v>
      </c>
      <c r="B120" s="1127" t="s">
        <v>3240</v>
      </c>
      <c r="C120" s="1127" t="s">
        <v>3239</v>
      </c>
      <c r="D120" s="801" t="s">
        <v>3244</v>
      </c>
      <c r="E120" s="801" t="s">
        <v>2994</v>
      </c>
      <c r="F120" s="801" t="s">
        <v>2994</v>
      </c>
      <c r="G120" s="80" t="s">
        <v>87</v>
      </c>
      <c r="H120" s="81" t="s">
        <v>1098</v>
      </c>
      <c r="I120" s="82" t="s">
        <v>17</v>
      </c>
      <c r="J120" s="82"/>
      <c r="K120" s="82">
        <v>2</v>
      </c>
      <c r="L120" s="82" t="s">
        <v>1192</v>
      </c>
      <c r="M120" s="9">
        <v>43078</v>
      </c>
      <c r="N120" s="9">
        <v>43082</v>
      </c>
      <c r="O120" s="91" t="s">
        <v>955</v>
      </c>
      <c r="P120" s="61" t="s">
        <v>3237</v>
      </c>
      <c r="Q120" s="167"/>
      <c r="R120" s="90" t="s">
        <v>248</v>
      </c>
      <c r="S120" s="322" t="s">
        <v>2849</v>
      </c>
      <c r="T120" s="338"/>
    </row>
    <row r="121" spans="1:20" s="41" customFormat="1" ht="20.100000000000001" customHeight="1">
      <c r="A121" s="1127" t="s">
        <v>3241</v>
      </c>
      <c r="B121" s="1127" t="s">
        <v>3240</v>
      </c>
      <c r="C121" s="1127" t="s">
        <v>3239</v>
      </c>
      <c r="D121" s="801" t="s">
        <v>4317</v>
      </c>
      <c r="E121" s="801" t="s">
        <v>4318</v>
      </c>
      <c r="F121" s="801" t="s">
        <v>4318</v>
      </c>
      <c r="G121" s="85" t="s">
        <v>278</v>
      </c>
      <c r="H121" s="277">
        <v>6</v>
      </c>
      <c r="I121" s="278" t="s">
        <v>17</v>
      </c>
      <c r="J121" s="82"/>
      <c r="K121" s="82" t="s">
        <v>1102</v>
      </c>
      <c r="L121" s="82" t="s">
        <v>1192</v>
      </c>
      <c r="M121" s="9">
        <v>43076</v>
      </c>
      <c r="N121" s="9">
        <v>43079</v>
      </c>
      <c r="O121" s="91" t="s">
        <v>955</v>
      </c>
      <c r="P121" s="61" t="s">
        <v>3237</v>
      </c>
      <c r="Q121" s="7"/>
      <c r="R121" s="90" t="s">
        <v>3242</v>
      </c>
      <c r="S121" s="323"/>
      <c r="T121" s="338" t="s">
        <v>3213</v>
      </c>
    </row>
    <row r="122" spans="1:20" s="41" customFormat="1" ht="20.100000000000001" customHeight="1">
      <c r="A122" s="1127" t="s">
        <v>3241</v>
      </c>
      <c r="B122" s="1127" t="s">
        <v>3240</v>
      </c>
      <c r="C122" s="1127" t="s">
        <v>3239</v>
      </c>
      <c r="D122" s="801"/>
      <c r="E122" s="801"/>
      <c r="F122" s="801"/>
      <c r="G122" s="80" t="s">
        <v>2234</v>
      </c>
      <c r="H122" s="81">
        <v>7</v>
      </c>
      <c r="I122" s="82" t="s">
        <v>17</v>
      </c>
      <c r="J122" s="82"/>
      <c r="K122" s="82">
        <v>3</v>
      </c>
      <c r="L122" s="82" t="s">
        <v>637</v>
      </c>
      <c r="M122" s="9">
        <v>43079</v>
      </c>
      <c r="N122" s="9">
        <v>43086</v>
      </c>
      <c r="O122" s="91" t="s">
        <v>955</v>
      </c>
      <c r="P122" s="61" t="s">
        <v>3237</v>
      </c>
      <c r="Q122" s="7"/>
      <c r="R122" s="90"/>
      <c r="S122" s="323"/>
      <c r="T122" s="338" t="s">
        <v>1678</v>
      </c>
    </row>
    <row r="123" spans="1:20" s="41" customFormat="1" ht="20.100000000000001" customHeight="1">
      <c r="A123" s="1276" t="s">
        <v>3218</v>
      </c>
      <c r="B123" s="1276" t="s">
        <v>3217</v>
      </c>
      <c r="C123" s="1276" t="s">
        <v>3236</v>
      </c>
      <c r="D123" s="81" t="s">
        <v>3230</v>
      </c>
      <c r="E123" s="81" t="s">
        <v>3229</v>
      </c>
      <c r="F123" s="81" t="s">
        <v>3229</v>
      </c>
      <c r="G123" s="85" t="s">
        <v>3223</v>
      </c>
      <c r="H123" s="81">
        <v>1</v>
      </c>
      <c r="I123" s="82" t="s">
        <v>17</v>
      </c>
      <c r="J123" s="82"/>
      <c r="K123" s="82" t="s">
        <v>1102</v>
      </c>
      <c r="L123" s="82" t="s">
        <v>649</v>
      </c>
      <c r="M123" s="9">
        <v>43059</v>
      </c>
      <c r="N123" s="9">
        <v>43093</v>
      </c>
      <c r="O123" s="91" t="s">
        <v>955</v>
      </c>
      <c r="P123" s="83"/>
      <c r="Q123" s="171"/>
      <c r="R123" s="87" t="s">
        <v>3224</v>
      </c>
      <c r="S123" s="305"/>
      <c r="T123" s="338"/>
    </row>
    <row r="124" spans="1:20" s="41" customFormat="1" ht="20.100000000000001" customHeight="1">
      <c r="A124" s="1276" t="s">
        <v>3218</v>
      </c>
      <c r="B124" s="1276" t="s">
        <v>3217</v>
      </c>
      <c r="C124" s="1276" t="s">
        <v>3236</v>
      </c>
      <c r="D124" s="81" t="s">
        <v>2162</v>
      </c>
      <c r="E124" s="81" t="s">
        <v>1145</v>
      </c>
      <c r="F124" s="81" t="s">
        <v>1145</v>
      </c>
      <c r="G124" s="80" t="s">
        <v>29</v>
      </c>
      <c r="H124" s="81" t="s">
        <v>948</v>
      </c>
      <c r="I124" s="82" t="s">
        <v>17</v>
      </c>
      <c r="J124" s="82"/>
      <c r="K124" s="82" t="s">
        <v>1102</v>
      </c>
      <c r="L124" s="82" t="s">
        <v>649</v>
      </c>
      <c r="M124" s="82"/>
      <c r="N124" s="9">
        <v>43065</v>
      </c>
      <c r="O124" s="91" t="s">
        <v>955</v>
      </c>
      <c r="P124" s="83"/>
      <c r="Q124" s="92"/>
      <c r="R124" s="87" t="s">
        <v>3227</v>
      </c>
      <c r="S124" s="305" t="s">
        <v>1176</v>
      </c>
      <c r="T124" s="338" t="s">
        <v>3226</v>
      </c>
    </row>
    <row r="125" spans="1:20" s="41" customFormat="1" ht="20.100000000000001" customHeight="1">
      <c r="A125" s="1276" t="s">
        <v>3218</v>
      </c>
      <c r="B125" s="1276" t="s">
        <v>3217</v>
      </c>
      <c r="C125" s="1276" t="s">
        <v>3236</v>
      </c>
      <c r="D125" s="81" t="s">
        <v>3061</v>
      </c>
      <c r="E125" s="81" t="s">
        <v>1683</v>
      </c>
      <c r="F125" s="81" t="s">
        <v>1683</v>
      </c>
      <c r="G125" s="80" t="s">
        <v>3091</v>
      </c>
      <c r="H125" s="81" t="s">
        <v>725</v>
      </c>
      <c r="I125" s="82" t="s">
        <v>17</v>
      </c>
      <c r="J125" s="82"/>
      <c r="K125" s="82" t="s">
        <v>1102</v>
      </c>
      <c r="L125" s="82" t="s">
        <v>1481</v>
      </c>
      <c r="M125" s="9">
        <v>43059</v>
      </c>
      <c r="N125" s="9">
        <v>43065</v>
      </c>
      <c r="O125" s="91" t="s">
        <v>955</v>
      </c>
      <c r="P125" s="83"/>
      <c r="Q125" s="92"/>
      <c r="R125" s="87" t="s">
        <v>3182</v>
      </c>
      <c r="S125" s="305"/>
      <c r="T125" s="338"/>
    </row>
    <row r="126" spans="1:20" s="41" customFormat="1" ht="20.100000000000001" customHeight="1">
      <c r="A126" s="1276" t="s">
        <v>3218</v>
      </c>
      <c r="B126" s="1276" t="s">
        <v>3217</v>
      </c>
      <c r="C126" s="1276" t="s">
        <v>3236</v>
      </c>
      <c r="D126" s="81" t="s">
        <v>2993</v>
      </c>
      <c r="E126" s="81" t="s">
        <v>2992</v>
      </c>
      <c r="F126" s="81" t="s">
        <v>2992</v>
      </c>
      <c r="G126" s="80" t="s">
        <v>36</v>
      </c>
      <c r="H126" s="81" t="s">
        <v>725</v>
      </c>
      <c r="I126" s="82" t="s">
        <v>17</v>
      </c>
      <c r="J126" s="82"/>
      <c r="K126" s="82" t="s">
        <v>828</v>
      </c>
      <c r="L126" s="82" t="s">
        <v>649</v>
      </c>
      <c r="M126" s="82"/>
      <c r="N126" s="9">
        <v>43065</v>
      </c>
      <c r="O126" s="91" t="s">
        <v>955</v>
      </c>
      <c r="P126" s="83"/>
      <c r="Q126" s="249"/>
      <c r="R126" s="87" t="s">
        <v>3221</v>
      </c>
      <c r="S126" s="343" t="s">
        <v>3219</v>
      </c>
      <c r="T126" s="317">
        <v>14</v>
      </c>
    </row>
    <row r="127" spans="1:20" s="41" customFormat="1" ht="20.100000000000001" customHeight="1">
      <c r="A127" s="1276" t="s">
        <v>3218</v>
      </c>
      <c r="B127" s="1276" t="s">
        <v>3217</v>
      </c>
      <c r="C127" s="1276" t="s">
        <v>3236</v>
      </c>
      <c r="D127" s="81" t="s">
        <v>2162</v>
      </c>
      <c r="E127" s="81" t="s">
        <v>1145</v>
      </c>
      <c r="F127" s="81" t="s">
        <v>1145</v>
      </c>
      <c r="G127" s="80" t="s">
        <v>29</v>
      </c>
      <c r="H127" s="81" t="s">
        <v>725</v>
      </c>
      <c r="I127" s="82" t="s">
        <v>17</v>
      </c>
      <c r="J127" s="82"/>
      <c r="K127" s="82" t="s">
        <v>1102</v>
      </c>
      <c r="L127" s="82" t="s">
        <v>649</v>
      </c>
      <c r="M127" s="82"/>
      <c r="N127" s="9">
        <v>43065</v>
      </c>
      <c r="O127" s="91" t="s">
        <v>955</v>
      </c>
      <c r="P127" s="83"/>
      <c r="Q127" s="92"/>
      <c r="R127" s="87" t="s">
        <v>3234</v>
      </c>
      <c r="S127" s="305" t="s">
        <v>1176</v>
      </c>
      <c r="T127" s="338" t="s">
        <v>3226</v>
      </c>
    </row>
    <row r="128" spans="1:20" s="41" customFormat="1" ht="20.100000000000001" customHeight="1">
      <c r="A128" s="1276" t="s">
        <v>3218</v>
      </c>
      <c r="B128" s="1276" t="s">
        <v>3217</v>
      </c>
      <c r="C128" s="1276" t="s">
        <v>3236</v>
      </c>
      <c r="D128" s="81" t="s">
        <v>2162</v>
      </c>
      <c r="E128" s="81" t="s">
        <v>1145</v>
      </c>
      <c r="F128" s="81" t="s">
        <v>1145</v>
      </c>
      <c r="G128" s="80" t="s">
        <v>558</v>
      </c>
      <c r="H128" s="81">
        <v>4</v>
      </c>
      <c r="I128" s="82" t="s">
        <v>17</v>
      </c>
      <c r="J128" s="82"/>
      <c r="K128" s="82" t="s">
        <v>828</v>
      </c>
      <c r="L128" s="82" t="s">
        <v>649</v>
      </c>
      <c r="M128" s="9">
        <v>43066</v>
      </c>
      <c r="N128" s="9">
        <v>43086</v>
      </c>
      <c r="O128" s="91" t="s">
        <v>955</v>
      </c>
      <c r="P128" s="83"/>
      <c r="Q128" s="92"/>
      <c r="R128" s="87" t="s">
        <v>3222</v>
      </c>
      <c r="S128" s="305"/>
      <c r="T128" s="338" t="s">
        <v>3213</v>
      </c>
    </row>
    <row r="129" spans="1:20" s="41" customFormat="1" ht="20.100000000000001" customHeight="1">
      <c r="A129" s="1276" t="s">
        <v>3218</v>
      </c>
      <c r="B129" s="1276" t="s">
        <v>3217</v>
      </c>
      <c r="C129" s="1276" t="s">
        <v>3236</v>
      </c>
      <c r="D129" s="81" t="s">
        <v>3061</v>
      </c>
      <c r="E129" s="81" t="s">
        <v>1683</v>
      </c>
      <c r="F129" s="81" t="s">
        <v>1683</v>
      </c>
      <c r="G129" s="80" t="s">
        <v>873</v>
      </c>
      <c r="H129" s="81">
        <v>4</v>
      </c>
      <c r="I129" s="82" t="s">
        <v>17</v>
      </c>
      <c r="J129" s="82"/>
      <c r="K129" s="82" t="s">
        <v>1102</v>
      </c>
      <c r="L129" s="82" t="s">
        <v>637</v>
      </c>
      <c r="M129" s="9">
        <v>43059</v>
      </c>
      <c r="N129" s="9">
        <v>43065</v>
      </c>
      <c r="O129" s="91" t="s">
        <v>955</v>
      </c>
      <c r="P129" s="83"/>
      <c r="Q129" s="92"/>
      <c r="R129" s="87"/>
      <c r="S129" s="305"/>
      <c r="T129" s="338" t="s">
        <v>3213</v>
      </c>
    </row>
    <row r="130" spans="1:20" s="41" customFormat="1" ht="20.100000000000001" customHeight="1">
      <c r="A130" s="1276" t="s">
        <v>3218</v>
      </c>
      <c r="B130" s="1276" t="s">
        <v>3217</v>
      </c>
      <c r="C130" s="1276" t="s">
        <v>3236</v>
      </c>
      <c r="D130" s="81" t="s">
        <v>3230</v>
      </c>
      <c r="E130" s="81" t="s">
        <v>3229</v>
      </c>
      <c r="F130" s="81" t="s">
        <v>3229</v>
      </c>
      <c r="G130" s="85" t="s">
        <v>3223</v>
      </c>
      <c r="H130" s="81">
        <v>4</v>
      </c>
      <c r="I130" s="82" t="s">
        <v>17</v>
      </c>
      <c r="J130" s="82"/>
      <c r="K130" s="82" t="s">
        <v>1102</v>
      </c>
      <c r="L130" s="82" t="s">
        <v>649</v>
      </c>
      <c r="M130" s="9">
        <v>43059</v>
      </c>
      <c r="N130" s="9">
        <v>43093</v>
      </c>
      <c r="O130" s="91" t="s">
        <v>955</v>
      </c>
      <c r="P130" s="83"/>
      <c r="Q130" s="171"/>
      <c r="R130" s="87" t="s">
        <v>249</v>
      </c>
      <c r="S130" s="305"/>
      <c r="T130" s="338"/>
    </row>
    <row r="131" spans="1:20" s="41" customFormat="1" ht="20.100000000000001" customHeight="1">
      <c r="A131" s="1276" t="s">
        <v>3218</v>
      </c>
      <c r="B131" s="1276" t="s">
        <v>3217</v>
      </c>
      <c r="C131" s="1276" t="s">
        <v>3236</v>
      </c>
      <c r="D131" s="81" t="s">
        <v>2993</v>
      </c>
      <c r="E131" s="81" t="s">
        <v>2992</v>
      </c>
      <c r="F131" s="81" t="s">
        <v>2992</v>
      </c>
      <c r="G131" s="80" t="s">
        <v>36</v>
      </c>
      <c r="H131" s="81" t="s">
        <v>706</v>
      </c>
      <c r="I131" s="82" t="s">
        <v>17</v>
      </c>
      <c r="J131" s="82"/>
      <c r="K131" s="82" t="s">
        <v>1102</v>
      </c>
      <c r="L131" s="82" t="s">
        <v>641</v>
      </c>
      <c r="M131" s="82"/>
      <c r="N131" s="9">
        <v>43065</v>
      </c>
      <c r="O131" s="91" t="s">
        <v>955</v>
      </c>
      <c r="P131" s="83"/>
      <c r="Q131" s="249"/>
      <c r="R131" s="87" t="s">
        <v>3232</v>
      </c>
      <c r="S131" s="343" t="s">
        <v>3219</v>
      </c>
      <c r="T131" s="317">
        <v>14</v>
      </c>
    </row>
    <row r="132" spans="1:20" s="41" customFormat="1" ht="20.100000000000001" customHeight="1">
      <c r="A132" s="1276" t="s">
        <v>3218</v>
      </c>
      <c r="B132" s="1276" t="s">
        <v>3217</v>
      </c>
      <c r="C132" s="1276" t="s">
        <v>3236</v>
      </c>
      <c r="D132" s="81" t="s">
        <v>2993</v>
      </c>
      <c r="E132" s="81" t="s">
        <v>2992</v>
      </c>
      <c r="F132" s="81" t="s">
        <v>2992</v>
      </c>
      <c r="G132" s="80" t="s">
        <v>36</v>
      </c>
      <c r="H132" s="81" t="s">
        <v>706</v>
      </c>
      <c r="I132" s="82" t="s">
        <v>17</v>
      </c>
      <c r="J132" s="82"/>
      <c r="K132" s="82" t="s">
        <v>725</v>
      </c>
      <c r="L132" s="82" t="s">
        <v>649</v>
      </c>
      <c r="M132" s="82"/>
      <c r="N132" s="9">
        <v>43065</v>
      </c>
      <c r="O132" s="91" t="s">
        <v>955</v>
      </c>
      <c r="P132" s="83"/>
      <c r="Q132" s="374"/>
      <c r="R132" s="87" t="s">
        <v>3233</v>
      </c>
      <c r="S132" s="343" t="s">
        <v>3219</v>
      </c>
      <c r="T132" s="317">
        <v>14</v>
      </c>
    </row>
    <row r="133" spans="1:20" s="41" customFormat="1" ht="20.100000000000001" customHeight="1">
      <c r="A133" s="1276" t="s">
        <v>3218</v>
      </c>
      <c r="B133" s="1276" t="s">
        <v>3217</v>
      </c>
      <c r="C133" s="1276" t="s">
        <v>3236</v>
      </c>
      <c r="D133" s="81" t="s">
        <v>2162</v>
      </c>
      <c r="E133" s="81" t="s">
        <v>1145</v>
      </c>
      <c r="F133" s="81" t="s">
        <v>1145</v>
      </c>
      <c r="G133" s="80" t="s">
        <v>558</v>
      </c>
      <c r="H133" s="81">
        <v>7</v>
      </c>
      <c r="I133" s="82" t="s">
        <v>17</v>
      </c>
      <c r="J133" s="82"/>
      <c r="K133" s="82" t="s">
        <v>1102</v>
      </c>
      <c r="L133" s="82" t="s">
        <v>641</v>
      </c>
      <c r="M133" s="9">
        <v>43066</v>
      </c>
      <c r="N133" s="9">
        <v>43086</v>
      </c>
      <c r="O133" s="91" t="s">
        <v>955</v>
      </c>
      <c r="P133" s="83"/>
      <c r="Q133" s="92"/>
      <c r="R133" s="87" t="s">
        <v>374</v>
      </c>
      <c r="S133" s="305"/>
      <c r="T133" s="338" t="s">
        <v>3213</v>
      </c>
    </row>
    <row r="134" spans="1:20" s="41" customFormat="1" ht="20.100000000000001" customHeight="1">
      <c r="A134" s="1276" t="s">
        <v>3218</v>
      </c>
      <c r="B134" s="1276" t="s">
        <v>3217</v>
      </c>
      <c r="C134" s="1276" t="s">
        <v>3236</v>
      </c>
      <c r="D134" s="81" t="s">
        <v>2162</v>
      </c>
      <c r="E134" s="81" t="s">
        <v>1145</v>
      </c>
      <c r="F134" s="81" t="s">
        <v>1145</v>
      </c>
      <c r="G134" s="80" t="s">
        <v>558</v>
      </c>
      <c r="H134" s="81">
        <v>7</v>
      </c>
      <c r="I134" s="82" t="s">
        <v>17</v>
      </c>
      <c r="J134" s="82"/>
      <c r="K134" s="82" t="s">
        <v>725</v>
      </c>
      <c r="L134" s="82" t="s">
        <v>649</v>
      </c>
      <c r="M134" s="9">
        <v>43066</v>
      </c>
      <c r="N134" s="9">
        <v>43086</v>
      </c>
      <c r="O134" s="91" t="s">
        <v>955</v>
      </c>
      <c r="P134" s="83"/>
      <c r="Q134" s="92"/>
      <c r="R134" s="87" t="s">
        <v>3214</v>
      </c>
      <c r="S134" s="305"/>
      <c r="T134" s="338" t="s">
        <v>3213</v>
      </c>
    </row>
    <row r="135" spans="1:20" s="41" customFormat="1" ht="20.100000000000001" customHeight="1">
      <c r="A135" s="1276" t="s">
        <v>3218</v>
      </c>
      <c r="B135" s="1276" t="s">
        <v>3217</v>
      </c>
      <c r="C135" s="1276" t="s">
        <v>3236</v>
      </c>
      <c r="D135" s="81" t="s">
        <v>3061</v>
      </c>
      <c r="E135" s="81" t="s">
        <v>1683</v>
      </c>
      <c r="F135" s="81" t="s">
        <v>1683</v>
      </c>
      <c r="G135" s="80" t="s">
        <v>873</v>
      </c>
      <c r="H135" s="81">
        <v>7</v>
      </c>
      <c r="I135" s="82" t="s">
        <v>17</v>
      </c>
      <c r="J135" s="82"/>
      <c r="K135" s="82" t="s">
        <v>681</v>
      </c>
      <c r="L135" s="82" t="s">
        <v>637</v>
      </c>
      <c r="M135" s="9">
        <v>43059</v>
      </c>
      <c r="N135" s="9">
        <v>43065</v>
      </c>
      <c r="O135" s="91" t="s">
        <v>955</v>
      </c>
      <c r="P135" s="83"/>
      <c r="Q135" s="92"/>
      <c r="R135" s="87"/>
      <c r="S135" s="305"/>
      <c r="T135" s="338" t="s">
        <v>3213</v>
      </c>
    </row>
    <row r="136" spans="1:20" s="41" customFormat="1" ht="20.100000000000001" customHeight="1">
      <c r="A136" s="1276" t="s">
        <v>3218</v>
      </c>
      <c r="B136" s="1276" t="s">
        <v>3217</v>
      </c>
      <c r="C136" s="1276" t="s">
        <v>3236</v>
      </c>
      <c r="D136" s="81" t="s">
        <v>3061</v>
      </c>
      <c r="E136" s="81" t="s">
        <v>1683</v>
      </c>
      <c r="F136" s="81" t="s">
        <v>1683</v>
      </c>
      <c r="G136" s="80" t="s">
        <v>3091</v>
      </c>
      <c r="H136" s="81" t="s">
        <v>706</v>
      </c>
      <c r="I136" s="82" t="s">
        <v>17</v>
      </c>
      <c r="J136" s="82"/>
      <c r="K136" s="82" t="s">
        <v>828</v>
      </c>
      <c r="L136" s="82" t="s">
        <v>1481</v>
      </c>
      <c r="M136" s="9">
        <v>43059</v>
      </c>
      <c r="N136" s="9">
        <v>43065</v>
      </c>
      <c r="O136" s="91" t="s">
        <v>955</v>
      </c>
      <c r="P136" s="83"/>
      <c r="Q136" s="92"/>
      <c r="R136" s="87" t="s">
        <v>3225</v>
      </c>
      <c r="S136" s="305"/>
      <c r="T136" s="338"/>
    </row>
    <row r="137" spans="1:20" s="41" customFormat="1" ht="20.100000000000001" customHeight="1">
      <c r="A137" s="1276" t="s">
        <v>3218</v>
      </c>
      <c r="B137" s="1276" t="s">
        <v>3217</v>
      </c>
      <c r="C137" s="1276" t="s">
        <v>3235</v>
      </c>
      <c r="D137" s="81" t="s">
        <v>4184</v>
      </c>
      <c r="E137" s="81" t="s">
        <v>2993</v>
      </c>
      <c r="F137" s="81" t="s">
        <v>2993</v>
      </c>
      <c r="G137" s="85" t="s">
        <v>3223</v>
      </c>
      <c r="H137" s="81">
        <v>1</v>
      </c>
      <c r="I137" s="82" t="s">
        <v>17</v>
      </c>
      <c r="J137" s="82"/>
      <c r="K137" s="82" t="s">
        <v>828</v>
      </c>
      <c r="L137" s="82" t="s">
        <v>649</v>
      </c>
      <c r="M137" s="9">
        <v>43073</v>
      </c>
      <c r="N137" s="9">
        <v>43093</v>
      </c>
      <c r="O137" s="91" t="s">
        <v>955</v>
      </c>
      <c r="P137" s="83"/>
      <c r="Q137" s="171"/>
      <c r="R137" s="87" t="s">
        <v>3224</v>
      </c>
      <c r="S137" s="305"/>
      <c r="T137" s="338"/>
    </row>
    <row r="138" spans="1:20" s="41" customFormat="1" ht="20.100000000000001" customHeight="1">
      <c r="A138" s="1276" t="s">
        <v>3218</v>
      </c>
      <c r="B138" s="1276" t="s">
        <v>3217</v>
      </c>
      <c r="C138" s="1276" t="s">
        <v>3235</v>
      </c>
      <c r="D138" s="81" t="s">
        <v>2162</v>
      </c>
      <c r="E138" s="81" t="s">
        <v>1145</v>
      </c>
      <c r="F138" s="81" t="s">
        <v>1145</v>
      </c>
      <c r="G138" s="80" t="s">
        <v>29</v>
      </c>
      <c r="H138" s="81" t="s">
        <v>948</v>
      </c>
      <c r="I138" s="82" t="s">
        <v>17</v>
      </c>
      <c r="J138" s="82"/>
      <c r="K138" s="82" t="s">
        <v>828</v>
      </c>
      <c r="L138" s="82" t="s">
        <v>649</v>
      </c>
      <c r="M138" s="82"/>
      <c r="N138" s="9">
        <v>43065</v>
      </c>
      <c r="O138" s="91" t="s">
        <v>955</v>
      </c>
      <c r="P138" s="83"/>
      <c r="Q138" s="92"/>
      <c r="R138" s="87" t="s">
        <v>3227</v>
      </c>
      <c r="S138" s="305" t="s">
        <v>1176</v>
      </c>
      <c r="T138" s="338" t="s">
        <v>3226</v>
      </c>
    </row>
    <row r="139" spans="1:20" s="41" customFormat="1" ht="20.100000000000001" customHeight="1">
      <c r="A139" s="1276" t="s">
        <v>3218</v>
      </c>
      <c r="B139" s="1276" t="s">
        <v>3217</v>
      </c>
      <c r="C139" s="1276" t="s">
        <v>3235</v>
      </c>
      <c r="D139" s="81" t="s">
        <v>3061</v>
      </c>
      <c r="E139" s="81" t="s">
        <v>1683</v>
      </c>
      <c r="F139" s="81" t="s">
        <v>1683</v>
      </c>
      <c r="G139" s="80" t="s">
        <v>3091</v>
      </c>
      <c r="H139" s="81" t="s">
        <v>725</v>
      </c>
      <c r="I139" s="82" t="s">
        <v>17</v>
      </c>
      <c r="J139" s="82"/>
      <c r="K139" s="82" t="s">
        <v>828</v>
      </c>
      <c r="L139" s="82" t="s">
        <v>1481</v>
      </c>
      <c r="M139" s="9">
        <v>43059</v>
      </c>
      <c r="N139" s="9">
        <v>43065</v>
      </c>
      <c r="O139" s="91" t="s">
        <v>955</v>
      </c>
      <c r="P139" s="83"/>
      <c r="Q139" s="92"/>
      <c r="R139" s="87" t="s">
        <v>3182</v>
      </c>
      <c r="S139" s="305"/>
      <c r="T139" s="338"/>
    </row>
    <row r="140" spans="1:20" s="41" customFormat="1" ht="20.100000000000001" customHeight="1">
      <c r="A140" s="1276" t="s">
        <v>3218</v>
      </c>
      <c r="B140" s="1276" t="s">
        <v>3217</v>
      </c>
      <c r="C140" s="1276" t="s">
        <v>3235</v>
      </c>
      <c r="D140" s="81" t="s">
        <v>2993</v>
      </c>
      <c r="E140" s="81" t="s">
        <v>2992</v>
      </c>
      <c r="F140" s="81" t="s">
        <v>2992</v>
      </c>
      <c r="G140" s="80" t="s">
        <v>36</v>
      </c>
      <c r="H140" s="81" t="s">
        <v>725</v>
      </c>
      <c r="I140" s="82" t="s">
        <v>17</v>
      </c>
      <c r="J140" s="82"/>
      <c r="K140" s="82" t="s">
        <v>1102</v>
      </c>
      <c r="L140" s="82" t="s">
        <v>649</v>
      </c>
      <c r="M140" s="82"/>
      <c r="N140" s="9">
        <v>43051</v>
      </c>
      <c r="O140" s="91" t="s">
        <v>955</v>
      </c>
      <c r="P140" s="83"/>
      <c r="Q140" s="249"/>
      <c r="R140" s="87" t="s">
        <v>3221</v>
      </c>
      <c r="S140" s="343" t="s">
        <v>3219</v>
      </c>
      <c r="T140" s="317">
        <v>14</v>
      </c>
    </row>
    <row r="141" spans="1:20" s="41" customFormat="1" ht="20.100000000000001" customHeight="1">
      <c r="A141" s="1276" t="s">
        <v>3218</v>
      </c>
      <c r="B141" s="1276" t="s">
        <v>3217</v>
      </c>
      <c r="C141" s="1276" t="s">
        <v>3235</v>
      </c>
      <c r="D141" s="81" t="s">
        <v>2162</v>
      </c>
      <c r="E141" s="81" t="s">
        <v>1145</v>
      </c>
      <c r="F141" s="81" t="s">
        <v>1145</v>
      </c>
      <c r="G141" s="80" t="s">
        <v>558</v>
      </c>
      <c r="H141" s="81">
        <v>4</v>
      </c>
      <c r="I141" s="82" t="s">
        <v>17</v>
      </c>
      <c r="J141" s="82"/>
      <c r="K141" s="82" t="s">
        <v>1102</v>
      </c>
      <c r="L141" s="82" t="s">
        <v>649</v>
      </c>
      <c r="M141" s="9">
        <v>43066</v>
      </c>
      <c r="N141" s="9">
        <v>43086</v>
      </c>
      <c r="O141" s="91" t="s">
        <v>955</v>
      </c>
      <c r="P141" s="83"/>
      <c r="Q141" s="92"/>
      <c r="R141" s="87" t="s">
        <v>3222</v>
      </c>
      <c r="S141" s="305"/>
      <c r="T141" s="338" t="s">
        <v>3213</v>
      </c>
    </row>
    <row r="142" spans="1:20" s="41" customFormat="1" ht="20.100000000000001" customHeight="1">
      <c r="A142" s="1276" t="s">
        <v>3218</v>
      </c>
      <c r="B142" s="1276" t="s">
        <v>3217</v>
      </c>
      <c r="C142" s="1276" t="s">
        <v>3235</v>
      </c>
      <c r="D142" s="81" t="s">
        <v>3061</v>
      </c>
      <c r="E142" s="81" t="s">
        <v>1683</v>
      </c>
      <c r="F142" s="81" t="s">
        <v>1683</v>
      </c>
      <c r="G142" s="80" t="s">
        <v>873</v>
      </c>
      <c r="H142" s="81">
        <v>4</v>
      </c>
      <c r="I142" s="82" t="s">
        <v>17</v>
      </c>
      <c r="J142" s="82"/>
      <c r="K142" s="82">
        <v>3</v>
      </c>
      <c r="L142" s="82" t="s">
        <v>637</v>
      </c>
      <c r="M142" s="9">
        <v>43059</v>
      </c>
      <c r="N142" s="9">
        <v>43065</v>
      </c>
      <c r="O142" s="91" t="s">
        <v>955</v>
      </c>
      <c r="P142" s="83"/>
      <c r="Q142" s="92"/>
      <c r="R142" s="87"/>
      <c r="S142" s="305"/>
      <c r="T142" s="338" t="s">
        <v>3213</v>
      </c>
    </row>
    <row r="143" spans="1:20" s="41" customFormat="1" ht="20.100000000000001" customHeight="1">
      <c r="A143" s="1276" t="s">
        <v>3218</v>
      </c>
      <c r="B143" s="1276" t="s">
        <v>3217</v>
      </c>
      <c r="C143" s="1276" t="s">
        <v>3235</v>
      </c>
      <c r="D143" s="81" t="s">
        <v>4184</v>
      </c>
      <c r="E143" s="81" t="s">
        <v>2993</v>
      </c>
      <c r="F143" s="81" t="s">
        <v>2993</v>
      </c>
      <c r="G143" s="85" t="s">
        <v>3223</v>
      </c>
      <c r="H143" s="81">
        <v>4</v>
      </c>
      <c r="I143" s="82" t="s">
        <v>17</v>
      </c>
      <c r="J143" s="82"/>
      <c r="K143" s="82" t="s">
        <v>828</v>
      </c>
      <c r="L143" s="82" t="s">
        <v>649</v>
      </c>
      <c r="M143" s="9">
        <v>43076</v>
      </c>
      <c r="N143" s="9">
        <v>43093</v>
      </c>
      <c r="O143" s="91" t="s">
        <v>955</v>
      </c>
      <c r="P143" s="83"/>
      <c r="Q143" s="173"/>
      <c r="R143" s="87" t="s">
        <v>249</v>
      </c>
      <c r="S143" s="305"/>
      <c r="T143" s="338"/>
    </row>
    <row r="144" spans="1:20" s="41" customFormat="1" ht="20.100000000000001" customHeight="1">
      <c r="A144" s="1276" t="s">
        <v>3218</v>
      </c>
      <c r="B144" s="1276" t="s">
        <v>3217</v>
      </c>
      <c r="C144" s="1276" t="s">
        <v>3235</v>
      </c>
      <c r="D144" s="81" t="s">
        <v>2162</v>
      </c>
      <c r="E144" s="81" t="s">
        <v>1145</v>
      </c>
      <c r="F144" s="81" t="s">
        <v>1145</v>
      </c>
      <c r="G144" s="80" t="s">
        <v>29</v>
      </c>
      <c r="H144" s="81" t="s">
        <v>725</v>
      </c>
      <c r="I144" s="82" t="s">
        <v>17</v>
      </c>
      <c r="J144" s="82"/>
      <c r="K144" s="82" t="s">
        <v>828</v>
      </c>
      <c r="L144" s="82" t="s">
        <v>649</v>
      </c>
      <c r="M144" s="82"/>
      <c r="N144" s="9">
        <v>43065</v>
      </c>
      <c r="O144" s="91" t="s">
        <v>955</v>
      </c>
      <c r="P144" s="83"/>
      <c r="Q144" s="92"/>
      <c r="R144" s="87" t="s">
        <v>3234</v>
      </c>
      <c r="S144" s="305" t="s">
        <v>1176</v>
      </c>
      <c r="T144" s="338" t="s">
        <v>3226</v>
      </c>
    </row>
    <row r="145" spans="1:20" s="41" customFormat="1" ht="20.100000000000001" customHeight="1">
      <c r="A145" s="1276" t="s">
        <v>3218</v>
      </c>
      <c r="B145" s="1276" t="s">
        <v>3217</v>
      </c>
      <c r="C145" s="1276" t="s">
        <v>3235</v>
      </c>
      <c r="D145" s="81" t="s">
        <v>2162</v>
      </c>
      <c r="E145" s="81" t="s">
        <v>1145</v>
      </c>
      <c r="F145" s="81" t="s">
        <v>1145</v>
      </c>
      <c r="G145" s="80" t="s">
        <v>558</v>
      </c>
      <c r="H145" s="81">
        <v>7</v>
      </c>
      <c r="I145" s="82" t="s">
        <v>17</v>
      </c>
      <c r="J145" s="82"/>
      <c r="K145" s="82" t="s">
        <v>828</v>
      </c>
      <c r="L145" s="82" t="s">
        <v>641</v>
      </c>
      <c r="M145" s="9">
        <v>43066</v>
      </c>
      <c r="N145" s="9">
        <v>43086</v>
      </c>
      <c r="O145" s="91" t="s">
        <v>955</v>
      </c>
      <c r="P145" s="83"/>
      <c r="Q145" s="92"/>
      <c r="R145" s="87" t="s">
        <v>374</v>
      </c>
      <c r="S145" s="305"/>
      <c r="T145" s="338" t="s">
        <v>3213</v>
      </c>
    </row>
    <row r="146" spans="1:20" s="41" customFormat="1" ht="20.100000000000001" customHeight="1">
      <c r="A146" s="1276" t="s">
        <v>3218</v>
      </c>
      <c r="B146" s="1276" t="s">
        <v>3217</v>
      </c>
      <c r="C146" s="1276" t="s">
        <v>3235</v>
      </c>
      <c r="D146" s="81" t="s">
        <v>2162</v>
      </c>
      <c r="E146" s="81" t="s">
        <v>1145</v>
      </c>
      <c r="F146" s="81" t="s">
        <v>1145</v>
      </c>
      <c r="G146" s="80" t="s">
        <v>558</v>
      </c>
      <c r="H146" s="81">
        <v>7</v>
      </c>
      <c r="I146" s="82" t="s">
        <v>17</v>
      </c>
      <c r="J146" s="82"/>
      <c r="K146" s="82" t="s">
        <v>828</v>
      </c>
      <c r="L146" s="82" t="s">
        <v>649</v>
      </c>
      <c r="M146" s="9">
        <v>43066</v>
      </c>
      <c r="N146" s="9">
        <v>43086</v>
      </c>
      <c r="O146" s="91" t="s">
        <v>955</v>
      </c>
      <c r="P146" s="83"/>
      <c r="Q146" s="92"/>
      <c r="R146" s="87" t="s">
        <v>3214</v>
      </c>
      <c r="S146" s="305"/>
      <c r="T146" s="338" t="s">
        <v>3213</v>
      </c>
    </row>
    <row r="147" spans="1:20" s="41" customFormat="1" ht="20.100000000000001" customHeight="1">
      <c r="A147" s="1276" t="s">
        <v>3218</v>
      </c>
      <c r="B147" s="1276" t="s">
        <v>3217</v>
      </c>
      <c r="C147" s="1276" t="s">
        <v>3235</v>
      </c>
      <c r="D147" s="81" t="s">
        <v>3061</v>
      </c>
      <c r="E147" s="81" t="s">
        <v>1683</v>
      </c>
      <c r="F147" s="81" t="s">
        <v>1683</v>
      </c>
      <c r="G147" s="80" t="s">
        <v>3091</v>
      </c>
      <c r="H147" s="81" t="s">
        <v>706</v>
      </c>
      <c r="I147" s="82" t="s">
        <v>17</v>
      </c>
      <c r="J147" s="82"/>
      <c r="K147" s="82" t="s">
        <v>725</v>
      </c>
      <c r="L147" s="82" t="s">
        <v>1481</v>
      </c>
      <c r="M147" s="9">
        <v>43059</v>
      </c>
      <c r="N147" s="9">
        <v>43065</v>
      </c>
      <c r="O147" s="91" t="s">
        <v>955</v>
      </c>
      <c r="P147" s="83"/>
      <c r="Q147" s="92"/>
      <c r="R147" s="87" t="s">
        <v>3225</v>
      </c>
      <c r="S147" s="305"/>
      <c r="T147" s="338"/>
    </row>
    <row r="148" spans="1:20" s="41" customFormat="1" ht="20.100000000000001" customHeight="1">
      <c r="A148" s="1276" t="s">
        <v>3218</v>
      </c>
      <c r="B148" s="1276" t="s">
        <v>3217</v>
      </c>
      <c r="C148" s="1276" t="s">
        <v>3235</v>
      </c>
      <c r="D148" s="81" t="s">
        <v>2993</v>
      </c>
      <c r="E148" s="81" t="s">
        <v>2992</v>
      </c>
      <c r="F148" s="81" t="s">
        <v>2992</v>
      </c>
      <c r="G148" s="80" t="s">
        <v>36</v>
      </c>
      <c r="H148" s="81" t="s">
        <v>706</v>
      </c>
      <c r="I148" s="82" t="s">
        <v>17</v>
      </c>
      <c r="J148" s="82"/>
      <c r="K148" s="82" t="s">
        <v>828</v>
      </c>
      <c r="L148" s="82" t="s">
        <v>649</v>
      </c>
      <c r="M148" s="82"/>
      <c r="N148" s="9">
        <v>43051</v>
      </c>
      <c r="O148" s="91" t="s">
        <v>955</v>
      </c>
      <c r="P148" s="83"/>
      <c r="Q148" s="374"/>
      <c r="R148" s="87" t="s">
        <v>3233</v>
      </c>
      <c r="S148" s="343" t="s">
        <v>3219</v>
      </c>
      <c r="T148" s="317">
        <v>14</v>
      </c>
    </row>
    <row r="149" spans="1:20" s="41" customFormat="1" ht="20.100000000000001" customHeight="1">
      <c r="A149" s="1276" t="s">
        <v>3218</v>
      </c>
      <c r="B149" s="1276" t="s">
        <v>3217</v>
      </c>
      <c r="C149" s="1276" t="s">
        <v>3235</v>
      </c>
      <c r="D149" s="81" t="s">
        <v>2993</v>
      </c>
      <c r="E149" s="81" t="s">
        <v>2992</v>
      </c>
      <c r="F149" s="81" t="s">
        <v>2992</v>
      </c>
      <c r="G149" s="80" t="s">
        <v>36</v>
      </c>
      <c r="H149" s="81" t="s">
        <v>706</v>
      </c>
      <c r="I149" s="82" t="s">
        <v>17</v>
      </c>
      <c r="J149" s="82"/>
      <c r="K149" s="82" t="s">
        <v>828</v>
      </c>
      <c r="L149" s="82" t="s">
        <v>641</v>
      </c>
      <c r="M149" s="82"/>
      <c r="N149" s="9">
        <v>43051</v>
      </c>
      <c r="O149" s="91" t="s">
        <v>955</v>
      </c>
      <c r="P149" s="83"/>
      <c r="Q149" s="249"/>
      <c r="R149" s="87" t="s">
        <v>3232</v>
      </c>
      <c r="S149" s="343" t="s">
        <v>3219</v>
      </c>
      <c r="T149" s="317">
        <v>14</v>
      </c>
    </row>
    <row r="150" spans="1:20" s="41" customFormat="1" ht="20.100000000000001" customHeight="1">
      <c r="A150" s="1276" t="s">
        <v>3218</v>
      </c>
      <c r="B150" s="1276" t="s">
        <v>3217</v>
      </c>
      <c r="C150" s="1276" t="s">
        <v>3235</v>
      </c>
      <c r="D150" s="81" t="s">
        <v>3061</v>
      </c>
      <c r="E150" s="81" t="s">
        <v>1683</v>
      </c>
      <c r="F150" s="81" t="s">
        <v>1683</v>
      </c>
      <c r="G150" s="80" t="s">
        <v>873</v>
      </c>
      <c r="H150" s="81">
        <v>7</v>
      </c>
      <c r="I150" s="82" t="s">
        <v>17</v>
      </c>
      <c r="J150" s="82"/>
      <c r="K150" s="82" t="s">
        <v>725</v>
      </c>
      <c r="L150" s="82" t="s">
        <v>637</v>
      </c>
      <c r="M150" s="9">
        <v>43059</v>
      </c>
      <c r="N150" s="9">
        <v>43065</v>
      </c>
      <c r="O150" s="91" t="s">
        <v>955</v>
      </c>
      <c r="P150" s="83"/>
      <c r="Q150" s="92"/>
      <c r="R150" s="87"/>
      <c r="S150" s="305"/>
      <c r="T150" s="338" t="s">
        <v>3213</v>
      </c>
    </row>
    <row r="151" spans="1:20" s="41" customFormat="1" ht="20.100000000000001" customHeight="1">
      <c r="A151" s="1276" t="s">
        <v>3218</v>
      </c>
      <c r="B151" s="1276" t="s">
        <v>3217</v>
      </c>
      <c r="C151" s="1276" t="s">
        <v>3231</v>
      </c>
      <c r="D151" s="81" t="s">
        <v>4184</v>
      </c>
      <c r="E151" s="81" t="s">
        <v>2993</v>
      </c>
      <c r="F151" s="81" t="s">
        <v>2993</v>
      </c>
      <c r="G151" s="85" t="s">
        <v>3223</v>
      </c>
      <c r="H151" s="81">
        <v>1</v>
      </c>
      <c r="I151" s="82" t="s">
        <v>17</v>
      </c>
      <c r="J151" s="82"/>
      <c r="K151" s="82" t="s">
        <v>725</v>
      </c>
      <c r="L151" s="82" t="s">
        <v>649</v>
      </c>
      <c r="M151" s="9">
        <v>43073</v>
      </c>
      <c r="N151" s="9">
        <v>43093</v>
      </c>
      <c r="O151" s="91" t="s">
        <v>955</v>
      </c>
      <c r="P151" s="83"/>
      <c r="Q151" s="173"/>
      <c r="R151" s="87" t="s">
        <v>3224</v>
      </c>
      <c r="S151" s="305"/>
      <c r="T151" s="338"/>
    </row>
    <row r="152" spans="1:20" s="41" customFormat="1" ht="20.100000000000001" customHeight="1">
      <c r="A152" s="1276" t="s">
        <v>3218</v>
      </c>
      <c r="B152" s="1276" t="s">
        <v>3217</v>
      </c>
      <c r="C152" s="1276" t="s">
        <v>3231</v>
      </c>
      <c r="D152" s="81" t="s">
        <v>2162</v>
      </c>
      <c r="E152" s="81" t="s">
        <v>1145</v>
      </c>
      <c r="F152" s="81" t="s">
        <v>1145</v>
      </c>
      <c r="G152" s="80" t="s">
        <v>29</v>
      </c>
      <c r="H152" s="81" t="s">
        <v>948</v>
      </c>
      <c r="I152" s="82" t="s">
        <v>17</v>
      </c>
      <c r="J152" s="82"/>
      <c r="K152" s="82" t="s">
        <v>1098</v>
      </c>
      <c r="L152" s="82" t="s">
        <v>649</v>
      </c>
      <c r="M152" s="82"/>
      <c r="N152" s="9">
        <v>43065</v>
      </c>
      <c r="O152" s="91" t="s">
        <v>955</v>
      </c>
      <c r="P152" s="83"/>
      <c r="Q152" s="92"/>
      <c r="R152" s="87" t="s">
        <v>3227</v>
      </c>
      <c r="S152" s="305" t="s">
        <v>1176</v>
      </c>
      <c r="T152" s="338" t="s">
        <v>3226</v>
      </c>
    </row>
    <row r="153" spans="1:20" s="41" customFormat="1" ht="20.100000000000001" customHeight="1">
      <c r="A153" s="1276" t="s">
        <v>3218</v>
      </c>
      <c r="B153" s="1276" t="s">
        <v>3217</v>
      </c>
      <c r="C153" s="1276" t="s">
        <v>3231</v>
      </c>
      <c r="D153" s="81" t="s">
        <v>3061</v>
      </c>
      <c r="E153" s="81" t="s">
        <v>1683</v>
      </c>
      <c r="F153" s="81" t="s">
        <v>1683</v>
      </c>
      <c r="G153" s="80" t="s">
        <v>3091</v>
      </c>
      <c r="H153" s="81" t="s">
        <v>725</v>
      </c>
      <c r="I153" s="82" t="s">
        <v>17</v>
      </c>
      <c r="J153" s="82"/>
      <c r="K153" s="82" t="s">
        <v>828</v>
      </c>
      <c r="L153" s="82" t="s">
        <v>1481</v>
      </c>
      <c r="M153" s="9">
        <v>43059</v>
      </c>
      <c r="N153" s="9">
        <v>43065</v>
      </c>
      <c r="O153" s="91" t="s">
        <v>955</v>
      </c>
      <c r="P153" s="83"/>
      <c r="Q153" s="92"/>
      <c r="R153" s="87" t="s">
        <v>3182</v>
      </c>
      <c r="S153" s="305"/>
      <c r="T153" s="338"/>
    </row>
    <row r="154" spans="1:20" s="41" customFormat="1" ht="20.100000000000001" customHeight="1">
      <c r="A154" s="1276" t="s">
        <v>3218</v>
      </c>
      <c r="B154" s="1276" t="s">
        <v>3217</v>
      </c>
      <c r="C154" s="1276" t="s">
        <v>3231</v>
      </c>
      <c r="D154" s="81" t="s">
        <v>2993</v>
      </c>
      <c r="E154" s="81" t="s">
        <v>2992</v>
      </c>
      <c r="F154" s="81" t="s">
        <v>2992</v>
      </c>
      <c r="G154" s="80" t="s">
        <v>36</v>
      </c>
      <c r="H154" s="81" t="s">
        <v>725</v>
      </c>
      <c r="I154" s="82" t="s">
        <v>17</v>
      </c>
      <c r="J154" s="82"/>
      <c r="K154" s="82" t="s">
        <v>1102</v>
      </c>
      <c r="L154" s="82" t="s">
        <v>649</v>
      </c>
      <c r="M154" s="82"/>
      <c r="N154" s="9">
        <v>43051</v>
      </c>
      <c r="O154" s="91" t="s">
        <v>955</v>
      </c>
      <c r="P154" s="83"/>
      <c r="Q154" s="249"/>
      <c r="R154" s="87" t="s">
        <v>3221</v>
      </c>
      <c r="S154" s="343" t="s">
        <v>3219</v>
      </c>
      <c r="T154" s="317">
        <v>14</v>
      </c>
    </row>
    <row r="155" spans="1:20" s="41" customFormat="1" ht="20.100000000000001" customHeight="1">
      <c r="A155" s="1276" t="s">
        <v>3218</v>
      </c>
      <c r="B155" s="1276" t="s">
        <v>3217</v>
      </c>
      <c r="C155" s="1276" t="s">
        <v>3231</v>
      </c>
      <c r="D155" s="81" t="s">
        <v>2993</v>
      </c>
      <c r="E155" s="81" t="s">
        <v>2992</v>
      </c>
      <c r="F155" s="81" t="s">
        <v>2992</v>
      </c>
      <c r="G155" s="80" t="s">
        <v>558</v>
      </c>
      <c r="H155" s="81">
        <v>4</v>
      </c>
      <c r="I155" s="82" t="s">
        <v>17</v>
      </c>
      <c r="J155" s="82"/>
      <c r="K155" s="82" t="s">
        <v>1102</v>
      </c>
      <c r="L155" s="82" t="s">
        <v>649</v>
      </c>
      <c r="M155" s="9">
        <v>43066</v>
      </c>
      <c r="N155" s="9">
        <v>43086</v>
      </c>
      <c r="O155" s="91" t="s">
        <v>955</v>
      </c>
      <c r="P155" s="83"/>
      <c r="Q155" s="92"/>
      <c r="R155" s="87" t="s">
        <v>3222</v>
      </c>
      <c r="S155" s="305"/>
      <c r="T155" s="338" t="s">
        <v>3213</v>
      </c>
    </row>
    <row r="156" spans="1:20" s="41" customFormat="1" ht="20.100000000000001" customHeight="1">
      <c r="A156" s="1276" t="s">
        <v>3218</v>
      </c>
      <c r="B156" s="1276" t="s">
        <v>3217</v>
      </c>
      <c r="C156" s="1276" t="s">
        <v>3231</v>
      </c>
      <c r="D156" s="81" t="s">
        <v>3061</v>
      </c>
      <c r="E156" s="81" t="s">
        <v>1683</v>
      </c>
      <c r="F156" s="81" t="s">
        <v>1683</v>
      </c>
      <c r="G156" s="80" t="s">
        <v>873</v>
      </c>
      <c r="H156" s="81">
        <v>4</v>
      </c>
      <c r="I156" s="82" t="s">
        <v>17</v>
      </c>
      <c r="J156" s="82"/>
      <c r="K156" s="82" t="s">
        <v>725</v>
      </c>
      <c r="L156" s="82" t="s">
        <v>637</v>
      </c>
      <c r="M156" s="9">
        <v>43059</v>
      </c>
      <c r="N156" s="9">
        <v>43065</v>
      </c>
      <c r="O156" s="91" t="s">
        <v>955</v>
      </c>
      <c r="P156" s="83"/>
      <c r="Q156" s="92"/>
      <c r="R156" s="87"/>
      <c r="S156" s="305"/>
      <c r="T156" s="338" t="s">
        <v>3213</v>
      </c>
    </row>
    <row r="157" spans="1:20" s="41" customFormat="1" ht="20.100000000000001" customHeight="1">
      <c r="A157" s="1276" t="s">
        <v>3218</v>
      </c>
      <c r="B157" s="1276" t="s">
        <v>3217</v>
      </c>
      <c r="C157" s="1276" t="s">
        <v>3231</v>
      </c>
      <c r="D157" s="81" t="s">
        <v>4184</v>
      </c>
      <c r="E157" s="81" t="s">
        <v>2993</v>
      </c>
      <c r="F157" s="81" t="s">
        <v>2993</v>
      </c>
      <c r="G157" s="85" t="s">
        <v>3223</v>
      </c>
      <c r="H157" s="81">
        <v>4</v>
      </c>
      <c r="I157" s="82" t="s">
        <v>17</v>
      </c>
      <c r="J157" s="82"/>
      <c r="K157" s="82" t="s">
        <v>725</v>
      </c>
      <c r="L157" s="82" t="s">
        <v>649</v>
      </c>
      <c r="M157" s="9">
        <v>43076</v>
      </c>
      <c r="N157" s="9">
        <v>43093</v>
      </c>
      <c r="O157" s="91" t="s">
        <v>955</v>
      </c>
      <c r="P157" s="83"/>
      <c r="Q157" s="173"/>
      <c r="R157" s="87" t="s">
        <v>249</v>
      </c>
      <c r="S157" s="305"/>
      <c r="T157" s="338"/>
    </row>
    <row r="158" spans="1:20" s="41" customFormat="1" ht="20.100000000000001" customHeight="1">
      <c r="A158" s="1276" t="s">
        <v>3218</v>
      </c>
      <c r="B158" s="1276" t="s">
        <v>3217</v>
      </c>
      <c r="C158" s="1276" t="s">
        <v>3231</v>
      </c>
      <c r="D158" s="81" t="s">
        <v>2162</v>
      </c>
      <c r="E158" s="81" t="s">
        <v>1145</v>
      </c>
      <c r="F158" s="81" t="s">
        <v>1145</v>
      </c>
      <c r="G158" s="80" t="s">
        <v>29</v>
      </c>
      <c r="H158" s="81" t="s">
        <v>725</v>
      </c>
      <c r="I158" s="82" t="s">
        <v>17</v>
      </c>
      <c r="J158" s="82"/>
      <c r="K158" s="82" t="s">
        <v>725</v>
      </c>
      <c r="L158" s="82" t="s">
        <v>649</v>
      </c>
      <c r="M158" s="82"/>
      <c r="N158" s="9">
        <v>43065</v>
      </c>
      <c r="O158" s="91" t="s">
        <v>955</v>
      </c>
      <c r="P158" s="83"/>
      <c r="Q158" s="92"/>
      <c r="R158" s="87" t="s">
        <v>3234</v>
      </c>
      <c r="S158" s="305" t="s">
        <v>1176</v>
      </c>
      <c r="T158" s="338" t="s">
        <v>3226</v>
      </c>
    </row>
    <row r="159" spans="1:20" s="41" customFormat="1" ht="20.100000000000001" customHeight="1">
      <c r="A159" s="1276" t="s">
        <v>3218</v>
      </c>
      <c r="B159" s="1276" t="s">
        <v>3217</v>
      </c>
      <c r="C159" s="1276" t="s">
        <v>3231</v>
      </c>
      <c r="D159" s="81" t="s">
        <v>3061</v>
      </c>
      <c r="E159" s="81" t="s">
        <v>1683</v>
      </c>
      <c r="F159" s="81" t="s">
        <v>1683</v>
      </c>
      <c r="G159" s="80" t="s">
        <v>3091</v>
      </c>
      <c r="H159" s="81" t="s">
        <v>706</v>
      </c>
      <c r="I159" s="82" t="s">
        <v>17</v>
      </c>
      <c r="J159" s="82"/>
      <c r="K159" s="82" t="s">
        <v>725</v>
      </c>
      <c r="L159" s="82" t="s">
        <v>1481</v>
      </c>
      <c r="M159" s="9">
        <v>43059</v>
      </c>
      <c r="N159" s="9">
        <v>43065</v>
      </c>
      <c r="O159" s="91" t="s">
        <v>955</v>
      </c>
      <c r="P159" s="83"/>
      <c r="Q159" s="92"/>
      <c r="R159" s="87" t="s">
        <v>3225</v>
      </c>
      <c r="S159" s="305"/>
      <c r="T159" s="338"/>
    </row>
    <row r="160" spans="1:20" s="41" customFormat="1" ht="20.100000000000001" customHeight="1">
      <c r="A160" s="1276" t="s">
        <v>3218</v>
      </c>
      <c r="B160" s="1276" t="s">
        <v>3217</v>
      </c>
      <c r="C160" s="1276" t="s">
        <v>3231</v>
      </c>
      <c r="D160" s="81" t="s">
        <v>2993</v>
      </c>
      <c r="E160" s="81" t="s">
        <v>2992</v>
      </c>
      <c r="F160" s="81" t="s">
        <v>2992</v>
      </c>
      <c r="G160" s="80" t="s">
        <v>36</v>
      </c>
      <c r="H160" s="81" t="s">
        <v>706</v>
      </c>
      <c r="I160" s="82" t="s">
        <v>17</v>
      </c>
      <c r="J160" s="82"/>
      <c r="K160" s="82" t="s">
        <v>828</v>
      </c>
      <c r="L160" s="82" t="s">
        <v>649</v>
      </c>
      <c r="M160" s="82"/>
      <c r="N160" s="9">
        <v>43051</v>
      </c>
      <c r="O160" s="91" t="s">
        <v>955</v>
      </c>
      <c r="P160" s="83"/>
      <c r="Q160" s="374"/>
      <c r="R160" s="87" t="s">
        <v>3233</v>
      </c>
      <c r="S160" s="343" t="s">
        <v>3219</v>
      </c>
      <c r="T160" s="317">
        <v>14</v>
      </c>
    </row>
    <row r="161" spans="1:20" s="41" customFormat="1" ht="20.100000000000001" customHeight="1">
      <c r="A161" s="1276" t="s">
        <v>3218</v>
      </c>
      <c r="B161" s="1276" t="s">
        <v>3217</v>
      </c>
      <c r="C161" s="1276" t="s">
        <v>3231</v>
      </c>
      <c r="D161" s="81" t="s">
        <v>2993</v>
      </c>
      <c r="E161" s="81" t="s">
        <v>2992</v>
      </c>
      <c r="F161" s="81" t="s">
        <v>2992</v>
      </c>
      <c r="G161" s="80" t="s">
        <v>36</v>
      </c>
      <c r="H161" s="81" t="s">
        <v>706</v>
      </c>
      <c r="I161" s="82" t="s">
        <v>17</v>
      </c>
      <c r="J161" s="82"/>
      <c r="K161" s="82" t="s">
        <v>725</v>
      </c>
      <c r="L161" s="82" t="s">
        <v>641</v>
      </c>
      <c r="M161" s="82"/>
      <c r="N161" s="9">
        <v>43051</v>
      </c>
      <c r="O161" s="91" t="s">
        <v>955</v>
      </c>
      <c r="P161" s="83"/>
      <c r="Q161" s="249"/>
      <c r="R161" s="87" t="s">
        <v>3232</v>
      </c>
      <c r="S161" s="343" t="s">
        <v>3219</v>
      </c>
      <c r="T161" s="317">
        <v>14</v>
      </c>
    </row>
    <row r="162" spans="1:20" s="41" customFormat="1" ht="20.100000000000001" customHeight="1">
      <c r="A162" s="1276" t="s">
        <v>3218</v>
      </c>
      <c r="B162" s="1276" t="s">
        <v>3217</v>
      </c>
      <c r="C162" s="1276" t="s">
        <v>3231</v>
      </c>
      <c r="D162" s="81" t="s">
        <v>2993</v>
      </c>
      <c r="E162" s="81" t="s">
        <v>2992</v>
      </c>
      <c r="F162" s="81" t="s">
        <v>2992</v>
      </c>
      <c r="G162" s="80" t="s">
        <v>558</v>
      </c>
      <c r="H162" s="81">
        <v>7</v>
      </c>
      <c r="I162" s="82" t="s">
        <v>17</v>
      </c>
      <c r="J162" s="82"/>
      <c r="K162" s="82" t="s">
        <v>725</v>
      </c>
      <c r="L162" s="82" t="s">
        <v>641</v>
      </c>
      <c r="M162" s="9">
        <v>43066</v>
      </c>
      <c r="N162" s="9">
        <v>43086</v>
      </c>
      <c r="O162" s="91" t="s">
        <v>955</v>
      </c>
      <c r="P162" s="83"/>
      <c r="Q162" s="92"/>
      <c r="R162" s="87" t="s">
        <v>374</v>
      </c>
      <c r="S162" s="305"/>
      <c r="T162" s="338" t="s">
        <v>3213</v>
      </c>
    </row>
    <row r="163" spans="1:20" s="41" customFormat="1" ht="20.100000000000001" customHeight="1">
      <c r="A163" s="1276" t="s">
        <v>3218</v>
      </c>
      <c r="B163" s="1276" t="s">
        <v>3217</v>
      </c>
      <c r="C163" s="1276" t="s">
        <v>3231</v>
      </c>
      <c r="D163" s="81" t="s">
        <v>2993</v>
      </c>
      <c r="E163" s="81" t="s">
        <v>2992</v>
      </c>
      <c r="F163" s="81" t="s">
        <v>2992</v>
      </c>
      <c r="G163" s="80" t="s">
        <v>558</v>
      </c>
      <c r="H163" s="81">
        <v>7</v>
      </c>
      <c r="I163" s="82" t="s">
        <v>17</v>
      </c>
      <c r="J163" s="82"/>
      <c r="K163" s="82" t="s">
        <v>828</v>
      </c>
      <c r="L163" s="82" t="s">
        <v>649</v>
      </c>
      <c r="M163" s="9">
        <v>43066</v>
      </c>
      <c r="N163" s="9">
        <v>43086</v>
      </c>
      <c r="O163" s="91" t="s">
        <v>955</v>
      </c>
      <c r="P163" s="83"/>
      <c r="Q163" s="92"/>
      <c r="R163" s="87" t="s">
        <v>3214</v>
      </c>
      <c r="S163" s="305"/>
      <c r="T163" s="338" t="s">
        <v>3213</v>
      </c>
    </row>
    <row r="164" spans="1:20" s="41" customFormat="1" ht="20.100000000000001" customHeight="1">
      <c r="A164" s="1276" t="s">
        <v>3218</v>
      </c>
      <c r="B164" s="1276" t="s">
        <v>3217</v>
      </c>
      <c r="C164" s="1276" t="s">
        <v>3231</v>
      </c>
      <c r="D164" s="81" t="s">
        <v>3061</v>
      </c>
      <c r="E164" s="81" t="s">
        <v>1683</v>
      </c>
      <c r="F164" s="81" t="s">
        <v>1683</v>
      </c>
      <c r="G164" s="80" t="s">
        <v>873</v>
      </c>
      <c r="H164" s="81">
        <v>7</v>
      </c>
      <c r="I164" s="82" t="s">
        <v>17</v>
      </c>
      <c r="J164" s="82"/>
      <c r="K164" s="82" t="s">
        <v>828</v>
      </c>
      <c r="L164" s="82" t="s">
        <v>637</v>
      </c>
      <c r="M164" s="9">
        <v>43059</v>
      </c>
      <c r="N164" s="9">
        <v>43065</v>
      </c>
      <c r="O164" s="91" t="s">
        <v>955</v>
      </c>
      <c r="P164" s="83"/>
      <c r="Q164" s="92"/>
      <c r="R164" s="87"/>
      <c r="S164" s="305"/>
      <c r="T164" s="338" t="s">
        <v>3213</v>
      </c>
    </row>
    <row r="165" spans="1:20" s="41" customFormat="1" ht="20.100000000000001" customHeight="1">
      <c r="A165" s="799" t="s">
        <v>3218</v>
      </c>
      <c r="B165" s="799" t="s">
        <v>3217</v>
      </c>
      <c r="C165" s="799" t="s">
        <v>3228</v>
      </c>
      <c r="D165" s="81" t="s">
        <v>2162</v>
      </c>
      <c r="E165" s="81" t="s">
        <v>1145</v>
      </c>
      <c r="F165" s="81" t="s">
        <v>1145</v>
      </c>
      <c r="G165" s="80" t="s">
        <v>29</v>
      </c>
      <c r="H165" s="81">
        <v>1</v>
      </c>
      <c r="I165" s="82" t="s">
        <v>17</v>
      </c>
      <c r="J165" s="82"/>
      <c r="K165" s="82">
        <v>3</v>
      </c>
      <c r="L165" s="82" t="s">
        <v>649</v>
      </c>
      <c r="M165" s="82"/>
      <c r="N165" s="9">
        <v>43065</v>
      </c>
      <c r="O165" s="91" t="s">
        <v>955</v>
      </c>
      <c r="P165" s="83"/>
      <c r="Q165" s="92"/>
      <c r="R165" s="87" t="s">
        <v>3227</v>
      </c>
      <c r="S165" s="305" t="s">
        <v>1176</v>
      </c>
      <c r="T165" s="338" t="s">
        <v>3226</v>
      </c>
    </row>
    <row r="166" spans="1:20" s="41" customFormat="1" ht="20.100000000000001" customHeight="1">
      <c r="A166" s="799" t="s">
        <v>3218</v>
      </c>
      <c r="B166" s="799" t="s">
        <v>3217</v>
      </c>
      <c r="C166" s="799" t="s">
        <v>3216</v>
      </c>
      <c r="D166" s="802">
        <f>D136+30</f>
        <v>190</v>
      </c>
      <c r="E166" s="802">
        <f>E136+60</f>
        <v>380</v>
      </c>
      <c r="F166" s="802">
        <f>F136+60</f>
        <v>380</v>
      </c>
      <c r="G166" s="289" t="s">
        <v>3091</v>
      </c>
      <c r="H166" s="81" t="s">
        <v>706</v>
      </c>
      <c r="I166" s="82" t="s">
        <v>17</v>
      </c>
      <c r="J166" s="82"/>
      <c r="K166" s="82" t="s">
        <v>725</v>
      </c>
      <c r="L166" s="82" t="s">
        <v>1481</v>
      </c>
      <c r="M166" s="9">
        <v>43059</v>
      </c>
      <c r="N166" s="9">
        <v>43065</v>
      </c>
      <c r="O166" s="91" t="s">
        <v>955</v>
      </c>
      <c r="P166" s="83"/>
      <c r="Q166" s="92"/>
      <c r="R166" s="87" t="s">
        <v>3225</v>
      </c>
      <c r="S166" s="305"/>
      <c r="T166" s="338"/>
    </row>
    <row r="167" spans="1:20" s="41" customFormat="1" ht="20.100000000000001" customHeight="1">
      <c r="A167" s="1276" t="s">
        <v>3218</v>
      </c>
      <c r="B167" s="1276" t="s">
        <v>3217</v>
      </c>
      <c r="C167" s="1276" t="s">
        <v>3216</v>
      </c>
      <c r="D167" s="81">
        <f>D123+30</f>
        <v>200</v>
      </c>
      <c r="E167" s="81">
        <f>E123+60</f>
        <v>400</v>
      </c>
      <c r="F167" s="81">
        <f>F123+60</f>
        <v>400</v>
      </c>
      <c r="G167" s="290" t="s">
        <v>3223</v>
      </c>
      <c r="H167" s="81">
        <v>1</v>
      </c>
      <c r="I167" s="82" t="s">
        <v>3215</v>
      </c>
      <c r="J167" s="82"/>
      <c r="K167" s="82" t="s">
        <v>725</v>
      </c>
      <c r="L167" s="82" t="s">
        <v>649</v>
      </c>
      <c r="M167" s="9">
        <v>43059</v>
      </c>
      <c r="N167" s="9">
        <v>43093</v>
      </c>
      <c r="O167" s="91" t="s">
        <v>955</v>
      </c>
      <c r="P167" s="83"/>
      <c r="Q167" s="173"/>
      <c r="R167" s="87" t="s">
        <v>3224</v>
      </c>
      <c r="S167" s="305"/>
      <c r="T167" s="338"/>
    </row>
    <row r="168" spans="1:20" s="41" customFormat="1" ht="20.100000000000001" customHeight="1">
      <c r="A168" s="1276" t="s">
        <v>3218</v>
      </c>
      <c r="B168" s="1276" t="s">
        <v>3217</v>
      </c>
      <c r="C168" s="1276" t="s">
        <v>3216</v>
      </c>
      <c r="D168" s="81">
        <f>D130+30</f>
        <v>200</v>
      </c>
      <c r="E168" s="81">
        <f>E130+60</f>
        <v>400</v>
      </c>
      <c r="F168" s="81">
        <f>F130+60</f>
        <v>400</v>
      </c>
      <c r="G168" s="290" t="s">
        <v>3223</v>
      </c>
      <c r="H168" s="81">
        <v>4</v>
      </c>
      <c r="I168" s="82" t="s">
        <v>3215</v>
      </c>
      <c r="J168" s="82"/>
      <c r="K168" s="82" t="s">
        <v>725</v>
      </c>
      <c r="L168" s="82" t="s">
        <v>649</v>
      </c>
      <c r="M168" s="9">
        <v>43059</v>
      </c>
      <c r="N168" s="9">
        <v>43093</v>
      </c>
      <c r="O168" s="91" t="s">
        <v>955</v>
      </c>
      <c r="P168" s="83"/>
      <c r="Q168" s="173"/>
      <c r="R168" s="87" t="s">
        <v>249</v>
      </c>
      <c r="S168" s="305"/>
      <c r="T168" s="338"/>
    </row>
    <row r="169" spans="1:20" s="41" customFormat="1" ht="20.100000000000001" customHeight="1">
      <c r="A169" s="1276" t="s">
        <v>3218</v>
      </c>
      <c r="B169" s="1276" t="s">
        <v>3217</v>
      </c>
      <c r="C169" s="1276" t="s">
        <v>3216</v>
      </c>
      <c r="D169" s="81">
        <f>D128+30</f>
        <v>180</v>
      </c>
      <c r="E169" s="81">
        <f>E128+60</f>
        <v>360</v>
      </c>
      <c r="F169" s="81">
        <f>F128+60</f>
        <v>360</v>
      </c>
      <c r="G169" s="289" t="s">
        <v>558</v>
      </c>
      <c r="H169" s="81">
        <v>4</v>
      </c>
      <c r="I169" s="82" t="s">
        <v>3215</v>
      </c>
      <c r="J169" s="82"/>
      <c r="K169" s="82" t="s">
        <v>725</v>
      </c>
      <c r="L169" s="82" t="s">
        <v>649</v>
      </c>
      <c r="M169" s="9">
        <v>43066</v>
      </c>
      <c r="N169" s="9">
        <v>43086</v>
      </c>
      <c r="O169" s="91" t="s">
        <v>955</v>
      </c>
      <c r="P169" s="83"/>
      <c r="Q169" s="92"/>
      <c r="R169" s="87" t="s">
        <v>3222</v>
      </c>
      <c r="S169" s="305"/>
      <c r="T169" s="338" t="s">
        <v>3213</v>
      </c>
    </row>
    <row r="170" spans="1:20" s="41" customFormat="1" ht="20.100000000000001" customHeight="1">
      <c r="A170" s="1276" t="s">
        <v>3218</v>
      </c>
      <c r="B170" s="1276" t="s">
        <v>3217</v>
      </c>
      <c r="C170" s="1276" t="s">
        <v>3216</v>
      </c>
      <c r="D170" s="80">
        <f>D126+50</f>
        <v>190</v>
      </c>
      <c r="E170" s="80">
        <f>E126+100</f>
        <v>380</v>
      </c>
      <c r="F170" s="80">
        <f>F126+100</f>
        <v>380</v>
      </c>
      <c r="G170" s="289" t="s">
        <v>36</v>
      </c>
      <c r="H170" s="81">
        <v>4</v>
      </c>
      <c r="I170" s="82" t="s">
        <v>3215</v>
      </c>
      <c r="J170" s="82"/>
      <c r="K170" s="82">
        <v>5</v>
      </c>
      <c r="L170" s="82" t="s">
        <v>649</v>
      </c>
      <c r="M170" s="82"/>
      <c r="N170" s="9">
        <v>43051</v>
      </c>
      <c r="O170" s="91" t="s">
        <v>955</v>
      </c>
      <c r="P170" s="83"/>
      <c r="Q170" s="249"/>
      <c r="R170" s="87" t="s">
        <v>3221</v>
      </c>
      <c r="S170" s="343" t="s">
        <v>3219</v>
      </c>
      <c r="T170" s="317">
        <v>14</v>
      </c>
    </row>
    <row r="171" spans="1:20" s="41" customFormat="1" ht="20.100000000000001" customHeight="1">
      <c r="A171" s="1276" t="s">
        <v>3218</v>
      </c>
      <c r="B171" s="1276" t="s">
        <v>3217</v>
      </c>
      <c r="C171" s="1276" t="s">
        <v>3216</v>
      </c>
      <c r="D171" s="80">
        <f>D131+50</f>
        <v>190</v>
      </c>
      <c r="E171" s="80">
        <f>E131+100</f>
        <v>380</v>
      </c>
      <c r="F171" s="80">
        <f>F131+100</f>
        <v>380</v>
      </c>
      <c r="G171" s="289" t="s">
        <v>36</v>
      </c>
      <c r="H171" s="81" t="s">
        <v>706</v>
      </c>
      <c r="I171" s="82" t="s">
        <v>3215</v>
      </c>
      <c r="J171" s="82"/>
      <c r="K171" s="82">
        <v>5</v>
      </c>
      <c r="L171" s="82" t="s">
        <v>649</v>
      </c>
      <c r="M171" s="82"/>
      <c r="N171" s="9">
        <v>43051</v>
      </c>
      <c r="O171" s="91" t="s">
        <v>955</v>
      </c>
      <c r="P171" s="83"/>
      <c r="Q171" s="92"/>
      <c r="R171" s="87" t="s">
        <v>3220</v>
      </c>
      <c r="S171" s="343" t="s">
        <v>3219</v>
      </c>
      <c r="T171" s="317">
        <v>14</v>
      </c>
    </row>
    <row r="172" spans="1:20" s="41" customFormat="1" ht="20.100000000000001" customHeight="1">
      <c r="A172" s="1276" t="s">
        <v>3218</v>
      </c>
      <c r="B172" s="1276" t="s">
        <v>3217</v>
      </c>
      <c r="C172" s="1276" t="s">
        <v>3216</v>
      </c>
      <c r="D172" s="80">
        <f>D133+30</f>
        <v>180</v>
      </c>
      <c r="E172" s="80">
        <f>E133+60</f>
        <v>360</v>
      </c>
      <c r="F172" s="80">
        <f>F133+60</f>
        <v>360</v>
      </c>
      <c r="G172" s="289" t="s">
        <v>558</v>
      </c>
      <c r="H172" s="81">
        <v>7</v>
      </c>
      <c r="I172" s="82" t="s">
        <v>3215</v>
      </c>
      <c r="J172" s="82"/>
      <c r="K172" s="82" t="s">
        <v>828</v>
      </c>
      <c r="L172" s="82" t="s">
        <v>641</v>
      </c>
      <c r="M172" s="9">
        <v>43066</v>
      </c>
      <c r="N172" s="9">
        <v>43086</v>
      </c>
      <c r="O172" s="91" t="s">
        <v>955</v>
      </c>
      <c r="P172" s="83"/>
      <c r="Q172" s="92"/>
      <c r="R172" s="87" t="s">
        <v>374</v>
      </c>
      <c r="S172" s="305"/>
      <c r="T172" s="338" t="s">
        <v>3213</v>
      </c>
    </row>
    <row r="173" spans="1:20" s="41" customFormat="1" ht="20.100000000000001" customHeight="1">
      <c r="A173" s="1276" t="s">
        <v>3218</v>
      </c>
      <c r="B173" s="1276" t="s">
        <v>3217</v>
      </c>
      <c r="C173" s="1276" t="s">
        <v>3216</v>
      </c>
      <c r="D173" s="80">
        <f>D134+30</f>
        <v>180</v>
      </c>
      <c r="E173" s="80">
        <f>E134+60</f>
        <v>360</v>
      </c>
      <c r="F173" s="80">
        <f>F134+60</f>
        <v>360</v>
      </c>
      <c r="G173" s="289" t="s">
        <v>558</v>
      </c>
      <c r="H173" s="81">
        <v>7</v>
      </c>
      <c r="I173" s="82" t="s">
        <v>3215</v>
      </c>
      <c r="J173" s="82"/>
      <c r="K173" s="82">
        <v>5</v>
      </c>
      <c r="L173" s="82" t="s">
        <v>649</v>
      </c>
      <c r="M173" s="9">
        <v>43066</v>
      </c>
      <c r="N173" s="9">
        <v>43086</v>
      </c>
      <c r="O173" s="91" t="s">
        <v>955</v>
      </c>
      <c r="P173" s="83"/>
      <c r="Q173" s="92"/>
      <c r="R173" s="87" t="s">
        <v>3214</v>
      </c>
      <c r="S173" s="305"/>
      <c r="T173" s="338" t="s">
        <v>3213</v>
      </c>
    </row>
    <row r="174" spans="1:20" s="41" customFormat="1" ht="20.100000000000001" customHeight="1">
      <c r="A174" s="797" t="s">
        <v>3094</v>
      </c>
      <c r="B174" s="797" t="s">
        <v>3093</v>
      </c>
      <c r="C174" s="797" t="s">
        <v>3212</v>
      </c>
      <c r="D174" s="802">
        <v>620</v>
      </c>
      <c r="E174" s="802">
        <v>1240</v>
      </c>
      <c r="F174" s="802">
        <v>1240</v>
      </c>
      <c r="G174" s="80" t="s">
        <v>142</v>
      </c>
      <c r="H174" s="81" t="s">
        <v>3147</v>
      </c>
      <c r="I174" s="82" t="s">
        <v>25</v>
      </c>
      <c r="J174" s="82"/>
      <c r="K174" s="82">
        <v>13</v>
      </c>
      <c r="L174" s="82" t="s">
        <v>637</v>
      </c>
      <c r="M174" s="9">
        <v>43009</v>
      </c>
      <c r="N174" s="9">
        <v>43070</v>
      </c>
      <c r="O174" s="93" t="s">
        <v>3097</v>
      </c>
      <c r="P174" s="97" t="s">
        <v>3146</v>
      </c>
      <c r="Q174" s="93"/>
      <c r="R174" s="94"/>
      <c r="S174" s="335"/>
      <c r="T174" s="338"/>
    </row>
    <row r="175" spans="1:20" s="41" customFormat="1" ht="20.100000000000001" customHeight="1">
      <c r="A175" s="1138" t="s">
        <v>3094</v>
      </c>
      <c r="B175" s="1138" t="s">
        <v>3093</v>
      </c>
      <c r="C175" s="1138" t="s">
        <v>3211</v>
      </c>
      <c r="D175" s="62">
        <v>250</v>
      </c>
      <c r="E175" s="62">
        <v>500</v>
      </c>
      <c r="F175" s="62">
        <v>500</v>
      </c>
      <c r="G175" s="215" t="s">
        <v>491</v>
      </c>
      <c r="H175" s="81">
        <v>4</v>
      </c>
      <c r="I175" s="82" t="s">
        <v>17</v>
      </c>
      <c r="J175" s="82"/>
      <c r="K175" s="358" t="s">
        <v>706</v>
      </c>
      <c r="L175" s="82" t="s">
        <v>1192</v>
      </c>
      <c r="M175" s="9">
        <v>43083</v>
      </c>
      <c r="N175" s="9">
        <v>43086</v>
      </c>
      <c r="O175" s="97" t="s">
        <v>3097</v>
      </c>
      <c r="P175" s="350" t="s">
        <v>3140</v>
      </c>
      <c r="Q175" s="249"/>
      <c r="R175" s="94" t="s">
        <v>3153</v>
      </c>
      <c r="S175" s="335"/>
      <c r="T175" s="338" t="s">
        <v>1678</v>
      </c>
    </row>
    <row r="176" spans="1:20" s="41" customFormat="1" ht="20.100000000000001" customHeight="1">
      <c r="A176" s="1138" t="s">
        <v>3094</v>
      </c>
      <c r="B176" s="1138" t="s">
        <v>3093</v>
      </c>
      <c r="C176" s="1138" t="s">
        <v>3211</v>
      </c>
      <c r="D176" s="802"/>
      <c r="E176" s="802"/>
      <c r="F176" s="802"/>
      <c r="G176" s="291" t="s">
        <v>142</v>
      </c>
      <c r="H176" s="298">
        <v>4</v>
      </c>
      <c r="I176" s="82" t="s">
        <v>17</v>
      </c>
      <c r="J176" s="82"/>
      <c r="K176" s="95">
        <v>6</v>
      </c>
      <c r="L176" s="82" t="s">
        <v>637</v>
      </c>
      <c r="M176" s="9">
        <v>43009</v>
      </c>
      <c r="N176" s="9">
        <v>43070</v>
      </c>
      <c r="O176" s="93" t="s">
        <v>3097</v>
      </c>
      <c r="P176" s="97" t="s">
        <v>3146</v>
      </c>
      <c r="Q176" s="92" t="s">
        <v>1025</v>
      </c>
      <c r="R176" s="94"/>
      <c r="S176" s="335"/>
      <c r="T176" s="338"/>
    </row>
    <row r="177" spans="1:20" s="41" customFormat="1" ht="20.100000000000001" customHeight="1">
      <c r="A177" s="1138" t="s">
        <v>3094</v>
      </c>
      <c r="B177" s="1138" t="s">
        <v>3093</v>
      </c>
      <c r="C177" s="1138" t="s">
        <v>3211</v>
      </c>
      <c r="D177" s="62">
        <v>260</v>
      </c>
      <c r="E177" s="62">
        <v>520</v>
      </c>
      <c r="F177" s="62">
        <v>520</v>
      </c>
      <c r="G177" s="96" t="s">
        <v>278</v>
      </c>
      <c r="H177" s="81">
        <v>4</v>
      </c>
      <c r="I177" s="82" t="s">
        <v>17</v>
      </c>
      <c r="J177" s="82"/>
      <c r="K177" s="95">
        <v>6</v>
      </c>
      <c r="L177" s="82" t="s">
        <v>1192</v>
      </c>
      <c r="M177" s="9">
        <v>43050</v>
      </c>
      <c r="N177" s="9">
        <v>43065</v>
      </c>
      <c r="O177" s="93" t="s">
        <v>3097</v>
      </c>
      <c r="P177" s="97" t="s">
        <v>3144</v>
      </c>
      <c r="Q177" s="93"/>
      <c r="R177" s="94" t="s">
        <v>3153</v>
      </c>
      <c r="S177" s="335"/>
      <c r="T177" s="338"/>
    </row>
    <row r="178" spans="1:20" s="41" customFormat="1" ht="20.100000000000001" customHeight="1">
      <c r="A178" s="1138" t="s">
        <v>3094</v>
      </c>
      <c r="B178" s="1138" t="s">
        <v>3093</v>
      </c>
      <c r="C178" s="1138" t="s">
        <v>3211</v>
      </c>
      <c r="D178" s="62">
        <v>220</v>
      </c>
      <c r="E178" s="62">
        <v>440</v>
      </c>
      <c r="F178" s="62">
        <v>440</v>
      </c>
      <c r="G178" s="96" t="s">
        <v>87</v>
      </c>
      <c r="H178" s="81" t="s">
        <v>3138</v>
      </c>
      <c r="I178" s="82" t="s">
        <v>25</v>
      </c>
      <c r="J178" s="82"/>
      <c r="K178" s="95">
        <v>7</v>
      </c>
      <c r="L178" s="82" t="s">
        <v>637</v>
      </c>
      <c r="M178" s="9">
        <v>43045</v>
      </c>
      <c r="N178" s="9">
        <v>43072</v>
      </c>
      <c r="O178" s="97" t="s">
        <v>3097</v>
      </c>
      <c r="P178" s="97" t="s">
        <v>3137</v>
      </c>
      <c r="Q178" s="93"/>
      <c r="R178" s="57" t="s">
        <v>246</v>
      </c>
      <c r="S178" s="322" t="s">
        <v>2849</v>
      </c>
      <c r="T178" s="338"/>
    </row>
    <row r="179" spans="1:20" s="41" customFormat="1" ht="20.100000000000001" customHeight="1">
      <c r="A179" s="1138" t="s">
        <v>3094</v>
      </c>
      <c r="B179" s="1138" t="s">
        <v>3093</v>
      </c>
      <c r="C179" s="1138" t="s">
        <v>3211</v>
      </c>
      <c r="D179" s="62">
        <v>210</v>
      </c>
      <c r="E179" s="62">
        <v>420</v>
      </c>
      <c r="F179" s="62">
        <v>420</v>
      </c>
      <c r="G179" s="96" t="s">
        <v>278</v>
      </c>
      <c r="H179" s="81" t="s">
        <v>3145</v>
      </c>
      <c r="I179" s="82" t="s">
        <v>25</v>
      </c>
      <c r="J179" s="82"/>
      <c r="K179" s="95">
        <v>8</v>
      </c>
      <c r="L179" s="82" t="s">
        <v>637</v>
      </c>
      <c r="M179" s="9">
        <v>43050</v>
      </c>
      <c r="N179" s="9">
        <v>43065</v>
      </c>
      <c r="O179" s="93" t="s">
        <v>3097</v>
      </c>
      <c r="P179" s="97" t="s">
        <v>3144</v>
      </c>
      <c r="Q179" s="93"/>
      <c r="R179" s="94"/>
      <c r="S179" s="335"/>
      <c r="T179" s="338"/>
    </row>
    <row r="180" spans="1:20" s="41" customFormat="1" ht="20.100000000000001" customHeight="1">
      <c r="A180" s="1138" t="s">
        <v>3094</v>
      </c>
      <c r="B180" s="1138" t="s">
        <v>3093</v>
      </c>
      <c r="C180" s="1138" t="s">
        <v>3211</v>
      </c>
      <c r="D180" s="62"/>
      <c r="E180" s="62"/>
      <c r="F180" s="62"/>
      <c r="G180" s="291" t="s">
        <v>142</v>
      </c>
      <c r="H180" s="298" t="s">
        <v>3147</v>
      </c>
      <c r="I180" s="82" t="s">
        <v>25</v>
      </c>
      <c r="J180" s="82"/>
      <c r="K180" s="95">
        <v>10</v>
      </c>
      <c r="L180" s="82" t="s">
        <v>637</v>
      </c>
      <c r="M180" s="9">
        <v>43009</v>
      </c>
      <c r="N180" s="9">
        <v>43070</v>
      </c>
      <c r="O180" s="93" t="s">
        <v>3097</v>
      </c>
      <c r="P180" s="97" t="s">
        <v>3146</v>
      </c>
      <c r="Q180" s="92" t="s">
        <v>1025</v>
      </c>
      <c r="R180" s="94"/>
      <c r="S180" s="335"/>
      <c r="T180" s="338"/>
    </row>
    <row r="181" spans="1:20" s="41" customFormat="1" ht="20.100000000000001" customHeight="1">
      <c r="A181" s="1138" t="s">
        <v>3094</v>
      </c>
      <c r="B181" s="1138" t="s">
        <v>3093</v>
      </c>
      <c r="C181" s="1138" t="s">
        <v>3211</v>
      </c>
      <c r="D181" s="62">
        <v>220</v>
      </c>
      <c r="E181" s="62">
        <v>440</v>
      </c>
      <c r="F181" s="62">
        <v>440</v>
      </c>
      <c r="G181" s="214" t="s">
        <v>796</v>
      </c>
      <c r="H181" s="81" t="s">
        <v>3135</v>
      </c>
      <c r="I181" s="82" t="s">
        <v>25</v>
      </c>
      <c r="J181" s="82"/>
      <c r="K181" s="95">
        <v>7</v>
      </c>
      <c r="L181" s="82" t="s">
        <v>637</v>
      </c>
      <c r="M181" s="9">
        <v>43052</v>
      </c>
      <c r="N181" s="9">
        <v>43079</v>
      </c>
      <c r="O181" s="97" t="s">
        <v>3097</v>
      </c>
      <c r="P181" s="97" t="s">
        <v>3134</v>
      </c>
      <c r="Q181" s="93"/>
      <c r="R181" s="94"/>
      <c r="S181" s="305" t="s">
        <v>1176</v>
      </c>
      <c r="T181" s="338" t="s">
        <v>1678</v>
      </c>
    </row>
    <row r="182" spans="1:20" s="41" customFormat="1" ht="20.100000000000001" customHeight="1">
      <c r="A182" s="1138" t="s">
        <v>3094</v>
      </c>
      <c r="B182" s="1138" t="s">
        <v>3093</v>
      </c>
      <c r="C182" s="1138" t="s">
        <v>3210</v>
      </c>
      <c r="D182" s="62">
        <v>180</v>
      </c>
      <c r="E182" s="62">
        <v>360</v>
      </c>
      <c r="F182" s="62">
        <v>360</v>
      </c>
      <c r="G182" s="215" t="s">
        <v>491</v>
      </c>
      <c r="H182" s="81" t="s">
        <v>3142</v>
      </c>
      <c r="I182" s="82" t="s">
        <v>25</v>
      </c>
      <c r="J182" s="82"/>
      <c r="K182" s="358" t="s">
        <v>3141</v>
      </c>
      <c r="L182" s="82" t="s">
        <v>637</v>
      </c>
      <c r="M182" s="9">
        <v>43079</v>
      </c>
      <c r="N182" s="9">
        <v>43086</v>
      </c>
      <c r="O182" s="97" t="s">
        <v>3097</v>
      </c>
      <c r="P182" s="350" t="s">
        <v>3140</v>
      </c>
      <c r="Q182" s="93"/>
      <c r="R182" s="94" t="s">
        <v>3139</v>
      </c>
      <c r="S182" s="335"/>
      <c r="T182" s="338" t="s">
        <v>1678</v>
      </c>
    </row>
    <row r="183" spans="1:20" s="41" customFormat="1" ht="20.100000000000001" customHeight="1">
      <c r="A183" s="1138" t="s">
        <v>3094</v>
      </c>
      <c r="B183" s="1138" t="s">
        <v>3093</v>
      </c>
      <c r="C183" s="1138" t="s">
        <v>3210</v>
      </c>
      <c r="D183" s="62">
        <v>220</v>
      </c>
      <c r="E183" s="62">
        <v>440</v>
      </c>
      <c r="F183" s="62">
        <v>440</v>
      </c>
      <c r="G183" s="96" t="s">
        <v>87</v>
      </c>
      <c r="H183" s="81" t="s">
        <v>3138</v>
      </c>
      <c r="I183" s="82" t="s">
        <v>25</v>
      </c>
      <c r="J183" s="82"/>
      <c r="K183" s="95">
        <v>7</v>
      </c>
      <c r="L183" s="82" t="s">
        <v>637</v>
      </c>
      <c r="M183" s="9">
        <v>43045</v>
      </c>
      <c r="N183" s="9">
        <v>43072</v>
      </c>
      <c r="O183" s="97" t="s">
        <v>3097</v>
      </c>
      <c r="P183" s="97" t="s">
        <v>3137</v>
      </c>
      <c r="Q183" s="93"/>
      <c r="R183" s="57" t="s">
        <v>246</v>
      </c>
      <c r="S183" s="322" t="s">
        <v>2849</v>
      </c>
      <c r="T183" s="338"/>
    </row>
    <row r="184" spans="1:20" s="41" customFormat="1" ht="20.100000000000001" customHeight="1">
      <c r="A184" s="1138" t="s">
        <v>3094</v>
      </c>
      <c r="B184" s="1138" t="s">
        <v>3093</v>
      </c>
      <c r="C184" s="1138" t="s">
        <v>3209</v>
      </c>
      <c r="D184" s="62">
        <v>220</v>
      </c>
      <c r="E184" s="62">
        <v>440</v>
      </c>
      <c r="F184" s="62">
        <v>440</v>
      </c>
      <c r="G184" s="96" t="s">
        <v>87</v>
      </c>
      <c r="H184" s="81" t="s">
        <v>3138</v>
      </c>
      <c r="I184" s="82" t="s">
        <v>25</v>
      </c>
      <c r="J184" s="82"/>
      <c r="K184" s="95">
        <v>7</v>
      </c>
      <c r="L184" s="82" t="s">
        <v>637</v>
      </c>
      <c r="M184" s="9">
        <v>43045</v>
      </c>
      <c r="N184" s="9">
        <v>43072</v>
      </c>
      <c r="O184" s="97" t="s">
        <v>3097</v>
      </c>
      <c r="P184" s="97" t="s">
        <v>3137</v>
      </c>
      <c r="Q184" s="93"/>
      <c r="R184" s="57" t="s">
        <v>246</v>
      </c>
      <c r="S184" s="322" t="s">
        <v>2849</v>
      </c>
      <c r="T184" s="338"/>
    </row>
    <row r="185" spans="1:20" s="41" customFormat="1" ht="20.100000000000001" customHeight="1">
      <c r="A185" s="1138" t="s">
        <v>3094</v>
      </c>
      <c r="B185" s="1138" t="s">
        <v>3093</v>
      </c>
      <c r="C185" s="1138" t="s">
        <v>3209</v>
      </c>
      <c r="D185" s="62"/>
      <c r="E185" s="62"/>
      <c r="F185" s="62"/>
      <c r="G185" s="291" t="s">
        <v>278</v>
      </c>
      <c r="H185" s="298" t="s">
        <v>3145</v>
      </c>
      <c r="I185" s="82" t="s">
        <v>25</v>
      </c>
      <c r="J185" s="82"/>
      <c r="K185" s="95">
        <v>8</v>
      </c>
      <c r="L185" s="82" t="s">
        <v>637</v>
      </c>
      <c r="M185" s="9">
        <v>43050</v>
      </c>
      <c r="N185" s="9">
        <v>43065</v>
      </c>
      <c r="O185" s="93" t="s">
        <v>3097</v>
      </c>
      <c r="P185" s="97" t="s">
        <v>3144</v>
      </c>
      <c r="Q185" s="93"/>
      <c r="R185" s="57"/>
      <c r="S185" s="321"/>
      <c r="T185" s="338"/>
    </row>
    <row r="186" spans="1:20" s="41" customFormat="1" ht="20.100000000000001" customHeight="1">
      <c r="A186" s="1138" t="s">
        <v>3094</v>
      </c>
      <c r="B186" s="1138" t="s">
        <v>3093</v>
      </c>
      <c r="C186" s="1138" t="s">
        <v>3209</v>
      </c>
      <c r="D186" s="62">
        <v>220</v>
      </c>
      <c r="E186" s="62">
        <v>440</v>
      </c>
      <c r="F186" s="62">
        <v>440</v>
      </c>
      <c r="G186" s="214" t="s">
        <v>796</v>
      </c>
      <c r="H186" s="81" t="s">
        <v>3135</v>
      </c>
      <c r="I186" s="82" t="s">
        <v>25</v>
      </c>
      <c r="J186" s="82"/>
      <c r="K186" s="95">
        <v>7</v>
      </c>
      <c r="L186" s="82" t="s">
        <v>637</v>
      </c>
      <c r="M186" s="9">
        <v>43052</v>
      </c>
      <c r="N186" s="9">
        <v>43079</v>
      </c>
      <c r="O186" s="97" t="s">
        <v>3097</v>
      </c>
      <c r="P186" s="97" t="s">
        <v>3134</v>
      </c>
      <c r="Q186" s="93"/>
      <c r="R186" s="94"/>
      <c r="S186" s="305" t="s">
        <v>1176</v>
      </c>
      <c r="T186" s="338" t="s">
        <v>1678</v>
      </c>
    </row>
    <row r="187" spans="1:20" s="41" customFormat="1" ht="20.100000000000001" customHeight="1">
      <c r="A187" s="1138" t="s">
        <v>3094</v>
      </c>
      <c r="B187" s="1138" t="s">
        <v>3093</v>
      </c>
      <c r="C187" s="1138" t="s">
        <v>3208</v>
      </c>
      <c r="D187" s="802">
        <v>690</v>
      </c>
      <c r="E187" s="802">
        <v>1280</v>
      </c>
      <c r="F187" s="802">
        <v>1280</v>
      </c>
      <c r="G187" s="80" t="s">
        <v>142</v>
      </c>
      <c r="H187" s="81">
        <v>4</v>
      </c>
      <c r="I187" s="82" t="s">
        <v>17</v>
      </c>
      <c r="J187" s="82"/>
      <c r="K187" s="82">
        <v>7</v>
      </c>
      <c r="L187" s="82" t="s">
        <v>637</v>
      </c>
      <c r="M187" s="9">
        <v>43009</v>
      </c>
      <c r="N187" s="9">
        <v>43070</v>
      </c>
      <c r="O187" s="93" t="s">
        <v>3097</v>
      </c>
      <c r="P187" s="97" t="s">
        <v>3146</v>
      </c>
      <c r="Q187" s="93"/>
      <c r="R187" s="94"/>
      <c r="S187" s="335"/>
      <c r="T187" s="338"/>
    </row>
    <row r="188" spans="1:20" s="41" customFormat="1" ht="20.100000000000001" customHeight="1">
      <c r="A188" s="1138" t="s">
        <v>3094</v>
      </c>
      <c r="B188" s="1138" t="s">
        <v>3093</v>
      </c>
      <c r="C188" s="1138" t="s">
        <v>3208</v>
      </c>
      <c r="D188" s="62"/>
      <c r="E188" s="62"/>
      <c r="F188" s="62"/>
      <c r="G188" s="96" t="s">
        <v>278</v>
      </c>
      <c r="H188" s="81" t="s">
        <v>3145</v>
      </c>
      <c r="I188" s="82" t="s">
        <v>25</v>
      </c>
      <c r="J188" s="82"/>
      <c r="K188" s="95">
        <v>8</v>
      </c>
      <c r="L188" s="82" t="s">
        <v>637</v>
      </c>
      <c r="M188" s="9">
        <v>43050</v>
      </c>
      <c r="N188" s="9">
        <v>43065</v>
      </c>
      <c r="O188" s="93" t="s">
        <v>3097</v>
      </c>
      <c r="P188" s="97" t="s">
        <v>3144</v>
      </c>
      <c r="Q188" s="93"/>
      <c r="R188" s="94"/>
      <c r="S188" s="335"/>
      <c r="T188" s="338"/>
    </row>
    <row r="189" spans="1:20" s="41" customFormat="1" ht="20.100000000000001" customHeight="1">
      <c r="A189" s="1138" t="s">
        <v>3094</v>
      </c>
      <c r="B189" s="1138" t="s">
        <v>3093</v>
      </c>
      <c r="C189" s="1138" t="s">
        <v>3208</v>
      </c>
      <c r="D189" s="802">
        <v>720</v>
      </c>
      <c r="E189" s="802">
        <v>1340</v>
      </c>
      <c r="F189" s="802">
        <v>1340</v>
      </c>
      <c r="G189" s="80" t="s">
        <v>142</v>
      </c>
      <c r="H189" s="81" t="s">
        <v>3147</v>
      </c>
      <c r="I189" s="82" t="s">
        <v>25</v>
      </c>
      <c r="J189" s="82"/>
      <c r="K189" s="82">
        <v>10</v>
      </c>
      <c r="L189" s="82" t="s">
        <v>637</v>
      </c>
      <c r="M189" s="9">
        <v>43009</v>
      </c>
      <c r="N189" s="9">
        <v>43070</v>
      </c>
      <c r="O189" s="93" t="s">
        <v>3097</v>
      </c>
      <c r="P189" s="97" t="s">
        <v>3146</v>
      </c>
      <c r="Q189" s="93"/>
      <c r="R189" s="94"/>
      <c r="S189" s="335"/>
      <c r="T189" s="338"/>
    </row>
    <row r="190" spans="1:20" s="41" customFormat="1" ht="20.100000000000001" customHeight="1">
      <c r="A190" s="1138" t="s">
        <v>3094</v>
      </c>
      <c r="B190" s="1138" t="s">
        <v>3093</v>
      </c>
      <c r="C190" s="1138" t="s">
        <v>3207</v>
      </c>
      <c r="D190" s="802">
        <v>640</v>
      </c>
      <c r="E190" s="802">
        <v>1240</v>
      </c>
      <c r="F190" s="802">
        <v>1240</v>
      </c>
      <c r="G190" s="80" t="s">
        <v>142</v>
      </c>
      <c r="H190" s="81">
        <v>4</v>
      </c>
      <c r="I190" s="82" t="s">
        <v>17</v>
      </c>
      <c r="J190" s="82"/>
      <c r="K190" s="82">
        <v>6</v>
      </c>
      <c r="L190" s="82" t="s">
        <v>637</v>
      </c>
      <c r="M190" s="9">
        <v>43009</v>
      </c>
      <c r="N190" s="9">
        <v>43070</v>
      </c>
      <c r="O190" s="93" t="s">
        <v>3097</v>
      </c>
      <c r="P190" s="97" t="s">
        <v>3146</v>
      </c>
      <c r="Q190" s="93"/>
      <c r="R190" s="94"/>
      <c r="S190" s="335"/>
      <c r="T190" s="338"/>
    </row>
    <row r="191" spans="1:20" s="41" customFormat="1" ht="20.100000000000001" customHeight="1">
      <c r="A191" s="1138" t="s">
        <v>3094</v>
      </c>
      <c r="B191" s="1138" t="s">
        <v>3093</v>
      </c>
      <c r="C191" s="1138" t="s">
        <v>3207</v>
      </c>
      <c r="D191" s="802">
        <v>640</v>
      </c>
      <c r="E191" s="802">
        <v>1240</v>
      </c>
      <c r="F191" s="802">
        <v>1240</v>
      </c>
      <c r="G191" s="80" t="s">
        <v>142</v>
      </c>
      <c r="H191" s="81" t="s">
        <v>3147</v>
      </c>
      <c r="I191" s="82" t="s">
        <v>25</v>
      </c>
      <c r="J191" s="82"/>
      <c r="K191" s="82">
        <v>11</v>
      </c>
      <c r="L191" s="82" t="s">
        <v>637</v>
      </c>
      <c r="M191" s="9">
        <v>43009</v>
      </c>
      <c r="N191" s="9">
        <v>43070</v>
      </c>
      <c r="O191" s="93" t="s">
        <v>3097</v>
      </c>
      <c r="P191" s="97" t="s">
        <v>3146</v>
      </c>
      <c r="Q191" s="93"/>
      <c r="R191" s="94"/>
      <c r="S191" s="335"/>
      <c r="T191" s="338"/>
    </row>
    <row r="192" spans="1:20" s="41" customFormat="1" ht="20.100000000000001" customHeight="1">
      <c r="A192" s="798" t="s">
        <v>3094</v>
      </c>
      <c r="B192" s="798" t="s">
        <v>3093</v>
      </c>
      <c r="C192" s="798" t="s">
        <v>3206</v>
      </c>
      <c r="D192" s="802">
        <v>620</v>
      </c>
      <c r="E192" s="802">
        <v>1240</v>
      </c>
      <c r="F192" s="802">
        <v>1240</v>
      </c>
      <c r="G192" s="80" t="s">
        <v>142</v>
      </c>
      <c r="H192" s="81" t="s">
        <v>3147</v>
      </c>
      <c r="I192" s="82" t="s">
        <v>25</v>
      </c>
      <c r="J192" s="82"/>
      <c r="K192" s="82">
        <v>10</v>
      </c>
      <c r="L192" s="82" t="s">
        <v>637</v>
      </c>
      <c r="M192" s="9">
        <v>43009</v>
      </c>
      <c r="N192" s="9">
        <v>43070</v>
      </c>
      <c r="O192" s="93" t="s">
        <v>3097</v>
      </c>
      <c r="P192" s="97" t="s">
        <v>3146</v>
      </c>
      <c r="Q192" s="93"/>
      <c r="R192" s="94"/>
      <c r="S192" s="335"/>
      <c r="T192" s="338"/>
    </row>
    <row r="193" spans="1:20" s="41" customFormat="1" ht="20.100000000000001" customHeight="1">
      <c r="A193" s="798" t="s">
        <v>3094</v>
      </c>
      <c r="B193" s="798" t="s">
        <v>3093</v>
      </c>
      <c r="C193" s="798" t="s">
        <v>3205</v>
      </c>
      <c r="D193" s="62">
        <v>210</v>
      </c>
      <c r="E193" s="62">
        <v>420</v>
      </c>
      <c r="F193" s="62">
        <v>420</v>
      </c>
      <c r="G193" s="96" t="s">
        <v>278</v>
      </c>
      <c r="H193" s="81" t="s">
        <v>3145</v>
      </c>
      <c r="I193" s="82" t="s">
        <v>25</v>
      </c>
      <c r="J193" s="82"/>
      <c r="K193" s="95">
        <v>8</v>
      </c>
      <c r="L193" s="82" t="s">
        <v>637</v>
      </c>
      <c r="M193" s="9">
        <v>43050</v>
      </c>
      <c r="N193" s="9">
        <v>43065</v>
      </c>
      <c r="O193" s="93" t="s">
        <v>3097</v>
      </c>
      <c r="P193" s="97" t="s">
        <v>3144</v>
      </c>
      <c r="Q193" s="93"/>
      <c r="R193" s="94"/>
      <c r="S193" s="335"/>
      <c r="T193" s="338"/>
    </row>
    <row r="194" spans="1:20" s="41" customFormat="1" ht="20.100000000000001" customHeight="1">
      <c r="A194" s="1190" t="s">
        <v>3094</v>
      </c>
      <c r="B194" s="1190" t="s">
        <v>3093</v>
      </c>
      <c r="C194" s="1190" t="s">
        <v>3204</v>
      </c>
      <c r="D194" s="62">
        <v>220</v>
      </c>
      <c r="E194" s="62">
        <v>440</v>
      </c>
      <c r="F194" s="62">
        <v>440</v>
      </c>
      <c r="G194" s="84" t="s">
        <v>87</v>
      </c>
      <c r="H194" s="81" t="s">
        <v>3138</v>
      </c>
      <c r="I194" s="82" t="s">
        <v>25</v>
      </c>
      <c r="J194" s="82"/>
      <c r="K194" s="95">
        <v>7</v>
      </c>
      <c r="L194" s="82" t="s">
        <v>637</v>
      </c>
      <c r="M194" s="9">
        <v>43045</v>
      </c>
      <c r="N194" s="9">
        <v>43072</v>
      </c>
      <c r="O194" s="97" t="s">
        <v>3097</v>
      </c>
      <c r="P194" s="97" t="s">
        <v>3137</v>
      </c>
      <c r="Q194" s="93"/>
      <c r="R194" s="57" t="s">
        <v>246</v>
      </c>
      <c r="S194" s="322" t="s">
        <v>2849</v>
      </c>
      <c r="T194" s="338"/>
    </row>
    <row r="195" spans="1:20" s="41" customFormat="1" ht="20.100000000000001" customHeight="1">
      <c r="A195" s="1190" t="s">
        <v>3094</v>
      </c>
      <c r="B195" s="1190" t="s">
        <v>3093</v>
      </c>
      <c r="C195" s="1190" t="s">
        <v>3204</v>
      </c>
      <c r="D195" s="62">
        <v>180</v>
      </c>
      <c r="E195" s="62">
        <v>360</v>
      </c>
      <c r="F195" s="62">
        <v>360</v>
      </c>
      <c r="G195" s="215" t="s">
        <v>491</v>
      </c>
      <c r="H195" s="81" t="s">
        <v>3142</v>
      </c>
      <c r="I195" s="82" t="s">
        <v>25</v>
      </c>
      <c r="J195" s="82"/>
      <c r="K195" s="358" t="s">
        <v>3141</v>
      </c>
      <c r="L195" s="82" t="s">
        <v>637</v>
      </c>
      <c r="M195" s="9">
        <v>43079</v>
      </c>
      <c r="N195" s="9">
        <v>43086</v>
      </c>
      <c r="O195" s="97" t="s">
        <v>3097</v>
      </c>
      <c r="P195" s="350" t="s">
        <v>3140</v>
      </c>
      <c r="Q195" s="93"/>
      <c r="R195" s="94" t="s">
        <v>3139</v>
      </c>
      <c r="S195" s="335"/>
      <c r="T195" s="338" t="s">
        <v>1678</v>
      </c>
    </row>
    <row r="196" spans="1:20" s="41" customFormat="1" ht="20.100000000000001" customHeight="1">
      <c r="A196" s="1190" t="s">
        <v>3094</v>
      </c>
      <c r="B196" s="1190" t="s">
        <v>3093</v>
      </c>
      <c r="C196" s="1190" t="s">
        <v>3204</v>
      </c>
      <c r="D196" s="62">
        <v>210</v>
      </c>
      <c r="E196" s="62">
        <v>420</v>
      </c>
      <c r="F196" s="62">
        <v>420</v>
      </c>
      <c r="G196" s="96" t="s">
        <v>278</v>
      </c>
      <c r="H196" s="81" t="s">
        <v>3145</v>
      </c>
      <c r="I196" s="82" t="s">
        <v>25</v>
      </c>
      <c r="J196" s="82"/>
      <c r="K196" s="95">
        <v>8</v>
      </c>
      <c r="L196" s="82" t="s">
        <v>637</v>
      </c>
      <c r="M196" s="9">
        <v>43050</v>
      </c>
      <c r="N196" s="9">
        <v>43065</v>
      </c>
      <c r="O196" s="93" t="s">
        <v>3097</v>
      </c>
      <c r="P196" s="97" t="s">
        <v>3144</v>
      </c>
      <c r="Q196" s="93"/>
      <c r="R196" s="57"/>
      <c r="S196" s="321"/>
      <c r="T196" s="338"/>
    </row>
    <row r="197" spans="1:20" s="41" customFormat="1" ht="20.100000000000001" customHeight="1">
      <c r="A197" s="1190" t="s">
        <v>3094</v>
      </c>
      <c r="B197" s="1190" t="s">
        <v>3093</v>
      </c>
      <c r="C197" s="1190" t="s">
        <v>3204</v>
      </c>
      <c r="D197" s="62"/>
      <c r="E197" s="62"/>
      <c r="F197" s="62"/>
      <c r="G197" s="301" t="s">
        <v>142</v>
      </c>
      <c r="H197" s="298" t="s">
        <v>3147</v>
      </c>
      <c r="I197" s="82" t="s">
        <v>25</v>
      </c>
      <c r="J197" s="82"/>
      <c r="K197" s="82">
        <v>10</v>
      </c>
      <c r="L197" s="82" t="s">
        <v>637</v>
      </c>
      <c r="M197" s="9">
        <v>43009</v>
      </c>
      <c r="N197" s="9">
        <v>43070</v>
      </c>
      <c r="O197" s="93" t="s">
        <v>3097</v>
      </c>
      <c r="P197" s="97" t="s">
        <v>3146</v>
      </c>
      <c r="Q197" s="92" t="s">
        <v>1025</v>
      </c>
      <c r="R197" s="57"/>
      <c r="S197" s="321"/>
      <c r="T197" s="338"/>
    </row>
    <row r="198" spans="1:20" s="41" customFormat="1" ht="20.100000000000001" customHeight="1">
      <c r="A198" s="1190" t="s">
        <v>3094</v>
      </c>
      <c r="B198" s="1190" t="s">
        <v>3093</v>
      </c>
      <c r="C198" s="1190" t="s">
        <v>3204</v>
      </c>
      <c r="D198" s="62">
        <v>220</v>
      </c>
      <c r="E198" s="62">
        <v>440</v>
      </c>
      <c r="F198" s="62">
        <v>440</v>
      </c>
      <c r="G198" s="214" t="s">
        <v>796</v>
      </c>
      <c r="H198" s="81" t="s">
        <v>3135</v>
      </c>
      <c r="I198" s="82" t="s">
        <v>25</v>
      </c>
      <c r="J198" s="82"/>
      <c r="K198" s="95">
        <v>7</v>
      </c>
      <c r="L198" s="82" t="s">
        <v>637</v>
      </c>
      <c r="M198" s="9">
        <v>43052</v>
      </c>
      <c r="N198" s="9">
        <v>43079</v>
      </c>
      <c r="O198" s="97" t="s">
        <v>3097</v>
      </c>
      <c r="P198" s="97" t="s">
        <v>3134</v>
      </c>
      <c r="Q198" s="93"/>
      <c r="R198" s="94"/>
      <c r="S198" s="305" t="s">
        <v>1176</v>
      </c>
      <c r="T198" s="338" t="s">
        <v>1678</v>
      </c>
    </row>
    <row r="199" spans="1:20" s="41" customFormat="1" ht="20.100000000000001" customHeight="1">
      <c r="A199" s="1190" t="s">
        <v>3094</v>
      </c>
      <c r="B199" s="1190" t="s">
        <v>3093</v>
      </c>
      <c r="C199" s="1190" t="s">
        <v>3203</v>
      </c>
      <c r="D199" s="357"/>
      <c r="E199" s="357"/>
      <c r="F199" s="357"/>
      <c r="G199" s="302" t="s">
        <v>36</v>
      </c>
      <c r="H199" s="298">
        <v>2</v>
      </c>
      <c r="I199" s="82" t="s">
        <v>17</v>
      </c>
      <c r="J199" s="82"/>
      <c r="K199" s="82">
        <v>4</v>
      </c>
      <c r="L199" s="82" t="s">
        <v>641</v>
      </c>
      <c r="M199" s="82"/>
      <c r="N199" s="9">
        <v>43051</v>
      </c>
      <c r="O199" s="83" t="s">
        <v>3097</v>
      </c>
      <c r="P199" s="97" t="s">
        <v>3096</v>
      </c>
      <c r="Q199" s="86"/>
      <c r="R199" s="87" t="s">
        <v>3106</v>
      </c>
      <c r="S199" s="305"/>
      <c r="T199" s="317">
        <v>14</v>
      </c>
    </row>
    <row r="200" spans="1:20" s="41" customFormat="1" ht="20.100000000000001" customHeight="1">
      <c r="A200" s="1190" t="s">
        <v>3094</v>
      </c>
      <c r="B200" s="1190" t="s">
        <v>3093</v>
      </c>
      <c r="C200" s="1190" t="s">
        <v>3203</v>
      </c>
      <c r="D200" s="802">
        <v>370</v>
      </c>
      <c r="E200" s="802">
        <v>740</v>
      </c>
      <c r="F200" s="802">
        <v>740</v>
      </c>
      <c r="G200" s="80" t="s">
        <v>142</v>
      </c>
      <c r="H200" s="81">
        <v>6</v>
      </c>
      <c r="I200" s="82" t="s">
        <v>17</v>
      </c>
      <c r="J200" s="82"/>
      <c r="K200" s="82">
        <v>6</v>
      </c>
      <c r="L200" s="82" t="s">
        <v>637</v>
      </c>
      <c r="M200" s="9">
        <v>43009</v>
      </c>
      <c r="N200" s="9">
        <v>43070</v>
      </c>
      <c r="O200" s="93" t="s">
        <v>3097</v>
      </c>
      <c r="P200" s="97" t="s">
        <v>3146</v>
      </c>
      <c r="Q200" s="93"/>
      <c r="R200" s="94"/>
      <c r="S200" s="335"/>
      <c r="T200" s="338"/>
    </row>
    <row r="201" spans="1:20" s="41" customFormat="1" ht="20.100000000000001" customHeight="1">
      <c r="A201" s="1190" t="s">
        <v>3094</v>
      </c>
      <c r="B201" s="1190" t="s">
        <v>3093</v>
      </c>
      <c r="C201" s="1190" t="s">
        <v>3203</v>
      </c>
      <c r="D201" s="802"/>
      <c r="E201" s="802"/>
      <c r="F201" s="802"/>
      <c r="G201" s="301" t="s">
        <v>142</v>
      </c>
      <c r="H201" s="298" t="s">
        <v>3147</v>
      </c>
      <c r="I201" s="82" t="s">
        <v>25</v>
      </c>
      <c r="J201" s="82"/>
      <c r="K201" s="82">
        <v>10</v>
      </c>
      <c r="L201" s="82" t="s">
        <v>637</v>
      </c>
      <c r="M201" s="9">
        <v>43009</v>
      </c>
      <c r="N201" s="9">
        <v>43070</v>
      </c>
      <c r="O201" s="93" t="s">
        <v>3097</v>
      </c>
      <c r="P201" s="97" t="s">
        <v>3146</v>
      </c>
      <c r="Q201" s="92" t="s">
        <v>1025</v>
      </c>
      <c r="R201" s="94"/>
      <c r="S201" s="335"/>
      <c r="T201" s="338"/>
    </row>
    <row r="202" spans="1:20" s="41" customFormat="1" ht="20.100000000000001" customHeight="1">
      <c r="A202" s="1138" t="s">
        <v>3094</v>
      </c>
      <c r="B202" s="1138" t="s">
        <v>3093</v>
      </c>
      <c r="C202" s="1138" t="s">
        <v>3202</v>
      </c>
      <c r="D202" s="802"/>
      <c r="E202" s="802"/>
      <c r="F202" s="802"/>
      <c r="G202" s="301" t="s">
        <v>142</v>
      </c>
      <c r="H202" s="298">
        <v>6</v>
      </c>
      <c r="I202" s="82" t="s">
        <v>17</v>
      </c>
      <c r="J202" s="82"/>
      <c r="K202" s="82" t="s">
        <v>2304</v>
      </c>
      <c r="L202" s="82" t="s">
        <v>637</v>
      </c>
      <c r="M202" s="9">
        <v>43009</v>
      </c>
      <c r="N202" s="9">
        <v>43070</v>
      </c>
      <c r="O202" s="93" t="s">
        <v>3097</v>
      </c>
      <c r="P202" s="97" t="s">
        <v>3146</v>
      </c>
      <c r="Q202" s="92" t="s">
        <v>1025</v>
      </c>
      <c r="R202" s="57"/>
      <c r="S202" s="321"/>
      <c r="T202" s="338"/>
    </row>
    <row r="203" spans="1:20" s="41" customFormat="1" ht="20.100000000000001" customHeight="1">
      <c r="A203" s="1138" t="s">
        <v>3094</v>
      </c>
      <c r="B203" s="1138" t="s">
        <v>3093</v>
      </c>
      <c r="C203" s="1138" t="s">
        <v>3202</v>
      </c>
      <c r="D203" s="802"/>
      <c r="E203" s="802"/>
      <c r="F203" s="802"/>
      <c r="G203" s="301" t="s">
        <v>142</v>
      </c>
      <c r="H203" s="298" t="s">
        <v>3147</v>
      </c>
      <c r="I203" s="82" t="s">
        <v>25</v>
      </c>
      <c r="J203" s="82"/>
      <c r="K203" s="82">
        <v>8</v>
      </c>
      <c r="L203" s="82" t="s">
        <v>637</v>
      </c>
      <c r="M203" s="9">
        <v>43009</v>
      </c>
      <c r="N203" s="9">
        <v>43070</v>
      </c>
      <c r="O203" s="93" t="s">
        <v>3097</v>
      </c>
      <c r="P203" s="97" t="s">
        <v>3146</v>
      </c>
      <c r="Q203" s="92" t="s">
        <v>1025</v>
      </c>
      <c r="R203" s="57"/>
      <c r="S203" s="321"/>
      <c r="T203" s="338"/>
    </row>
    <row r="204" spans="1:20" s="41" customFormat="1" ht="20.100000000000001" customHeight="1">
      <c r="A204" s="1138" t="s">
        <v>3094</v>
      </c>
      <c r="B204" s="1138" t="s">
        <v>3093</v>
      </c>
      <c r="C204" s="1138" t="s">
        <v>3202</v>
      </c>
      <c r="D204" s="62">
        <v>220</v>
      </c>
      <c r="E204" s="62">
        <v>440</v>
      </c>
      <c r="F204" s="62">
        <v>440</v>
      </c>
      <c r="G204" s="80" t="s">
        <v>87</v>
      </c>
      <c r="H204" s="81" t="s">
        <v>3138</v>
      </c>
      <c r="I204" s="82" t="s">
        <v>25</v>
      </c>
      <c r="J204" s="82"/>
      <c r="K204" s="82">
        <v>8</v>
      </c>
      <c r="L204" s="82" t="s">
        <v>637</v>
      </c>
      <c r="M204" s="9">
        <v>43045</v>
      </c>
      <c r="N204" s="9">
        <v>43072</v>
      </c>
      <c r="O204" s="97" t="s">
        <v>3097</v>
      </c>
      <c r="P204" s="97" t="s">
        <v>3137</v>
      </c>
      <c r="Q204" s="86"/>
      <c r="R204" s="57" t="s">
        <v>246</v>
      </c>
      <c r="S204" s="322" t="s">
        <v>2849</v>
      </c>
      <c r="T204" s="338"/>
    </row>
    <row r="205" spans="1:20" s="41" customFormat="1" ht="20.100000000000001" customHeight="1">
      <c r="A205" s="1138" t="s">
        <v>3094</v>
      </c>
      <c r="B205" s="1138" t="s">
        <v>3093</v>
      </c>
      <c r="C205" s="1138" t="s">
        <v>3202</v>
      </c>
      <c r="D205" s="62">
        <v>210</v>
      </c>
      <c r="E205" s="62">
        <v>420</v>
      </c>
      <c r="F205" s="62">
        <v>420</v>
      </c>
      <c r="G205" s="96" t="s">
        <v>278</v>
      </c>
      <c r="H205" s="81" t="s">
        <v>3145</v>
      </c>
      <c r="I205" s="82" t="s">
        <v>25</v>
      </c>
      <c r="J205" s="82"/>
      <c r="K205" s="95">
        <v>8</v>
      </c>
      <c r="L205" s="82" t="s">
        <v>637</v>
      </c>
      <c r="M205" s="9">
        <v>43050</v>
      </c>
      <c r="N205" s="9">
        <v>43065</v>
      </c>
      <c r="O205" s="93" t="s">
        <v>3097</v>
      </c>
      <c r="P205" s="97" t="s">
        <v>3144</v>
      </c>
      <c r="Q205" s="93"/>
      <c r="R205" s="57"/>
      <c r="S205" s="321"/>
      <c r="T205" s="338"/>
    </row>
    <row r="206" spans="1:20" s="41" customFormat="1" ht="20.100000000000001" customHeight="1">
      <c r="A206" s="1190" t="s">
        <v>3094</v>
      </c>
      <c r="B206" s="1190" t="s">
        <v>3093</v>
      </c>
      <c r="C206" s="1190" t="s">
        <v>3201</v>
      </c>
      <c r="D206" s="802"/>
      <c r="E206" s="802"/>
      <c r="F206" s="802"/>
      <c r="G206" s="301" t="s">
        <v>142</v>
      </c>
      <c r="H206" s="298" t="s">
        <v>3147</v>
      </c>
      <c r="I206" s="82" t="s">
        <v>25</v>
      </c>
      <c r="J206" s="82"/>
      <c r="K206" s="82">
        <v>10</v>
      </c>
      <c r="L206" s="82" t="s">
        <v>637</v>
      </c>
      <c r="M206" s="9">
        <v>43009</v>
      </c>
      <c r="N206" s="9">
        <v>43070</v>
      </c>
      <c r="O206" s="93" t="s">
        <v>3097</v>
      </c>
      <c r="P206" s="97" t="s">
        <v>3146</v>
      </c>
      <c r="Q206" s="92" t="s">
        <v>1025</v>
      </c>
      <c r="R206" s="57"/>
      <c r="S206" s="321"/>
      <c r="T206" s="338"/>
    </row>
    <row r="207" spans="1:20" s="41" customFormat="1" ht="20.100000000000001" customHeight="1">
      <c r="A207" s="1190" t="s">
        <v>3094</v>
      </c>
      <c r="B207" s="1190" t="s">
        <v>3093</v>
      </c>
      <c r="C207" s="1190" t="s">
        <v>3201</v>
      </c>
      <c r="D207" s="62">
        <v>220</v>
      </c>
      <c r="E207" s="62">
        <v>440</v>
      </c>
      <c r="F207" s="62">
        <v>440</v>
      </c>
      <c r="G207" s="80" t="s">
        <v>87</v>
      </c>
      <c r="H207" s="81" t="s">
        <v>3138</v>
      </c>
      <c r="I207" s="82" t="s">
        <v>25</v>
      </c>
      <c r="J207" s="82"/>
      <c r="K207" s="95">
        <v>7</v>
      </c>
      <c r="L207" s="82" t="s">
        <v>637</v>
      </c>
      <c r="M207" s="9">
        <v>43045</v>
      </c>
      <c r="N207" s="9">
        <v>43072</v>
      </c>
      <c r="O207" s="97" t="s">
        <v>3097</v>
      </c>
      <c r="P207" s="97" t="s">
        <v>3137</v>
      </c>
      <c r="Q207" s="93"/>
      <c r="R207" s="57" t="s">
        <v>246</v>
      </c>
      <c r="S207" s="322" t="s">
        <v>2849</v>
      </c>
      <c r="T207" s="338"/>
    </row>
    <row r="208" spans="1:20" s="41" customFormat="1" ht="20.100000000000001" customHeight="1">
      <c r="A208" s="1190" t="s">
        <v>3094</v>
      </c>
      <c r="B208" s="1190" t="s">
        <v>3093</v>
      </c>
      <c r="C208" s="1190" t="s">
        <v>3201</v>
      </c>
      <c r="D208" s="62">
        <v>210</v>
      </c>
      <c r="E208" s="62">
        <v>420</v>
      </c>
      <c r="F208" s="62">
        <v>420</v>
      </c>
      <c r="G208" s="96" t="s">
        <v>278</v>
      </c>
      <c r="H208" s="81" t="s">
        <v>3145</v>
      </c>
      <c r="I208" s="82" t="s">
        <v>25</v>
      </c>
      <c r="J208" s="82"/>
      <c r="K208" s="95">
        <v>8</v>
      </c>
      <c r="L208" s="82" t="s">
        <v>637</v>
      </c>
      <c r="M208" s="9">
        <v>43050</v>
      </c>
      <c r="N208" s="9">
        <v>43065</v>
      </c>
      <c r="O208" s="93" t="s">
        <v>3097</v>
      </c>
      <c r="P208" s="97" t="s">
        <v>3144</v>
      </c>
      <c r="Q208" s="93"/>
      <c r="R208" s="57"/>
      <c r="S208" s="321"/>
      <c r="T208" s="338"/>
    </row>
    <row r="209" spans="1:20" s="41" customFormat="1" ht="20.100000000000001" customHeight="1">
      <c r="A209" s="1190" t="s">
        <v>3094</v>
      </c>
      <c r="B209" s="1190" t="s">
        <v>3093</v>
      </c>
      <c r="C209" s="1190" t="s">
        <v>3201</v>
      </c>
      <c r="D209" s="62">
        <v>220</v>
      </c>
      <c r="E209" s="62">
        <v>440</v>
      </c>
      <c r="F209" s="62">
        <v>440</v>
      </c>
      <c r="G209" s="214" t="s">
        <v>796</v>
      </c>
      <c r="H209" s="81" t="s">
        <v>3135</v>
      </c>
      <c r="I209" s="82" t="s">
        <v>25</v>
      </c>
      <c r="J209" s="82"/>
      <c r="K209" s="95">
        <v>7</v>
      </c>
      <c r="L209" s="82" t="s">
        <v>637</v>
      </c>
      <c r="M209" s="9">
        <v>43052</v>
      </c>
      <c r="N209" s="9">
        <v>43079</v>
      </c>
      <c r="O209" s="97" t="s">
        <v>3097</v>
      </c>
      <c r="P209" s="97" t="s">
        <v>3134</v>
      </c>
      <c r="Q209" s="93"/>
      <c r="R209" s="94"/>
      <c r="S209" s="305" t="s">
        <v>1176</v>
      </c>
      <c r="T209" s="338" t="s">
        <v>1678</v>
      </c>
    </row>
    <row r="210" spans="1:20" s="41" customFormat="1" ht="20.100000000000001" customHeight="1">
      <c r="A210" s="1190" t="s">
        <v>3094</v>
      </c>
      <c r="B210" s="1190" t="s">
        <v>3093</v>
      </c>
      <c r="C210" s="1190" t="s">
        <v>3200</v>
      </c>
      <c r="D210" s="62">
        <v>220</v>
      </c>
      <c r="E210" s="62">
        <v>440</v>
      </c>
      <c r="F210" s="62">
        <v>440</v>
      </c>
      <c r="G210" s="80" t="s">
        <v>87</v>
      </c>
      <c r="H210" s="81" t="s">
        <v>3138</v>
      </c>
      <c r="I210" s="82" t="s">
        <v>25</v>
      </c>
      <c r="J210" s="82"/>
      <c r="K210" s="95">
        <v>7</v>
      </c>
      <c r="L210" s="82" t="s">
        <v>637</v>
      </c>
      <c r="M210" s="9">
        <v>43045</v>
      </c>
      <c r="N210" s="9">
        <v>43072</v>
      </c>
      <c r="O210" s="97" t="s">
        <v>3097</v>
      </c>
      <c r="P210" s="97" t="s">
        <v>3137</v>
      </c>
      <c r="Q210" s="93"/>
      <c r="R210" s="57" t="s">
        <v>246</v>
      </c>
      <c r="S210" s="322" t="s">
        <v>2849</v>
      </c>
      <c r="T210" s="338"/>
    </row>
    <row r="211" spans="1:20" s="41" customFormat="1" ht="20.100000000000001" customHeight="1">
      <c r="A211" s="1190" t="s">
        <v>3094</v>
      </c>
      <c r="B211" s="1190" t="s">
        <v>3093</v>
      </c>
      <c r="C211" s="1190" t="s">
        <v>3200</v>
      </c>
      <c r="D211" s="62">
        <v>220</v>
      </c>
      <c r="E211" s="62">
        <v>440</v>
      </c>
      <c r="F211" s="62">
        <v>440</v>
      </c>
      <c r="G211" s="214" t="s">
        <v>796</v>
      </c>
      <c r="H211" s="81" t="s">
        <v>3135</v>
      </c>
      <c r="I211" s="82" t="s">
        <v>25</v>
      </c>
      <c r="J211" s="82"/>
      <c r="K211" s="95">
        <v>7</v>
      </c>
      <c r="L211" s="82" t="s">
        <v>637</v>
      </c>
      <c r="M211" s="9">
        <v>43052</v>
      </c>
      <c r="N211" s="9">
        <v>43079</v>
      </c>
      <c r="O211" s="97" t="s">
        <v>3097</v>
      </c>
      <c r="P211" s="97" t="s">
        <v>3134</v>
      </c>
      <c r="Q211" s="93"/>
      <c r="R211" s="94"/>
      <c r="S211" s="305" t="s">
        <v>1176</v>
      </c>
      <c r="T211" s="338" t="s">
        <v>1678</v>
      </c>
    </row>
    <row r="212" spans="1:20" s="41" customFormat="1" ht="20.100000000000001" customHeight="1">
      <c r="A212" s="1190" t="s">
        <v>3094</v>
      </c>
      <c r="B212" s="1190" t="s">
        <v>3093</v>
      </c>
      <c r="C212" s="1190" t="s">
        <v>3199</v>
      </c>
      <c r="D212" s="62">
        <v>220</v>
      </c>
      <c r="E212" s="62">
        <v>440</v>
      </c>
      <c r="F212" s="62">
        <v>440</v>
      </c>
      <c r="G212" s="80" t="s">
        <v>87</v>
      </c>
      <c r="H212" s="81" t="s">
        <v>3138</v>
      </c>
      <c r="I212" s="82" t="s">
        <v>25</v>
      </c>
      <c r="J212" s="82"/>
      <c r="K212" s="95">
        <v>7</v>
      </c>
      <c r="L212" s="82" t="s">
        <v>637</v>
      </c>
      <c r="M212" s="9">
        <v>43045</v>
      </c>
      <c r="N212" s="9">
        <v>43072</v>
      </c>
      <c r="O212" s="97" t="s">
        <v>3097</v>
      </c>
      <c r="P212" s="97" t="s">
        <v>3137</v>
      </c>
      <c r="Q212" s="93"/>
      <c r="R212" s="57" t="s">
        <v>246</v>
      </c>
      <c r="S212" s="322" t="s">
        <v>2849</v>
      </c>
      <c r="T212" s="338"/>
    </row>
    <row r="213" spans="1:20" s="41" customFormat="1" ht="20.100000000000001" customHeight="1">
      <c r="A213" s="1190" t="s">
        <v>3094</v>
      </c>
      <c r="B213" s="1190" t="s">
        <v>3093</v>
      </c>
      <c r="C213" s="1190" t="s">
        <v>3199</v>
      </c>
      <c r="D213" s="62">
        <v>210</v>
      </c>
      <c r="E213" s="62">
        <v>420</v>
      </c>
      <c r="F213" s="62">
        <v>420</v>
      </c>
      <c r="G213" s="96" t="s">
        <v>278</v>
      </c>
      <c r="H213" s="81" t="s">
        <v>3145</v>
      </c>
      <c r="I213" s="82" t="s">
        <v>25</v>
      </c>
      <c r="J213" s="82"/>
      <c r="K213" s="95">
        <v>8</v>
      </c>
      <c r="L213" s="82" t="s">
        <v>637</v>
      </c>
      <c r="M213" s="9">
        <v>43050</v>
      </c>
      <c r="N213" s="9">
        <v>43065</v>
      </c>
      <c r="O213" s="93" t="s">
        <v>3097</v>
      </c>
      <c r="P213" s="97" t="s">
        <v>3144</v>
      </c>
      <c r="Q213" s="93"/>
      <c r="R213" s="57"/>
      <c r="S213" s="321"/>
      <c r="T213" s="338"/>
    </row>
    <row r="214" spans="1:20" s="41" customFormat="1" ht="20.100000000000001" customHeight="1">
      <c r="A214" s="1190" t="s">
        <v>3094</v>
      </c>
      <c r="B214" s="1190" t="s">
        <v>3093</v>
      </c>
      <c r="C214" s="1190" t="s">
        <v>3199</v>
      </c>
      <c r="D214" s="62">
        <v>220</v>
      </c>
      <c r="E214" s="62">
        <v>440</v>
      </c>
      <c r="F214" s="62">
        <v>440</v>
      </c>
      <c r="G214" s="214" t="s">
        <v>796</v>
      </c>
      <c r="H214" s="81" t="s">
        <v>3135</v>
      </c>
      <c r="I214" s="82" t="s">
        <v>25</v>
      </c>
      <c r="J214" s="82"/>
      <c r="K214" s="95">
        <v>7</v>
      </c>
      <c r="L214" s="82" t="s">
        <v>637</v>
      </c>
      <c r="M214" s="9">
        <v>43052</v>
      </c>
      <c r="N214" s="9">
        <v>43079</v>
      </c>
      <c r="O214" s="97" t="s">
        <v>3097</v>
      </c>
      <c r="P214" s="97" t="s">
        <v>3134</v>
      </c>
      <c r="Q214" s="93"/>
      <c r="R214" s="94"/>
      <c r="S214" s="305" t="s">
        <v>1176</v>
      </c>
      <c r="T214" s="338" t="s">
        <v>1678</v>
      </c>
    </row>
    <row r="215" spans="1:20" s="41" customFormat="1" ht="20.100000000000001" customHeight="1">
      <c r="A215" s="1190" t="s">
        <v>3094</v>
      </c>
      <c r="B215" s="1190" t="s">
        <v>3093</v>
      </c>
      <c r="C215" s="1190" t="s">
        <v>3198</v>
      </c>
      <c r="D215" s="802"/>
      <c r="E215" s="802"/>
      <c r="F215" s="802"/>
      <c r="G215" s="301" t="s">
        <v>142</v>
      </c>
      <c r="H215" s="298" t="s">
        <v>3147</v>
      </c>
      <c r="I215" s="82" t="s">
        <v>25</v>
      </c>
      <c r="J215" s="82"/>
      <c r="K215" s="82">
        <v>10</v>
      </c>
      <c r="L215" s="82" t="s">
        <v>637</v>
      </c>
      <c r="M215" s="9">
        <v>43009</v>
      </c>
      <c r="N215" s="9">
        <v>43070</v>
      </c>
      <c r="O215" s="93" t="s">
        <v>3097</v>
      </c>
      <c r="P215" s="97" t="s">
        <v>3146</v>
      </c>
      <c r="Q215" s="92" t="s">
        <v>1025</v>
      </c>
      <c r="R215" s="57"/>
      <c r="S215" s="321"/>
      <c r="T215" s="338"/>
    </row>
    <row r="216" spans="1:20" s="41" customFormat="1" ht="20.100000000000001" customHeight="1">
      <c r="A216" s="1190" t="s">
        <v>3094</v>
      </c>
      <c r="B216" s="1190" t="s">
        <v>3093</v>
      </c>
      <c r="C216" s="1190" t="s">
        <v>3198</v>
      </c>
      <c r="D216" s="62">
        <v>210</v>
      </c>
      <c r="E216" s="62">
        <v>420</v>
      </c>
      <c r="F216" s="62">
        <v>420</v>
      </c>
      <c r="G216" s="96" t="s">
        <v>278</v>
      </c>
      <c r="H216" s="81" t="s">
        <v>3145</v>
      </c>
      <c r="I216" s="82" t="s">
        <v>25</v>
      </c>
      <c r="J216" s="82"/>
      <c r="K216" s="95">
        <v>8</v>
      </c>
      <c r="L216" s="82" t="s">
        <v>637</v>
      </c>
      <c r="M216" s="9">
        <v>43050</v>
      </c>
      <c r="N216" s="9">
        <v>43065</v>
      </c>
      <c r="O216" s="93" t="s">
        <v>3097</v>
      </c>
      <c r="P216" s="97" t="s">
        <v>3144</v>
      </c>
      <c r="Q216" s="93"/>
      <c r="R216" s="57"/>
      <c r="S216" s="321"/>
      <c r="T216" s="338"/>
    </row>
    <row r="217" spans="1:20" s="41" customFormat="1" ht="20.100000000000001" customHeight="1">
      <c r="A217" s="1138" t="s">
        <v>3094</v>
      </c>
      <c r="B217" s="1138" t="s">
        <v>3093</v>
      </c>
      <c r="C217" s="1138" t="s">
        <v>3197</v>
      </c>
      <c r="D217" s="62">
        <v>210</v>
      </c>
      <c r="E217" s="62">
        <v>420</v>
      </c>
      <c r="F217" s="62">
        <v>420</v>
      </c>
      <c r="G217" s="96" t="s">
        <v>278</v>
      </c>
      <c r="H217" s="81" t="s">
        <v>3145</v>
      </c>
      <c r="I217" s="82" t="s">
        <v>25</v>
      </c>
      <c r="J217" s="82"/>
      <c r="K217" s="95">
        <v>8</v>
      </c>
      <c r="L217" s="82" t="s">
        <v>637</v>
      </c>
      <c r="M217" s="9">
        <v>43050</v>
      </c>
      <c r="N217" s="9">
        <v>43065</v>
      </c>
      <c r="O217" s="93" t="s">
        <v>3097</v>
      </c>
      <c r="P217" s="97" t="s">
        <v>3144</v>
      </c>
      <c r="Q217" s="93"/>
      <c r="R217" s="94"/>
      <c r="S217" s="335"/>
      <c r="T217" s="338"/>
    </row>
    <row r="218" spans="1:20" s="41" customFormat="1" ht="20.100000000000001" customHeight="1">
      <c r="A218" s="1138" t="s">
        <v>3094</v>
      </c>
      <c r="B218" s="1138" t="s">
        <v>3093</v>
      </c>
      <c r="C218" s="1138" t="s">
        <v>3197</v>
      </c>
      <c r="D218" s="62">
        <v>180</v>
      </c>
      <c r="E218" s="62">
        <v>360</v>
      </c>
      <c r="F218" s="62">
        <v>360</v>
      </c>
      <c r="G218" s="215" t="s">
        <v>491</v>
      </c>
      <c r="H218" s="81" t="s">
        <v>3142</v>
      </c>
      <c r="I218" s="82" t="s">
        <v>25</v>
      </c>
      <c r="J218" s="82"/>
      <c r="K218" s="358" t="s">
        <v>3141</v>
      </c>
      <c r="L218" s="82" t="s">
        <v>637</v>
      </c>
      <c r="M218" s="9">
        <v>43079</v>
      </c>
      <c r="N218" s="9">
        <v>43086</v>
      </c>
      <c r="O218" s="97" t="s">
        <v>3097</v>
      </c>
      <c r="P218" s="350" t="s">
        <v>3140</v>
      </c>
      <c r="Q218" s="93"/>
      <c r="R218" s="94" t="s">
        <v>3139</v>
      </c>
      <c r="S218" s="321"/>
      <c r="T218" s="338" t="s">
        <v>1678</v>
      </c>
    </row>
    <row r="219" spans="1:20" s="41" customFormat="1" ht="20.100000000000001" customHeight="1">
      <c r="A219" s="1138" t="s">
        <v>3094</v>
      </c>
      <c r="B219" s="1138" t="s">
        <v>3093</v>
      </c>
      <c r="C219" s="1138" t="s">
        <v>3197</v>
      </c>
      <c r="D219" s="62">
        <v>220</v>
      </c>
      <c r="E219" s="62">
        <v>440</v>
      </c>
      <c r="F219" s="62">
        <v>440</v>
      </c>
      <c r="G219" s="80" t="s">
        <v>87</v>
      </c>
      <c r="H219" s="81" t="s">
        <v>3138</v>
      </c>
      <c r="I219" s="82" t="s">
        <v>25</v>
      </c>
      <c r="J219" s="82"/>
      <c r="K219" s="95">
        <v>7</v>
      </c>
      <c r="L219" s="82" t="s">
        <v>637</v>
      </c>
      <c r="M219" s="9">
        <v>43045</v>
      </c>
      <c r="N219" s="9">
        <v>43072</v>
      </c>
      <c r="O219" s="97" t="s">
        <v>3097</v>
      </c>
      <c r="P219" s="97" t="s">
        <v>3137</v>
      </c>
      <c r="Q219" s="93"/>
      <c r="R219" s="57" t="s">
        <v>246</v>
      </c>
      <c r="S219" s="322" t="s">
        <v>2849</v>
      </c>
      <c r="T219" s="338"/>
    </row>
    <row r="220" spans="1:20" s="41" customFormat="1" ht="20.100000000000001" customHeight="1">
      <c r="A220" s="1138" t="s">
        <v>3094</v>
      </c>
      <c r="B220" s="1138" t="s">
        <v>3093</v>
      </c>
      <c r="C220" s="1138" t="s">
        <v>3197</v>
      </c>
      <c r="D220" s="802"/>
      <c r="E220" s="802"/>
      <c r="F220" s="802"/>
      <c r="G220" s="301" t="s">
        <v>142</v>
      </c>
      <c r="H220" s="298" t="s">
        <v>3147</v>
      </c>
      <c r="I220" s="82" t="s">
        <v>25</v>
      </c>
      <c r="J220" s="82"/>
      <c r="K220" s="82">
        <v>10</v>
      </c>
      <c r="L220" s="82" t="s">
        <v>637</v>
      </c>
      <c r="M220" s="9">
        <v>43009</v>
      </c>
      <c r="N220" s="9">
        <v>43070</v>
      </c>
      <c r="O220" s="93" t="s">
        <v>3097</v>
      </c>
      <c r="P220" s="97" t="s">
        <v>3146</v>
      </c>
      <c r="Q220" s="92" t="s">
        <v>1025</v>
      </c>
      <c r="R220" s="57"/>
      <c r="S220" s="321"/>
      <c r="T220" s="338"/>
    </row>
    <row r="221" spans="1:20" s="41" customFormat="1" ht="20.100000000000001" customHeight="1">
      <c r="A221" s="1138" t="s">
        <v>3094</v>
      </c>
      <c r="B221" s="1138" t="s">
        <v>3093</v>
      </c>
      <c r="C221" s="1138" t="s">
        <v>3197</v>
      </c>
      <c r="D221" s="62">
        <v>220</v>
      </c>
      <c r="E221" s="62">
        <v>440</v>
      </c>
      <c r="F221" s="62">
        <v>440</v>
      </c>
      <c r="G221" s="214" t="s">
        <v>796</v>
      </c>
      <c r="H221" s="81" t="s">
        <v>3135</v>
      </c>
      <c r="I221" s="82" t="s">
        <v>25</v>
      </c>
      <c r="J221" s="82"/>
      <c r="K221" s="95">
        <v>7</v>
      </c>
      <c r="L221" s="82" t="s">
        <v>637</v>
      </c>
      <c r="M221" s="9">
        <v>43052</v>
      </c>
      <c r="N221" s="9">
        <v>43079</v>
      </c>
      <c r="O221" s="97" t="s">
        <v>3097</v>
      </c>
      <c r="P221" s="97" t="s">
        <v>3134</v>
      </c>
      <c r="Q221" s="93"/>
      <c r="R221" s="57"/>
      <c r="S221" s="305" t="s">
        <v>1176</v>
      </c>
      <c r="T221" s="338" t="s">
        <v>1678</v>
      </c>
    </row>
    <row r="222" spans="1:20" s="41" customFormat="1" ht="20.100000000000001" customHeight="1">
      <c r="A222" s="1190" t="s">
        <v>3094</v>
      </c>
      <c r="B222" s="1190" t="s">
        <v>3093</v>
      </c>
      <c r="C222" s="1190" t="s">
        <v>3196</v>
      </c>
      <c r="D222" s="62">
        <v>220</v>
      </c>
      <c r="E222" s="62">
        <v>440</v>
      </c>
      <c r="F222" s="62">
        <v>440</v>
      </c>
      <c r="G222" s="80" t="s">
        <v>87</v>
      </c>
      <c r="H222" s="81" t="s">
        <v>3138</v>
      </c>
      <c r="I222" s="82" t="s">
        <v>25</v>
      </c>
      <c r="J222" s="82"/>
      <c r="K222" s="95">
        <v>7</v>
      </c>
      <c r="L222" s="82" t="s">
        <v>637</v>
      </c>
      <c r="M222" s="9">
        <v>43045</v>
      </c>
      <c r="N222" s="9">
        <v>43072</v>
      </c>
      <c r="O222" s="97" t="s">
        <v>3097</v>
      </c>
      <c r="P222" s="97" t="s">
        <v>3137</v>
      </c>
      <c r="Q222" s="93"/>
      <c r="R222" s="57" t="s">
        <v>246</v>
      </c>
      <c r="S222" s="322" t="s">
        <v>2849</v>
      </c>
      <c r="T222" s="338"/>
    </row>
    <row r="223" spans="1:20" s="41" customFormat="1" ht="20.100000000000001" customHeight="1">
      <c r="A223" s="1190" t="s">
        <v>3094</v>
      </c>
      <c r="B223" s="1190" t="s">
        <v>3093</v>
      </c>
      <c r="C223" s="1190" t="s">
        <v>3196</v>
      </c>
      <c r="D223" s="62">
        <v>210</v>
      </c>
      <c r="E223" s="62">
        <v>420</v>
      </c>
      <c r="F223" s="62">
        <v>420</v>
      </c>
      <c r="G223" s="96" t="s">
        <v>278</v>
      </c>
      <c r="H223" s="81" t="s">
        <v>3145</v>
      </c>
      <c r="I223" s="82" t="s">
        <v>25</v>
      </c>
      <c r="J223" s="82"/>
      <c r="K223" s="95">
        <v>8</v>
      </c>
      <c r="L223" s="82" t="s">
        <v>637</v>
      </c>
      <c r="M223" s="9">
        <v>43050</v>
      </c>
      <c r="N223" s="9">
        <v>43065</v>
      </c>
      <c r="O223" s="93" t="s">
        <v>3097</v>
      </c>
      <c r="P223" s="97" t="s">
        <v>3144</v>
      </c>
      <c r="Q223" s="93"/>
      <c r="R223" s="57"/>
      <c r="S223" s="321"/>
      <c r="T223" s="338"/>
    </row>
    <row r="224" spans="1:20" s="41" customFormat="1" ht="20.100000000000001" customHeight="1">
      <c r="A224" s="1190" t="s">
        <v>3195</v>
      </c>
      <c r="B224" s="1190" t="s">
        <v>3093</v>
      </c>
      <c r="C224" s="1190" t="s">
        <v>3196</v>
      </c>
      <c r="D224" s="62">
        <v>180</v>
      </c>
      <c r="E224" s="62">
        <v>360</v>
      </c>
      <c r="F224" s="62">
        <v>360</v>
      </c>
      <c r="G224" s="215" t="s">
        <v>491</v>
      </c>
      <c r="H224" s="81" t="s">
        <v>3142</v>
      </c>
      <c r="I224" s="82" t="s">
        <v>25</v>
      </c>
      <c r="J224" s="82"/>
      <c r="K224" s="358" t="s">
        <v>3141</v>
      </c>
      <c r="L224" s="82" t="s">
        <v>637</v>
      </c>
      <c r="M224" s="9">
        <v>43079</v>
      </c>
      <c r="N224" s="9">
        <v>43086</v>
      </c>
      <c r="O224" s="97" t="s">
        <v>3097</v>
      </c>
      <c r="P224" s="350" t="s">
        <v>3140</v>
      </c>
      <c r="Q224" s="93"/>
      <c r="R224" s="94" t="s">
        <v>3139</v>
      </c>
      <c r="S224" s="335"/>
      <c r="T224" s="338" t="s">
        <v>1678</v>
      </c>
    </row>
    <row r="225" spans="1:20" s="41" customFormat="1" ht="20.100000000000001" customHeight="1">
      <c r="A225" s="1190" t="s">
        <v>3195</v>
      </c>
      <c r="B225" s="1190" t="s">
        <v>3093</v>
      </c>
      <c r="C225" s="1190" t="s">
        <v>3196</v>
      </c>
      <c r="D225" s="62">
        <v>220</v>
      </c>
      <c r="E225" s="62">
        <v>440</v>
      </c>
      <c r="F225" s="62">
        <v>440</v>
      </c>
      <c r="G225" s="214" t="s">
        <v>796</v>
      </c>
      <c r="H225" s="81" t="s">
        <v>3135</v>
      </c>
      <c r="I225" s="82" t="s">
        <v>25</v>
      </c>
      <c r="J225" s="82"/>
      <c r="K225" s="95">
        <v>7</v>
      </c>
      <c r="L225" s="82" t="s">
        <v>637</v>
      </c>
      <c r="M225" s="9">
        <v>43052</v>
      </c>
      <c r="N225" s="9">
        <v>43079</v>
      </c>
      <c r="O225" s="97" t="s">
        <v>3097</v>
      </c>
      <c r="P225" s="97" t="s">
        <v>3134</v>
      </c>
      <c r="Q225" s="93"/>
      <c r="R225" s="94"/>
      <c r="S225" s="305" t="s">
        <v>1176</v>
      </c>
      <c r="T225" s="338" t="s">
        <v>1678</v>
      </c>
    </row>
    <row r="226" spans="1:20" s="41" customFormat="1" ht="20.100000000000001" customHeight="1">
      <c r="A226" s="798" t="s">
        <v>3195</v>
      </c>
      <c r="B226" s="798" t="s">
        <v>3093</v>
      </c>
      <c r="C226" s="798" t="s">
        <v>3194</v>
      </c>
      <c r="D226" s="62">
        <v>500</v>
      </c>
      <c r="E226" s="62">
        <v>1000</v>
      </c>
      <c r="F226" s="62">
        <v>1000</v>
      </c>
      <c r="G226" s="214" t="s">
        <v>796</v>
      </c>
      <c r="H226" s="81" t="s">
        <v>3135</v>
      </c>
      <c r="I226" s="82" t="s">
        <v>1413</v>
      </c>
      <c r="J226" s="82"/>
      <c r="K226" s="95">
        <v>7</v>
      </c>
      <c r="L226" s="82" t="s">
        <v>856</v>
      </c>
      <c r="M226" s="9">
        <v>43052</v>
      </c>
      <c r="N226" s="9">
        <v>43079</v>
      </c>
      <c r="O226" s="93" t="s">
        <v>1414</v>
      </c>
      <c r="P226" s="97" t="s">
        <v>3134</v>
      </c>
      <c r="Q226" s="93"/>
      <c r="R226" s="57"/>
      <c r="S226" s="305" t="s">
        <v>1176</v>
      </c>
      <c r="T226" s="338" t="s">
        <v>1678</v>
      </c>
    </row>
    <row r="227" spans="1:20" s="41" customFormat="1" ht="20.100000000000001" customHeight="1">
      <c r="A227" s="1138" t="s">
        <v>3094</v>
      </c>
      <c r="B227" s="1138" t="s">
        <v>3093</v>
      </c>
      <c r="C227" s="1138" t="s">
        <v>3193</v>
      </c>
      <c r="D227" s="357"/>
      <c r="E227" s="357"/>
      <c r="F227" s="357"/>
      <c r="G227" s="85" t="s">
        <v>36</v>
      </c>
      <c r="H227" s="298">
        <v>6</v>
      </c>
      <c r="I227" s="82" t="s">
        <v>17</v>
      </c>
      <c r="J227" s="82"/>
      <c r="K227" s="82">
        <v>3</v>
      </c>
      <c r="L227" s="82" t="s">
        <v>649</v>
      </c>
      <c r="M227" s="82"/>
      <c r="N227" s="9">
        <v>43051</v>
      </c>
      <c r="O227" s="83" t="s">
        <v>3097</v>
      </c>
      <c r="P227" s="97" t="s">
        <v>3096</v>
      </c>
      <c r="Q227" s="93"/>
      <c r="R227" s="94" t="s">
        <v>3099</v>
      </c>
      <c r="S227" s="335"/>
      <c r="T227" s="317">
        <v>14</v>
      </c>
    </row>
    <row r="228" spans="1:20" s="41" customFormat="1" ht="20.100000000000001" customHeight="1">
      <c r="A228" s="1138" t="s">
        <v>3094</v>
      </c>
      <c r="B228" s="1138" t="s">
        <v>3093</v>
      </c>
      <c r="C228" s="1138" t="s">
        <v>3193</v>
      </c>
      <c r="D228" s="802">
        <v>370</v>
      </c>
      <c r="E228" s="802">
        <v>740</v>
      </c>
      <c r="F228" s="802">
        <v>740</v>
      </c>
      <c r="G228" s="80" t="s">
        <v>142</v>
      </c>
      <c r="H228" s="81" t="s">
        <v>3147</v>
      </c>
      <c r="I228" s="82" t="s">
        <v>25</v>
      </c>
      <c r="J228" s="82"/>
      <c r="K228" s="82">
        <v>10</v>
      </c>
      <c r="L228" s="82" t="s">
        <v>637</v>
      </c>
      <c r="M228" s="9">
        <v>43009</v>
      </c>
      <c r="N228" s="9">
        <v>43070</v>
      </c>
      <c r="O228" s="93" t="s">
        <v>3097</v>
      </c>
      <c r="P228" s="97" t="s">
        <v>3146</v>
      </c>
      <c r="Q228" s="93"/>
      <c r="R228" s="94"/>
      <c r="S228" s="335"/>
      <c r="T228" s="338"/>
    </row>
    <row r="229" spans="1:20" s="41" customFormat="1" ht="20.100000000000001" customHeight="1">
      <c r="A229" s="1138" t="s">
        <v>3094</v>
      </c>
      <c r="B229" s="1138" t="s">
        <v>3093</v>
      </c>
      <c r="C229" s="1138" t="s">
        <v>3192</v>
      </c>
      <c r="D229" s="62"/>
      <c r="E229" s="62"/>
      <c r="F229" s="62"/>
      <c r="G229" s="96" t="s">
        <v>278</v>
      </c>
      <c r="H229" s="81" t="s">
        <v>3145</v>
      </c>
      <c r="I229" s="82" t="s">
        <v>25</v>
      </c>
      <c r="J229" s="82"/>
      <c r="K229" s="95">
        <v>8</v>
      </c>
      <c r="L229" s="82" t="s">
        <v>637</v>
      </c>
      <c r="M229" s="9">
        <v>43050</v>
      </c>
      <c r="N229" s="9">
        <v>43065</v>
      </c>
      <c r="O229" s="93" t="s">
        <v>3097</v>
      </c>
      <c r="P229" s="97" t="s">
        <v>3144</v>
      </c>
      <c r="Q229" s="86"/>
      <c r="R229" s="87"/>
      <c r="S229" s="305"/>
      <c r="T229" s="338"/>
    </row>
    <row r="230" spans="1:20" s="41" customFormat="1" ht="20.100000000000001" customHeight="1">
      <c r="A230" s="1138" t="s">
        <v>3094</v>
      </c>
      <c r="B230" s="1138" t="s">
        <v>3093</v>
      </c>
      <c r="C230" s="1138" t="s">
        <v>3192</v>
      </c>
      <c r="D230" s="62">
        <v>420</v>
      </c>
      <c r="E230" s="62">
        <v>840</v>
      </c>
      <c r="F230" s="62">
        <v>840</v>
      </c>
      <c r="G230" s="214" t="s">
        <v>796</v>
      </c>
      <c r="H230" s="81" t="s">
        <v>3135</v>
      </c>
      <c r="I230" s="82" t="s">
        <v>25</v>
      </c>
      <c r="J230" s="82"/>
      <c r="K230" s="95">
        <v>8</v>
      </c>
      <c r="L230" s="82" t="s">
        <v>637</v>
      </c>
      <c r="M230" s="9">
        <v>43052</v>
      </c>
      <c r="N230" s="9">
        <v>43079</v>
      </c>
      <c r="O230" s="97" t="s">
        <v>3097</v>
      </c>
      <c r="P230" s="97" t="s">
        <v>3134</v>
      </c>
      <c r="Q230" s="86"/>
      <c r="R230" s="87"/>
      <c r="S230" s="305" t="s">
        <v>1176</v>
      </c>
      <c r="T230" s="338" t="s">
        <v>1678</v>
      </c>
    </row>
    <row r="231" spans="1:20" s="41" customFormat="1" ht="20.100000000000001" customHeight="1">
      <c r="A231" s="1138" t="s">
        <v>3094</v>
      </c>
      <c r="B231" s="1138" t="s">
        <v>3093</v>
      </c>
      <c r="C231" s="1138" t="s">
        <v>3191</v>
      </c>
      <c r="D231" s="62">
        <v>270</v>
      </c>
      <c r="E231" s="62">
        <v>540</v>
      </c>
      <c r="F231" s="62">
        <v>540</v>
      </c>
      <c r="G231" s="80" t="s">
        <v>87</v>
      </c>
      <c r="H231" s="81" t="s">
        <v>3138</v>
      </c>
      <c r="I231" s="82" t="s">
        <v>25</v>
      </c>
      <c r="J231" s="82"/>
      <c r="K231" s="95">
        <v>7</v>
      </c>
      <c r="L231" s="82" t="s">
        <v>637</v>
      </c>
      <c r="M231" s="9">
        <v>43045</v>
      </c>
      <c r="N231" s="9">
        <v>43072</v>
      </c>
      <c r="O231" s="97" t="s">
        <v>3097</v>
      </c>
      <c r="P231" s="97" t="s">
        <v>3137</v>
      </c>
      <c r="Q231" s="93"/>
      <c r="R231" s="57" t="s">
        <v>246</v>
      </c>
      <c r="S231" s="322" t="s">
        <v>2849</v>
      </c>
      <c r="T231" s="338"/>
    </row>
    <row r="232" spans="1:20" s="41" customFormat="1" ht="20.100000000000001" customHeight="1">
      <c r="A232" s="1138" t="s">
        <v>3094</v>
      </c>
      <c r="B232" s="1138" t="s">
        <v>3093</v>
      </c>
      <c r="C232" s="1138" t="s">
        <v>3191</v>
      </c>
      <c r="D232" s="62"/>
      <c r="E232" s="62"/>
      <c r="F232" s="62"/>
      <c r="G232" s="96" t="s">
        <v>278</v>
      </c>
      <c r="H232" s="81" t="s">
        <v>3145</v>
      </c>
      <c r="I232" s="82" t="s">
        <v>25</v>
      </c>
      <c r="J232" s="82"/>
      <c r="K232" s="95">
        <v>8</v>
      </c>
      <c r="L232" s="82" t="s">
        <v>637</v>
      </c>
      <c r="M232" s="9">
        <v>43050</v>
      </c>
      <c r="N232" s="9">
        <v>43065</v>
      </c>
      <c r="O232" s="93" t="s">
        <v>3097</v>
      </c>
      <c r="P232" s="97" t="s">
        <v>3144</v>
      </c>
      <c r="Q232" s="93"/>
      <c r="R232" s="57"/>
      <c r="S232" s="322"/>
      <c r="T232" s="338"/>
    </row>
    <row r="233" spans="1:20" s="41" customFormat="1" ht="20.100000000000001" customHeight="1">
      <c r="A233" s="1138" t="s">
        <v>3094</v>
      </c>
      <c r="B233" s="1138" t="s">
        <v>3093</v>
      </c>
      <c r="C233" s="1138" t="s">
        <v>3190</v>
      </c>
      <c r="D233" s="802">
        <v>720</v>
      </c>
      <c r="E233" s="802">
        <v>1340</v>
      </c>
      <c r="F233" s="802">
        <v>1340</v>
      </c>
      <c r="G233" s="80" t="s">
        <v>142</v>
      </c>
      <c r="H233" s="81" t="s">
        <v>1098</v>
      </c>
      <c r="I233" s="82" t="s">
        <v>17</v>
      </c>
      <c r="J233" s="82"/>
      <c r="K233" s="82" t="s">
        <v>725</v>
      </c>
      <c r="L233" s="82" t="s">
        <v>637</v>
      </c>
      <c r="M233" s="9">
        <v>43009</v>
      </c>
      <c r="N233" s="9">
        <v>43070</v>
      </c>
      <c r="O233" s="93" t="s">
        <v>3097</v>
      </c>
      <c r="P233" s="97" t="s">
        <v>3146</v>
      </c>
      <c r="Q233" s="93"/>
      <c r="R233" s="94"/>
      <c r="S233" s="335"/>
      <c r="T233" s="338"/>
    </row>
    <row r="234" spans="1:20" s="41" customFormat="1" ht="20.100000000000001" customHeight="1">
      <c r="A234" s="1138" t="s">
        <v>3094</v>
      </c>
      <c r="B234" s="1138" t="s">
        <v>3093</v>
      </c>
      <c r="C234" s="1138" t="s">
        <v>3190</v>
      </c>
      <c r="D234" s="802">
        <v>720</v>
      </c>
      <c r="E234" s="802">
        <v>1340</v>
      </c>
      <c r="F234" s="802">
        <v>1340</v>
      </c>
      <c r="G234" s="80" t="s">
        <v>142</v>
      </c>
      <c r="H234" s="81" t="s">
        <v>3147</v>
      </c>
      <c r="I234" s="82" t="s">
        <v>25</v>
      </c>
      <c r="J234" s="82"/>
      <c r="K234" s="82">
        <v>10</v>
      </c>
      <c r="L234" s="82" t="s">
        <v>637</v>
      </c>
      <c r="M234" s="9">
        <v>43009</v>
      </c>
      <c r="N234" s="9">
        <v>43070</v>
      </c>
      <c r="O234" s="93" t="s">
        <v>3097</v>
      </c>
      <c r="P234" s="97" t="s">
        <v>3146</v>
      </c>
      <c r="Q234" s="93"/>
      <c r="R234" s="94"/>
      <c r="S234" s="335"/>
      <c r="T234" s="338"/>
    </row>
    <row r="235" spans="1:20" s="41" customFormat="1" ht="20.100000000000001" customHeight="1">
      <c r="A235" s="1138" t="s">
        <v>3094</v>
      </c>
      <c r="B235" s="1138" t="s">
        <v>3093</v>
      </c>
      <c r="C235" s="1138" t="s">
        <v>3188</v>
      </c>
      <c r="D235" s="776"/>
      <c r="E235" s="776"/>
      <c r="F235" s="776"/>
      <c r="G235" s="98" t="s">
        <v>36</v>
      </c>
      <c r="H235" s="298">
        <v>5</v>
      </c>
      <c r="I235" s="82" t="s">
        <v>17</v>
      </c>
      <c r="J235" s="82"/>
      <c r="K235" s="95">
        <v>3</v>
      </c>
      <c r="L235" s="82" t="s">
        <v>649</v>
      </c>
      <c r="M235" s="82"/>
      <c r="N235" s="9">
        <v>43051</v>
      </c>
      <c r="O235" s="83" t="s">
        <v>3097</v>
      </c>
      <c r="P235" s="97" t="s">
        <v>3096</v>
      </c>
      <c r="Q235" s="93"/>
      <c r="R235" s="94" t="s">
        <v>3131</v>
      </c>
      <c r="S235" s="335"/>
      <c r="T235" s="317">
        <v>14</v>
      </c>
    </row>
    <row r="236" spans="1:20" s="41" customFormat="1" ht="20.100000000000001" customHeight="1">
      <c r="A236" s="1138" t="s">
        <v>3094</v>
      </c>
      <c r="B236" s="1138" t="s">
        <v>3093</v>
      </c>
      <c r="C236" s="1138" t="s">
        <v>3188</v>
      </c>
      <c r="D236" s="62">
        <v>220</v>
      </c>
      <c r="E236" s="62">
        <v>440</v>
      </c>
      <c r="F236" s="62">
        <v>440</v>
      </c>
      <c r="G236" s="84" t="s">
        <v>87</v>
      </c>
      <c r="H236" s="81" t="s">
        <v>1866</v>
      </c>
      <c r="I236" s="82" t="s">
        <v>25</v>
      </c>
      <c r="J236" s="82"/>
      <c r="K236" s="95">
        <v>7</v>
      </c>
      <c r="L236" s="82" t="s">
        <v>637</v>
      </c>
      <c r="M236" s="9">
        <v>43045</v>
      </c>
      <c r="N236" s="9">
        <v>43072</v>
      </c>
      <c r="O236" s="97" t="s">
        <v>3097</v>
      </c>
      <c r="P236" s="97" t="s">
        <v>3137</v>
      </c>
      <c r="Q236" s="93"/>
      <c r="R236" s="57" t="s">
        <v>3189</v>
      </c>
      <c r="S236" s="322" t="s">
        <v>2849</v>
      </c>
      <c r="T236" s="338"/>
    </row>
    <row r="237" spans="1:20" s="41" customFormat="1" ht="20.100000000000001" customHeight="1">
      <c r="A237" s="1138" t="s">
        <v>3094</v>
      </c>
      <c r="B237" s="1138" t="s">
        <v>3093</v>
      </c>
      <c r="C237" s="1138" t="s">
        <v>3188</v>
      </c>
      <c r="D237" s="62">
        <v>220</v>
      </c>
      <c r="E237" s="62">
        <v>440</v>
      </c>
      <c r="F237" s="62">
        <v>440</v>
      </c>
      <c r="G237" s="214" t="s">
        <v>796</v>
      </c>
      <c r="H237" s="81" t="s">
        <v>3135</v>
      </c>
      <c r="I237" s="82" t="s">
        <v>25</v>
      </c>
      <c r="J237" s="82"/>
      <c r="K237" s="95">
        <v>8</v>
      </c>
      <c r="L237" s="82" t="s">
        <v>637</v>
      </c>
      <c r="M237" s="9">
        <v>43052</v>
      </c>
      <c r="N237" s="9">
        <v>43079</v>
      </c>
      <c r="O237" s="97" t="s">
        <v>3097</v>
      </c>
      <c r="P237" s="97" t="s">
        <v>3134</v>
      </c>
      <c r="Q237" s="86"/>
      <c r="R237" s="87"/>
      <c r="S237" s="305" t="s">
        <v>1176</v>
      </c>
      <c r="T237" s="338" t="s">
        <v>1678</v>
      </c>
    </row>
    <row r="238" spans="1:20" s="41" customFormat="1" ht="20.100000000000001" customHeight="1">
      <c r="A238" s="1138" t="s">
        <v>3094</v>
      </c>
      <c r="B238" s="1138" t="s">
        <v>3093</v>
      </c>
      <c r="C238" s="1138" t="s">
        <v>3188</v>
      </c>
      <c r="D238" s="62"/>
      <c r="E238" s="62"/>
      <c r="F238" s="62"/>
      <c r="G238" s="96" t="s">
        <v>278</v>
      </c>
      <c r="H238" s="81" t="s">
        <v>3145</v>
      </c>
      <c r="I238" s="82" t="s">
        <v>25</v>
      </c>
      <c r="J238" s="82"/>
      <c r="K238" s="95">
        <v>8</v>
      </c>
      <c r="L238" s="82" t="s">
        <v>637</v>
      </c>
      <c r="M238" s="9">
        <v>43050</v>
      </c>
      <c r="N238" s="9">
        <v>43065</v>
      </c>
      <c r="O238" s="93" t="s">
        <v>3097</v>
      </c>
      <c r="P238" s="97" t="s">
        <v>3144</v>
      </c>
      <c r="Q238" s="93"/>
      <c r="R238" s="94"/>
      <c r="S238" s="335"/>
      <c r="T238" s="338"/>
    </row>
    <row r="239" spans="1:20" s="41" customFormat="1" ht="20.100000000000001" customHeight="1">
      <c r="A239" s="1138" t="s">
        <v>3094</v>
      </c>
      <c r="B239" s="1138" t="s">
        <v>3093</v>
      </c>
      <c r="C239" s="1138" t="s">
        <v>3188</v>
      </c>
      <c r="D239" s="802"/>
      <c r="E239" s="802"/>
      <c r="F239" s="802"/>
      <c r="G239" s="301" t="s">
        <v>142</v>
      </c>
      <c r="H239" s="298" t="s">
        <v>3147</v>
      </c>
      <c r="I239" s="82" t="s">
        <v>25</v>
      </c>
      <c r="J239" s="82"/>
      <c r="K239" s="82">
        <v>10</v>
      </c>
      <c r="L239" s="82" t="s">
        <v>637</v>
      </c>
      <c r="M239" s="9">
        <v>43009</v>
      </c>
      <c r="N239" s="9">
        <v>43070</v>
      </c>
      <c r="O239" s="93" t="s">
        <v>3097</v>
      </c>
      <c r="P239" s="97" t="s">
        <v>3146</v>
      </c>
      <c r="Q239" s="92" t="s">
        <v>1025</v>
      </c>
      <c r="R239" s="94"/>
      <c r="S239" s="335"/>
      <c r="T239" s="338"/>
    </row>
    <row r="240" spans="1:20" s="41" customFormat="1" ht="20.100000000000001" customHeight="1">
      <c r="A240" s="1138" t="s">
        <v>3094</v>
      </c>
      <c r="B240" s="1138" t="s">
        <v>3093</v>
      </c>
      <c r="C240" s="1138" t="s">
        <v>3187</v>
      </c>
      <c r="D240" s="62"/>
      <c r="E240" s="62"/>
      <c r="F240" s="62"/>
      <c r="G240" s="96" t="s">
        <v>278</v>
      </c>
      <c r="H240" s="81" t="s">
        <v>3145</v>
      </c>
      <c r="I240" s="82" t="s">
        <v>25</v>
      </c>
      <c r="J240" s="82"/>
      <c r="K240" s="95">
        <v>8</v>
      </c>
      <c r="L240" s="82" t="s">
        <v>637</v>
      </c>
      <c r="M240" s="9">
        <v>43050</v>
      </c>
      <c r="N240" s="9">
        <v>43065</v>
      </c>
      <c r="O240" s="93" t="s">
        <v>3097</v>
      </c>
      <c r="P240" s="97" t="s">
        <v>3144</v>
      </c>
      <c r="Q240" s="93"/>
      <c r="R240" s="94"/>
      <c r="S240" s="335"/>
      <c r="T240" s="338"/>
    </row>
    <row r="241" spans="1:20" s="41" customFormat="1" ht="20.100000000000001" customHeight="1">
      <c r="A241" s="1138"/>
      <c r="B241" s="1138"/>
      <c r="C241" s="1138"/>
      <c r="D241" s="62">
        <v>180</v>
      </c>
      <c r="E241" s="62">
        <v>360</v>
      </c>
      <c r="F241" s="62">
        <v>360</v>
      </c>
      <c r="G241" s="215" t="s">
        <v>491</v>
      </c>
      <c r="H241" s="81" t="s">
        <v>3142</v>
      </c>
      <c r="I241" s="82" t="s">
        <v>25</v>
      </c>
      <c r="J241" s="82"/>
      <c r="K241" s="358" t="s">
        <v>3141</v>
      </c>
      <c r="L241" s="82" t="s">
        <v>637</v>
      </c>
      <c r="M241" s="9">
        <v>43079</v>
      </c>
      <c r="N241" s="9">
        <v>43086</v>
      </c>
      <c r="O241" s="97" t="s">
        <v>3097</v>
      </c>
      <c r="P241" s="350" t="s">
        <v>3140</v>
      </c>
      <c r="Q241" s="93"/>
      <c r="R241" s="94" t="s">
        <v>3139</v>
      </c>
      <c r="S241" s="305"/>
      <c r="T241" s="338"/>
    </row>
    <row r="242" spans="1:20" s="41" customFormat="1" ht="20.100000000000001" customHeight="1">
      <c r="A242" s="1138" t="s">
        <v>3094</v>
      </c>
      <c r="B242" s="1138" t="s">
        <v>3093</v>
      </c>
      <c r="C242" s="1138" t="s">
        <v>3187</v>
      </c>
      <c r="D242" s="62">
        <v>220</v>
      </c>
      <c r="E242" s="62">
        <v>440</v>
      </c>
      <c r="F242" s="62">
        <v>440</v>
      </c>
      <c r="G242" s="214" t="s">
        <v>796</v>
      </c>
      <c r="H242" s="81" t="s">
        <v>3135</v>
      </c>
      <c r="I242" s="82" t="s">
        <v>25</v>
      </c>
      <c r="J242" s="82"/>
      <c r="K242" s="95">
        <v>8</v>
      </c>
      <c r="L242" s="82" t="s">
        <v>637</v>
      </c>
      <c r="M242" s="9">
        <v>43052</v>
      </c>
      <c r="N242" s="9">
        <v>43079</v>
      </c>
      <c r="O242" s="97" t="s">
        <v>3097</v>
      </c>
      <c r="P242" s="97" t="s">
        <v>3134</v>
      </c>
      <c r="Q242" s="93"/>
      <c r="R242" s="94"/>
      <c r="S242" s="305" t="s">
        <v>1176</v>
      </c>
      <c r="T242" s="338" t="s">
        <v>1678</v>
      </c>
    </row>
    <row r="243" spans="1:20" s="41" customFormat="1" ht="20.100000000000001" customHeight="1">
      <c r="A243" s="797" t="s">
        <v>3094</v>
      </c>
      <c r="B243" s="797" t="s">
        <v>3093</v>
      </c>
      <c r="C243" s="797" t="s">
        <v>3186</v>
      </c>
      <c r="D243" s="62">
        <v>450</v>
      </c>
      <c r="E243" s="62">
        <v>900</v>
      </c>
      <c r="F243" s="62">
        <v>900</v>
      </c>
      <c r="G243" s="214" t="s">
        <v>796</v>
      </c>
      <c r="H243" s="81" t="s">
        <v>3135</v>
      </c>
      <c r="I243" s="82" t="s">
        <v>25</v>
      </c>
      <c r="J243" s="82"/>
      <c r="K243" s="95">
        <v>8</v>
      </c>
      <c r="L243" s="82" t="s">
        <v>637</v>
      </c>
      <c r="M243" s="9">
        <v>43052</v>
      </c>
      <c r="N243" s="9">
        <v>43079</v>
      </c>
      <c r="O243" s="97" t="s">
        <v>3097</v>
      </c>
      <c r="P243" s="97" t="s">
        <v>3134</v>
      </c>
      <c r="Q243" s="93"/>
      <c r="R243" s="94"/>
      <c r="S243" s="305" t="s">
        <v>1176</v>
      </c>
      <c r="T243" s="338" t="s">
        <v>1678</v>
      </c>
    </row>
    <row r="244" spans="1:20" s="41" customFormat="1" ht="20.100000000000001" customHeight="1">
      <c r="A244" s="1138" t="s">
        <v>3094</v>
      </c>
      <c r="B244" s="1138" t="s">
        <v>3093</v>
      </c>
      <c r="C244" s="1138" t="s">
        <v>3185</v>
      </c>
      <c r="D244" s="62">
        <v>210</v>
      </c>
      <c r="E244" s="62">
        <v>420</v>
      </c>
      <c r="F244" s="62">
        <v>420</v>
      </c>
      <c r="G244" s="96" t="s">
        <v>278</v>
      </c>
      <c r="H244" s="81" t="s">
        <v>3145</v>
      </c>
      <c r="I244" s="82" t="s">
        <v>25</v>
      </c>
      <c r="J244" s="82"/>
      <c r="K244" s="95">
        <v>8</v>
      </c>
      <c r="L244" s="82" t="s">
        <v>637</v>
      </c>
      <c r="M244" s="9">
        <v>43050</v>
      </c>
      <c r="N244" s="9">
        <v>43065</v>
      </c>
      <c r="O244" s="93" t="s">
        <v>3097</v>
      </c>
      <c r="P244" s="97" t="s">
        <v>3144</v>
      </c>
      <c r="Q244" s="93"/>
      <c r="R244" s="57"/>
      <c r="S244" s="321"/>
      <c r="T244" s="338"/>
    </row>
    <row r="245" spans="1:20" s="41" customFormat="1" ht="20.100000000000001" customHeight="1">
      <c r="A245" s="1138" t="s">
        <v>3094</v>
      </c>
      <c r="B245" s="1138" t="s">
        <v>3093</v>
      </c>
      <c r="C245" s="1138" t="s">
        <v>3185</v>
      </c>
      <c r="D245" s="62">
        <v>180</v>
      </c>
      <c r="E245" s="62">
        <v>360</v>
      </c>
      <c r="F245" s="62">
        <v>360</v>
      </c>
      <c r="G245" s="215" t="s">
        <v>491</v>
      </c>
      <c r="H245" s="81" t="s">
        <v>3142</v>
      </c>
      <c r="I245" s="82" t="s">
        <v>25</v>
      </c>
      <c r="J245" s="82"/>
      <c r="K245" s="358" t="s">
        <v>3141</v>
      </c>
      <c r="L245" s="82" t="s">
        <v>637</v>
      </c>
      <c r="M245" s="9">
        <v>43079</v>
      </c>
      <c r="N245" s="9">
        <v>43086</v>
      </c>
      <c r="O245" s="97" t="s">
        <v>3097</v>
      </c>
      <c r="P245" s="350" t="s">
        <v>3140</v>
      </c>
      <c r="Q245" s="93"/>
      <c r="R245" s="94" t="s">
        <v>3139</v>
      </c>
      <c r="S245" s="305"/>
      <c r="T245" s="338" t="s">
        <v>1678</v>
      </c>
    </row>
    <row r="246" spans="1:20" s="41" customFormat="1" ht="20.100000000000001" customHeight="1">
      <c r="A246" s="1138" t="s">
        <v>3094</v>
      </c>
      <c r="B246" s="1138" t="s">
        <v>3093</v>
      </c>
      <c r="C246" s="1138" t="s">
        <v>3185</v>
      </c>
      <c r="D246" s="62">
        <v>220</v>
      </c>
      <c r="E246" s="62">
        <v>440</v>
      </c>
      <c r="F246" s="62">
        <v>440</v>
      </c>
      <c r="G246" s="80" t="s">
        <v>87</v>
      </c>
      <c r="H246" s="81" t="s">
        <v>3138</v>
      </c>
      <c r="I246" s="82" t="s">
        <v>25</v>
      </c>
      <c r="J246" s="82"/>
      <c r="K246" s="95">
        <v>7</v>
      </c>
      <c r="L246" s="82" t="s">
        <v>637</v>
      </c>
      <c r="M246" s="9">
        <v>43045</v>
      </c>
      <c r="N246" s="9">
        <v>43072</v>
      </c>
      <c r="O246" s="97" t="s">
        <v>3097</v>
      </c>
      <c r="P246" s="97" t="s">
        <v>3137</v>
      </c>
      <c r="Q246" s="93"/>
      <c r="R246" s="57" t="s">
        <v>246</v>
      </c>
      <c r="S246" s="322" t="s">
        <v>2849</v>
      </c>
      <c r="T246" s="338"/>
    </row>
    <row r="247" spans="1:20" s="41" customFormat="1" ht="20.100000000000001" customHeight="1">
      <c r="A247" s="1138" t="s">
        <v>3094</v>
      </c>
      <c r="B247" s="1138" t="s">
        <v>3093</v>
      </c>
      <c r="C247" s="1138" t="s">
        <v>3185</v>
      </c>
      <c r="D247" s="62">
        <v>220</v>
      </c>
      <c r="E247" s="62">
        <v>440</v>
      </c>
      <c r="F247" s="62">
        <v>440</v>
      </c>
      <c r="G247" s="214" t="s">
        <v>796</v>
      </c>
      <c r="H247" s="81" t="s">
        <v>3135</v>
      </c>
      <c r="I247" s="82" t="s">
        <v>25</v>
      </c>
      <c r="J247" s="82"/>
      <c r="K247" s="95">
        <v>7</v>
      </c>
      <c r="L247" s="82" t="s">
        <v>637</v>
      </c>
      <c r="M247" s="9">
        <v>43052</v>
      </c>
      <c r="N247" s="9">
        <v>43079</v>
      </c>
      <c r="O247" s="97" t="s">
        <v>3097</v>
      </c>
      <c r="P247" s="97" t="s">
        <v>3134</v>
      </c>
      <c r="Q247" s="93"/>
      <c r="R247" s="94"/>
      <c r="S247" s="305" t="s">
        <v>1176</v>
      </c>
      <c r="T247" s="338" t="s">
        <v>1678</v>
      </c>
    </row>
    <row r="248" spans="1:20" s="41" customFormat="1" ht="20.100000000000001" customHeight="1">
      <c r="A248" s="797" t="s">
        <v>3094</v>
      </c>
      <c r="B248" s="797" t="s">
        <v>3093</v>
      </c>
      <c r="C248" s="797" t="s">
        <v>3184</v>
      </c>
      <c r="D248" s="62">
        <v>370</v>
      </c>
      <c r="E248" s="62">
        <v>740</v>
      </c>
      <c r="F248" s="62">
        <v>740</v>
      </c>
      <c r="G248" s="80" t="s">
        <v>87</v>
      </c>
      <c r="H248" s="81" t="s">
        <v>3138</v>
      </c>
      <c r="I248" s="82" t="s">
        <v>25</v>
      </c>
      <c r="J248" s="82"/>
      <c r="K248" s="95">
        <v>10</v>
      </c>
      <c r="L248" s="82" t="s">
        <v>637</v>
      </c>
      <c r="M248" s="9">
        <v>43067</v>
      </c>
      <c r="N248" s="9">
        <v>43072</v>
      </c>
      <c r="O248" s="97" t="s">
        <v>3097</v>
      </c>
      <c r="P248" s="97" t="s">
        <v>3137</v>
      </c>
      <c r="Q248" s="93"/>
      <c r="R248" s="57" t="s">
        <v>246</v>
      </c>
      <c r="S248" s="322" t="s">
        <v>2849</v>
      </c>
      <c r="T248" s="338"/>
    </row>
    <row r="249" spans="1:20" s="41" customFormat="1" ht="20.100000000000001" customHeight="1">
      <c r="A249" s="1138" t="s">
        <v>3094</v>
      </c>
      <c r="B249" s="1138" t="s">
        <v>3093</v>
      </c>
      <c r="C249" s="1138" t="s">
        <v>3177</v>
      </c>
      <c r="D249" s="802">
        <v>700</v>
      </c>
      <c r="E249" s="802">
        <v>1400</v>
      </c>
      <c r="F249" s="802">
        <v>1400</v>
      </c>
      <c r="G249" s="80" t="s">
        <v>3091</v>
      </c>
      <c r="H249" s="81" t="s">
        <v>1102</v>
      </c>
      <c r="I249" s="82" t="s">
        <v>17</v>
      </c>
      <c r="J249" s="82"/>
      <c r="K249" s="95" t="s">
        <v>681</v>
      </c>
      <c r="L249" s="82" t="s">
        <v>1481</v>
      </c>
      <c r="M249" s="82"/>
      <c r="N249" s="9">
        <v>43030</v>
      </c>
      <c r="O249" s="61" t="s">
        <v>3183</v>
      </c>
      <c r="P249" s="97"/>
      <c r="Q249" s="83"/>
      <c r="R249" s="94" t="s">
        <v>3182</v>
      </c>
      <c r="S249" s="335"/>
      <c r="T249" s="338"/>
    </row>
    <row r="250" spans="1:20" s="41" customFormat="1" ht="20.100000000000001" customHeight="1">
      <c r="A250" s="1138" t="s">
        <v>3094</v>
      </c>
      <c r="B250" s="1138" t="s">
        <v>3093</v>
      </c>
      <c r="C250" s="1138" t="s">
        <v>3177</v>
      </c>
      <c r="D250" s="62">
        <v>660</v>
      </c>
      <c r="E250" s="62">
        <v>1320</v>
      </c>
      <c r="F250" s="62">
        <v>1320</v>
      </c>
      <c r="G250" s="80" t="s">
        <v>6</v>
      </c>
      <c r="H250" s="298" t="s">
        <v>3181</v>
      </c>
      <c r="I250" s="82" t="s">
        <v>25</v>
      </c>
      <c r="J250" s="82"/>
      <c r="K250" s="95" t="s">
        <v>3180</v>
      </c>
      <c r="L250" s="82" t="s">
        <v>768</v>
      </c>
      <c r="M250" s="82"/>
      <c r="N250" s="9">
        <v>43030</v>
      </c>
      <c r="O250" s="83" t="s">
        <v>3097</v>
      </c>
      <c r="P250" s="97"/>
      <c r="Q250" s="93"/>
      <c r="R250" s="77" t="s">
        <v>3179</v>
      </c>
      <c r="S250" s="316" t="s">
        <v>3178</v>
      </c>
      <c r="T250" s="338"/>
    </row>
    <row r="251" spans="1:20" s="41" customFormat="1" ht="20.100000000000001" customHeight="1">
      <c r="A251" s="1138" t="s">
        <v>3094</v>
      </c>
      <c r="B251" s="1138" t="s">
        <v>3093</v>
      </c>
      <c r="C251" s="1138" t="s">
        <v>3177</v>
      </c>
      <c r="D251" s="357">
        <v>780</v>
      </c>
      <c r="E251" s="357"/>
      <c r="F251" s="357">
        <v>1575</v>
      </c>
      <c r="G251" s="84" t="s">
        <v>49</v>
      </c>
      <c r="H251" s="298" t="s">
        <v>1098</v>
      </c>
      <c r="I251" s="38" t="s">
        <v>80</v>
      </c>
      <c r="J251" s="38"/>
      <c r="K251" s="37" t="s">
        <v>2265</v>
      </c>
      <c r="L251" s="82" t="s">
        <v>641</v>
      </c>
      <c r="M251" s="82"/>
      <c r="N251" s="9">
        <v>43030</v>
      </c>
      <c r="O251" s="83" t="s">
        <v>3176</v>
      </c>
      <c r="P251" s="97"/>
      <c r="Q251" s="83"/>
      <c r="R251" s="17"/>
      <c r="S251" s="319"/>
      <c r="T251" s="338"/>
    </row>
    <row r="252" spans="1:20" s="41" customFormat="1" ht="20.100000000000001" customHeight="1">
      <c r="A252" s="1138" t="s">
        <v>3094</v>
      </c>
      <c r="B252" s="1138" t="s">
        <v>3093</v>
      </c>
      <c r="C252" s="1138" t="s">
        <v>3175</v>
      </c>
      <c r="D252" s="62">
        <v>300</v>
      </c>
      <c r="E252" s="62">
        <v>600</v>
      </c>
      <c r="F252" s="62">
        <v>600</v>
      </c>
      <c r="G252" s="80" t="s">
        <v>87</v>
      </c>
      <c r="H252" s="81" t="s">
        <v>3138</v>
      </c>
      <c r="I252" s="82" t="s">
        <v>25</v>
      </c>
      <c r="J252" s="82"/>
      <c r="K252" s="95">
        <v>7</v>
      </c>
      <c r="L252" s="82" t="s">
        <v>637</v>
      </c>
      <c r="M252" s="9">
        <v>43045</v>
      </c>
      <c r="N252" s="9">
        <v>43072</v>
      </c>
      <c r="O252" s="97" t="s">
        <v>3097</v>
      </c>
      <c r="P252" s="97" t="s">
        <v>3137</v>
      </c>
      <c r="Q252" s="93"/>
      <c r="R252" s="57" t="s">
        <v>246</v>
      </c>
      <c r="S252" s="322" t="s">
        <v>2849</v>
      </c>
      <c r="T252" s="338"/>
    </row>
    <row r="253" spans="1:20" s="41" customFormat="1" ht="20.100000000000001" customHeight="1">
      <c r="A253" s="1138" t="s">
        <v>3094</v>
      </c>
      <c r="B253" s="1138" t="s">
        <v>3093</v>
      </c>
      <c r="C253" s="1138" t="s">
        <v>3175</v>
      </c>
      <c r="D253" s="62"/>
      <c r="E253" s="62"/>
      <c r="F253" s="62"/>
      <c r="G253" s="96" t="s">
        <v>278</v>
      </c>
      <c r="H253" s="81" t="s">
        <v>3145</v>
      </c>
      <c r="I253" s="82" t="s">
        <v>25</v>
      </c>
      <c r="J253" s="82"/>
      <c r="K253" s="95">
        <v>8</v>
      </c>
      <c r="L253" s="82" t="s">
        <v>637</v>
      </c>
      <c r="M253" s="9">
        <v>43050</v>
      </c>
      <c r="N253" s="9">
        <v>43065</v>
      </c>
      <c r="O253" s="93" t="s">
        <v>3097</v>
      </c>
      <c r="P253" s="97" t="s">
        <v>3144</v>
      </c>
      <c r="Q253" s="93"/>
      <c r="R253" s="57"/>
      <c r="S253" s="321"/>
      <c r="T253" s="338"/>
    </row>
    <row r="254" spans="1:20" s="41" customFormat="1" ht="20.100000000000001" customHeight="1">
      <c r="A254" s="797" t="s">
        <v>3094</v>
      </c>
      <c r="B254" s="797" t="s">
        <v>3093</v>
      </c>
      <c r="C254" s="797" t="s">
        <v>3174</v>
      </c>
      <c r="D254" s="62">
        <v>220</v>
      </c>
      <c r="E254" s="62">
        <v>440</v>
      </c>
      <c r="F254" s="62">
        <v>440</v>
      </c>
      <c r="G254" s="80" t="s">
        <v>87</v>
      </c>
      <c r="H254" s="81" t="s">
        <v>3138</v>
      </c>
      <c r="I254" s="82" t="s">
        <v>25</v>
      </c>
      <c r="J254" s="82"/>
      <c r="K254" s="95">
        <v>8</v>
      </c>
      <c r="L254" s="82" t="s">
        <v>637</v>
      </c>
      <c r="M254" s="9">
        <v>43045</v>
      </c>
      <c r="N254" s="9">
        <v>43072</v>
      </c>
      <c r="O254" s="97" t="s">
        <v>3097</v>
      </c>
      <c r="P254" s="97" t="s">
        <v>3137</v>
      </c>
      <c r="Q254" s="83"/>
      <c r="R254" s="57" t="s">
        <v>246</v>
      </c>
      <c r="S254" s="322" t="s">
        <v>2849</v>
      </c>
      <c r="T254" s="338"/>
    </row>
    <row r="255" spans="1:20" s="41" customFormat="1" ht="20.100000000000001" customHeight="1">
      <c r="A255" s="1190" t="s">
        <v>3094</v>
      </c>
      <c r="B255" s="1190" t="s">
        <v>3093</v>
      </c>
      <c r="C255" s="1190" t="s">
        <v>3173</v>
      </c>
      <c r="D255" s="62">
        <v>220</v>
      </c>
      <c r="E255" s="62">
        <v>440</v>
      </c>
      <c r="F255" s="62">
        <v>440</v>
      </c>
      <c r="G255" s="84" t="s">
        <v>87</v>
      </c>
      <c r="H255" s="81" t="s">
        <v>3138</v>
      </c>
      <c r="I255" s="82" t="s">
        <v>25</v>
      </c>
      <c r="J255" s="82"/>
      <c r="K255" s="95">
        <v>7</v>
      </c>
      <c r="L255" s="82" t="s">
        <v>637</v>
      </c>
      <c r="M255" s="9">
        <v>43045</v>
      </c>
      <c r="N255" s="9">
        <v>43072</v>
      </c>
      <c r="O255" s="97" t="s">
        <v>3097</v>
      </c>
      <c r="P255" s="97" t="s">
        <v>3137</v>
      </c>
      <c r="Q255" s="93"/>
      <c r="R255" s="57" t="s">
        <v>246</v>
      </c>
      <c r="S255" s="322" t="s">
        <v>2849</v>
      </c>
      <c r="T255" s="338"/>
    </row>
    <row r="256" spans="1:20" s="41" customFormat="1" ht="20.100000000000001" customHeight="1">
      <c r="A256" s="1190" t="s">
        <v>3094</v>
      </c>
      <c r="B256" s="1190" t="s">
        <v>3093</v>
      </c>
      <c r="C256" s="1190" t="s">
        <v>3173</v>
      </c>
      <c r="D256" s="62">
        <v>180</v>
      </c>
      <c r="E256" s="62">
        <v>360</v>
      </c>
      <c r="F256" s="62">
        <v>360</v>
      </c>
      <c r="G256" s="215" t="s">
        <v>491</v>
      </c>
      <c r="H256" s="81" t="s">
        <v>3142</v>
      </c>
      <c r="I256" s="82" t="s">
        <v>25</v>
      </c>
      <c r="J256" s="82"/>
      <c r="K256" s="358" t="s">
        <v>3141</v>
      </c>
      <c r="L256" s="82" t="s">
        <v>637</v>
      </c>
      <c r="M256" s="9">
        <v>43079</v>
      </c>
      <c r="N256" s="9">
        <v>43086</v>
      </c>
      <c r="O256" s="97" t="s">
        <v>3097</v>
      </c>
      <c r="P256" s="350" t="s">
        <v>3140</v>
      </c>
      <c r="Q256" s="83"/>
      <c r="R256" s="94" t="s">
        <v>3139</v>
      </c>
      <c r="S256" s="322"/>
      <c r="T256" s="338" t="s">
        <v>1678</v>
      </c>
    </row>
    <row r="257" spans="1:20" s="41" customFormat="1" ht="20.100000000000001" customHeight="1">
      <c r="A257" s="1190" t="s">
        <v>3094</v>
      </c>
      <c r="B257" s="1190" t="s">
        <v>3093</v>
      </c>
      <c r="C257" s="1190" t="s">
        <v>3173</v>
      </c>
      <c r="D257" s="62">
        <v>210</v>
      </c>
      <c r="E257" s="62">
        <v>420</v>
      </c>
      <c r="F257" s="62">
        <v>420</v>
      </c>
      <c r="G257" s="96" t="s">
        <v>278</v>
      </c>
      <c r="H257" s="81" t="s">
        <v>3145</v>
      </c>
      <c r="I257" s="82" t="s">
        <v>25</v>
      </c>
      <c r="J257" s="82"/>
      <c r="K257" s="95">
        <v>8</v>
      </c>
      <c r="L257" s="82" t="s">
        <v>637</v>
      </c>
      <c r="M257" s="9">
        <v>43050</v>
      </c>
      <c r="N257" s="9">
        <v>43065</v>
      </c>
      <c r="O257" s="93" t="s">
        <v>3097</v>
      </c>
      <c r="P257" s="97" t="s">
        <v>3144</v>
      </c>
      <c r="Q257" s="93"/>
      <c r="R257" s="57"/>
      <c r="S257" s="321"/>
      <c r="T257" s="338"/>
    </row>
    <row r="258" spans="1:20" s="41" customFormat="1" ht="20.100000000000001" customHeight="1">
      <c r="A258" s="1190" t="s">
        <v>3094</v>
      </c>
      <c r="B258" s="1190" t="s">
        <v>3093</v>
      </c>
      <c r="C258" s="1190" t="s">
        <v>3172</v>
      </c>
      <c r="D258" s="802">
        <v>290</v>
      </c>
      <c r="E258" s="802">
        <v>580</v>
      </c>
      <c r="F258" s="802">
        <v>580</v>
      </c>
      <c r="G258" s="80" t="s">
        <v>142</v>
      </c>
      <c r="H258" s="81">
        <v>4</v>
      </c>
      <c r="I258" s="82" t="s">
        <v>17</v>
      </c>
      <c r="J258" s="82"/>
      <c r="K258" s="95">
        <v>4</v>
      </c>
      <c r="L258" s="82" t="s">
        <v>637</v>
      </c>
      <c r="M258" s="9">
        <v>43009</v>
      </c>
      <c r="N258" s="9">
        <v>43070</v>
      </c>
      <c r="O258" s="93" t="s">
        <v>3097</v>
      </c>
      <c r="P258" s="97" t="s">
        <v>3146</v>
      </c>
      <c r="Q258" s="93"/>
      <c r="R258" s="94"/>
      <c r="S258" s="335"/>
      <c r="T258" s="338"/>
    </row>
    <row r="259" spans="1:20" s="41" customFormat="1" ht="20.100000000000001" customHeight="1">
      <c r="A259" s="1190" t="s">
        <v>3094</v>
      </c>
      <c r="B259" s="1190" t="s">
        <v>3093</v>
      </c>
      <c r="C259" s="1190" t="s">
        <v>3172</v>
      </c>
      <c r="D259" s="62">
        <v>250</v>
      </c>
      <c r="E259" s="62">
        <v>500</v>
      </c>
      <c r="F259" s="62">
        <v>500</v>
      </c>
      <c r="G259" s="215" t="s">
        <v>491</v>
      </c>
      <c r="H259" s="81">
        <v>4</v>
      </c>
      <c r="I259" s="82" t="s">
        <v>17</v>
      </c>
      <c r="J259" s="82"/>
      <c r="K259" s="358" t="s">
        <v>1098</v>
      </c>
      <c r="L259" s="82" t="s">
        <v>1192</v>
      </c>
      <c r="M259" s="9">
        <v>43083</v>
      </c>
      <c r="N259" s="9">
        <v>43086</v>
      </c>
      <c r="O259" s="97" t="s">
        <v>3097</v>
      </c>
      <c r="P259" s="350" t="s">
        <v>3140</v>
      </c>
      <c r="Q259" s="249"/>
      <c r="R259" s="94" t="s">
        <v>3153</v>
      </c>
      <c r="S259" s="321"/>
      <c r="T259" s="338" t="s">
        <v>1678</v>
      </c>
    </row>
    <row r="260" spans="1:20" s="41" customFormat="1" ht="20.100000000000001" customHeight="1">
      <c r="A260" s="1190" t="s">
        <v>3094</v>
      </c>
      <c r="B260" s="1190" t="s">
        <v>3093</v>
      </c>
      <c r="C260" s="1190" t="s">
        <v>3172</v>
      </c>
      <c r="D260" s="62">
        <v>260</v>
      </c>
      <c r="E260" s="62">
        <v>520</v>
      </c>
      <c r="F260" s="62">
        <v>520</v>
      </c>
      <c r="G260" s="96" t="s">
        <v>278</v>
      </c>
      <c r="H260" s="81">
        <v>4</v>
      </c>
      <c r="I260" s="82" t="s">
        <v>17</v>
      </c>
      <c r="J260" s="82"/>
      <c r="K260" s="95">
        <v>5</v>
      </c>
      <c r="L260" s="82" t="s">
        <v>1192</v>
      </c>
      <c r="M260" s="9">
        <v>43050</v>
      </c>
      <c r="N260" s="9">
        <v>43065</v>
      </c>
      <c r="O260" s="93" t="s">
        <v>3097</v>
      </c>
      <c r="P260" s="97" t="s">
        <v>3144</v>
      </c>
      <c r="Q260" s="93"/>
      <c r="R260" s="94" t="s">
        <v>3153</v>
      </c>
      <c r="S260" s="321"/>
      <c r="T260" s="338"/>
    </row>
    <row r="261" spans="1:20" s="41" customFormat="1" ht="20.100000000000001" customHeight="1">
      <c r="A261" s="1190" t="s">
        <v>3094</v>
      </c>
      <c r="B261" s="1190" t="s">
        <v>3093</v>
      </c>
      <c r="C261" s="1190" t="s">
        <v>3172</v>
      </c>
      <c r="D261" s="62">
        <v>220</v>
      </c>
      <c r="E261" s="62">
        <v>440</v>
      </c>
      <c r="F261" s="62">
        <v>440</v>
      </c>
      <c r="G261" s="84" t="s">
        <v>87</v>
      </c>
      <c r="H261" s="81" t="s">
        <v>3138</v>
      </c>
      <c r="I261" s="82" t="s">
        <v>25</v>
      </c>
      <c r="J261" s="82"/>
      <c r="K261" s="95">
        <v>7</v>
      </c>
      <c r="L261" s="82" t="s">
        <v>637</v>
      </c>
      <c r="M261" s="9">
        <v>43045</v>
      </c>
      <c r="N261" s="9">
        <v>43072</v>
      </c>
      <c r="O261" s="97" t="s">
        <v>3097</v>
      </c>
      <c r="P261" s="97" t="s">
        <v>3137</v>
      </c>
      <c r="Q261" s="93"/>
      <c r="R261" s="57" t="s">
        <v>246</v>
      </c>
      <c r="S261" s="322" t="s">
        <v>2849</v>
      </c>
      <c r="T261" s="338"/>
    </row>
    <row r="262" spans="1:20" s="41" customFormat="1" ht="20.100000000000001" customHeight="1">
      <c r="A262" s="1190" t="s">
        <v>3094</v>
      </c>
      <c r="B262" s="1190" t="s">
        <v>3093</v>
      </c>
      <c r="C262" s="1190" t="s">
        <v>3172</v>
      </c>
      <c r="D262" s="62">
        <v>180</v>
      </c>
      <c r="E262" s="62">
        <v>360</v>
      </c>
      <c r="F262" s="62">
        <v>360</v>
      </c>
      <c r="G262" s="215" t="s">
        <v>491</v>
      </c>
      <c r="H262" s="81" t="s">
        <v>3142</v>
      </c>
      <c r="I262" s="82" t="s">
        <v>25</v>
      </c>
      <c r="J262" s="82"/>
      <c r="K262" s="358" t="s">
        <v>3141</v>
      </c>
      <c r="L262" s="82" t="s">
        <v>637</v>
      </c>
      <c r="M262" s="9">
        <v>43079</v>
      </c>
      <c r="N262" s="9">
        <v>43086</v>
      </c>
      <c r="O262" s="97" t="s">
        <v>3097</v>
      </c>
      <c r="P262" s="350" t="s">
        <v>3140</v>
      </c>
      <c r="Q262" s="93"/>
      <c r="R262" s="94" t="s">
        <v>3139</v>
      </c>
      <c r="S262" s="321"/>
      <c r="T262" s="338" t="s">
        <v>1678</v>
      </c>
    </row>
    <row r="263" spans="1:20" s="41" customFormat="1" ht="20.100000000000001" customHeight="1">
      <c r="A263" s="1190" t="s">
        <v>3094</v>
      </c>
      <c r="B263" s="1190" t="s">
        <v>3093</v>
      </c>
      <c r="C263" s="1190" t="s">
        <v>3172</v>
      </c>
      <c r="D263" s="802">
        <v>290</v>
      </c>
      <c r="E263" s="802">
        <v>580</v>
      </c>
      <c r="F263" s="802">
        <v>580</v>
      </c>
      <c r="G263" s="80" t="s">
        <v>142</v>
      </c>
      <c r="H263" s="81" t="s">
        <v>3147</v>
      </c>
      <c r="I263" s="82" t="s">
        <v>25</v>
      </c>
      <c r="J263" s="82"/>
      <c r="K263" s="95">
        <v>9</v>
      </c>
      <c r="L263" s="82" t="s">
        <v>637</v>
      </c>
      <c r="M263" s="9">
        <v>43009</v>
      </c>
      <c r="N263" s="9">
        <v>43070</v>
      </c>
      <c r="O263" s="93" t="s">
        <v>3097</v>
      </c>
      <c r="P263" s="97" t="s">
        <v>3146</v>
      </c>
      <c r="Q263" s="93"/>
      <c r="R263" s="94"/>
      <c r="S263" s="335"/>
      <c r="T263" s="338"/>
    </row>
    <row r="264" spans="1:20" s="41" customFormat="1" ht="20.100000000000001" customHeight="1">
      <c r="A264" s="1190" t="s">
        <v>3094</v>
      </c>
      <c r="B264" s="1190" t="s">
        <v>3093</v>
      </c>
      <c r="C264" s="1190" t="s">
        <v>3172</v>
      </c>
      <c r="D264" s="62">
        <v>210</v>
      </c>
      <c r="E264" s="62">
        <v>420</v>
      </c>
      <c r="F264" s="62">
        <v>420</v>
      </c>
      <c r="G264" s="96" t="s">
        <v>278</v>
      </c>
      <c r="H264" s="81" t="s">
        <v>3145</v>
      </c>
      <c r="I264" s="82" t="s">
        <v>25</v>
      </c>
      <c r="J264" s="82"/>
      <c r="K264" s="95">
        <v>8</v>
      </c>
      <c r="L264" s="82" t="s">
        <v>637</v>
      </c>
      <c r="M264" s="9">
        <v>43050</v>
      </c>
      <c r="N264" s="9">
        <v>43065</v>
      </c>
      <c r="O264" s="93" t="s">
        <v>3097</v>
      </c>
      <c r="P264" s="97" t="s">
        <v>3144</v>
      </c>
      <c r="Q264" s="93"/>
      <c r="R264" s="57"/>
      <c r="S264" s="321"/>
      <c r="T264" s="338"/>
    </row>
    <row r="265" spans="1:20" s="41" customFormat="1" ht="20.100000000000001" customHeight="1">
      <c r="A265" s="1190" t="s">
        <v>3094</v>
      </c>
      <c r="B265" s="1190" t="s">
        <v>3093</v>
      </c>
      <c r="C265" s="1190" t="s">
        <v>3172</v>
      </c>
      <c r="D265" s="62">
        <v>220</v>
      </c>
      <c r="E265" s="62">
        <v>440</v>
      </c>
      <c r="F265" s="62">
        <v>440</v>
      </c>
      <c r="G265" s="214" t="s">
        <v>796</v>
      </c>
      <c r="H265" s="81" t="s">
        <v>3135</v>
      </c>
      <c r="I265" s="82" t="s">
        <v>25</v>
      </c>
      <c r="J265" s="82"/>
      <c r="K265" s="95">
        <v>7</v>
      </c>
      <c r="L265" s="82" t="s">
        <v>637</v>
      </c>
      <c r="M265" s="9">
        <v>43052</v>
      </c>
      <c r="N265" s="9">
        <v>43079</v>
      </c>
      <c r="O265" s="97" t="s">
        <v>3097</v>
      </c>
      <c r="P265" s="97" t="s">
        <v>3134</v>
      </c>
      <c r="Q265" s="93"/>
      <c r="R265" s="94"/>
      <c r="S265" s="305" t="s">
        <v>1176</v>
      </c>
      <c r="T265" s="338" t="s">
        <v>1678</v>
      </c>
    </row>
    <row r="266" spans="1:20" s="41" customFormat="1" ht="20.100000000000001" customHeight="1">
      <c r="A266" s="1190" t="s">
        <v>3094</v>
      </c>
      <c r="B266" s="1190" t="s">
        <v>3093</v>
      </c>
      <c r="C266" s="1190" t="s">
        <v>3171</v>
      </c>
      <c r="D266" s="62">
        <v>220</v>
      </c>
      <c r="E266" s="62">
        <v>440</v>
      </c>
      <c r="F266" s="62">
        <v>440</v>
      </c>
      <c r="G266" s="80" t="s">
        <v>87</v>
      </c>
      <c r="H266" s="81" t="s">
        <v>3138</v>
      </c>
      <c r="I266" s="82" t="s">
        <v>25</v>
      </c>
      <c r="J266" s="82"/>
      <c r="K266" s="95">
        <v>7</v>
      </c>
      <c r="L266" s="82" t="s">
        <v>637</v>
      </c>
      <c r="M266" s="9">
        <v>43045</v>
      </c>
      <c r="N266" s="9">
        <v>43072</v>
      </c>
      <c r="O266" s="97" t="s">
        <v>3097</v>
      </c>
      <c r="P266" s="97" t="s">
        <v>3137</v>
      </c>
      <c r="Q266" s="93"/>
      <c r="R266" s="57" t="s">
        <v>246</v>
      </c>
      <c r="S266" s="322" t="s">
        <v>2849</v>
      </c>
      <c r="T266" s="338"/>
    </row>
    <row r="267" spans="1:20" s="41" customFormat="1" ht="20.100000000000001" customHeight="1">
      <c r="A267" s="1190" t="s">
        <v>3094</v>
      </c>
      <c r="B267" s="1190" t="s">
        <v>3093</v>
      </c>
      <c r="C267" s="1190" t="s">
        <v>3171</v>
      </c>
      <c r="D267" s="802">
        <v>220</v>
      </c>
      <c r="E267" s="802">
        <v>440</v>
      </c>
      <c r="F267" s="802">
        <v>440</v>
      </c>
      <c r="G267" s="80" t="s">
        <v>142</v>
      </c>
      <c r="H267" s="81" t="s">
        <v>631</v>
      </c>
      <c r="I267" s="82" t="s">
        <v>25</v>
      </c>
      <c r="J267" s="82"/>
      <c r="K267" s="82">
        <v>6</v>
      </c>
      <c r="L267" s="82" t="s">
        <v>637</v>
      </c>
      <c r="M267" s="9">
        <v>43009</v>
      </c>
      <c r="N267" s="9">
        <v>43070</v>
      </c>
      <c r="O267" s="93" t="s">
        <v>3097</v>
      </c>
      <c r="P267" s="97" t="s">
        <v>3146</v>
      </c>
      <c r="Q267" s="93"/>
      <c r="R267" s="94"/>
      <c r="S267" s="335"/>
      <c r="T267" s="338"/>
    </row>
    <row r="268" spans="1:20" s="41" customFormat="1" ht="20.100000000000001" customHeight="1">
      <c r="A268" s="1190" t="s">
        <v>3094</v>
      </c>
      <c r="B268" s="1190" t="s">
        <v>3093</v>
      </c>
      <c r="C268" s="1190" t="s">
        <v>3170</v>
      </c>
      <c r="D268" s="62">
        <v>210</v>
      </c>
      <c r="E268" s="62">
        <v>420</v>
      </c>
      <c r="F268" s="62">
        <v>420</v>
      </c>
      <c r="G268" s="96" t="s">
        <v>278</v>
      </c>
      <c r="H268" s="81" t="s">
        <v>3145</v>
      </c>
      <c r="I268" s="82" t="s">
        <v>25</v>
      </c>
      <c r="J268" s="82"/>
      <c r="K268" s="95">
        <v>8</v>
      </c>
      <c r="L268" s="82" t="s">
        <v>637</v>
      </c>
      <c r="M268" s="9">
        <v>43050</v>
      </c>
      <c r="N268" s="9">
        <v>43065</v>
      </c>
      <c r="O268" s="93" t="s">
        <v>3097</v>
      </c>
      <c r="P268" s="97" t="s">
        <v>3144</v>
      </c>
      <c r="Q268" s="93"/>
      <c r="R268" s="57"/>
      <c r="S268" s="321"/>
      <c r="T268" s="338"/>
    </row>
    <row r="269" spans="1:20" s="41" customFormat="1" ht="20.100000000000001" customHeight="1">
      <c r="A269" s="1190" t="s">
        <v>3094</v>
      </c>
      <c r="B269" s="1190" t="s">
        <v>3093</v>
      </c>
      <c r="C269" s="1190" t="s">
        <v>3170</v>
      </c>
      <c r="D269" s="802">
        <v>590</v>
      </c>
      <c r="E269" s="802">
        <v>1080</v>
      </c>
      <c r="F269" s="802">
        <v>1080</v>
      </c>
      <c r="G269" s="80" t="s">
        <v>142</v>
      </c>
      <c r="H269" s="81" t="s">
        <v>3147</v>
      </c>
      <c r="I269" s="82" t="s">
        <v>25</v>
      </c>
      <c r="J269" s="82"/>
      <c r="K269" s="95">
        <v>8</v>
      </c>
      <c r="L269" s="82" t="s">
        <v>637</v>
      </c>
      <c r="M269" s="9">
        <v>43009</v>
      </c>
      <c r="N269" s="9">
        <v>43070</v>
      </c>
      <c r="O269" s="93" t="s">
        <v>3097</v>
      </c>
      <c r="P269" s="97" t="s">
        <v>3146</v>
      </c>
      <c r="Q269" s="10"/>
      <c r="R269" s="94"/>
      <c r="S269" s="335"/>
      <c r="T269" s="338"/>
    </row>
    <row r="270" spans="1:20" s="41" customFormat="1" ht="20.100000000000001" customHeight="1">
      <c r="A270" s="1190" t="s">
        <v>3094</v>
      </c>
      <c r="B270" s="1190" t="s">
        <v>3093</v>
      </c>
      <c r="C270" s="1190" t="s">
        <v>3169</v>
      </c>
      <c r="D270" s="62">
        <v>270</v>
      </c>
      <c r="E270" s="62">
        <v>540</v>
      </c>
      <c r="F270" s="62">
        <v>540</v>
      </c>
      <c r="G270" s="214" t="s">
        <v>796</v>
      </c>
      <c r="H270" s="81">
        <v>3</v>
      </c>
      <c r="I270" s="82" t="s">
        <v>17</v>
      </c>
      <c r="J270" s="82"/>
      <c r="K270" s="95">
        <v>7</v>
      </c>
      <c r="L270" s="82" t="s">
        <v>1192</v>
      </c>
      <c r="M270" s="9">
        <v>43052</v>
      </c>
      <c r="N270" s="9">
        <v>43079</v>
      </c>
      <c r="O270" s="97" t="s">
        <v>3097</v>
      </c>
      <c r="P270" s="97" t="s">
        <v>3134</v>
      </c>
      <c r="Q270" s="93"/>
      <c r="R270" s="94" t="s">
        <v>3160</v>
      </c>
      <c r="S270" s="305" t="s">
        <v>1176</v>
      </c>
      <c r="T270" s="338" t="s">
        <v>1678</v>
      </c>
    </row>
    <row r="271" spans="1:20" s="41" customFormat="1" ht="20.100000000000001" customHeight="1">
      <c r="A271" s="1190" t="s">
        <v>3094</v>
      </c>
      <c r="B271" s="1190" t="s">
        <v>3093</v>
      </c>
      <c r="C271" s="1190" t="s">
        <v>3169</v>
      </c>
      <c r="D271" s="62">
        <v>280</v>
      </c>
      <c r="E271" s="62">
        <v>560</v>
      </c>
      <c r="F271" s="62">
        <v>560</v>
      </c>
      <c r="G271" s="80" t="s">
        <v>87</v>
      </c>
      <c r="H271" s="81">
        <v>3</v>
      </c>
      <c r="I271" s="82" t="s">
        <v>17</v>
      </c>
      <c r="J271" s="82"/>
      <c r="K271" s="95">
        <v>7</v>
      </c>
      <c r="L271" s="82" t="s">
        <v>1192</v>
      </c>
      <c r="M271" s="9">
        <v>43045</v>
      </c>
      <c r="N271" s="9">
        <v>43072</v>
      </c>
      <c r="O271" s="97" t="s">
        <v>3097</v>
      </c>
      <c r="P271" s="97" t="s">
        <v>3137</v>
      </c>
      <c r="Q271" s="167"/>
      <c r="R271" s="94" t="s">
        <v>3162</v>
      </c>
      <c r="S271" s="322" t="s">
        <v>2849</v>
      </c>
      <c r="T271" s="338"/>
    </row>
    <row r="272" spans="1:20" s="41" customFormat="1" ht="20.100000000000001" customHeight="1">
      <c r="A272" s="1190" t="s">
        <v>3094</v>
      </c>
      <c r="B272" s="1190" t="s">
        <v>3093</v>
      </c>
      <c r="C272" s="1190" t="s">
        <v>3169</v>
      </c>
      <c r="D272" s="802">
        <v>390</v>
      </c>
      <c r="E272" s="802">
        <v>780</v>
      </c>
      <c r="F272" s="802">
        <v>780</v>
      </c>
      <c r="G272" s="80" t="s">
        <v>142</v>
      </c>
      <c r="H272" s="81">
        <v>6</v>
      </c>
      <c r="I272" s="82" t="s">
        <v>17</v>
      </c>
      <c r="J272" s="82"/>
      <c r="K272" s="95">
        <v>8</v>
      </c>
      <c r="L272" s="82" t="s">
        <v>637</v>
      </c>
      <c r="M272" s="9">
        <v>43009</v>
      </c>
      <c r="N272" s="9">
        <v>43070</v>
      </c>
      <c r="O272" s="93" t="s">
        <v>3097</v>
      </c>
      <c r="P272" s="97" t="s">
        <v>3146</v>
      </c>
      <c r="Q272" s="93"/>
      <c r="R272" s="94"/>
      <c r="S272" s="335"/>
      <c r="T272" s="338"/>
    </row>
    <row r="273" spans="1:20" s="41" customFormat="1" ht="20.100000000000001" customHeight="1">
      <c r="A273" s="1190" t="s">
        <v>3094</v>
      </c>
      <c r="B273" s="1190" t="s">
        <v>3093</v>
      </c>
      <c r="C273" s="1190" t="s">
        <v>3169</v>
      </c>
      <c r="D273" s="802">
        <v>520</v>
      </c>
      <c r="E273" s="802">
        <v>1040</v>
      </c>
      <c r="F273" s="802">
        <v>1040</v>
      </c>
      <c r="G273" s="80" t="s">
        <v>142</v>
      </c>
      <c r="H273" s="81" t="s">
        <v>3147</v>
      </c>
      <c r="I273" s="82" t="s">
        <v>25</v>
      </c>
      <c r="J273" s="82"/>
      <c r="K273" s="95">
        <v>10</v>
      </c>
      <c r="L273" s="82" t="s">
        <v>637</v>
      </c>
      <c r="M273" s="9">
        <v>43009</v>
      </c>
      <c r="N273" s="9">
        <v>43070</v>
      </c>
      <c r="O273" s="93" t="s">
        <v>3097</v>
      </c>
      <c r="P273" s="97" t="s">
        <v>3146</v>
      </c>
      <c r="Q273" s="93"/>
      <c r="R273" s="94"/>
      <c r="S273" s="335"/>
      <c r="T273" s="338"/>
    </row>
    <row r="274" spans="1:20" s="41" customFormat="1" ht="20.100000000000001" customHeight="1">
      <c r="A274" s="1190" t="s">
        <v>3094</v>
      </c>
      <c r="B274" s="1190" t="s">
        <v>3093</v>
      </c>
      <c r="C274" s="1190" t="s">
        <v>3168</v>
      </c>
      <c r="D274" s="62">
        <v>250</v>
      </c>
      <c r="E274" s="62">
        <v>500</v>
      </c>
      <c r="F274" s="62">
        <v>500</v>
      </c>
      <c r="G274" s="215" t="s">
        <v>491</v>
      </c>
      <c r="H274" s="81">
        <v>4</v>
      </c>
      <c r="I274" s="82" t="s">
        <v>17</v>
      </c>
      <c r="J274" s="82"/>
      <c r="K274" s="358" t="s">
        <v>736</v>
      </c>
      <c r="L274" s="82" t="s">
        <v>1192</v>
      </c>
      <c r="M274" s="9">
        <v>43083</v>
      </c>
      <c r="N274" s="9">
        <v>43086</v>
      </c>
      <c r="O274" s="97" t="s">
        <v>3097</v>
      </c>
      <c r="P274" s="350" t="s">
        <v>3140</v>
      </c>
      <c r="Q274" s="249"/>
      <c r="R274" s="94" t="s">
        <v>3153</v>
      </c>
      <c r="S274" s="335"/>
      <c r="T274" s="338" t="s">
        <v>1678</v>
      </c>
    </row>
    <row r="275" spans="1:20" s="41" customFormat="1" ht="20.100000000000001" customHeight="1">
      <c r="A275" s="1190" t="s">
        <v>3094</v>
      </c>
      <c r="B275" s="1190" t="s">
        <v>3093</v>
      </c>
      <c r="C275" s="1190" t="s">
        <v>3168</v>
      </c>
      <c r="D275" s="62"/>
      <c r="E275" s="62"/>
      <c r="F275" s="62"/>
      <c r="G275" s="96" t="s">
        <v>278</v>
      </c>
      <c r="H275" s="81">
        <v>4</v>
      </c>
      <c r="I275" s="82" t="s">
        <v>17</v>
      </c>
      <c r="J275" s="82"/>
      <c r="K275" s="95" t="s">
        <v>1830</v>
      </c>
      <c r="L275" s="82" t="s">
        <v>1192</v>
      </c>
      <c r="M275" s="9">
        <v>43050</v>
      </c>
      <c r="N275" s="9">
        <v>43065</v>
      </c>
      <c r="O275" s="93" t="s">
        <v>3097</v>
      </c>
      <c r="P275" s="97" t="s">
        <v>3144</v>
      </c>
      <c r="Q275" s="93"/>
      <c r="R275" s="94" t="s">
        <v>3153</v>
      </c>
      <c r="S275" s="321"/>
      <c r="T275" s="338"/>
    </row>
    <row r="276" spans="1:20" s="41" customFormat="1" ht="20.100000000000001" customHeight="1">
      <c r="A276" s="1190" t="s">
        <v>3094</v>
      </c>
      <c r="B276" s="1190" t="s">
        <v>3093</v>
      </c>
      <c r="C276" s="1190" t="s">
        <v>3168</v>
      </c>
      <c r="D276" s="62">
        <v>220</v>
      </c>
      <c r="E276" s="62">
        <v>440</v>
      </c>
      <c r="F276" s="62">
        <v>440</v>
      </c>
      <c r="G276" s="80" t="s">
        <v>87</v>
      </c>
      <c r="H276" s="81" t="s">
        <v>3138</v>
      </c>
      <c r="I276" s="82" t="s">
        <v>25</v>
      </c>
      <c r="J276" s="82"/>
      <c r="K276" s="95">
        <v>7</v>
      </c>
      <c r="L276" s="82" t="s">
        <v>637</v>
      </c>
      <c r="M276" s="9">
        <v>43045</v>
      </c>
      <c r="N276" s="9">
        <v>43072</v>
      </c>
      <c r="O276" s="97" t="s">
        <v>3097</v>
      </c>
      <c r="P276" s="97" t="s">
        <v>3137</v>
      </c>
      <c r="Q276" s="93"/>
      <c r="R276" s="57" t="s">
        <v>246</v>
      </c>
      <c r="S276" s="322" t="s">
        <v>2849</v>
      </c>
      <c r="T276" s="338"/>
    </row>
    <row r="277" spans="1:20" s="41" customFormat="1" ht="20.100000000000001" customHeight="1">
      <c r="A277" s="1190" t="s">
        <v>3094</v>
      </c>
      <c r="B277" s="1190" t="s">
        <v>3093</v>
      </c>
      <c r="C277" s="1190" t="s">
        <v>3168</v>
      </c>
      <c r="D277" s="62">
        <v>620</v>
      </c>
      <c r="E277" s="62">
        <v>1240</v>
      </c>
      <c r="F277" s="62">
        <v>1240</v>
      </c>
      <c r="G277" s="80" t="s">
        <v>142</v>
      </c>
      <c r="H277" s="81" t="s">
        <v>3147</v>
      </c>
      <c r="I277" s="82" t="s">
        <v>25</v>
      </c>
      <c r="J277" s="82"/>
      <c r="K277" s="95">
        <v>10</v>
      </c>
      <c r="L277" s="82" t="s">
        <v>637</v>
      </c>
      <c r="M277" s="9">
        <v>43009</v>
      </c>
      <c r="N277" s="9">
        <v>43070</v>
      </c>
      <c r="O277" s="93" t="s">
        <v>3097</v>
      </c>
      <c r="P277" s="97" t="s">
        <v>3146</v>
      </c>
      <c r="Q277" s="93"/>
      <c r="R277" s="57"/>
      <c r="S277" s="321"/>
      <c r="T277" s="338"/>
    </row>
    <row r="278" spans="1:20" s="41" customFormat="1" ht="20.100000000000001" customHeight="1">
      <c r="A278" s="1190" t="s">
        <v>3094</v>
      </c>
      <c r="B278" s="1190" t="s">
        <v>3093</v>
      </c>
      <c r="C278" s="1190" t="s">
        <v>3168</v>
      </c>
      <c r="D278" s="62">
        <v>210</v>
      </c>
      <c r="E278" s="62">
        <v>420</v>
      </c>
      <c r="F278" s="62">
        <v>420</v>
      </c>
      <c r="G278" s="96" t="s">
        <v>278</v>
      </c>
      <c r="H278" s="81" t="s">
        <v>3145</v>
      </c>
      <c r="I278" s="82" t="s">
        <v>25</v>
      </c>
      <c r="J278" s="82"/>
      <c r="K278" s="95">
        <v>8</v>
      </c>
      <c r="L278" s="82" t="s">
        <v>637</v>
      </c>
      <c r="M278" s="9">
        <v>43050</v>
      </c>
      <c r="N278" s="9">
        <v>43065</v>
      </c>
      <c r="O278" s="93" t="s">
        <v>3097</v>
      </c>
      <c r="P278" s="97" t="s">
        <v>3144</v>
      </c>
      <c r="Q278" s="93"/>
      <c r="R278" s="57"/>
      <c r="S278" s="321"/>
      <c r="T278" s="338"/>
    </row>
    <row r="279" spans="1:20" s="41" customFormat="1" ht="20.100000000000001" customHeight="1">
      <c r="A279" s="798" t="s">
        <v>3094</v>
      </c>
      <c r="B279" s="798" t="s">
        <v>3093</v>
      </c>
      <c r="C279" s="798" t="s">
        <v>3167</v>
      </c>
      <c r="D279" s="62">
        <v>450</v>
      </c>
      <c r="E279" s="62">
        <v>900</v>
      </c>
      <c r="F279" s="62">
        <v>900</v>
      </c>
      <c r="G279" s="214" t="s">
        <v>796</v>
      </c>
      <c r="H279" s="81" t="s">
        <v>3135</v>
      </c>
      <c r="I279" s="82" t="s">
        <v>25</v>
      </c>
      <c r="J279" s="82"/>
      <c r="K279" s="95">
        <v>8</v>
      </c>
      <c r="L279" s="82" t="s">
        <v>637</v>
      </c>
      <c r="M279" s="9">
        <v>43052</v>
      </c>
      <c r="N279" s="9">
        <v>43079</v>
      </c>
      <c r="O279" s="97" t="s">
        <v>3097</v>
      </c>
      <c r="P279" s="97" t="s">
        <v>3134</v>
      </c>
      <c r="Q279" s="93"/>
      <c r="R279" s="94"/>
      <c r="S279" s="305" t="s">
        <v>1176</v>
      </c>
      <c r="T279" s="338" t="s">
        <v>1678</v>
      </c>
    </row>
    <row r="280" spans="1:20" s="41" customFormat="1" ht="20.100000000000001" customHeight="1">
      <c r="A280" s="1190" t="s">
        <v>3094</v>
      </c>
      <c r="B280" s="1190" t="s">
        <v>3093</v>
      </c>
      <c r="C280" s="1190" t="s">
        <v>3166</v>
      </c>
      <c r="D280" s="62">
        <v>220</v>
      </c>
      <c r="E280" s="62">
        <v>440</v>
      </c>
      <c r="F280" s="62">
        <v>440</v>
      </c>
      <c r="G280" s="80" t="s">
        <v>87</v>
      </c>
      <c r="H280" s="81" t="s">
        <v>3138</v>
      </c>
      <c r="I280" s="82" t="s">
        <v>25</v>
      </c>
      <c r="J280" s="82"/>
      <c r="K280" s="95">
        <v>7</v>
      </c>
      <c r="L280" s="82" t="s">
        <v>637</v>
      </c>
      <c r="M280" s="9">
        <v>43045</v>
      </c>
      <c r="N280" s="9">
        <v>43072</v>
      </c>
      <c r="O280" s="97" t="s">
        <v>3097</v>
      </c>
      <c r="P280" s="97" t="s">
        <v>3137</v>
      </c>
      <c r="Q280" s="93"/>
      <c r="R280" s="57" t="s">
        <v>246</v>
      </c>
      <c r="S280" s="322" t="s">
        <v>2849</v>
      </c>
      <c r="T280" s="338"/>
    </row>
    <row r="281" spans="1:20" ht="20.100000000000001" customHeight="1">
      <c r="A281" s="1190" t="s">
        <v>3094</v>
      </c>
      <c r="B281" s="1190" t="s">
        <v>3093</v>
      </c>
      <c r="C281" s="1190" t="s">
        <v>3166</v>
      </c>
      <c r="D281" s="62">
        <v>210</v>
      </c>
      <c r="E281" s="62">
        <v>420</v>
      </c>
      <c r="F281" s="62">
        <v>420</v>
      </c>
      <c r="G281" s="96" t="s">
        <v>278</v>
      </c>
      <c r="H281" s="81" t="s">
        <v>3145</v>
      </c>
      <c r="I281" s="82" t="s">
        <v>25</v>
      </c>
      <c r="J281" s="82"/>
      <c r="K281" s="95">
        <v>8</v>
      </c>
      <c r="L281" s="82" t="s">
        <v>637</v>
      </c>
      <c r="M281" s="9">
        <v>43050</v>
      </c>
      <c r="N281" s="9">
        <v>43065</v>
      </c>
      <c r="O281" s="93" t="s">
        <v>3097</v>
      </c>
      <c r="P281" s="97" t="s">
        <v>3144</v>
      </c>
      <c r="Q281" s="93"/>
      <c r="R281" s="57"/>
      <c r="S281" s="321"/>
      <c r="T281" s="338"/>
    </row>
    <row r="282" spans="1:20" ht="20.100000000000001" customHeight="1">
      <c r="A282" s="1190" t="s">
        <v>3094</v>
      </c>
      <c r="B282" s="1190" t="s">
        <v>3093</v>
      </c>
      <c r="C282" s="1190" t="s">
        <v>3166</v>
      </c>
      <c r="D282" s="62">
        <v>220</v>
      </c>
      <c r="E282" s="62">
        <v>440</v>
      </c>
      <c r="F282" s="62">
        <v>440</v>
      </c>
      <c r="G282" s="214" t="s">
        <v>796</v>
      </c>
      <c r="H282" s="81" t="s">
        <v>3135</v>
      </c>
      <c r="I282" s="82" t="s">
        <v>25</v>
      </c>
      <c r="J282" s="82"/>
      <c r="K282" s="95">
        <v>7</v>
      </c>
      <c r="L282" s="82" t="s">
        <v>637</v>
      </c>
      <c r="M282" s="9">
        <v>43052</v>
      </c>
      <c r="N282" s="9">
        <v>43079</v>
      </c>
      <c r="O282" s="97" t="s">
        <v>3097</v>
      </c>
      <c r="P282" s="97" t="s">
        <v>3134</v>
      </c>
      <c r="Q282" s="93"/>
      <c r="R282" s="94"/>
      <c r="S282" s="305" t="s">
        <v>1176</v>
      </c>
      <c r="T282" s="338" t="s">
        <v>1678</v>
      </c>
    </row>
    <row r="283" spans="1:20" ht="20.100000000000001" customHeight="1">
      <c r="A283" s="1190" t="s">
        <v>3094</v>
      </c>
      <c r="B283" s="1190" t="s">
        <v>3093</v>
      </c>
      <c r="C283" s="1190" t="s">
        <v>3164</v>
      </c>
      <c r="D283" s="62">
        <v>270</v>
      </c>
      <c r="E283" s="62">
        <v>540</v>
      </c>
      <c r="F283" s="62">
        <v>540</v>
      </c>
      <c r="G283" s="80" t="s">
        <v>87</v>
      </c>
      <c r="H283" s="81">
        <v>3</v>
      </c>
      <c r="I283" s="82" t="s">
        <v>17</v>
      </c>
      <c r="J283" s="82"/>
      <c r="K283" s="82">
        <v>6</v>
      </c>
      <c r="L283" s="82" t="s">
        <v>1192</v>
      </c>
      <c r="M283" s="9">
        <v>43045</v>
      </c>
      <c r="N283" s="9">
        <v>43072</v>
      </c>
      <c r="O283" s="97" t="s">
        <v>3097</v>
      </c>
      <c r="P283" s="97" t="s">
        <v>3137</v>
      </c>
      <c r="Q283" s="167"/>
      <c r="R283" s="94" t="s">
        <v>3162</v>
      </c>
      <c r="S283" s="322" t="s">
        <v>2849</v>
      </c>
      <c r="T283" s="338"/>
    </row>
    <row r="284" spans="1:20" ht="20.100000000000001" customHeight="1">
      <c r="A284" s="1190" t="s">
        <v>3094</v>
      </c>
      <c r="B284" s="1190" t="s">
        <v>3093</v>
      </c>
      <c r="C284" s="1190" t="s">
        <v>3164</v>
      </c>
      <c r="D284" s="62">
        <v>270</v>
      </c>
      <c r="E284" s="62">
        <v>540</v>
      </c>
      <c r="F284" s="62">
        <v>540</v>
      </c>
      <c r="G284" s="214" t="s">
        <v>796</v>
      </c>
      <c r="H284" s="81">
        <v>3</v>
      </c>
      <c r="I284" s="82" t="s">
        <v>17</v>
      </c>
      <c r="J284" s="82"/>
      <c r="K284" s="95">
        <v>6</v>
      </c>
      <c r="L284" s="82" t="s">
        <v>1192</v>
      </c>
      <c r="M284" s="9">
        <v>43052</v>
      </c>
      <c r="N284" s="9">
        <v>43079</v>
      </c>
      <c r="O284" s="97" t="s">
        <v>3097</v>
      </c>
      <c r="P284" s="97" t="s">
        <v>3134</v>
      </c>
      <c r="Q284" s="93"/>
      <c r="R284" s="94" t="s">
        <v>3160</v>
      </c>
      <c r="S284" s="305" t="s">
        <v>1176</v>
      </c>
      <c r="T284" s="338" t="s">
        <v>1678</v>
      </c>
    </row>
    <row r="285" spans="1:20" ht="20.100000000000001" customHeight="1">
      <c r="A285" s="1190" t="s">
        <v>3094</v>
      </c>
      <c r="B285" s="1190" t="s">
        <v>3093</v>
      </c>
      <c r="C285" s="1190" t="s">
        <v>3164</v>
      </c>
      <c r="D285" s="802">
        <v>315</v>
      </c>
      <c r="E285" s="802">
        <v>630</v>
      </c>
      <c r="F285" s="802">
        <v>630</v>
      </c>
      <c r="G285" s="80" t="s">
        <v>142</v>
      </c>
      <c r="H285" s="81">
        <v>6</v>
      </c>
      <c r="I285" s="82" t="s">
        <v>17</v>
      </c>
      <c r="J285" s="82"/>
      <c r="K285" s="82">
        <v>7</v>
      </c>
      <c r="L285" s="82" t="s">
        <v>637</v>
      </c>
      <c r="M285" s="9">
        <v>43009</v>
      </c>
      <c r="N285" s="9">
        <v>43070</v>
      </c>
      <c r="O285" s="93" t="s">
        <v>3097</v>
      </c>
      <c r="P285" s="97" t="s">
        <v>3146</v>
      </c>
      <c r="Q285" s="93"/>
      <c r="R285" s="94"/>
      <c r="S285" s="335"/>
      <c r="T285" s="338"/>
    </row>
    <row r="286" spans="1:20" ht="20.100000000000001" customHeight="1">
      <c r="A286" s="1190" t="s">
        <v>3094</v>
      </c>
      <c r="B286" s="1190" t="s">
        <v>3093</v>
      </c>
      <c r="C286" s="1190" t="s">
        <v>3164</v>
      </c>
      <c r="D286" s="802"/>
      <c r="E286" s="802"/>
      <c r="F286" s="802"/>
      <c r="G286" s="301" t="s">
        <v>142</v>
      </c>
      <c r="H286" s="298" t="s">
        <v>3165</v>
      </c>
      <c r="I286" s="82" t="s">
        <v>25</v>
      </c>
      <c r="J286" s="82"/>
      <c r="K286" s="82">
        <v>8</v>
      </c>
      <c r="L286" s="82" t="s">
        <v>637</v>
      </c>
      <c r="M286" s="9">
        <v>43009</v>
      </c>
      <c r="N286" s="9">
        <v>43070</v>
      </c>
      <c r="O286" s="93" t="s">
        <v>3097</v>
      </c>
      <c r="P286" s="97" t="s">
        <v>3146</v>
      </c>
      <c r="Q286" s="92" t="s">
        <v>1025</v>
      </c>
      <c r="R286" s="94"/>
      <c r="S286" s="335"/>
      <c r="T286" s="338"/>
    </row>
    <row r="287" spans="1:20" ht="20.100000000000001" customHeight="1">
      <c r="A287" s="1190" t="s">
        <v>3094</v>
      </c>
      <c r="B287" s="1190" t="s">
        <v>3093</v>
      </c>
      <c r="C287" s="1190" t="s">
        <v>3164</v>
      </c>
      <c r="D287" s="62"/>
      <c r="E287" s="62"/>
      <c r="F287" s="62"/>
      <c r="G287" s="96" t="s">
        <v>278</v>
      </c>
      <c r="H287" s="298" t="s">
        <v>3145</v>
      </c>
      <c r="I287" s="82" t="s">
        <v>25</v>
      </c>
      <c r="J287" s="82"/>
      <c r="K287" s="95">
        <v>8</v>
      </c>
      <c r="L287" s="82" t="s">
        <v>637</v>
      </c>
      <c r="M287" s="9">
        <v>43050</v>
      </c>
      <c r="N287" s="9">
        <v>43065</v>
      </c>
      <c r="O287" s="93" t="s">
        <v>3097</v>
      </c>
      <c r="P287" s="97" t="s">
        <v>3144</v>
      </c>
      <c r="Q287" s="93"/>
      <c r="R287" s="94"/>
      <c r="S287" s="335"/>
      <c r="T287" s="338"/>
    </row>
    <row r="288" spans="1:20" ht="20.100000000000001" customHeight="1">
      <c r="A288" s="1190" t="s">
        <v>3094</v>
      </c>
      <c r="B288" s="1190" t="s">
        <v>3093</v>
      </c>
      <c r="C288" s="1190" t="s">
        <v>3164</v>
      </c>
      <c r="D288" s="62">
        <v>220</v>
      </c>
      <c r="E288" s="62">
        <v>440</v>
      </c>
      <c r="F288" s="62">
        <v>440</v>
      </c>
      <c r="G288" s="80" t="s">
        <v>87</v>
      </c>
      <c r="H288" s="81" t="s">
        <v>3138</v>
      </c>
      <c r="I288" s="82" t="s">
        <v>25</v>
      </c>
      <c r="J288" s="82"/>
      <c r="K288" s="95">
        <v>10</v>
      </c>
      <c r="L288" s="82" t="s">
        <v>637</v>
      </c>
      <c r="M288" s="9">
        <v>43045</v>
      </c>
      <c r="N288" s="9">
        <v>43072</v>
      </c>
      <c r="O288" s="97" t="s">
        <v>3097</v>
      </c>
      <c r="P288" s="97" t="s">
        <v>3137</v>
      </c>
      <c r="Q288" s="93"/>
      <c r="R288" s="57" t="s">
        <v>246</v>
      </c>
      <c r="S288" s="322" t="s">
        <v>2849</v>
      </c>
      <c r="T288" s="338"/>
    </row>
    <row r="289" spans="1:20" ht="20.100000000000001" customHeight="1">
      <c r="A289" s="1138" t="s">
        <v>3094</v>
      </c>
      <c r="B289" s="1138" t="s">
        <v>3093</v>
      </c>
      <c r="C289" s="1138" t="s">
        <v>3163</v>
      </c>
      <c r="D289" s="802">
        <v>290</v>
      </c>
      <c r="E289" s="802">
        <v>580</v>
      </c>
      <c r="F289" s="802">
        <v>580</v>
      </c>
      <c r="G289" s="80" t="s">
        <v>142</v>
      </c>
      <c r="H289" s="81">
        <v>6</v>
      </c>
      <c r="I289" s="82" t="s">
        <v>17</v>
      </c>
      <c r="J289" s="82"/>
      <c r="K289" s="82" t="s">
        <v>681</v>
      </c>
      <c r="L289" s="82" t="s">
        <v>637</v>
      </c>
      <c r="M289" s="9">
        <v>43009</v>
      </c>
      <c r="N289" s="9">
        <v>43070</v>
      </c>
      <c r="O289" s="93" t="s">
        <v>3097</v>
      </c>
      <c r="P289" s="97" t="s">
        <v>3146</v>
      </c>
      <c r="Q289" s="10"/>
      <c r="R289" s="57"/>
      <c r="S289" s="321"/>
      <c r="T289" s="338"/>
    </row>
    <row r="290" spans="1:20" ht="20.100000000000001" customHeight="1">
      <c r="A290" s="1138" t="s">
        <v>3094</v>
      </c>
      <c r="B290" s="1138" t="s">
        <v>3093</v>
      </c>
      <c r="C290" s="1138" t="s">
        <v>3163</v>
      </c>
      <c r="D290" s="62">
        <v>220</v>
      </c>
      <c r="E290" s="62">
        <v>440</v>
      </c>
      <c r="F290" s="62">
        <v>440</v>
      </c>
      <c r="G290" s="80" t="s">
        <v>87</v>
      </c>
      <c r="H290" s="81" t="s">
        <v>3138</v>
      </c>
      <c r="I290" s="82" t="s">
        <v>25</v>
      </c>
      <c r="J290" s="82"/>
      <c r="K290" s="82">
        <v>8</v>
      </c>
      <c r="L290" s="82" t="s">
        <v>637</v>
      </c>
      <c r="M290" s="9">
        <v>43045</v>
      </c>
      <c r="N290" s="9">
        <v>43072</v>
      </c>
      <c r="O290" s="97" t="s">
        <v>3097</v>
      </c>
      <c r="P290" s="97" t="s">
        <v>3137</v>
      </c>
      <c r="Q290" s="93"/>
      <c r="R290" s="57" t="s">
        <v>246</v>
      </c>
      <c r="S290" s="322" t="s">
        <v>2849</v>
      </c>
      <c r="T290" s="338"/>
    </row>
    <row r="291" spans="1:20" ht="20.100000000000001" customHeight="1">
      <c r="A291" s="1138" t="s">
        <v>3094</v>
      </c>
      <c r="B291" s="1138" t="s">
        <v>3093</v>
      </c>
      <c r="C291" s="1138" t="s">
        <v>3163</v>
      </c>
      <c r="D291" s="62">
        <v>210</v>
      </c>
      <c r="E291" s="62">
        <v>420</v>
      </c>
      <c r="F291" s="62">
        <v>420</v>
      </c>
      <c r="G291" s="96" t="s">
        <v>278</v>
      </c>
      <c r="H291" s="81" t="s">
        <v>3145</v>
      </c>
      <c r="I291" s="82" t="s">
        <v>25</v>
      </c>
      <c r="J291" s="82"/>
      <c r="K291" s="95">
        <v>8</v>
      </c>
      <c r="L291" s="82" t="s">
        <v>637</v>
      </c>
      <c r="M291" s="9">
        <v>43050</v>
      </c>
      <c r="N291" s="9">
        <v>43065</v>
      </c>
      <c r="O291" s="93" t="s">
        <v>3097</v>
      </c>
      <c r="P291" s="97" t="s">
        <v>3144</v>
      </c>
      <c r="Q291" s="93"/>
      <c r="R291" s="57"/>
      <c r="S291" s="321"/>
      <c r="T291" s="338"/>
    </row>
    <row r="292" spans="1:20" ht="20.100000000000001" customHeight="1">
      <c r="A292" s="1190" t="s">
        <v>3094</v>
      </c>
      <c r="B292" s="1190" t="s">
        <v>3093</v>
      </c>
      <c r="C292" s="1190" t="s">
        <v>3159</v>
      </c>
      <c r="D292" s="62">
        <v>220</v>
      </c>
      <c r="E292" s="62">
        <v>440</v>
      </c>
      <c r="F292" s="62">
        <v>440</v>
      </c>
      <c r="G292" s="80" t="s">
        <v>87</v>
      </c>
      <c r="H292" s="81">
        <v>3</v>
      </c>
      <c r="I292" s="82" t="s">
        <v>17</v>
      </c>
      <c r="J292" s="82"/>
      <c r="K292" s="82">
        <v>4</v>
      </c>
      <c r="L292" s="82" t="s">
        <v>1192</v>
      </c>
      <c r="M292" s="9">
        <v>43045</v>
      </c>
      <c r="N292" s="9">
        <v>43072</v>
      </c>
      <c r="O292" s="97" t="s">
        <v>3097</v>
      </c>
      <c r="P292" s="97" t="s">
        <v>3137</v>
      </c>
      <c r="Q292" s="167"/>
      <c r="R292" s="94" t="s">
        <v>3162</v>
      </c>
      <c r="S292" s="322" t="s">
        <v>2849</v>
      </c>
      <c r="T292" s="338"/>
    </row>
    <row r="293" spans="1:20" ht="20.100000000000001" customHeight="1">
      <c r="A293" s="1190" t="s">
        <v>3094</v>
      </c>
      <c r="B293" s="1190" t="s">
        <v>3093</v>
      </c>
      <c r="C293" s="1190" t="s">
        <v>3159</v>
      </c>
      <c r="D293" s="62">
        <v>220</v>
      </c>
      <c r="E293" s="62">
        <v>440</v>
      </c>
      <c r="F293" s="62">
        <v>440</v>
      </c>
      <c r="G293" s="214" t="s">
        <v>796</v>
      </c>
      <c r="H293" s="81">
        <v>3</v>
      </c>
      <c r="I293" s="82" t="s">
        <v>17</v>
      </c>
      <c r="J293" s="82"/>
      <c r="K293" s="82">
        <v>4</v>
      </c>
      <c r="L293" s="82" t="s">
        <v>1192</v>
      </c>
      <c r="M293" s="9">
        <v>43052</v>
      </c>
      <c r="N293" s="9">
        <v>43079</v>
      </c>
      <c r="O293" s="97" t="s">
        <v>3097</v>
      </c>
      <c r="P293" s="97" t="s">
        <v>3161</v>
      </c>
      <c r="Q293" s="86"/>
      <c r="R293" s="94" t="s">
        <v>3160</v>
      </c>
      <c r="S293" s="305" t="s">
        <v>1176</v>
      </c>
      <c r="T293" s="338" t="s">
        <v>1678</v>
      </c>
    </row>
    <row r="294" spans="1:20" ht="20.100000000000001" customHeight="1">
      <c r="A294" s="1190" t="s">
        <v>3094</v>
      </c>
      <c r="B294" s="1190" t="s">
        <v>3093</v>
      </c>
      <c r="C294" s="1190" t="s">
        <v>3159</v>
      </c>
      <c r="D294" s="802">
        <v>420</v>
      </c>
      <c r="E294" s="802">
        <v>740</v>
      </c>
      <c r="F294" s="802">
        <v>740</v>
      </c>
      <c r="G294" s="80" t="s">
        <v>142</v>
      </c>
      <c r="H294" s="81">
        <v>6</v>
      </c>
      <c r="I294" s="82" t="s">
        <v>17</v>
      </c>
      <c r="J294" s="82"/>
      <c r="K294" s="95">
        <v>5</v>
      </c>
      <c r="L294" s="82" t="s">
        <v>637</v>
      </c>
      <c r="M294" s="9">
        <v>43009</v>
      </c>
      <c r="N294" s="9">
        <v>43070</v>
      </c>
      <c r="O294" s="93" t="s">
        <v>3097</v>
      </c>
      <c r="P294" s="97" t="s">
        <v>3146</v>
      </c>
      <c r="Q294" s="83"/>
      <c r="R294" s="94"/>
      <c r="S294" s="335"/>
      <c r="T294" s="338"/>
    </row>
    <row r="295" spans="1:20" ht="20.100000000000001" customHeight="1">
      <c r="A295" s="1190" t="s">
        <v>3094</v>
      </c>
      <c r="B295" s="1190" t="s">
        <v>3093</v>
      </c>
      <c r="C295" s="1190" t="s">
        <v>3159</v>
      </c>
      <c r="D295" s="776"/>
      <c r="E295" s="776"/>
      <c r="F295" s="776"/>
      <c r="G295" s="85" t="s">
        <v>36</v>
      </c>
      <c r="H295" s="298">
        <v>6</v>
      </c>
      <c r="I295" s="82" t="s">
        <v>17</v>
      </c>
      <c r="J295" s="82"/>
      <c r="K295" s="82">
        <v>4</v>
      </c>
      <c r="L295" s="82" t="s">
        <v>649</v>
      </c>
      <c r="M295" s="82"/>
      <c r="N295" s="9">
        <v>43051</v>
      </c>
      <c r="O295" s="83" t="s">
        <v>3097</v>
      </c>
      <c r="P295" s="97" t="s">
        <v>3096</v>
      </c>
      <c r="Q295" s="93"/>
      <c r="R295" s="87" t="s">
        <v>3099</v>
      </c>
      <c r="S295" s="305"/>
      <c r="T295" s="317">
        <v>14</v>
      </c>
    </row>
    <row r="296" spans="1:20" ht="20.100000000000001" customHeight="1">
      <c r="A296" s="1190" t="s">
        <v>3094</v>
      </c>
      <c r="B296" s="1190" t="s">
        <v>3093</v>
      </c>
      <c r="C296" s="1190" t="s">
        <v>3159</v>
      </c>
      <c r="D296" s="776"/>
      <c r="E296" s="776"/>
      <c r="F296" s="776"/>
      <c r="G296" s="85" t="s">
        <v>36</v>
      </c>
      <c r="H296" s="298">
        <v>7</v>
      </c>
      <c r="I296" s="82" t="s">
        <v>17</v>
      </c>
      <c r="J296" s="82"/>
      <c r="K296" s="82">
        <v>5</v>
      </c>
      <c r="L296" s="82" t="s">
        <v>649</v>
      </c>
      <c r="M296" s="82"/>
      <c r="N296" s="9">
        <v>43051</v>
      </c>
      <c r="O296" s="83" t="s">
        <v>3097</v>
      </c>
      <c r="P296" s="97" t="s">
        <v>3096</v>
      </c>
      <c r="Q296" s="93"/>
      <c r="R296" s="87" t="s">
        <v>3110</v>
      </c>
      <c r="S296" s="305"/>
      <c r="T296" s="317">
        <v>14</v>
      </c>
    </row>
    <row r="297" spans="1:20" ht="20.100000000000001" customHeight="1">
      <c r="A297" s="1190" t="s">
        <v>3094</v>
      </c>
      <c r="B297" s="1190" t="s">
        <v>3093</v>
      </c>
      <c r="C297" s="1190" t="s">
        <v>3159</v>
      </c>
      <c r="D297" s="62"/>
      <c r="E297" s="62"/>
      <c r="F297" s="62"/>
      <c r="G297" s="96" t="s">
        <v>278</v>
      </c>
      <c r="H297" s="298" t="s">
        <v>3145</v>
      </c>
      <c r="I297" s="82" t="s">
        <v>25</v>
      </c>
      <c r="J297" s="82"/>
      <c r="K297" s="95">
        <v>8</v>
      </c>
      <c r="L297" s="82" t="s">
        <v>637</v>
      </c>
      <c r="M297" s="9">
        <v>43050</v>
      </c>
      <c r="N297" s="9">
        <v>43065</v>
      </c>
      <c r="O297" s="93" t="s">
        <v>3097</v>
      </c>
      <c r="P297" s="97" t="s">
        <v>3144</v>
      </c>
      <c r="Q297" s="83"/>
      <c r="R297" s="94"/>
      <c r="S297" s="335"/>
      <c r="T297" s="338"/>
    </row>
    <row r="298" spans="1:20" ht="20.100000000000001" customHeight="1">
      <c r="A298" s="1190" t="s">
        <v>3094</v>
      </c>
      <c r="B298" s="1190" t="s">
        <v>3093</v>
      </c>
      <c r="C298" s="1190" t="s">
        <v>3159</v>
      </c>
      <c r="D298" s="62">
        <v>180</v>
      </c>
      <c r="E298" s="62">
        <v>360</v>
      </c>
      <c r="F298" s="62">
        <v>360</v>
      </c>
      <c r="G298" s="215" t="s">
        <v>491</v>
      </c>
      <c r="H298" s="81" t="s">
        <v>3142</v>
      </c>
      <c r="I298" s="82" t="s">
        <v>25</v>
      </c>
      <c r="J298" s="82"/>
      <c r="K298" s="358" t="s">
        <v>3141</v>
      </c>
      <c r="L298" s="82" t="s">
        <v>637</v>
      </c>
      <c r="M298" s="9">
        <v>43079</v>
      </c>
      <c r="N298" s="9">
        <v>43086</v>
      </c>
      <c r="O298" s="97" t="s">
        <v>3097</v>
      </c>
      <c r="P298" s="350" t="s">
        <v>3140</v>
      </c>
      <c r="Q298" s="93"/>
      <c r="R298" s="94" t="s">
        <v>3139</v>
      </c>
      <c r="S298" s="321"/>
      <c r="T298" s="338" t="s">
        <v>1678</v>
      </c>
    </row>
    <row r="299" spans="1:20" ht="20.100000000000001" customHeight="1">
      <c r="A299" s="1190" t="s">
        <v>3094</v>
      </c>
      <c r="B299" s="1190" t="s">
        <v>3093</v>
      </c>
      <c r="C299" s="1190" t="s">
        <v>3159</v>
      </c>
      <c r="D299" s="62">
        <v>220</v>
      </c>
      <c r="E299" s="62">
        <v>440</v>
      </c>
      <c r="F299" s="62">
        <v>440</v>
      </c>
      <c r="G299" s="80" t="s">
        <v>87</v>
      </c>
      <c r="H299" s="81" t="s">
        <v>3138</v>
      </c>
      <c r="I299" s="82" t="s">
        <v>25</v>
      </c>
      <c r="J299" s="82"/>
      <c r="K299" s="95">
        <v>8</v>
      </c>
      <c r="L299" s="82" t="s">
        <v>637</v>
      </c>
      <c r="M299" s="9">
        <v>43045</v>
      </c>
      <c r="N299" s="9">
        <v>43072</v>
      </c>
      <c r="O299" s="97" t="s">
        <v>3097</v>
      </c>
      <c r="P299" s="97" t="s">
        <v>3137</v>
      </c>
      <c r="Q299" s="93"/>
      <c r="R299" s="57" t="s">
        <v>246</v>
      </c>
      <c r="S299" s="322" t="s">
        <v>2849</v>
      </c>
      <c r="T299" s="338"/>
    </row>
    <row r="300" spans="1:20" ht="20.100000000000001" customHeight="1">
      <c r="A300" s="1190" t="s">
        <v>3094</v>
      </c>
      <c r="B300" s="1190" t="s">
        <v>3093</v>
      </c>
      <c r="C300" s="1190" t="s">
        <v>3159</v>
      </c>
      <c r="D300" s="802"/>
      <c r="E300" s="802"/>
      <c r="F300" s="802"/>
      <c r="G300" s="301" t="s">
        <v>142</v>
      </c>
      <c r="H300" s="298" t="s">
        <v>631</v>
      </c>
      <c r="I300" s="82" t="s">
        <v>25</v>
      </c>
      <c r="J300" s="82"/>
      <c r="K300" s="82" t="s">
        <v>2265</v>
      </c>
      <c r="L300" s="82" t="s">
        <v>637</v>
      </c>
      <c r="M300" s="9">
        <v>43009</v>
      </c>
      <c r="N300" s="9">
        <v>43070</v>
      </c>
      <c r="O300" s="93" t="s">
        <v>3097</v>
      </c>
      <c r="P300" s="97" t="s">
        <v>3146</v>
      </c>
      <c r="Q300" s="92" t="s">
        <v>1025</v>
      </c>
      <c r="R300" s="94"/>
      <c r="S300" s="335"/>
      <c r="T300" s="338"/>
    </row>
    <row r="301" spans="1:20" ht="20.100000000000001" customHeight="1">
      <c r="A301" s="1190" t="s">
        <v>3094</v>
      </c>
      <c r="B301" s="1190" t="s">
        <v>3093</v>
      </c>
      <c r="C301" s="1190" t="s">
        <v>3158</v>
      </c>
      <c r="D301" s="62"/>
      <c r="E301" s="62"/>
      <c r="F301" s="62"/>
      <c r="G301" s="80" t="s">
        <v>87</v>
      </c>
      <c r="H301" s="81" t="s">
        <v>3138</v>
      </c>
      <c r="I301" s="82" t="s">
        <v>25</v>
      </c>
      <c r="J301" s="82"/>
      <c r="K301" s="95">
        <v>8</v>
      </c>
      <c r="L301" s="82" t="s">
        <v>637</v>
      </c>
      <c r="M301" s="9">
        <v>43045</v>
      </c>
      <c r="N301" s="9">
        <v>43072</v>
      </c>
      <c r="O301" s="97" t="s">
        <v>3097</v>
      </c>
      <c r="P301" s="97" t="s">
        <v>3137</v>
      </c>
      <c r="Q301" s="93"/>
      <c r="R301" s="57" t="s">
        <v>246</v>
      </c>
      <c r="S301" s="305"/>
      <c r="T301" s="338"/>
    </row>
    <row r="302" spans="1:20" ht="20.100000000000001" customHeight="1">
      <c r="A302" s="1190" t="s">
        <v>3094</v>
      </c>
      <c r="B302" s="1190" t="s">
        <v>3093</v>
      </c>
      <c r="C302" s="1190" t="s">
        <v>3158</v>
      </c>
      <c r="D302" s="62">
        <v>210</v>
      </c>
      <c r="E302" s="62">
        <v>420</v>
      </c>
      <c r="F302" s="62">
        <v>420</v>
      </c>
      <c r="G302" s="96" t="s">
        <v>278</v>
      </c>
      <c r="H302" s="81" t="s">
        <v>3145</v>
      </c>
      <c r="I302" s="82" t="s">
        <v>25</v>
      </c>
      <c r="J302" s="82"/>
      <c r="K302" s="95">
        <v>8</v>
      </c>
      <c r="L302" s="82" t="s">
        <v>637</v>
      </c>
      <c r="M302" s="9">
        <v>43050</v>
      </c>
      <c r="N302" s="9">
        <v>43065</v>
      </c>
      <c r="O302" s="93" t="s">
        <v>3097</v>
      </c>
      <c r="P302" s="97" t="s">
        <v>3144</v>
      </c>
      <c r="Q302" s="93"/>
      <c r="R302" s="87"/>
      <c r="S302" s="305"/>
      <c r="T302" s="338"/>
    </row>
    <row r="303" spans="1:20" ht="20.100000000000001" customHeight="1">
      <c r="A303" s="1190" t="s">
        <v>3094</v>
      </c>
      <c r="B303" s="1190" t="s">
        <v>3093</v>
      </c>
      <c r="C303" s="1190" t="s">
        <v>3157</v>
      </c>
      <c r="D303" s="62">
        <v>220</v>
      </c>
      <c r="E303" s="62">
        <v>440</v>
      </c>
      <c r="F303" s="62">
        <v>440</v>
      </c>
      <c r="G303" s="80" t="s">
        <v>87</v>
      </c>
      <c r="H303" s="81" t="s">
        <v>3138</v>
      </c>
      <c r="I303" s="82" t="s">
        <v>25</v>
      </c>
      <c r="J303" s="82"/>
      <c r="K303" s="95">
        <v>7</v>
      </c>
      <c r="L303" s="82" t="s">
        <v>637</v>
      </c>
      <c r="M303" s="9">
        <v>43045</v>
      </c>
      <c r="N303" s="9">
        <v>43072</v>
      </c>
      <c r="O303" s="97" t="s">
        <v>3097</v>
      </c>
      <c r="P303" s="97" t="s">
        <v>3137</v>
      </c>
      <c r="Q303" s="93"/>
      <c r="R303" s="57" t="s">
        <v>246</v>
      </c>
      <c r="S303" s="322" t="s">
        <v>2849</v>
      </c>
      <c r="T303" s="338"/>
    </row>
    <row r="304" spans="1:20" ht="20.100000000000001" customHeight="1">
      <c r="A304" s="1190" t="s">
        <v>3094</v>
      </c>
      <c r="B304" s="1190" t="s">
        <v>3093</v>
      </c>
      <c r="C304" s="1190" t="s">
        <v>3157</v>
      </c>
      <c r="D304" s="62">
        <v>180</v>
      </c>
      <c r="E304" s="62">
        <v>360</v>
      </c>
      <c r="F304" s="62">
        <v>360</v>
      </c>
      <c r="G304" s="215" t="s">
        <v>491</v>
      </c>
      <c r="H304" s="81" t="s">
        <v>3142</v>
      </c>
      <c r="I304" s="82" t="s">
        <v>25</v>
      </c>
      <c r="J304" s="82"/>
      <c r="K304" s="358" t="s">
        <v>3141</v>
      </c>
      <c r="L304" s="82" t="s">
        <v>637</v>
      </c>
      <c r="M304" s="9">
        <v>43079</v>
      </c>
      <c r="N304" s="9">
        <v>43086</v>
      </c>
      <c r="O304" s="97" t="s">
        <v>3097</v>
      </c>
      <c r="P304" s="350" t="s">
        <v>3140</v>
      </c>
      <c r="Q304" s="93"/>
      <c r="R304" s="94" t="s">
        <v>3139</v>
      </c>
      <c r="S304" s="305"/>
      <c r="T304" s="338" t="s">
        <v>1678</v>
      </c>
    </row>
    <row r="305" spans="1:20" ht="20.100000000000001" customHeight="1">
      <c r="A305" s="1190" t="s">
        <v>3094</v>
      </c>
      <c r="B305" s="1190" t="s">
        <v>3093</v>
      </c>
      <c r="C305" s="1190" t="s">
        <v>3157</v>
      </c>
      <c r="D305" s="62"/>
      <c r="E305" s="62"/>
      <c r="F305" s="62"/>
      <c r="G305" s="96" t="s">
        <v>278</v>
      </c>
      <c r="H305" s="298" t="s">
        <v>3145</v>
      </c>
      <c r="I305" s="82" t="s">
        <v>25</v>
      </c>
      <c r="J305" s="82"/>
      <c r="K305" s="95">
        <v>8</v>
      </c>
      <c r="L305" s="82" t="s">
        <v>637</v>
      </c>
      <c r="M305" s="9">
        <v>43050</v>
      </c>
      <c r="N305" s="9">
        <v>43065</v>
      </c>
      <c r="O305" s="93" t="s">
        <v>3097</v>
      </c>
      <c r="P305" s="97" t="s">
        <v>3144</v>
      </c>
      <c r="Q305" s="93"/>
      <c r="R305" s="94"/>
      <c r="S305" s="335"/>
      <c r="T305" s="338"/>
    </row>
    <row r="306" spans="1:20" ht="20.100000000000001" customHeight="1">
      <c r="A306" s="1190" t="s">
        <v>3094</v>
      </c>
      <c r="B306" s="1190" t="s">
        <v>3093</v>
      </c>
      <c r="C306" s="1190" t="s">
        <v>3157</v>
      </c>
      <c r="D306" s="62">
        <v>220</v>
      </c>
      <c r="E306" s="62">
        <v>440</v>
      </c>
      <c r="F306" s="62">
        <v>440</v>
      </c>
      <c r="G306" s="214" t="s">
        <v>796</v>
      </c>
      <c r="H306" s="81" t="s">
        <v>3135</v>
      </c>
      <c r="I306" s="82" t="s">
        <v>25</v>
      </c>
      <c r="J306" s="82"/>
      <c r="K306" s="95">
        <v>8</v>
      </c>
      <c r="L306" s="82" t="s">
        <v>637</v>
      </c>
      <c r="M306" s="9">
        <v>43052</v>
      </c>
      <c r="N306" s="9">
        <v>43079</v>
      </c>
      <c r="O306" s="97" t="s">
        <v>3097</v>
      </c>
      <c r="P306" s="97" t="s">
        <v>3134</v>
      </c>
      <c r="Q306" s="93"/>
      <c r="R306" s="94"/>
      <c r="S306" s="305" t="s">
        <v>1176</v>
      </c>
      <c r="T306" s="338" t="s">
        <v>1678</v>
      </c>
    </row>
    <row r="307" spans="1:20" ht="20.100000000000001" customHeight="1">
      <c r="A307" s="1190" t="s">
        <v>3094</v>
      </c>
      <c r="B307" s="1190" t="s">
        <v>3093</v>
      </c>
      <c r="C307" s="1190" t="s">
        <v>3156</v>
      </c>
      <c r="D307" s="62">
        <v>180</v>
      </c>
      <c r="E307" s="62">
        <v>360</v>
      </c>
      <c r="F307" s="62">
        <v>360</v>
      </c>
      <c r="G307" s="215" t="s">
        <v>491</v>
      </c>
      <c r="H307" s="81" t="s">
        <v>3142</v>
      </c>
      <c r="I307" s="82" t="s">
        <v>25</v>
      </c>
      <c r="J307" s="82"/>
      <c r="K307" s="358" t="s">
        <v>3141</v>
      </c>
      <c r="L307" s="82" t="s">
        <v>637</v>
      </c>
      <c r="M307" s="9">
        <v>43079</v>
      </c>
      <c r="N307" s="9">
        <v>43086</v>
      </c>
      <c r="O307" s="97" t="s">
        <v>3097</v>
      </c>
      <c r="P307" s="350" t="s">
        <v>3140</v>
      </c>
      <c r="Q307" s="93"/>
      <c r="R307" s="94" t="s">
        <v>3139</v>
      </c>
      <c r="S307" s="322"/>
      <c r="T307" s="338" t="s">
        <v>1678</v>
      </c>
    </row>
    <row r="308" spans="1:20" ht="20.100000000000001" customHeight="1">
      <c r="A308" s="1190" t="s">
        <v>3094</v>
      </c>
      <c r="B308" s="1190" t="s">
        <v>3093</v>
      </c>
      <c r="C308" s="1190" t="s">
        <v>3156</v>
      </c>
      <c r="D308" s="62">
        <v>210</v>
      </c>
      <c r="E308" s="62">
        <v>420</v>
      </c>
      <c r="F308" s="62">
        <v>420</v>
      </c>
      <c r="G308" s="96" t="s">
        <v>278</v>
      </c>
      <c r="H308" s="81" t="s">
        <v>3145</v>
      </c>
      <c r="I308" s="82" t="s">
        <v>25</v>
      </c>
      <c r="J308" s="82"/>
      <c r="K308" s="95">
        <v>8</v>
      </c>
      <c r="L308" s="82" t="s">
        <v>637</v>
      </c>
      <c r="M308" s="9">
        <v>43050</v>
      </c>
      <c r="N308" s="9">
        <v>43065</v>
      </c>
      <c r="O308" s="93" t="s">
        <v>3097</v>
      </c>
      <c r="P308" s="97" t="s">
        <v>3144</v>
      </c>
      <c r="Q308" s="93"/>
      <c r="R308" s="94"/>
      <c r="S308" s="335"/>
      <c r="T308" s="338"/>
    </row>
    <row r="309" spans="1:20" ht="20.100000000000001" customHeight="1">
      <c r="A309" s="1190" t="s">
        <v>3094</v>
      </c>
      <c r="B309" s="1190" t="s">
        <v>3093</v>
      </c>
      <c r="C309" s="1190" t="s">
        <v>3156</v>
      </c>
      <c r="D309" s="62">
        <v>220</v>
      </c>
      <c r="E309" s="62">
        <v>440</v>
      </c>
      <c r="F309" s="62">
        <v>440</v>
      </c>
      <c r="G309" s="214" t="s">
        <v>796</v>
      </c>
      <c r="H309" s="81" t="s">
        <v>3135</v>
      </c>
      <c r="I309" s="82" t="s">
        <v>25</v>
      </c>
      <c r="J309" s="82"/>
      <c r="K309" s="95">
        <v>7</v>
      </c>
      <c r="L309" s="82" t="s">
        <v>637</v>
      </c>
      <c r="M309" s="9">
        <v>43052</v>
      </c>
      <c r="N309" s="9">
        <v>43079</v>
      </c>
      <c r="O309" s="97" t="s">
        <v>3097</v>
      </c>
      <c r="P309" s="97" t="s">
        <v>3134</v>
      </c>
      <c r="Q309" s="93"/>
      <c r="R309" s="94"/>
      <c r="S309" s="305" t="s">
        <v>1176</v>
      </c>
      <c r="T309" s="338" t="s">
        <v>1678</v>
      </c>
    </row>
    <row r="310" spans="1:20" ht="20.100000000000001" customHeight="1">
      <c r="A310" s="1190" t="s">
        <v>3094</v>
      </c>
      <c r="B310" s="1190" t="s">
        <v>3093</v>
      </c>
      <c r="C310" s="1190" t="s">
        <v>3155</v>
      </c>
      <c r="D310" s="62">
        <v>220</v>
      </c>
      <c r="E310" s="62">
        <v>440</v>
      </c>
      <c r="F310" s="62">
        <v>440</v>
      </c>
      <c r="G310" s="80" t="s">
        <v>87</v>
      </c>
      <c r="H310" s="81" t="s">
        <v>3138</v>
      </c>
      <c r="I310" s="82" t="s">
        <v>25</v>
      </c>
      <c r="J310" s="82"/>
      <c r="K310" s="95">
        <v>7</v>
      </c>
      <c r="L310" s="82" t="s">
        <v>637</v>
      </c>
      <c r="M310" s="9">
        <v>43045</v>
      </c>
      <c r="N310" s="9">
        <v>43072</v>
      </c>
      <c r="O310" s="97" t="s">
        <v>3097</v>
      </c>
      <c r="P310" s="97" t="s">
        <v>3137</v>
      </c>
      <c r="Q310" s="93"/>
      <c r="R310" s="57" t="s">
        <v>246</v>
      </c>
      <c r="S310" s="322" t="s">
        <v>2849</v>
      </c>
      <c r="T310" s="338"/>
    </row>
    <row r="311" spans="1:20" ht="20.100000000000001" customHeight="1">
      <c r="A311" s="1190" t="s">
        <v>3094</v>
      </c>
      <c r="B311" s="1190" t="s">
        <v>3093</v>
      </c>
      <c r="C311" s="1190" t="s">
        <v>3155</v>
      </c>
      <c r="D311" s="62">
        <v>210</v>
      </c>
      <c r="E311" s="62">
        <v>420</v>
      </c>
      <c r="F311" s="62">
        <v>420</v>
      </c>
      <c r="G311" s="96" t="s">
        <v>278</v>
      </c>
      <c r="H311" s="81" t="s">
        <v>3145</v>
      </c>
      <c r="I311" s="82" t="s">
        <v>25</v>
      </c>
      <c r="J311" s="82"/>
      <c r="K311" s="95">
        <v>8</v>
      </c>
      <c r="L311" s="82" t="s">
        <v>637</v>
      </c>
      <c r="M311" s="9">
        <v>43050</v>
      </c>
      <c r="N311" s="9">
        <v>43065</v>
      </c>
      <c r="O311" s="93" t="s">
        <v>3097</v>
      </c>
      <c r="P311" s="97" t="s">
        <v>3144</v>
      </c>
      <c r="Q311" s="93"/>
      <c r="R311" s="57"/>
      <c r="S311" s="321"/>
      <c r="T311" s="338"/>
    </row>
    <row r="312" spans="1:20" ht="20.100000000000001" customHeight="1">
      <c r="A312" s="1190" t="s">
        <v>3094</v>
      </c>
      <c r="B312" s="1190" t="s">
        <v>3093</v>
      </c>
      <c r="C312" s="1190" t="s">
        <v>3155</v>
      </c>
      <c r="D312" s="62">
        <v>220</v>
      </c>
      <c r="E312" s="62">
        <v>440</v>
      </c>
      <c r="F312" s="62">
        <v>440</v>
      </c>
      <c r="G312" s="214" t="s">
        <v>796</v>
      </c>
      <c r="H312" s="81" t="s">
        <v>3135</v>
      </c>
      <c r="I312" s="82" t="s">
        <v>25</v>
      </c>
      <c r="J312" s="82"/>
      <c r="K312" s="95">
        <v>7</v>
      </c>
      <c r="L312" s="82" t="s">
        <v>637</v>
      </c>
      <c r="M312" s="9">
        <v>43052</v>
      </c>
      <c r="N312" s="9">
        <v>43079</v>
      </c>
      <c r="O312" s="97" t="s">
        <v>3097</v>
      </c>
      <c r="P312" s="97" t="s">
        <v>3134</v>
      </c>
      <c r="Q312" s="86"/>
      <c r="R312" s="94"/>
      <c r="S312" s="305" t="s">
        <v>1176</v>
      </c>
      <c r="T312" s="338" t="s">
        <v>1678</v>
      </c>
    </row>
    <row r="313" spans="1:20" ht="20.100000000000001" customHeight="1">
      <c r="A313" s="1190" t="s">
        <v>3094</v>
      </c>
      <c r="B313" s="1190" t="s">
        <v>3093</v>
      </c>
      <c r="C313" s="1190" t="s">
        <v>3154</v>
      </c>
      <c r="D313" s="802"/>
      <c r="E313" s="802"/>
      <c r="F313" s="802"/>
      <c r="G313" s="98" t="s">
        <v>36</v>
      </c>
      <c r="H313" s="298">
        <v>2</v>
      </c>
      <c r="I313" s="82" t="s">
        <v>17</v>
      </c>
      <c r="J313" s="82"/>
      <c r="K313" s="95">
        <v>3</v>
      </c>
      <c r="L313" s="82" t="s">
        <v>649</v>
      </c>
      <c r="M313" s="82"/>
      <c r="N313" s="9">
        <v>43051</v>
      </c>
      <c r="O313" s="83" t="s">
        <v>3097</v>
      </c>
      <c r="P313" s="97" t="s">
        <v>3096</v>
      </c>
      <c r="Q313" s="93"/>
      <c r="R313" s="94" t="s">
        <v>3132</v>
      </c>
      <c r="S313" s="335"/>
      <c r="T313" s="317">
        <v>14</v>
      </c>
    </row>
    <row r="314" spans="1:20" ht="20.100000000000001" customHeight="1">
      <c r="A314" s="1190" t="s">
        <v>3094</v>
      </c>
      <c r="B314" s="1190" t="s">
        <v>3093</v>
      </c>
      <c r="C314" s="1190" t="s">
        <v>3154</v>
      </c>
      <c r="D314" s="62">
        <v>220</v>
      </c>
      <c r="E314" s="62">
        <v>440</v>
      </c>
      <c r="F314" s="62">
        <v>440</v>
      </c>
      <c r="G314" s="80" t="s">
        <v>87</v>
      </c>
      <c r="H314" s="81" t="s">
        <v>3138</v>
      </c>
      <c r="I314" s="82" t="s">
        <v>25</v>
      </c>
      <c r="J314" s="82"/>
      <c r="K314" s="95">
        <v>7</v>
      </c>
      <c r="L314" s="82" t="s">
        <v>637</v>
      </c>
      <c r="M314" s="9">
        <v>43045</v>
      </c>
      <c r="N314" s="9">
        <v>43072</v>
      </c>
      <c r="O314" s="97" t="s">
        <v>3097</v>
      </c>
      <c r="P314" s="97" t="s">
        <v>3137</v>
      </c>
      <c r="Q314" s="93"/>
      <c r="R314" s="57" t="s">
        <v>246</v>
      </c>
      <c r="S314" s="305"/>
      <c r="T314" s="338"/>
    </row>
    <row r="315" spans="1:20" ht="20.100000000000001" customHeight="1">
      <c r="A315" s="1190" t="s">
        <v>3094</v>
      </c>
      <c r="B315" s="1190" t="s">
        <v>3093</v>
      </c>
      <c r="C315" s="1190" t="s">
        <v>3154</v>
      </c>
      <c r="D315" s="62">
        <v>210</v>
      </c>
      <c r="E315" s="62">
        <v>420</v>
      </c>
      <c r="F315" s="62">
        <v>420</v>
      </c>
      <c r="G315" s="96" t="s">
        <v>278</v>
      </c>
      <c r="H315" s="81" t="s">
        <v>3145</v>
      </c>
      <c r="I315" s="82" t="s">
        <v>25</v>
      </c>
      <c r="J315" s="82"/>
      <c r="K315" s="95">
        <v>8</v>
      </c>
      <c r="L315" s="82" t="s">
        <v>637</v>
      </c>
      <c r="M315" s="9">
        <v>43050</v>
      </c>
      <c r="N315" s="9">
        <v>43065</v>
      </c>
      <c r="O315" s="93" t="s">
        <v>3097</v>
      </c>
      <c r="P315" s="97" t="s">
        <v>3144</v>
      </c>
      <c r="Q315" s="93"/>
      <c r="R315" s="57"/>
      <c r="S315" s="321"/>
      <c r="T315" s="338"/>
    </row>
    <row r="316" spans="1:20" ht="20.100000000000001" customHeight="1">
      <c r="A316" s="1190" t="s">
        <v>3094</v>
      </c>
      <c r="B316" s="1190" t="s">
        <v>3093</v>
      </c>
      <c r="C316" s="1190" t="s">
        <v>3154</v>
      </c>
      <c r="D316" s="62">
        <v>220</v>
      </c>
      <c r="E316" s="62">
        <v>440</v>
      </c>
      <c r="F316" s="62">
        <v>440</v>
      </c>
      <c r="G316" s="214" t="s">
        <v>796</v>
      </c>
      <c r="H316" s="81" t="s">
        <v>3135</v>
      </c>
      <c r="I316" s="82" t="s">
        <v>25</v>
      </c>
      <c r="J316" s="82"/>
      <c r="K316" s="95">
        <v>7</v>
      </c>
      <c r="L316" s="82" t="s">
        <v>637</v>
      </c>
      <c r="M316" s="9">
        <v>43052</v>
      </c>
      <c r="N316" s="9">
        <v>43079</v>
      </c>
      <c r="O316" s="97" t="s">
        <v>3097</v>
      </c>
      <c r="P316" s="97" t="s">
        <v>3134</v>
      </c>
      <c r="Q316" s="93"/>
      <c r="R316" s="57"/>
      <c r="S316" s="305" t="s">
        <v>1176</v>
      </c>
      <c r="T316" s="338" t="s">
        <v>1678</v>
      </c>
    </row>
    <row r="317" spans="1:20" ht="20.100000000000001" customHeight="1">
      <c r="A317" s="1190" t="s">
        <v>3094</v>
      </c>
      <c r="B317" s="1190" t="s">
        <v>3093</v>
      </c>
      <c r="C317" s="1190" t="s">
        <v>3154</v>
      </c>
      <c r="D317" s="32"/>
      <c r="E317" s="32"/>
      <c r="F317" s="32"/>
      <c r="G317" s="80" t="s">
        <v>51</v>
      </c>
      <c r="H317" s="298" t="s">
        <v>706</v>
      </c>
      <c r="I317" s="82" t="s">
        <v>17</v>
      </c>
      <c r="J317" s="82"/>
      <c r="K317" s="82">
        <v>3</v>
      </c>
      <c r="L317" s="82" t="s">
        <v>641</v>
      </c>
      <c r="M317" s="6">
        <v>43040</v>
      </c>
      <c r="N317" s="381">
        <v>43079</v>
      </c>
      <c r="O317" s="83" t="s">
        <v>3097</v>
      </c>
      <c r="P317" s="97" t="s">
        <v>3096</v>
      </c>
      <c r="Q317" s="374"/>
      <c r="R317" s="87" t="s">
        <v>3115</v>
      </c>
      <c r="S317" s="305"/>
      <c r="T317" s="338"/>
    </row>
    <row r="318" spans="1:20" ht="20.100000000000001" customHeight="1">
      <c r="A318" s="1190" t="s">
        <v>3094</v>
      </c>
      <c r="B318" s="1190" t="s">
        <v>3093</v>
      </c>
      <c r="C318" s="1190" t="s">
        <v>3152</v>
      </c>
      <c r="D318" s="62">
        <v>250</v>
      </c>
      <c r="E318" s="62">
        <v>500</v>
      </c>
      <c r="F318" s="62">
        <v>500</v>
      </c>
      <c r="G318" s="215" t="s">
        <v>491</v>
      </c>
      <c r="H318" s="81">
        <v>4</v>
      </c>
      <c r="I318" s="82" t="s">
        <v>17</v>
      </c>
      <c r="J318" s="82"/>
      <c r="K318" s="358" t="s">
        <v>2265</v>
      </c>
      <c r="L318" s="82" t="s">
        <v>1192</v>
      </c>
      <c r="M318" s="9">
        <v>43083</v>
      </c>
      <c r="N318" s="9">
        <v>43086</v>
      </c>
      <c r="O318" s="97" t="s">
        <v>3097</v>
      </c>
      <c r="P318" s="350" t="s">
        <v>3140</v>
      </c>
      <c r="Q318" s="249"/>
      <c r="R318" s="94" t="s">
        <v>3153</v>
      </c>
      <c r="S318" s="321"/>
      <c r="T318" s="338" t="s">
        <v>1678</v>
      </c>
    </row>
    <row r="319" spans="1:20" ht="20.100000000000001" customHeight="1">
      <c r="A319" s="1190" t="s">
        <v>3094</v>
      </c>
      <c r="B319" s="1190" t="s">
        <v>3093</v>
      </c>
      <c r="C319" s="1190" t="s">
        <v>3152</v>
      </c>
      <c r="D319" s="802">
        <v>315</v>
      </c>
      <c r="E319" s="802">
        <v>630</v>
      </c>
      <c r="F319" s="802">
        <v>630</v>
      </c>
      <c r="G319" s="80" t="s">
        <v>142</v>
      </c>
      <c r="H319" s="81">
        <v>4</v>
      </c>
      <c r="I319" s="82" t="s">
        <v>17</v>
      </c>
      <c r="J319" s="82"/>
      <c r="K319" s="82">
        <v>6</v>
      </c>
      <c r="L319" s="82" t="s">
        <v>637</v>
      </c>
      <c r="M319" s="9">
        <v>43009</v>
      </c>
      <c r="N319" s="9">
        <v>43070</v>
      </c>
      <c r="O319" s="93" t="s">
        <v>3097</v>
      </c>
      <c r="P319" s="97" t="s">
        <v>3146</v>
      </c>
      <c r="Q319" s="93"/>
      <c r="R319" s="94"/>
      <c r="S319" s="335"/>
      <c r="T319" s="338"/>
    </row>
    <row r="320" spans="1:20" ht="20.100000000000001" customHeight="1">
      <c r="A320" s="1190" t="s">
        <v>3094</v>
      </c>
      <c r="B320" s="1190" t="s">
        <v>3093</v>
      </c>
      <c r="C320" s="1190" t="s">
        <v>3152</v>
      </c>
      <c r="D320" s="62">
        <v>260</v>
      </c>
      <c r="E320" s="62">
        <v>520</v>
      </c>
      <c r="F320" s="62">
        <v>520</v>
      </c>
      <c r="G320" s="96" t="s">
        <v>278</v>
      </c>
      <c r="H320" s="81">
        <v>4</v>
      </c>
      <c r="I320" s="82" t="s">
        <v>17</v>
      </c>
      <c r="J320" s="82"/>
      <c r="K320" s="95" t="s">
        <v>706</v>
      </c>
      <c r="L320" s="82" t="s">
        <v>1192</v>
      </c>
      <c r="M320" s="9">
        <v>43050</v>
      </c>
      <c r="N320" s="9">
        <v>43065</v>
      </c>
      <c r="O320" s="93" t="s">
        <v>3097</v>
      </c>
      <c r="P320" s="97" t="s">
        <v>3144</v>
      </c>
      <c r="Q320" s="93"/>
      <c r="R320" s="94" t="s">
        <v>3153</v>
      </c>
      <c r="S320" s="321"/>
      <c r="T320" s="338"/>
    </row>
    <row r="321" spans="1:20" ht="20.100000000000001" customHeight="1">
      <c r="A321" s="1190" t="s">
        <v>3094</v>
      </c>
      <c r="B321" s="1190" t="s">
        <v>3093</v>
      </c>
      <c r="C321" s="1190" t="s">
        <v>3152</v>
      </c>
      <c r="D321" s="62">
        <v>220</v>
      </c>
      <c r="E321" s="62">
        <v>440</v>
      </c>
      <c r="F321" s="62">
        <v>440</v>
      </c>
      <c r="G321" s="80" t="s">
        <v>87</v>
      </c>
      <c r="H321" s="81" t="s">
        <v>3138</v>
      </c>
      <c r="I321" s="82" t="s">
        <v>25</v>
      </c>
      <c r="J321" s="82"/>
      <c r="K321" s="95">
        <v>7</v>
      </c>
      <c r="L321" s="82" t="s">
        <v>637</v>
      </c>
      <c r="M321" s="9">
        <v>43045</v>
      </c>
      <c r="N321" s="9">
        <v>43072</v>
      </c>
      <c r="O321" s="97" t="s">
        <v>3097</v>
      </c>
      <c r="P321" s="97" t="s">
        <v>3137</v>
      </c>
      <c r="Q321" s="93"/>
      <c r="R321" s="57" t="s">
        <v>246</v>
      </c>
      <c r="S321" s="322" t="s">
        <v>2849</v>
      </c>
      <c r="T321" s="338"/>
    </row>
    <row r="322" spans="1:20" ht="20.100000000000001" customHeight="1">
      <c r="A322" s="1190" t="s">
        <v>3094</v>
      </c>
      <c r="B322" s="1190" t="s">
        <v>3093</v>
      </c>
      <c r="C322" s="1190" t="s">
        <v>3152</v>
      </c>
      <c r="D322" s="62"/>
      <c r="E322" s="62"/>
      <c r="F322" s="62"/>
      <c r="G322" s="215" t="s">
        <v>491</v>
      </c>
      <c r="H322" s="298" t="s">
        <v>644</v>
      </c>
      <c r="I322" s="82" t="s">
        <v>25</v>
      </c>
      <c r="J322" s="82"/>
      <c r="K322" s="358" t="s">
        <v>3141</v>
      </c>
      <c r="L322" s="82" t="s">
        <v>637</v>
      </c>
      <c r="M322" s="9">
        <v>43079</v>
      </c>
      <c r="N322" s="9">
        <v>43086</v>
      </c>
      <c r="O322" s="97" t="s">
        <v>3097</v>
      </c>
      <c r="P322" s="350" t="s">
        <v>3140</v>
      </c>
      <c r="Q322" s="93"/>
      <c r="R322" s="94" t="s">
        <v>3139</v>
      </c>
      <c r="S322" s="321"/>
      <c r="T322" s="338" t="s">
        <v>1678</v>
      </c>
    </row>
    <row r="323" spans="1:20" ht="20.100000000000001" customHeight="1">
      <c r="A323" s="1190" t="s">
        <v>3094</v>
      </c>
      <c r="B323" s="1190" t="s">
        <v>3093</v>
      </c>
      <c r="C323" s="1190" t="s">
        <v>3152</v>
      </c>
      <c r="D323" s="802">
        <v>240</v>
      </c>
      <c r="E323" s="802">
        <v>480</v>
      </c>
      <c r="F323" s="802">
        <v>480</v>
      </c>
      <c r="G323" s="80" t="s">
        <v>142</v>
      </c>
      <c r="H323" s="81" t="s">
        <v>1866</v>
      </c>
      <c r="I323" s="82" t="s">
        <v>25</v>
      </c>
      <c r="J323" s="82"/>
      <c r="K323" s="82">
        <v>8</v>
      </c>
      <c r="L323" s="82" t="s">
        <v>637</v>
      </c>
      <c r="M323" s="9">
        <v>43009</v>
      </c>
      <c r="N323" s="9">
        <v>43070</v>
      </c>
      <c r="O323" s="93" t="s">
        <v>3097</v>
      </c>
      <c r="P323" s="97" t="s">
        <v>3146</v>
      </c>
      <c r="Q323" s="93"/>
      <c r="R323" s="94"/>
      <c r="S323" s="335"/>
      <c r="T323" s="338"/>
    </row>
    <row r="324" spans="1:20" ht="20.100000000000001" customHeight="1">
      <c r="A324" s="1190" t="s">
        <v>3094</v>
      </c>
      <c r="B324" s="1190" t="s">
        <v>3093</v>
      </c>
      <c r="C324" s="1190" t="s">
        <v>3152</v>
      </c>
      <c r="D324" s="62">
        <v>210</v>
      </c>
      <c r="E324" s="62">
        <v>420</v>
      </c>
      <c r="F324" s="62">
        <v>420</v>
      </c>
      <c r="G324" s="96" t="s">
        <v>278</v>
      </c>
      <c r="H324" s="81" t="s">
        <v>3145</v>
      </c>
      <c r="I324" s="82" t="s">
        <v>25</v>
      </c>
      <c r="J324" s="82"/>
      <c r="K324" s="95">
        <v>8</v>
      </c>
      <c r="L324" s="82" t="s">
        <v>637</v>
      </c>
      <c r="M324" s="9">
        <v>43050</v>
      </c>
      <c r="N324" s="9">
        <v>43065</v>
      </c>
      <c r="O324" s="93" t="s">
        <v>3097</v>
      </c>
      <c r="P324" s="97" t="s">
        <v>3144</v>
      </c>
      <c r="Q324" s="93"/>
      <c r="R324" s="57"/>
      <c r="S324" s="321"/>
      <c r="T324" s="338"/>
    </row>
    <row r="325" spans="1:20" ht="20.100000000000001" customHeight="1">
      <c r="A325" s="1190" t="s">
        <v>3094</v>
      </c>
      <c r="B325" s="1190" t="s">
        <v>3093</v>
      </c>
      <c r="C325" s="1190" t="s">
        <v>3152</v>
      </c>
      <c r="D325" s="62">
        <v>220</v>
      </c>
      <c r="E325" s="62">
        <v>440</v>
      </c>
      <c r="F325" s="62">
        <v>440</v>
      </c>
      <c r="G325" s="214" t="s">
        <v>796</v>
      </c>
      <c r="H325" s="81" t="s">
        <v>3135</v>
      </c>
      <c r="I325" s="82" t="s">
        <v>25</v>
      </c>
      <c r="J325" s="82"/>
      <c r="K325" s="95">
        <v>7</v>
      </c>
      <c r="L325" s="82" t="s">
        <v>637</v>
      </c>
      <c r="M325" s="9">
        <v>43052</v>
      </c>
      <c r="N325" s="9">
        <v>43079</v>
      </c>
      <c r="O325" s="97" t="s">
        <v>3097</v>
      </c>
      <c r="P325" s="97" t="s">
        <v>3134</v>
      </c>
      <c r="Q325" s="93"/>
      <c r="R325" s="94"/>
      <c r="S325" s="305" t="s">
        <v>1176</v>
      </c>
      <c r="T325" s="338" t="s">
        <v>1678</v>
      </c>
    </row>
    <row r="326" spans="1:20" ht="20.100000000000001" customHeight="1">
      <c r="A326" s="1190" t="s">
        <v>3094</v>
      </c>
      <c r="B326" s="1190" t="s">
        <v>3093</v>
      </c>
      <c r="C326" s="1190" t="s">
        <v>3151</v>
      </c>
      <c r="D326" s="776"/>
      <c r="E326" s="776"/>
      <c r="F326" s="776"/>
      <c r="G326" s="98" t="s">
        <v>36</v>
      </c>
      <c r="H326" s="298">
        <v>6</v>
      </c>
      <c r="I326" s="82" t="s">
        <v>17</v>
      </c>
      <c r="J326" s="82"/>
      <c r="K326" s="95">
        <v>4</v>
      </c>
      <c r="L326" s="82" t="s">
        <v>649</v>
      </c>
      <c r="M326" s="82"/>
      <c r="N326" s="9">
        <v>43051</v>
      </c>
      <c r="O326" s="83" t="s">
        <v>3097</v>
      </c>
      <c r="P326" s="97" t="s">
        <v>3096</v>
      </c>
      <c r="Q326" s="93"/>
      <c r="R326" s="94" t="s">
        <v>3123</v>
      </c>
      <c r="S326" s="335"/>
      <c r="T326" s="317">
        <v>14</v>
      </c>
    </row>
    <row r="327" spans="1:20" ht="20.100000000000001" customHeight="1">
      <c r="A327" s="1190" t="s">
        <v>3094</v>
      </c>
      <c r="B327" s="1190" t="s">
        <v>3093</v>
      </c>
      <c r="C327" s="1190" t="s">
        <v>3151</v>
      </c>
      <c r="D327" s="62">
        <v>220</v>
      </c>
      <c r="E327" s="62">
        <v>440</v>
      </c>
      <c r="F327" s="62">
        <v>440</v>
      </c>
      <c r="G327" s="84" t="s">
        <v>87</v>
      </c>
      <c r="H327" s="81" t="s">
        <v>3138</v>
      </c>
      <c r="I327" s="82" t="s">
        <v>25</v>
      </c>
      <c r="J327" s="82"/>
      <c r="K327" s="95">
        <v>7</v>
      </c>
      <c r="L327" s="82" t="s">
        <v>637</v>
      </c>
      <c r="M327" s="9">
        <v>43045</v>
      </c>
      <c r="N327" s="9">
        <v>43072</v>
      </c>
      <c r="O327" s="97" t="s">
        <v>3097</v>
      </c>
      <c r="P327" s="97" t="s">
        <v>3137</v>
      </c>
      <c r="Q327" s="93"/>
      <c r="R327" s="57" t="s">
        <v>246</v>
      </c>
      <c r="S327" s="322" t="s">
        <v>2849</v>
      </c>
      <c r="T327" s="338"/>
    </row>
    <row r="328" spans="1:20" ht="20.100000000000001" customHeight="1">
      <c r="A328" s="1190" t="s">
        <v>3094</v>
      </c>
      <c r="B328" s="1190" t="s">
        <v>3093</v>
      </c>
      <c r="C328" s="1190" t="s">
        <v>3151</v>
      </c>
      <c r="D328" s="62">
        <v>180</v>
      </c>
      <c r="E328" s="62">
        <v>360</v>
      </c>
      <c r="F328" s="62">
        <v>360</v>
      </c>
      <c r="G328" s="215" t="s">
        <v>491</v>
      </c>
      <c r="H328" s="81" t="s">
        <v>3142</v>
      </c>
      <c r="I328" s="82" t="s">
        <v>25</v>
      </c>
      <c r="J328" s="82"/>
      <c r="K328" s="358" t="s">
        <v>3141</v>
      </c>
      <c r="L328" s="82" t="s">
        <v>637</v>
      </c>
      <c r="M328" s="9">
        <v>43079</v>
      </c>
      <c r="N328" s="9">
        <v>43086</v>
      </c>
      <c r="O328" s="97" t="s">
        <v>3097</v>
      </c>
      <c r="P328" s="350" t="s">
        <v>3140</v>
      </c>
      <c r="Q328" s="93"/>
      <c r="R328" s="94" t="s">
        <v>3139</v>
      </c>
      <c r="S328" s="321"/>
      <c r="T328" s="338" t="s">
        <v>1678</v>
      </c>
    </row>
    <row r="329" spans="1:20" ht="20.100000000000001" customHeight="1">
      <c r="A329" s="1190" t="s">
        <v>3094</v>
      </c>
      <c r="B329" s="1190" t="s">
        <v>3093</v>
      </c>
      <c r="C329" s="1190" t="s">
        <v>3151</v>
      </c>
      <c r="D329" s="62">
        <v>220</v>
      </c>
      <c r="E329" s="62">
        <v>440</v>
      </c>
      <c r="F329" s="62">
        <v>440</v>
      </c>
      <c r="G329" s="214" t="s">
        <v>796</v>
      </c>
      <c r="H329" s="81" t="s">
        <v>3135</v>
      </c>
      <c r="I329" s="82" t="s">
        <v>25</v>
      </c>
      <c r="J329" s="82"/>
      <c r="K329" s="95">
        <v>7</v>
      </c>
      <c r="L329" s="82" t="s">
        <v>637</v>
      </c>
      <c r="M329" s="9">
        <v>43052</v>
      </c>
      <c r="N329" s="9">
        <v>43079</v>
      </c>
      <c r="O329" s="97" t="s">
        <v>3097</v>
      </c>
      <c r="P329" s="97" t="s">
        <v>3134</v>
      </c>
      <c r="Q329" s="93"/>
      <c r="R329" s="94"/>
      <c r="S329" s="305" t="s">
        <v>1176</v>
      </c>
      <c r="T329" s="338" t="s">
        <v>1678</v>
      </c>
    </row>
    <row r="330" spans="1:20" ht="20.100000000000001" customHeight="1">
      <c r="A330" s="1190" t="s">
        <v>3094</v>
      </c>
      <c r="B330" s="1190" t="s">
        <v>3093</v>
      </c>
      <c r="C330" s="1190" t="s">
        <v>3150</v>
      </c>
      <c r="D330" s="802"/>
      <c r="E330" s="802"/>
      <c r="F330" s="802"/>
      <c r="G330" s="301" t="s">
        <v>142</v>
      </c>
      <c r="H330" s="298" t="s">
        <v>3147</v>
      </c>
      <c r="I330" s="82" t="s">
        <v>25</v>
      </c>
      <c r="J330" s="82"/>
      <c r="K330" s="82">
        <v>10</v>
      </c>
      <c r="L330" s="82" t="s">
        <v>637</v>
      </c>
      <c r="M330" s="9">
        <v>43009</v>
      </c>
      <c r="N330" s="9">
        <v>43070</v>
      </c>
      <c r="O330" s="93" t="s">
        <v>3097</v>
      </c>
      <c r="P330" s="97" t="s">
        <v>3146</v>
      </c>
      <c r="Q330" s="92" t="s">
        <v>1025</v>
      </c>
      <c r="R330" s="57"/>
      <c r="S330" s="321"/>
      <c r="T330" s="338"/>
    </row>
    <row r="331" spans="1:20" ht="20.100000000000001" customHeight="1">
      <c r="A331" s="1190" t="s">
        <v>3094</v>
      </c>
      <c r="B331" s="1190" t="s">
        <v>3093</v>
      </c>
      <c r="C331" s="1190" t="s">
        <v>3150</v>
      </c>
      <c r="D331" s="62">
        <v>220</v>
      </c>
      <c r="E331" s="62">
        <v>440</v>
      </c>
      <c r="F331" s="62">
        <v>440</v>
      </c>
      <c r="G331" s="84" t="s">
        <v>87</v>
      </c>
      <c r="H331" s="81" t="s">
        <v>3138</v>
      </c>
      <c r="I331" s="82" t="s">
        <v>25</v>
      </c>
      <c r="J331" s="82"/>
      <c r="K331" s="95">
        <v>7</v>
      </c>
      <c r="L331" s="82" t="s">
        <v>637</v>
      </c>
      <c r="M331" s="9">
        <v>43045</v>
      </c>
      <c r="N331" s="9">
        <v>43072</v>
      </c>
      <c r="O331" s="97" t="s">
        <v>3097</v>
      </c>
      <c r="P331" s="97" t="s">
        <v>3137</v>
      </c>
      <c r="Q331" s="93"/>
      <c r="R331" s="57" t="s">
        <v>246</v>
      </c>
      <c r="S331" s="322" t="s">
        <v>2849</v>
      </c>
      <c r="T331" s="338"/>
    </row>
    <row r="332" spans="1:20" ht="20.100000000000001" customHeight="1">
      <c r="A332" s="1190" t="s">
        <v>3094</v>
      </c>
      <c r="B332" s="1190" t="s">
        <v>3093</v>
      </c>
      <c r="C332" s="1190" t="s">
        <v>3150</v>
      </c>
      <c r="D332" s="62">
        <v>180</v>
      </c>
      <c r="E332" s="62">
        <v>360</v>
      </c>
      <c r="F332" s="62">
        <v>360</v>
      </c>
      <c r="G332" s="215" t="s">
        <v>491</v>
      </c>
      <c r="H332" s="81" t="s">
        <v>3142</v>
      </c>
      <c r="I332" s="82" t="s">
        <v>25</v>
      </c>
      <c r="J332" s="82"/>
      <c r="K332" s="358" t="s">
        <v>3141</v>
      </c>
      <c r="L332" s="82" t="s">
        <v>637</v>
      </c>
      <c r="M332" s="9">
        <v>43079</v>
      </c>
      <c r="N332" s="9">
        <v>43086</v>
      </c>
      <c r="O332" s="97" t="s">
        <v>3097</v>
      </c>
      <c r="P332" s="350" t="s">
        <v>3140</v>
      </c>
      <c r="Q332" s="93"/>
      <c r="R332" s="94" t="s">
        <v>3139</v>
      </c>
      <c r="S332" s="335"/>
      <c r="T332" s="338" t="s">
        <v>1678</v>
      </c>
    </row>
    <row r="333" spans="1:20" ht="20.100000000000001" customHeight="1">
      <c r="A333" s="1190" t="s">
        <v>3094</v>
      </c>
      <c r="B333" s="1190" t="s">
        <v>3093</v>
      </c>
      <c r="C333" s="1190" t="s">
        <v>3150</v>
      </c>
      <c r="D333" s="62">
        <v>210</v>
      </c>
      <c r="E333" s="62">
        <v>420</v>
      </c>
      <c r="F333" s="62">
        <v>420</v>
      </c>
      <c r="G333" s="96" t="s">
        <v>278</v>
      </c>
      <c r="H333" s="81" t="s">
        <v>3145</v>
      </c>
      <c r="I333" s="82" t="s">
        <v>25</v>
      </c>
      <c r="J333" s="82"/>
      <c r="K333" s="95">
        <v>8</v>
      </c>
      <c r="L333" s="82" t="s">
        <v>637</v>
      </c>
      <c r="M333" s="9">
        <v>43050</v>
      </c>
      <c r="N333" s="9">
        <v>43065</v>
      </c>
      <c r="O333" s="93" t="s">
        <v>3097</v>
      </c>
      <c r="P333" s="97" t="s">
        <v>3144</v>
      </c>
      <c r="Q333" s="93"/>
      <c r="R333" s="57"/>
      <c r="S333" s="321"/>
      <c r="T333" s="338"/>
    </row>
    <row r="334" spans="1:20" ht="20.100000000000001" customHeight="1">
      <c r="A334" s="1190" t="s">
        <v>3094</v>
      </c>
      <c r="B334" s="1190" t="s">
        <v>3093</v>
      </c>
      <c r="C334" s="1190" t="s">
        <v>3150</v>
      </c>
      <c r="D334" s="62">
        <v>220</v>
      </c>
      <c r="E334" s="62">
        <v>440</v>
      </c>
      <c r="F334" s="62">
        <v>440</v>
      </c>
      <c r="G334" s="214" t="s">
        <v>796</v>
      </c>
      <c r="H334" s="81" t="s">
        <v>3135</v>
      </c>
      <c r="I334" s="82" t="s">
        <v>25</v>
      </c>
      <c r="J334" s="82"/>
      <c r="K334" s="95">
        <v>7</v>
      </c>
      <c r="L334" s="82" t="s">
        <v>637</v>
      </c>
      <c r="M334" s="9">
        <v>43052</v>
      </c>
      <c r="N334" s="9">
        <v>43079</v>
      </c>
      <c r="O334" s="97" t="s">
        <v>3097</v>
      </c>
      <c r="P334" s="97" t="s">
        <v>3134</v>
      </c>
      <c r="Q334" s="93"/>
      <c r="R334" s="94"/>
      <c r="S334" s="305" t="s">
        <v>1176</v>
      </c>
      <c r="T334" s="338" t="s">
        <v>1678</v>
      </c>
    </row>
    <row r="335" spans="1:20" ht="20.100000000000001" customHeight="1">
      <c r="A335" s="798" t="s">
        <v>3094</v>
      </c>
      <c r="B335" s="798" t="s">
        <v>3093</v>
      </c>
      <c r="C335" s="798" t="s">
        <v>3149</v>
      </c>
      <c r="D335" s="62">
        <v>180</v>
      </c>
      <c r="E335" s="62">
        <v>360</v>
      </c>
      <c r="F335" s="62">
        <v>360</v>
      </c>
      <c r="G335" s="215" t="s">
        <v>491</v>
      </c>
      <c r="H335" s="81" t="s">
        <v>3142</v>
      </c>
      <c r="I335" s="82" t="s">
        <v>25</v>
      </c>
      <c r="J335" s="82"/>
      <c r="K335" s="358" t="s">
        <v>3141</v>
      </c>
      <c r="L335" s="82" t="s">
        <v>637</v>
      </c>
      <c r="M335" s="9">
        <v>43079</v>
      </c>
      <c r="N335" s="9">
        <v>43086</v>
      </c>
      <c r="O335" s="97" t="s">
        <v>3097</v>
      </c>
      <c r="P335" s="350" t="s">
        <v>3140</v>
      </c>
      <c r="Q335" s="93"/>
      <c r="R335" s="94" t="s">
        <v>3139</v>
      </c>
      <c r="S335" s="321"/>
      <c r="T335" s="338" t="s">
        <v>1678</v>
      </c>
    </row>
    <row r="336" spans="1:20" ht="20.100000000000001" customHeight="1">
      <c r="A336" s="1190" t="s">
        <v>3094</v>
      </c>
      <c r="B336" s="1190" t="s">
        <v>3093</v>
      </c>
      <c r="C336" s="1190" t="s">
        <v>3148</v>
      </c>
      <c r="D336" s="62">
        <v>180</v>
      </c>
      <c r="E336" s="62">
        <v>360</v>
      </c>
      <c r="F336" s="62">
        <v>360</v>
      </c>
      <c r="G336" s="215" t="s">
        <v>491</v>
      </c>
      <c r="H336" s="81" t="s">
        <v>3142</v>
      </c>
      <c r="I336" s="82" t="s">
        <v>25</v>
      </c>
      <c r="J336" s="82"/>
      <c r="K336" s="358" t="s">
        <v>3141</v>
      </c>
      <c r="L336" s="82" t="s">
        <v>637</v>
      </c>
      <c r="M336" s="9">
        <v>43079</v>
      </c>
      <c r="N336" s="9">
        <v>43086</v>
      </c>
      <c r="O336" s="97" t="s">
        <v>3097</v>
      </c>
      <c r="P336" s="350" t="s">
        <v>3140</v>
      </c>
      <c r="Q336" s="93"/>
      <c r="R336" s="94" t="s">
        <v>3139</v>
      </c>
      <c r="S336" s="321"/>
      <c r="T336" s="338" t="s">
        <v>1678</v>
      </c>
    </row>
    <row r="337" spans="1:20" ht="20.100000000000001" customHeight="1">
      <c r="A337" s="1190" t="s">
        <v>3094</v>
      </c>
      <c r="B337" s="1190" t="s">
        <v>3093</v>
      </c>
      <c r="C337" s="1190" t="s">
        <v>3148</v>
      </c>
      <c r="D337" s="802">
        <v>370</v>
      </c>
      <c r="E337" s="802">
        <v>740</v>
      </c>
      <c r="F337" s="802">
        <v>740</v>
      </c>
      <c r="G337" s="80" t="s">
        <v>142</v>
      </c>
      <c r="H337" s="81" t="s">
        <v>3147</v>
      </c>
      <c r="I337" s="82" t="s">
        <v>25</v>
      </c>
      <c r="J337" s="82"/>
      <c r="K337" s="82">
        <v>10</v>
      </c>
      <c r="L337" s="82" t="s">
        <v>637</v>
      </c>
      <c r="M337" s="9">
        <v>43009</v>
      </c>
      <c r="N337" s="9">
        <v>43070</v>
      </c>
      <c r="O337" s="93" t="s">
        <v>3097</v>
      </c>
      <c r="P337" s="97" t="s">
        <v>3146</v>
      </c>
      <c r="Q337" s="93"/>
      <c r="R337" s="94"/>
      <c r="S337" s="335"/>
      <c r="T337" s="338"/>
    </row>
    <row r="338" spans="1:20" ht="20.100000000000001" customHeight="1">
      <c r="A338" s="1190" t="s">
        <v>3094</v>
      </c>
      <c r="B338" s="1190" t="s">
        <v>3093</v>
      </c>
      <c r="C338" s="1190" t="s">
        <v>3143</v>
      </c>
      <c r="D338" s="62">
        <v>220</v>
      </c>
      <c r="E338" s="62">
        <v>440</v>
      </c>
      <c r="F338" s="62">
        <v>440</v>
      </c>
      <c r="G338" s="80" t="s">
        <v>87</v>
      </c>
      <c r="H338" s="81" t="s">
        <v>3138</v>
      </c>
      <c r="I338" s="82" t="s">
        <v>25</v>
      </c>
      <c r="J338" s="82"/>
      <c r="K338" s="95">
        <v>7</v>
      </c>
      <c r="L338" s="82" t="s">
        <v>637</v>
      </c>
      <c r="M338" s="9">
        <v>43045</v>
      </c>
      <c r="N338" s="9">
        <v>43072</v>
      </c>
      <c r="O338" s="97" t="s">
        <v>3097</v>
      </c>
      <c r="P338" s="97" t="s">
        <v>3137</v>
      </c>
      <c r="Q338" s="93"/>
      <c r="R338" s="57" t="s">
        <v>246</v>
      </c>
      <c r="S338" s="322" t="s">
        <v>2849</v>
      </c>
      <c r="T338" s="338"/>
    </row>
    <row r="339" spans="1:20" ht="20.100000000000001" customHeight="1">
      <c r="A339" s="1190" t="s">
        <v>3094</v>
      </c>
      <c r="B339" s="1190" t="s">
        <v>3093</v>
      </c>
      <c r="C339" s="1190" t="s">
        <v>3143</v>
      </c>
      <c r="D339" s="62">
        <v>210</v>
      </c>
      <c r="E339" s="62">
        <v>420</v>
      </c>
      <c r="F339" s="62">
        <v>420</v>
      </c>
      <c r="G339" s="96" t="s">
        <v>278</v>
      </c>
      <c r="H339" s="81" t="s">
        <v>3145</v>
      </c>
      <c r="I339" s="82" t="s">
        <v>25</v>
      </c>
      <c r="J339" s="82"/>
      <c r="K339" s="95">
        <v>8</v>
      </c>
      <c r="L339" s="82" t="s">
        <v>637</v>
      </c>
      <c r="M339" s="9">
        <v>43050</v>
      </c>
      <c r="N339" s="9">
        <v>43065</v>
      </c>
      <c r="O339" s="93" t="s">
        <v>3097</v>
      </c>
      <c r="P339" s="93" t="s">
        <v>3144</v>
      </c>
      <c r="Q339" s="93"/>
      <c r="R339" s="57"/>
      <c r="S339" s="321"/>
      <c r="T339" s="338"/>
    </row>
    <row r="340" spans="1:20" ht="20.100000000000001" customHeight="1">
      <c r="A340" s="1190" t="s">
        <v>3094</v>
      </c>
      <c r="B340" s="1190" t="s">
        <v>3093</v>
      </c>
      <c r="C340" s="1190" t="s">
        <v>3143</v>
      </c>
      <c r="D340" s="62">
        <v>220</v>
      </c>
      <c r="E340" s="62">
        <v>440</v>
      </c>
      <c r="F340" s="62">
        <v>440</v>
      </c>
      <c r="G340" s="214" t="s">
        <v>796</v>
      </c>
      <c r="H340" s="81" t="s">
        <v>3135</v>
      </c>
      <c r="I340" s="82" t="s">
        <v>25</v>
      </c>
      <c r="J340" s="82"/>
      <c r="K340" s="95">
        <v>8</v>
      </c>
      <c r="L340" s="82" t="s">
        <v>637</v>
      </c>
      <c r="M340" s="9">
        <v>43052</v>
      </c>
      <c r="N340" s="9">
        <v>43079</v>
      </c>
      <c r="O340" s="97" t="s">
        <v>3097</v>
      </c>
      <c r="P340" s="93" t="s">
        <v>3134</v>
      </c>
      <c r="Q340" s="93"/>
      <c r="R340" s="94"/>
      <c r="S340" s="305" t="s">
        <v>1176</v>
      </c>
      <c r="T340" s="338" t="s">
        <v>1678</v>
      </c>
    </row>
    <row r="341" spans="1:20" ht="20.100000000000001" customHeight="1">
      <c r="A341" s="1190" t="s">
        <v>3094</v>
      </c>
      <c r="B341" s="1190" t="s">
        <v>3093</v>
      </c>
      <c r="C341" s="1190" t="s">
        <v>3136</v>
      </c>
      <c r="D341" s="776"/>
      <c r="E341" s="776"/>
      <c r="F341" s="776"/>
      <c r="G341" s="85" t="s">
        <v>36</v>
      </c>
      <c r="H341" s="298">
        <v>4</v>
      </c>
      <c r="I341" s="82" t="s">
        <v>17</v>
      </c>
      <c r="J341" s="82"/>
      <c r="K341" s="82">
        <v>4</v>
      </c>
      <c r="L341" s="82" t="s">
        <v>649</v>
      </c>
      <c r="M341" s="82"/>
      <c r="N341" s="9">
        <v>43051</v>
      </c>
      <c r="O341" s="83" t="s">
        <v>3097</v>
      </c>
      <c r="P341" s="93" t="s">
        <v>3096</v>
      </c>
      <c r="Q341" s="93"/>
      <c r="R341" s="87" t="s">
        <v>310</v>
      </c>
      <c r="S341" s="305"/>
      <c r="T341" s="317">
        <v>14</v>
      </c>
    </row>
    <row r="342" spans="1:20" ht="20.100000000000001" customHeight="1">
      <c r="A342" s="1190" t="s">
        <v>3094</v>
      </c>
      <c r="B342" s="1190" t="s">
        <v>3093</v>
      </c>
      <c r="C342" s="1190" t="s">
        <v>3136</v>
      </c>
      <c r="D342" s="776"/>
      <c r="E342" s="776"/>
      <c r="F342" s="776"/>
      <c r="G342" s="85" t="s">
        <v>36</v>
      </c>
      <c r="H342" s="298">
        <v>6</v>
      </c>
      <c r="I342" s="82" t="s">
        <v>17</v>
      </c>
      <c r="J342" s="82"/>
      <c r="K342" s="82">
        <v>3</v>
      </c>
      <c r="L342" s="82" t="s">
        <v>649</v>
      </c>
      <c r="M342" s="82"/>
      <c r="N342" s="9">
        <v>43051</v>
      </c>
      <c r="O342" s="83" t="s">
        <v>3097</v>
      </c>
      <c r="P342" s="93" t="s">
        <v>3096</v>
      </c>
      <c r="Q342" s="93"/>
      <c r="R342" s="87" t="s">
        <v>3123</v>
      </c>
      <c r="S342" s="305"/>
      <c r="T342" s="317">
        <v>14</v>
      </c>
    </row>
    <row r="343" spans="1:20" ht="20.100000000000001" customHeight="1">
      <c r="A343" s="1190" t="s">
        <v>3094</v>
      </c>
      <c r="B343" s="1190" t="s">
        <v>3093</v>
      </c>
      <c r="C343" s="1190" t="s">
        <v>3136</v>
      </c>
      <c r="D343" s="62">
        <v>180</v>
      </c>
      <c r="E343" s="62">
        <v>360</v>
      </c>
      <c r="F343" s="62">
        <v>360</v>
      </c>
      <c r="G343" s="215" t="s">
        <v>491</v>
      </c>
      <c r="H343" s="81" t="s">
        <v>3142</v>
      </c>
      <c r="I343" s="82" t="s">
        <v>25</v>
      </c>
      <c r="J343" s="82"/>
      <c r="K343" s="358" t="s">
        <v>3141</v>
      </c>
      <c r="L343" s="82" t="s">
        <v>637</v>
      </c>
      <c r="M343" s="9">
        <v>43079</v>
      </c>
      <c r="N343" s="9">
        <v>43086</v>
      </c>
      <c r="O343" s="97" t="s">
        <v>3097</v>
      </c>
      <c r="P343" s="350" t="s">
        <v>3140</v>
      </c>
      <c r="Q343" s="93"/>
      <c r="R343" s="94" t="s">
        <v>3139</v>
      </c>
      <c r="S343" s="321"/>
      <c r="T343" s="338" t="s">
        <v>1678</v>
      </c>
    </row>
    <row r="344" spans="1:20" ht="20.100000000000001" customHeight="1">
      <c r="A344" s="1190" t="s">
        <v>3094</v>
      </c>
      <c r="B344" s="1190" t="s">
        <v>3093</v>
      </c>
      <c r="C344" s="1190" t="s">
        <v>3136</v>
      </c>
      <c r="D344" s="62">
        <v>220</v>
      </c>
      <c r="E344" s="62">
        <v>440</v>
      </c>
      <c r="F344" s="62">
        <v>440</v>
      </c>
      <c r="G344" s="80" t="s">
        <v>87</v>
      </c>
      <c r="H344" s="81" t="s">
        <v>3138</v>
      </c>
      <c r="I344" s="82" t="s">
        <v>25</v>
      </c>
      <c r="J344" s="82"/>
      <c r="K344" s="95">
        <v>7</v>
      </c>
      <c r="L344" s="82" t="s">
        <v>637</v>
      </c>
      <c r="M344" s="9">
        <v>43045</v>
      </c>
      <c r="N344" s="9">
        <v>43072</v>
      </c>
      <c r="O344" s="97" t="s">
        <v>3097</v>
      </c>
      <c r="P344" s="97" t="s">
        <v>3137</v>
      </c>
      <c r="Q344" s="93"/>
      <c r="R344" s="57" t="s">
        <v>246</v>
      </c>
      <c r="S344" s="322" t="s">
        <v>2849</v>
      </c>
      <c r="T344" s="338"/>
    </row>
    <row r="345" spans="1:20" ht="20.100000000000001" customHeight="1">
      <c r="A345" s="1190" t="s">
        <v>3094</v>
      </c>
      <c r="B345" s="1190" t="s">
        <v>3093</v>
      </c>
      <c r="C345" s="1190" t="s">
        <v>3136</v>
      </c>
      <c r="D345" s="62">
        <v>220</v>
      </c>
      <c r="E345" s="62">
        <v>440</v>
      </c>
      <c r="F345" s="62">
        <v>440</v>
      </c>
      <c r="G345" s="214" t="s">
        <v>796</v>
      </c>
      <c r="H345" s="81" t="s">
        <v>3135</v>
      </c>
      <c r="I345" s="82" t="s">
        <v>25</v>
      </c>
      <c r="J345" s="82"/>
      <c r="K345" s="95">
        <v>8</v>
      </c>
      <c r="L345" s="82" t="s">
        <v>637</v>
      </c>
      <c r="M345" s="9">
        <v>43052</v>
      </c>
      <c r="N345" s="9">
        <v>43079</v>
      </c>
      <c r="O345" s="97" t="s">
        <v>3097</v>
      </c>
      <c r="P345" s="93" t="s">
        <v>3134</v>
      </c>
      <c r="Q345" s="93"/>
      <c r="R345" s="94"/>
      <c r="S345" s="305" t="s">
        <v>1176</v>
      </c>
      <c r="T345" s="338" t="s">
        <v>1678</v>
      </c>
    </row>
    <row r="346" spans="1:20" ht="20.100000000000001" customHeight="1">
      <c r="A346" s="1138" t="s">
        <v>3094</v>
      </c>
      <c r="B346" s="1138" t="s">
        <v>3093</v>
      </c>
      <c r="C346" s="1138" t="s">
        <v>3133</v>
      </c>
      <c r="D346" s="357">
        <v>190</v>
      </c>
      <c r="E346" s="357">
        <v>380</v>
      </c>
      <c r="F346" s="357">
        <v>380</v>
      </c>
      <c r="G346" s="80" t="s">
        <v>51</v>
      </c>
      <c r="H346" s="81">
        <v>6</v>
      </c>
      <c r="I346" s="82" t="s">
        <v>17</v>
      </c>
      <c r="J346" s="82"/>
      <c r="K346" s="82">
        <v>2</v>
      </c>
      <c r="L346" s="82" t="s">
        <v>649</v>
      </c>
      <c r="M346" s="6">
        <v>43040</v>
      </c>
      <c r="N346" s="381">
        <v>43079</v>
      </c>
      <c r="O346" s="83" t="s">
        <v>3097</v>
      </c>
      <c r="P346" s="93" t="s">
        <v>3096</v>
      </c>
      <c r="Q346" s="249"/>
      <c r="R346" s="87" t="s">
        <v>3129</v>
      </c>
      <c r="S346" s="305"/>
      <c r="T346" s="338"/>
    </row>
    <row r="347" spans="1:20" ht="20.100000000000001" customHeight="1">
      <c r="A347" s="1138" t="s">
        <v>3094</v>
      </c>
      <c r="B347" s="1138" t="s">
        <v>3093</v>
      </c>
      <c r="C347" s="1138" t="s">
        <v>3133</v>
      </c>
      <c r="D347" s="357">
        <v>200</v>
      </c>
      <c r="E347" s="357">
        <v>400</v>
      </c>
      <c r="F347" s="357">
        <v>400</v>
      </c>
      <c r="G347" s="85" t="s">
        <v>36</v>
      </c>
      <c r="H347" s="81">
        <v>2</v>
      </c>
      <c r="I347" s="82" t="s">
        <v>17</v>
      </c>
      <c r="J347" s="82"/>
      <c r="K347" s="82">
        <v>3</v>
      </c>
      <c r="L347" s="82" t="s">
        <v>649</v>
      </c>
      <c r="M347" s="82"/>
      <c r="N347" s="9">
        <v>43051</v>
      </c>
      <c r="O347" s="83" t="s">
        <v>3097</v>
      </c>
      <c r="P347" s="93" t="s">
        <v>3096</v>
      </c>
      <c r="Q347" s="86" t="s">
        <v>3098</v>
      </c>
      <c r="R347" s="94" t="s">
        <v>3132</v>
      </c>
      <c r="S347" s="335"/>
      <c r="T347" s="317">
        <v>14</v>
      </c>
    </row>
    <row r="348" spans="1:20" ht="20.100000000000001" customHeight="1">
      <c r="A348" s="1138" t="s">
        <v>3094</v>
      </c>
      <c r="B348" s="1138" t="s">
        <v>3093</v>
      </c>
      <c r="C348" s="1138" t="s">
        <v>3133</v>
      </c>
      <c r="D348" s="357"/>
      <c r="E348" s="357"/>
      <c r="F348" s="357"/>
      <c r="G348" s="302" t="s">
        <v>36</v>
      </c>
      <c r="H348" s="298">
        <v>5</v>
      </c>
      <c r="I348" s="82" t="s">
        <v>17</v>
      </c>
      <c r="J348" s="82"/>
      <c r="K348" s="82">
        <v>3</v>
      </c>
      <c r="L348" s="82" t="s">
        <v>649</v>
      </c>
      <c r="M348" s="82"/>
      <c r="N348" s="9">
        <v>43051</v>
      </c>
      <c r="O348" s="83" t="s">
        <v>3097</v>
      </c>
      <c r="P348" s="93" t="s">
        <v>3096</v>
      </c>
      <c r="Q348" s="86" t="s">
        <v>3098</v>
      </c>
      <c r="R348" s="94" t="s">
        <v>3131</v>
      </c>
      <c r="S348" s="335"/>
      <c r="T348" s="317">
        <v>14</v>
      </c>
    </row>
    <row r="349" spans="1:20" ht="20.100000000000001" customHeight="1">
      <c r="A349" s="1138" t="s">
        <v>3094</v>
      </c>
      <c r="B349" s="1138" t="s">
        <v>3093</v>
      </c>
      <c r="C349" s="1138" t="s">
        <v>3133</v>
      </c>
      <c r="D349" s="357">
        <v>200</v>
      </c>
      <c r="E349" s="357">
        <v>400</v>
      </c>
      <c r="F349" s="357">
        <v>400</v>
      </c>
      <c r="G349" s="85" t="s">
        <v>36</v>
      </c>
      <c r="H349" s="81">
        <v>6</v>
      </c>
      <c r="I349" s="82" t="s">
        <v>17</v>
      </c>
      <c r="J349" s="82"/>
      <c r="K349" s="95">
        <v>3</v>
      </c>
      <c r="L349" s="82" t="s">
        <v>649</v>
      </c>
      <c r="M349" s="82"/>
      <c r="N349" s="9">
        <v>43051</v>
      </c>
      <c r="O349" s="83" t="s">
        <v>3097</v>
      </c>
      <c r="P349" s="93" t="s">
        <v>3096</v>
      </c>
      <c r="Q349" s="86" t="s">
        <v>3098</v>
      </c>
      <c r="R349" s="94" t="s">
        <v>3130</v>
      </c>
      <c r="S349" s="335"/>
      <c r="T349" s="317">
        <v>14</v>
      </c>
    </row>
    <row r="350" spans="1:20" ht="20.100000000000001" customHeight="1">
      <c r="A350" s="1138" t="s">
        <v>3094</v>
      </c>
      <c r="B350" s="1138" t="s">
        <v>3093</v>
      </c>
      <c r="C350" s="1138" t="s">
        <v>3133</v>
      </c>
      <c r="D350" s="357"/>
      <c r="E350" s="357"/>
      <c r="F350" s="357"/>
      <c r="G350" s="302" t="s">
        <v>36</v>
      </c>
      <c r="H350" s="298">
        <v>7</v>
      </c>
      <c r="I350" s="82" t="s">
        <v>17</v>
      </c>
      <c r="J350" s="82"/>
      <c r="K350" s="95">
        <v>3</v>
      </c>
      <c r="L350" s="82" t="s">
        <v>649</v>
      </c>
      <c r="M350" s="82"/>
      <c r="N350" s="9">
        <v>43051</v>
      </c>
      <c r="O350" s="83" t="s">
        <v>3097</v>
      </c>
      <c r="P350" s="93" t="s">
        <v>3096</v>
      </c>
      <c r="Q350" s="86" t="s">
        <v>3098</v>
      </c>
      <c r="R350" s="94" t="s">
        <v>3127</v>
      </c>
      <c r="S350" s="335"/>
      <c r="T350" s="317">
        <v>14</v>
      </c>
    </row>
    <row r="351" spans="1:20" ht="20.100000000000001" customHeight="1">
      <c r="A351" s="1190" t="s">
        <v>3094</v>
      </c>
      <c r="B351" s="1190" t="s">
        <v>3093</v>
      </c>
      <c r="C351" s="1190" t="s">
        <v>3128</v>
      </c>
      <c r="D351" s="357">
        <v>200</v>
      </c>
      <c r="E351" s="357">
        <v>400</v>
      </c>
      <c r="F351" s="357">
        <v>400</v>
      </c>
      <c r="G351" s="85" t="s">
        <v>36</v>
      </c>
      <c r="H351" s="81">
        <v>2</v>
      </c>
      <c r="I351" s="82" t="s">
        <v>17</v>
      </c>
      <c r="J351" s="82"/>
      <c r="K351" s="82">
        <v>2</v>
      </c>
      <c r="L351" s="82" t="s">
        <v>649</v>
      </c>
      <c r="M351" s="82"/>
      <c r="N351" s="9">
        <v>43051</v>
      </c>
      <c r="O351" s="83" t="s">
        <v>3097</v>
      </c>
      <c r="P351" s="93" t="s">
        <v>3096</v>
      </c>
      <c r="Q351" s="86" t="s">
        <v>3098</v>
      </c>
      <c r="R351" s="94" t="s">
        <v>3132</v>
      </c>
      <c r="S351" s="335"/>
      <c r="T351" s="317">
        <v>14</v>
      </c>
    </row>
    <row r="352" spans="1:20" ht="20.100000000000001" customHeight="1">
      <c r="A352" s="1190" t="s">
        <v>3094</v>
      </c>
      <c r="B352" s="1190" t="s">
        <v>3093</v>
      </c>
      <c r="C352" s="1190" t="s">
        <v>3128</v>
      </c>
      <c r="D352" s="357"/>
      <c r="E352" s="357"/>
      <c r="F352" s="357"/>
      <c r="G352" s="302" t="s">
        <v>36</v>
      </c>
      <c r="H352" s="298">
        <v>5</v>
      </c>
      <c r="I352" s="82" t="s">
        <v>17</v>
      </c>
      <c r="J352" s="82"/>
      <c r="K352" s="82">
        <v>2</v>
      </c>
      <c r="L352" s="82" t="s">
        <v>649</v>
      </c>
      <c r="M352" s="82"/>
      <c r="N352" s="9">
        <v>43051</v>
      </c>
      <c r="O352" s="83" t="s">
        <v>3097</v>
      </c>
      <c r="P352" s="93" t="s">
        <v>3096</v>
      </c>
      <c r="Q352" s="86" t="s">
        <v>3098</v>
      </c>
      <c r="R352" s="94" t="s">
        <v>3131</v>
      </c>
      <c r="S352" s="335"/>
      <c r="T352" s="317">
        <v>14</v>
      </c>
    </row>
    <row r="353" spans="1:20" ht="20.100000000000001" customHeight="1">
      <c r="A353" s="1190" t="s">
        <v>3094</v>
      </c>
      <c r="B353" s="1190" t="s">
        <v>3093</v>
      </c>
      <c r="C353" s="1190" t="s">
        <v>3128</v>
      </c>
      <c r="D353" s="357">
        <v>200</v>
      </c>
      <c r="E353" s="357">
        <v>400</v>
      </c>
      <c r="F353" s="357">
        <v>400</v>
      </c>
      <c r="G353" s="85" t="s">
        <v>36</v>
      </c>
      <c r="H353" s="81">
        <v>6</v>
      </c>
      <c r="I353" s="82" t="s">
        <v>17</v>
      </c>
      <c r="J353" s="82"/>
      <c r="K353" s="95">
        <v>2</v>
      </c>
      <c r="L353" s="82" t="s">
        <v>649</v>
      </c>
      <c r="M353" s="82"/>
      <c r="N353" s="9">
        <v>43051</v>
      </c>
      <c r="O353" s="83" t="s">
        <v>3097</v>
      </c>
      <c r="P353" s="93" t="s">
        <v>3096</v>
      </c>
      <c r="Q353" s="86" t="s">
        <v>3098</v>
      </c>
      <c r="R353" s="94" t="s">
        <v>3130</v>
      </c>
      <c r="S353" s="335"/>
      <c r="T353" s="317">
        <v>14</v>
      </c>
    </row>
    <row r="354" spans="1:20" ht="20.100000000000001" customHeight="1">
      <c r="A354" s="1190" t="s">
        <v>3094</v>
      </c>
      <c r="B354" s="1190" t="s">
        <v>3093</v>
      </c>
      <c r="C354" s="1190" t="s">
        <v>3128</v>
      </c>
      <c r="D354" s="357">
        <v>190</v>
      </c>
      <c r="E354" s="357">
        <v>380</v>
      </c>
      <c r="F354" s="357">
        <v>380</v>
      </c>
      <c r="G354" s="80" t="s">
        <v>51</v>
      </c>
      <c r="H354" s="81">
        <v>6</v>
      </c>
      <c r="I354" s="82" t="s">
        <v>17</v>
      </c>
      <c r="J354" s="82"/>
      <c r="K354" s="82">
        <v>3</v>
      </c>
      <c r="L354" s="82" t="s">
        <v>649</v>
      </c>
      <c r="M354" s="6">
        <v>43040</v>
      </c>
      <c r="N354" s="381">
        <v>43079</v>
      </c>
      <c r="O354" s="83" t="s">
        <v>3097</v>
      </c>
      <c r="P354" s="93" t="s">
        <v>3096</v>
      </c>
      <c r="Q354" s="249"/>
      <c r="R354" s="87" t="s">
        <v>3129</v>
      </c>
      <c r="S354" s="305"/>
      <c r="T354" s="338"/>
    </row>
    <row r="355" spans="1:20" ht="20.100000000000001" customHeight="1">
      <c r="A355" s="1190" t="s">
        <v>3094</v>
      </c>
      <c r="B355" s="1190" t="s">
        <v>3093</v>
      </c>
      <c r="C355" s="1190" t="s">
        <v>3128</v>
      </c>
      <c r="D355" s="357"/>
      <c r="E355" s="357"/>
      <c r="F355" s="357"/>
      <c r="G355" s="302" t="s">
        <v>36</v>
      </c>
      <c r="H355" s="298">
        <v>7</v>
      </c>
      <c r="I355" s="82" t="s">
        <v>17</v>
      </c>
      <c r="J355" s="82"/>
      <c r="K355" s="95">
        <v>2</v>
      </c>
      <c r="L355" s="82" t="s">
        <v>649</v>
      </c>
      <c r="M355" s="82"/>
      <c r="N355" s="9">
        <v>43051</v>
      </c>
      <c r="O355" s="83" t="s">
        <v>3097</v>
      </c>
      <c r="P355" s="93" t="s">
        <v>3096</v>
      </c>
      <c r="Q355" s="86" t="s">
        <v>3098</v>
      </c>
      <c r="R355" s="94" t="s">
        <v>3127</v>
      </c>
      <c r="S355" s="335"/>
      <c r="T355" s="317">
        <v>14</v>
      </c>
    </row>
    <row r="356" spans="1:20" ht="20.100000000000001" customHeight="1">
      <c r="A356" s="1190" t="s">
        <v>3094</v>
      </c>
      <c r="B356" s="1190" t="s">
        <v>3093</v>
      </c>
      <c r="C356" s="1190" t="s">
        <v>3126</v>
      </c>
      <c r="D356" s="357">
        <v>170</v>
      </c>
      <c r="E356" s="357">
        <v>340</v>
      </c>
      <c r="F356" s="357">
        <v>340</v>
      </c>
      <c r="G356" s="80" t="s">
        <v>51</v>
      </c>
      <c r="H356" s="81" t="s">
        <v>1102</v>
      </c>
      <c r="I356" s="82" t="s">
        <v>17</v>
      </c>
      <c r="J356" s="82"/>
      <c r="K356" s="82">
        <v>3</v>
      </c>
      <c r="L356" s="82" t="s">
        <v>641</v>
      </c>
      <c r="M356" s="6">
        <v>43040</v>
      </c>
      <c r="N356" s="381">
        <v>43079</v>
      </c>
      <c r="O356" s="83" t="s">
        <v>3097</v>
      </c>
      <c r="P356" s="93" t="s">
        <v>3096</v>
      </c>
      <c r="Q356" s="249"/>
      <c r="R356" s="87" t="s">
        <v>3119</v>
      </c>
      <c r="S356" s="305"/>
      <c r="T356" s="338"/>
    </row>
    <row r="357" spans="1:20" ht="20.100000000000001" customHeight="1">
      <c r="A357" s="1190" t="s">
        <v>3094</v>
      </c>
      <c r="B357" s="1190" t="s">
        <v>3093</v>
      </c>
      <c r="C357" s="1190" t="s">
        <v>3126</v>
      </c>
      <c r="D357" s="357"/>
      <c r="E357" s="357"/>
      <c r="F357" s="357"/>
      <c r="G357" s="80" t="s">
        <v>3091</v>
      </c>
      <c r="H357" s="298" t="s">
        <v>1102</v>
      </c>
      <c r="I357" s="82" t="s">
        <v>17</v>
      </c>
      <c r="J357" s="82"/>
      <c r="K357" s="82">
        <v>4</v>
      </c>
      <c r="L357" s="82" t="s">
        <v>637</v>
      </c>
      <c r="M357" s="82"/>
      <c r="N357" s="9">
        <v>43030</v>
      </c>
      <c r="O357" s="93" t="s">
        <v>2570</v>
      </c>
      <c r="P357" s="93"/>
      <c r="Q357" s="86" t="s">
        <v>1024</v>
      </c>
      <c r="R357" s="87"/>
      <c r="S357" s="305"/>
      <c r="T357" s="338"/>
    </row>
    <row r="358" spans="1:20" ht="20.100000000000001" customHeight="1">
      <c r="A358" s="1190" t="s">
        <v>3094</v>
      </c>
      <c r="B358" s="1190" t="s">
        <v>3093</v>
      </c>
      <c r="C358" s="1190" t="s">
        <v>3126</v>
      </c>
      <c r="D358" s="357">
        <v>200</v>
      </c>
      <c r="E358" s="357">
        <v>400</v>
      </c>
      <c r="F358" s="357">
        <v>400</v>
      </c>
      <c r="G358" s="85" t="s">
        <v>36</v>
      </c>
      <c r="H358" s="81">
        <v>2</v>
      </c>
      <c r="I358" s="82" t="s">
        <v>17</v>
      </c>
      <c r="J358" s="82"/>
      <c r="K358" s="82">
        <v>3</v>
      </c>
      <c r="L358" s="82" t="s">
        <v>641</v>
      </c>
      <c r="M358" s="82"/>
      <c r="N358" s="9">
        <v>43051</v>
      </c>
      <c r="O358" s="83" t="s">
        <v>3097</v>
      </c>
      <c r="P358" s="93" t="s">
        <v>3096</v>
      </c>
      <c r="Q358" s="86" t="s">
        <v>3098</v>
      </c>
      <c r="R358" s="87" t="s">
        <v>3120</v>
      </c>
      <c r="S358" s="305"/>
      <c r="T358" s="317">
        <v>14</v>
      </c>
    </row>
    <row r="359" spans="1:20" ht="20.100000000000001" customHeight="1">
      <c r="A359" s="1190" t="s">
        <v>3094</v>
      </c>
      <c r="B359" s="1190" t="s">
        <v>3093</v>
      </c>
      <c r="C359" s="1190" t="s">
        <v>3126</v>
      </c>
      <c r="D359" s="357">
        <v>200</v>
      </c>
      <c r="E359" s="357">
        <v>400</v>
      </c>
      <c r="F359" s="357">
        <v>400</v>
      </c>
      <c r="G359" s="85" t="s">
        <v>36</v>
      </c>
      <c r="H359" s="81">
        <v>4</v>
      </c>
      <c r="I359" s="82" t="s">
        <v>17</v>
      </c>
      <c r="J359" s="82"/>
      <c r="K359" s="82">
        <v>2</v>
      </c>
      <c r="L359" s="82" t="s">
        <v>649</v>
      </c>
      <c r="M359" s="82"/>
      <c r="N359" s="9">
        <v>43051</v>
      </c>
      <c r="O359" s="83" t="s">
        <v>3097</v>
      </c>
      <c r="P359" s="93" t="s">
        <v>3096</v>
      </c>
      <c r="Q359" s="86" t="s">
        <v>3098</v>
      </c>
      <c r="R359" s="87" t="s">
        <v>310</v>
      </c>
      <c r="S359" s="305"/>
      <c r="T359" s="317">
        <v>14</v>
      </c>
    </row>
    <row r="360" spans="1:20" ht="20.100000000000001" customHeight="1">
      <c r="A360" s="1190" t="s">
        <v>3094</v>
      </c>
      <c r="B360" s="1190" t="s">
        <v>3093</v>
      </c>
      <c r="C360" s="1190" t="s">
        <v>3126</v>
      </c>
      <c r="D360" s="357">
        <v>200</v>
      </c>
      <c r="E360" s="357">
        <v>400</v>
      </c>
      <c r="F360" s="357">
        <v>400</v>
      </c>
      <c r="G360" s="85" t="s">
        <v>36</v>
      </c>
      <c r="H360" s="81">
        <v>5</v>
      </c>
      <c r="I360" s="82" t="s">
        <v>17</v>
      </c>
      <c r="J360" s="82"/>
      <c r="K360" s="82">
        <v>3</v>
      </c>
      <c r="L360" s="82" t="s">
        <v>641</v>
      </c>
      <c r="M360" s="82"/>
      <c r="N360" s="9">
        <v>43051</v>
      </c>
      <c r="O360" s="83" t="s">
        <v>3097</v>
      </c>
      <c r="P360" s="93" t="s">
        <v>3096</v>
      </c>
      <c r="Q360" s="86" t="s">
        <v>3098</v>
      </c>
      <c r="R360" s="87" t="s">
        <v>3118</v>
      </c>
      <c r="S360" s="305"/>
      <c r="T360" s="317">
        <v>14</v>
      </c>
    </row>
    <row r="361" spans="1:20" ht="20.100000000000001" customHeight="1">
      <c r="A361" s="1190" t="s">
        <v>3094</v>
      </c>
      <c r="B361" s="1190" t="s">
        <v>3093</v>
      </c>
      <c r="C361" s="1190" t="s">
        <v>3126</v>
      </c>
      <c r="D361" s="357"/>
      <c r="E361" s="357"/>
      <c r="F361" s="357"/>
      <c r="G361" s="80" t="s">
        <v>3091</v>
      </c>
      <c r="H361" s="298" t="s">
        <v>681</v>
      </c>
      <c r="I361" s="82" t="s">
        <v>17</v>
      </c>
      <c r="J361" s="82"/>
      <c r="K361" s="82">
        <v>4</v>
      </c>
      <c r="L361" s="82" t="s">
        <v>637</v>
      </c>
      <c r="M361" s="82"/>
      <c r="N361" s="9">
        <v>43030</v>
      </c>
      <c r="O361" s="93" t="s">
        <v>2570</v>
      </c>
      <c r="P361" s="93"/>
      <c r="Q361" s="86" t="s">
        <v>1024</v>
      </c>
      <c r="R361" s="87"/>
      <c r="S361" s="305"/>
      <c r="T361" s="338"/>
    </row>
    <row r="362" spans="1:20" ht="20.100000000000001" customHeight="1">
      <c r="A362" s="1190" t="s">
        <v>3094</v>
      </c>
      <c r="B362" s="1190" t="s">
        <v>3093</v>
      </c>
      <c r="C362" s="1190" t="s">
        <v>3126</v>
      </c>
      <c r="D362" s="357">
        <v>200</v>
      </c>
      <c r="E362" s="357">
        <v>400</v>
      </c>
      <c r="F362" s="357">
        <v>400</v>
      </c>
      <c r="G362" s="85" t="s">
        <v>36</v>
      </c>
      <c r="H362" s="81">
        <v>6</v>
      </c>
      <c r="I362" s="82" t="s">
        <v>17</v>
      </c>
      <c r="J362" s="82"/>
      <c r="K362" s="82">
        <v>3</v>
      </c>
      <c r="L362" s="82" t="s">
        <v>641</v>
      </c>
      <c r="M362" s="82"/>
      <c r="N362" s="9">
        <v>43051</v>
      </c>
      <c r="O362" s="83" t="s">
        <v>3097</v>
      </c>
      <c r="P362" s="93" t="s">
        <v>3096</v>
      </c>
      <c r="Q362" s="86" t="s">
        <v>3098</v>
      </c>
      <c r="R362" s="87" t="s">
        <v>3117</v>
      </c>
      <c r="S362" s="305"/>
      <c r="T362" s="317">
        <v>14</v>
      </c>
    </row>
    <row r="363" spans="1:20" ht="20.100000000000001" customHeight="1">
      <c r="A363" s="1190" t="s">
        <v>3094</v>
      </c>
      <c r="B363" s="1190" t="s">
        <v>3093</v>
      </c>
      <c r="C363" s="1190" t="s">
        <v>3126</v>
      </c>
      <c r="D363" s="357">
        <v>170</v>
      </c>
      <c r="E363" s="357">
        <v>340</v>
      </c>
      <c r="F363" s="357">
        <v>340</v>
      </c>
      <c r="G363" s="80" t="s">
        <v>51</v>
      </c>
      <c r="H363" s="81" t="s">
        <v>1098</v>
      </c>
      <c r="I363" s="82" t="s">
        <v>17</v>
      </c>
      <c r="J363" s="82"/>
      <c r="K363" s="82" t="s">
        <v>1102</v>
      </c>
      <c r="L363" s="82" t="s">
        <v>641</v>
      </c>
      <c r="M363" s="6">
        <v>43040</v>
      </c>
      <c r="N363" s="381">
        <v>43079</v>
      </c>
      <c r="O363" s="83" t="s">
        <v>3097</v>
      </c>
      <c r="P363" s="93" t="s">
        <v>3096</v>
      </c>
      <c r="Q363" s="249"/>
      <c r="R363" s="87" t="s">
        <v>3116</v>
      </c>
      <c r="S363" s="305"/>
      <c r="T363" s="338"/>
    </row>
    <row r="364" spans="1:20" ht="20.100000000000001" customHeight="1">
      <c r="A364" s="1190" t="s">
        <v>3094</v>
      </c>
      <c r="B364" s="1190" t="s">
        <v>3093</v>
      </c>
      <c r="C364" s="1190" t="s">
        <v>3126</v>
      </c>
      <c r="D364" s="357"/>
      <c r="E364" s="357"/>
      <c r="F364" s="357"/>
      <c r="G364" s="80" t="s">
        <v>3091</v>
      </c>
      <c r="H364" s="298" t="s">
        <v>706</v>
      </c>
      <c r="I364" s="82" t="s">
        <v>17</v>
      </c>
      <c r="J364" s="82"/>
      <c r="K364" s="82">
        <v>4</v>
      </c>
      <c r="L364" s="82" t="s">
        <v>637</v>
      </c>
      <c r="M364" s="82"/>
      <c r="N364" s="9">
        <v>43030</v>
      </c>
      <c r="O364" s="93" t="s">
        <v>2570</v>
      </c>
      <c r="P364" s="93"/>
      <c r="Q364" s="86" t="s">
        <v>1024</v>
      </c>
      <c r="R364" s="87"/>
      <c r="S364" s="305"/>
      <c r="T364" s="338"/>
    </row>
    <row r="365" spans="1:20" ht="20.100000000000001" customHeight="1">
      <c r="A365" s="1190" t="s">
        <v>3094</v>
      </c>
      <c r="B365" s="1190" t="s">
        <v>3093</v>
      </c>
      <c r="C365" s="1190" t="s">
        <v>3126</v>
      </c>
      <c r="D365" s="357">
        <v>170</v>
      </c>
      <c r="E365" s="357">
        <v>340</v>
      </c>
      <c r="F365" s="357">
        <v>340</v>
      </c>
      <c r="G365" s="80" t="s">
        <v>51</v>
      </c>
      <c r="H365" s="81" t="s">
        <v>706</v>
      </c>
      <c r="I365" s="82" t="s">
        <v>17</v>
      </c>
      <c r="J365" s="82"/>
      <c r="K365" s="82" t="s">
        <v>1102</v>
      </c>
      <c r="L365" s="82" t="s">
        <v>641</v>
      </c>
      <c r="M365" s="6">
        <v>43040</v>
      </c>
      <c r="N365" s="381">
        <v>43079</v>
      </c>
      <c r="O365" s="83" t="s">
        <v>3097</v>
      </c>
      <c r="P365" s="93" t="s">
        <v>3096</v>
      </c>
      <c r="Q365" s="374"/>
      <c r="R365" s="87" t="s">
        <v>3115</v>
      </c>
      <c r="S365" s="305"/>
      <c r="T365" s="338"/>
    </row>
    <row r="366" spans="1:20" ht="20.100000000000001" customHeight="1">
      <c r="A366" s="1190" t="s">
        <v>3094</v>
      </c>
      <c r="B366" s="1190" t="s">
        <v>3093</v>
      </c>
      <c r="C366" s="1190" t="s">
        <v>3126</v>
      </c>
      <c r="D366" s="357">
        <v>200</v>
      </c>
      <c r="E366" s="357">
        <v>400</v>
      </c>
      <c r="F366" s="357">
        <v>400</v>
      </c>
      <c r="G366" s="85" t="s">
        <v>36</v>
      </c>
      <c r="H366" s="81">
        <v>7</v>
      </c>
      <c r="I366" s="82" t="s">
        <v>17</v>
      </c>
      <c r="J366" s="82"/>
      <c r="K366" s="82">
        <v>3</v>
      </c>
      <c r="L366" s="82" t="s">
        <v>641</v>
      </c>
      <c r="M366" s="82"/>
      <c r="N366" s="9">
        <v>43051</v>
      </c>
      <c r="O366" s="83" t="s">
        <v>3097</v>
      </c>
      <c r="P366" s="93" t="s">
        <v>3096</v>
      </c>
      <c r="Q366" s="86" t="s">
        <v>3098</v>
      </c>
      <c r="R366" s="87" t="s">
        <v>3113</v>
      </c>
      <c r="S366" s="305"/>
      <c r="T366" s="317">
        <v>14</v>
      </c>
    </row>
    <row r="367" spans="1:20" ht="20.100000000000001" customHeight="1">
      <c r="A367" s="1190" t="s">
        <v>3094</v>
      </c>
      <c r="B367" s="1190" t="s">
        <v>3093</v>
      </c>
      <c r="C367" s="1190" t="s">
        <v>3121</v>
      </c>
      <c r="D367" s="357"/>
      <c r="E367" s="357"/>
      <c r="F367" s="357"/>
      <c r="G367" s="80" t="s">
        <v>3091</v>
      </c>
      <c r="H367" s="298" t="s">
        <v>948</v>
      </c>
      <c r="I367" s="82" t="s">
        <v>17</v>
      </c>
      <c r="J367" s="82"/>
      <c r="K367" s="82">
        <v>3</v>
      </c>
      <c r="L367" s="82" t="s">
        <v>637</v>
      </c>
      <c r="M367" s="82"/>
      <c r="N367" s="9">
        <v>43030</v>
      </c>
      <c r="O367" s="93" t="s">
        <v>2570</v>
      </c>
      <c r="P367" s="93"/>
      <c r="Q367" s="86" t="s">
        <v>1024</v>
      </c>
      <c r="R367" s="87"/>
      <c r="S367" s="305"/>
      <c r="T367" s="338"/>
    </row>
    <row r="368" spans="1:20" ht="20.100000000000001" customHeight="1">
      <c r="A368" s="1190" t="s">
        <v>3094</v>
      </c>
      <c r="B368" s="1190" t="s">
        <v>3093</v>
      </c>
      <c r="C368" s="1190" t="s">
        <v>3121</v>
      </c>
      <c r="D368" s="357">
        <v>170</v>
      </c>
      <c r="E368" s="357">
        <v>340</v>
      </c>
      <c r="F368" s="357">
        <v>340</v>
      </c>
      <c r="G368" s="80" t="s">
        <v>51</v>
      </c>
      <c r="H368" s="81" t="s">
        <v>1102</v>
      </c>
      <c r="I368" s="82" t="s">
        <v>17</v>
      </c>
      <c r="J368" s="82"/>
      <c r="K368" s="82" t="s">
        <v>1102</v>
      </c>
      <c r="L368" s="82" t="s">
        <v>1192</v>
      </c>
      <c r="M368" s="6">
        <v>43040</v>
      </c>
      <c r="N368" s="381">
        <v>43079</v>
      </c>
      <c r="O368" s="83" t="s">
        <v>3097</v>
      </c>
      <c r="P368" s="93" t="s">
        <v>3096</v>
      </c>
      <c r="Q368" s="374"/>
      <c r="R368" s="87" t="s">
        <v>3125</v>
      </c>
      <c r="S368" s="305"/>
      <c r="T368" s="338"/>
    </row>
    <row r="369" spans="1:20" ht="20.100000000000001" customHeight="1">
      <c r="A369" s="1190" t="s">
        <v>3094</v>
      </c>
      <c r="B369" s="1190" t="s">
        <v>3093</v>
      </c>
      <c r="C369" s="1190" t="s">
        <v>3121</v>
      </c>
      <c r="D369" s="357">
        <v>200</v>
      </c>
      <c r="E369" s="357">
        <v>400</v>
      </c>
      <c r="F369" s="357">
        <v>400</v>
      </c>
      <c r="G369" s="85" t="s">
        <v>36</v>
      </c>
      <c r="H369" s="81">
        <v>2</v>
      </c>
      <c r="I369" s="82" t="s">
        <v>17</v>
      </c>
      <c r="J369" s="82"/>
      <c r="K369" s="82">
        <v>3</v>
      </c>
      <c r="L369" s="82" t="s">
        <v>649</v>
      </c>
      <c r="M369" s="82"/>
      <c r="N369" s="9">
        <v>43051</v>
      </c>
      <c r="O369" s="83" t="s">
        <v>3097</v>
      </c>
      <c r="P369" s="93" t="s">
        <v>3096</v>
      </c>
      <c r="Q369" s="86" t="s">
        <v>3098</v>
      </c>
      <c r="R369" s="87" t="s">
        <v>3107</v>
      </c>
      <c r="S369" s="305"/>
      <c r="T369" s="317">
        <v>14</v>
      </c>
    </row>
    <row r="370" spans="1:20" ht="20.100000000000001" customHeight="1">
      <c r="A370" s="1190" t="s">
        <v>3094</v>
      </c>
      <c r="B370" s="1190" t="s">
        <v>3093</v>
      </c>
      <c r="C370" s="1190" t="s">
        <v>3121</v>
      </c>
      <c r="D370" s="357">
        <v>200</v>
      </c>
      <c r="E370" s="357">
        <v>400</v>
      </c>
      <c r="F370" s="357">
        <v>400</v>
      </c>
      <c r="G370" s="85" t="s">
        <v>36</v>
      </c>
      <c r="H370" s="81">
        <v>4</v>
      </c>
      <c r="I370" s="82" t="s">
        <v>17</v>
      </c>
      <c r="J370" s="82"/>
      <c r="K370" s="82">
        <v>3</v>
      </c>
      <c r="L370" s="82" t="s">
        <v>649</v>
      </c>
      <c r="M370" s="82"/>
      <c r="N370" s="9">
        <v>43051</v>
      </c>
      <c r="O370" s="83" t="s">
        <v>3097</v>
      </c>
      <c r="P370" s="93" t="s">
        <v>3096</v>
      </c>
      <c r="Q370" s="86" t="s">
        <v>3098</v>
      </c>
      <c r="R370" s="87" t="s">
        <v>310</v>
      </c>
      <c r="S370" s="305"/>
      <c r="T370" s="317">
        <v>14</v>
      </c>
    </row>
    <row r="371" spans="1:20" ht="20.100000000000001" customHeight="1">
      <c r="A371" s="1190" t="s">
        <v>3094</v>
      </c>
      <c r="B371" s="1190" t="s">
        <v>3093</v>
      </c>
      <c r="C371" s="1190" t="s">
        <v>3121</v>
      </c>
      <c r="D371" s="357"/>
      <c r="E371" s="357"/>
      <c r="F371" s="357"/>
      <c r="G371" s="80" t="s">
        <v>3091</v>
      </c>
      <c r="H371" s="298" t="s">
        <v>681</v>
      </c>
      <c r="I371" s="82" t="s">
        <v>17</v>
      </c>
      <c r="J371" s="82"/>
      <c r="K371" s="82">
        <v>3</v>
      </c>
      <c r="L371" s="82" t="s">
        <v>637</v>
      </c>
      <c r="M371" s="82"/>
      <c r="N371" s="9">
        <v>43030</v>
      </c>
      <c r="O371" s="93" t="s">
        <v>2570</v>
      </c>
      <c r="P371" s="93"/>
      <c r="Q371" s="86" t="s">
        <v>1024</v>
      </c>
      <c r="R371" s="87"/>
      <c r="S371" s="305"/>
      <c r="T371" s="338"/>
    </row>
    <row r="372" spans="1:20" ht="20.100000000000001" customHeight="1">
      <c r="A372" s="1190" t="s">
        <v>3094</v>
      </c>
      <c r="B372" s="1190" t="s">
        <v>3093</v>
      </c>
      <c r="C372" s="1190" t="s">
        <v>3121</v>
      </c>
      <c r="D372" s="357">
        <v>170</v>
      </c>
      <c r="E372" s="357">
        <v>340</v>
      </c>
      <c r="F372" s="357">
        <v>340</v>
      </c>
      <c r="G372" s="80" t="s">
        <v>51</v>
      </c>
      <c r="H372" s="81" t="s">
        <v>681</v>
      </c>
      <c r="I372" s="82" t="s">
        <v>17</v>
      </c>
      <c r="J372" s="82"/>
      <c r="K372" s="82" t="s">
        <v>1102</v>
      </c>
      <c r="L372" s="82" t="s">
        <v>1192</v>
      </c>
      <c r="M372" s="6">
        <v>43040</v>
      </c>
      <c r="N372" s="381">
        <v>43079</v>
      </c>
      <c r="O372" s="83" t="s">
        <v>3097</v>
      </c>
      <c r="P372" s="93" t="s">
        <v>3096</v>
      </c>
      <c r="Q372" s="249"/>
      <c r="R372" s="87" t="s">
        <v>3124</v>
      </c>
      <c r="S372" s="305"/>
      <c r="T372" s="338"/>
    </row>
    <row r="373" spans="1:20" ht="20.100000000000001" customHeight="1">
      <c r="A373" s="1190" t="s">
        <v>3094</v>
      </c>
      <c r="B373" s="1190" t="s">
        <v>3093</v>
      </c>
      <c r="C373" s="1190" t="s">
        <v>3121</v>
      </c>
      <c r="D373" s="357">
        <v>200</v>
      </c>
      <c r="E373" s="357">
        <v>400</v>
      </c>
      <c r="F373" s="357">
        <v>400</v>
      </c>
      <c r="G373" s="85" t="s">
        <v>36</v>
      </c>
      <c r="H373" s="81">
        <v>5</v>
      </c>
      <c r="I373" s="82" t="s">
        <v>17</v>
      </c>
      <c r="J373" s="82"/>
      <c r="K373" s="82">
        <v>3</v>
      </c>
      <c r="L373" s="82" t="s">
        <v>649</v>
      </c>
      <c r="M373" s="82"/>
      <c r="N373" s="9">
        <v>43051</v>
      </c>
      <c r="O373" s="83" t="s">
        <v>3097</v>
      </c>
      <c r="P373" s="93" t="s">
        <v>3096</v>
      </c>
      <c r="Q373" s="86" t="s">
        <v>3098</v>
      </c>
      <c r="R373" s="87" t="s">
        <v>3102</v>
      </c>
      <c r="S373" s="305"/>
      <c r="T373" s="317">
        <v>14</v>
      </c>
    </row>
    <row r="374" spans="1:20" ht="20.100000000000001" customHeight="1">
      <c r="A374" s="1190" t="s">
        <v>3094</v>
      </c>
      <c r="B374" s="1190" t="s">
        <v>3093</v>
      </c>
      <c r="C374" s="1190" t="s">
        <v>3121</v>
      </c>
      <c r="D374" s="357"/>
      <c r="E374" s="357"/>
      <c r="F374" s="357"/>
      <c r="G374" s="80" t="s">
        <v>3091</v>
      </c>
      <c r="H374" s="298" t="s">
        <v>1098</v>
      </c>
      <c r="I374" s="82" t="s">
        <v>17</v>
      </c>
      <c r="J374" s="82"/>
      <c r="K374" s="82">
        <v>3</v>
      </c>
      <c r="L374" s="82" t="s">
        <v>637</v>
      </c>
      <c r="M374" s="82"/>
      <c r="N374" s="9">
        <v>43030</v>
      </c>
      <c r="O374" s="93" t="s">
        <v>2570</v>
      </c>
      <c r="P374" s="93"/>
      <c r="Q374" s="86" t="s">
        <v>1024</v>
      </c>
      <c r="R374" s="87"/>
      <c r="S374" s="305"/>
      <c r="T374" s="338"/>
    </row>
    <row r="375" spans="1:20" ht="20.100000000000001" customHeight="1">
      <c r="A375" s="1190" t="s">
        <v>3094</v>
      </c>
      <c r="B375" s="1190" t="s">
        <v>3093</v>
      </c>
      <c r="C375" s="1190" t="s">
        <v>3121</v>
      </c>
      <c r="D375" s="357">
        <v>200</v>
      </c>
      <c r="E375" s="357">
        <v>400</v>
      </c>
      <c r="F375" s="357">
        <v>400</v>
      </c>
      <c r="G375" s="85" t="s">
        <v>36</v>
      </c>
      <c r="H375" s="81">
        <v>6</v>
      </c>
      <c r="I375" s="82" t="s">
        <v>17</v>
      </c>
      <c r="J375" s="82"/>
      <c r="K375" s="82">
        <v>3</v>
      </c>
      <c r="L375" s="82" t="s">
        <v>649</v>
      </c>
      <c r="M375" s="82"/>
      <c r="N375" s="9">
        <v>43051</v>
      </c>
      <c r="O375" s="83" t="s">
        <v>3097</v>
      </c>
      <c r="P375" s="93" t="s">
        <v>3096</v>
      </c>
      <c r="Q375" s="86" t="s">
        <v>3098</v>
      </c>
      <c r="R375" s="87" t="s">
        <v>3123</v>
      </c>
      <c r="S375" s="305"/>
      <c r="T375" s="317">
        <v>14</v>
      </c>
    </row>
    <row r="376" spans="1:20" ht="20.100000000000001" customHeight="1">
      <c r="A376" s="1190" t="s">
        <v>3094</v>
      </c>
      <c r="B376" s="1190" t="s">
        <v>3093</v>
      </c>
      <c r="C376" s="1190" t="s">
        <v>3121</v>
      </c>
      <c r="D376" s="357"/>
      <c r="E376" s="357"/>
      <c r="F376" s="357"/>
      <c r="G376" s="214" t="s">
        <v>22</v>
      </c>
      <c r="H376" s="298" t="s">
        <v>706</v>
      </c>
      <c r="I376" s="82" t="s">
        <v>17</v>
      </c>
      <c r="J376" s="82"/>
      <c r="K376" s="82" t="s">
        <v>828</v>
      </c>
      <c r="L376" s="82" t="s">
        <v>1481</v>
      </c>
      <c r="M376" s="82"/>
      <c r="N376" s="9">
        <v>43030</v>
      </c>
      <c r="O376" s="83" t="s">
        <v>3112</v>
      </c>
      <c r="P376" s="93"/>
      <c r="Q376" s="93"/>
      <c r="R376" s="87" t="s">
        <v>3111</v>
      </c>
      <c r="S376" s="305"/>
      <c r="T376" s="338"/>
    </row>
    <row r="377" spans="1:20" ht="20.100000000000001" customHeight="1">
      <c r="A377" s="1190" t="s">
        <v>3094</v>
      </c>
      <c r="B377" s="1190" t="s">
        <v>3093</v>
      </c>
      <c r="C377" s="1190" t="s">
        <v>3121</v>
      </c>
      <c r="D377" s="357">
        <v>170</v>
      </c>
      <c r="E377" s="357">
        <v>340</v>
      </c>
      <c r="F377" s="357">
        <v>340</v>
      </c>
      <c r="G377" s="80" t="s">
        <v>51</v>
      </c>
      <c r="H377" s="81" t="s">
        <v>706</v>
      </c>
      <c r="I377" s="82" t="s">
        <v>17</v>
      </c>
      <c r="J377" s="82"/>
      <c r="K377" s="82" t="s">
        <v>681</v>
      </c>
      <c r="L377" s="82" t="s">
        <v>1192</v>
      </c>
      <c r="M377" s="6">
        <v>43040</v>
      </c>
      <c r="N377" s="381">
        <v>43079</v>
      </c>
      <c r="O377" s="83" t="s">
        <v>3097</v>
      </c>
      <c r="P377" s="93" t="s">
        <v>3096</v>
      </c>
      <c r="Q377" s="249"/>
      <c r="R377" s="87" t="s">
        <v>3122</v>
      </c>
      <c r="S377" s="305"/>
      <c r="T377" s="338"/>
    </row>
    <row r="378" spans="1:20" ht="20.100000000000001" customHeight="1">
      <c r="A378" s="1190" t="s">
        <v>3094</v>
      </c>
      <c r="B378" s="1190" t="s">
        <v>3093</v>
      </c>
      <c r="C378" s="1190" t="s">
        <v>3121</v>
      </c>
      <c r="D378" s="357">
        <v>200</v>
      </c>
      <c r="E378" s="357">
        <v>400</v>
      </c>
      <c r="F378" s="357">
        <v>400</v>
      </c>
      <c r="G378" s="85" t="s">
        <v>36</v>
      </c>
      <c r="H378" s="81">
        <v>7</v>
      </c>
      <c r="I378" s="82" t="s">
        <v>17</v>
      </c>
      <c r="J378" s="82"/>
      <c r="K378" s="82">
        <v>3</v>
      </c>
      <c r="L378" s="82" t="s">
        <v>649</v>
      </c>
      <c r="M378" s="82"/>
      <c r="N378" s="9">
        <v>43051</v>
      </c>
      <c r="O378" s="83" t="s">
        <v>3097</v>
      </c>
      <c r="P378" s="93" t="s">
        <v>3096</v>
      </c>
      <c r="Q378" s="86" t="s">
        <v>3098</v>
      </c>
      <c r="R378" s="87" t="s">
        <v>3110</v>
      </c>
      <c r="S378" s="305"/>
      <c r="T378" s="317">
        <v>14</v>
      </c>
    </row>
    <row r="379" spans="1:20" ht="20.100000000000001" customHeight="1">
      <c r="A379" s="1190" t="s">
        <v>3094</v>
      </c>
      <c r="B379" s="1190" t="s">
        <v>3093</v>
      </c>
      <c r="C379" s="1190" t="s">
        <v>3114</v>
      </c>
      <c r="D379" s="357">
        <v>200</v>
      </c>
      <c r="E379" s="357">
        <v>400</v>
      </c>
      <c r="F379" s="357">
        <v>400</v>
      </c>
      <c r="G379" s="85" t="s">
        <v>36</v>
      </c>
      <c r="H379" s="81">
        <v>2</v>
      </c>
      <c r="I379" s="82" t="s">
        <v>17</v>
      </c>
      <c r="J379" s="82"/>
      <c r="K379" s="82">
        <v>3</v>
      </c>
      <c r="L379" s="82" t="s">
        <v>641</v>
      </c>
      <c r="M379" s="82"/>
      <c r="N379" s="9">
        <v>43051</v>
      </c>
      <c r="O379" s="83" t="s">
        <v>3097</v>
      </c>
      <c r="P379" s="93" t="s">
        <v>3096</v>
      </c>
      <c r="Q379" s="86" t="s">
        <v>3098</v>
      </c>
      <c r="R379" s="87" t="s">
        <v>3120</v>
      </c>
      <c r="S379" s="305"/>
      <c r="T379" s="317">
        <v>14</v>
      </c>
    </row>
    <row r="380" spans="1:20" ht="20.100000000000001" customHeight="1">
      <c r="A380" s="1190" t="s">
        <v>3094</v>
      </c>
      <c r="B380" s="1190" t="s">
        <v>3093</v>
      </c>
      <c r="C380" s="1190" t="s">
        <v>3114</v>
      </c>
      <c r="D380" s="357">
        <v>170</v>
      </c>
      <c r="E380" s="357">
        <v>340</v>
      </c>
      <c r="F380" s="357">
        <v>340</v>
      </c>
      <c r="G380" s="80" t="s">
        <v>51</v>
      </c>
      <c r="H380" s="81" t="s">
        <v>1102</v>
      </c>
      <c r="I380" s="82" t="s">
        <v>17</v>
      </c>
      <c r="J380" s="82"/>
      <c r="K380" s="82" t="s">
        <v>1102</v>
      </c>
      <c r="L380" s="82" t="s">
        <v>641</v>
      </c>
      <c r="M380" s="6">
        <v>43040</v>
      </c>
      <c r="N380" s="381">
        <v>43079</v>
      </c>
      <c r="O380" s="83" t="s">
        <v>3097</v>
      </c>
      <c r="P380" s="93" t="s">
        <v>3096</v>
      </c>
      <c r="Q380" s="249"/>
      <c r="R380" s="87" t="s">
        <v>3119</v>
      </c>
      <c r="S380" s="305"/>
      <c r="T380" s="338"/>
    </row>
    <row r="381" spans="1:20" ht="20.100000000000001" customHeight="1">
      <c r="A381" s="1190" t="s">
        <v>3094</v>
      </c>
      <c r="B381" s="1190" t="s">
        <v>3093</v>
      </c>
      <c r="C381" s="1190" t="s">
        <v>3114</v>
      </c>
      <c r="D381" s="357"/>
      <c r="E381" s="357"/>
      <c r="F381" s="357"/>
      <c r="G381" s="80" t="s">
        <v>3091</v>
      </c>
      <c r="H381" s="298" t="s">
        <v>1102</v>
      </c>
      <c r="I381" s="82" t="s">
        <v>17</v>
      </c>
      <c r="J381" s="82"/>
      <c r="K381" s="82">
        <v>3</v>
      </c>
      <c r="L381" s="82" t="s">
        <v>637</v>
      </c>
      <c r="M381" s="82"/>
      <c r="N381" s="9">
        <v>43030</v>
      </c>
      <c r="O381" s="93" t="s">
        <v>2570</v>
      </c>
      <c r="P381" s="93"/>
      <c r="Q381" s="86" t="s">
        <v>1024</v>
      </c>
      <c r="R381" s="87"/>
      <c r="S381" s="305"/>
      <c r="T381" s="338"/>
    </row>
    <row r="382" spans="1:20" ht="20.100000000000001" customHeight="1">
      <c r="A382" s="1190" t="s">
        <v>3094</v>
      </c>
      <c r="B382" s="1190" t="s">
        <v>3093</v>
      </c>
      <c r="C382" s="1190" t="s">
        <v>3114</v>
      </c>
      <c r="D382" s="357">
        <v>200</v>
      </c>
      <c r="E382" s="357">
        <v>400</v>
      </c>
      <c r="F382" s="357">
        <v>400</v>
      </c>
      <c r="G382" s="85" t="s">
        <v>36</v>
      </c>
      <c r="H382" s="81">
        <v>4</v>
      </c>
      <c r="I382" s="82" t="s">
        <v>17</v>
      </c>
      <c r="J382" s="82"/>
      <c r="K382" s="82">
        <v>2</v>
      </c>
      <c r="L382" s="82" t="s">
        <v>649</v>
      </c>
      <c r="M382" s="82"/>
      <c r="N382" s="9">
        <v>43051</v>
      </c>
      <c r="O382" s="83" t="s">
        <v>3097</v>
      </c>
      <c r="P382" s="93" t="s">
        <v>3096</v>
      </c>
      <c r="Q382" s="86" t="s">
        <v>3098</v>
      </c>
      <c r="R382" s="87" t="s">
        <v>310</v>
      </c>
      <c r="S382" s="305"/>
      <c r="T382" s="317">
        <v>14</v>
      </c>
    </row>
    <row r="383" spans="1:20" ht="20.100000000000001" customHeight="1">
      <c r="A383" s="1190" t="s">
        <v>3094</v>
      </c>
      <c r="B383" s="1190" t="s">
        <v>3093</v>
      </c>
      <c r="C383" s="1190" t="s">
        <v>3114</v>
      </c>
      <c r="D383" s="357">
        <v>200</v>
      </c>
      <c r="E383" s="357">
        <v>400</v>
      </c>
      <c r="F383" s="357">
        <v>400</v>
      </c>
      <c r="G383" s="85" t="s">
        <v>36</v>
      </c>
      <c r="H383" s="81">
        <v>5</v>
      </c>
      <c r="I383" s="82" t="s">
        <v>17</v>
      </c>
      <c r="J383" s="82"/>
      <c r="K383" s="82">
        <v>3</v>
      </c>
      <c r="L383" s="82" t="s">
        <v>641</v>
      </c>
      <c r="M383" s="82"/>
      <c r="N383" s="9">
        <v>43051</v>
      </c>
      <c r="O383" s="83" t="s">
        <v>3097</v>
      </c>
      <c r="P383" s="93" t="s">
        <v>3096</v>
      </c>
      <c r="Q383" s="86" t="s">
        <v>3098</v>
      </c>
      <c r="R383" s="87" t="s">
        <v>3118</v>
      </c>
      <c r="S383" s="305"/>
      <c r="T383" s="317">
        <v>14</v>
      </c>
    </row>
    <row r="384" spans="1:20" ht="20.100000000000001" customHeight="1">
      <c r="A384" s="1190" t="s">
        <v>3094</v>
      </c>
      <c r="B384" s="1190" t="s">
        <v>3093</v>
      </c>
      <c r="C384" s="1190" t="s">
        <v>3114</v>
      </c>
      <c r="D384" s="357"/>
      <c r="E384" s="357"/>
      <c r="F384" s="357"/>
      <c r="G384" s="80" t="s">
        <v>3091</v>
      </c>
      <c r="H384" s="298" t="s">
        <v>681</v>
      </c>
      <c r="I384" s="82" t="s">
        <v>17</v>
      </c>
      <c r="J384" s="82"/>
      <c r="K384" s="82">
        <v>3</v>
      </c>
      <c r="L384" s="82" t="s">
        <v>637</v>
      </c>
      <c r="M384" s="82"/>
      <c r="N384" s="9">
        <v>43030</v>
      </c>
      <c r="O384" s="93" t="s">
        <v>2570</v>
      </c>
      <c r="P384" s="93"/>
      <c r="Q384" s="86" t="s">
        <v>1024</v>
      </c>
      <c r="R384" s="87"/>
      <c r="S384" s="305"/>
      <c r="T384" s="338"/>
    </row>
    <row r="385" spans="1:20" ht="20.100000000000001" customHeight="1">
      <c r="A385" s="1190" t="s">
        <v>3094</v>
      </c>
      <c r="B385" s="1190" t="s">
        <v>3093</v>
      </c>
      <c r="C385" s="1190" t="s">
        <v>3114</v>
      </c>
      <c r="D385" s="357">
        <v>200</v>
      </c>
      <c r="E385" s="357">
        <v>400</v>
      </c>
      <c r="F385" s="357">
        <v>400</v>
      </c>
      <c r="G385" s="85" t="s">
        <v>36</v>
      </c>
      <c r="H385" s="81">
        <v>6</v>
      </c>
      <c r="I385" s="82" t="s">
        <v>17</v>
      </c>
      <c r="J385" s="82"/>
      <c r="K385" s="82">
        <v>2</v>
      </c>
      <c r="L385" s="82" t="s">
        <v>641</v>
      </c>
      <c r="M385" s="82"/>
      <c r="N385" s="9">
        <v>43051</v>
      </c>
      <c r="O385" s="83" t="s">
        <v>3097</v>
      </c>
      <c r="P385" s="93" t="s">
        <v>3096</v>
      </c>
      <c r="Q385" s="86" t="s">
        <v>3098</v>
      </c>
      <c r="R385" s="87" t="s">
        <v>3117</v>
      </c>
      <c r="S385" s="305"/>
      <c r="T385" s="317">
        <v>14</v>
      </c>
    </row>
    <row r="386" spans="1:20" ht="20.100000000000001" customHeight="1">
      <c r="A386" s="1190" t="s">
        <v>3094</v>
      </c>
      <c r="B386" s="1190" t="s">
        <v>3093</v>
      </c>
      <c r="C386" s="1190" t="s">
        <v>3114</v>
      </c>
      <c r="D386" s="357">
        <v>170</v>
      </c>
      <c r="E386" s="357">
        <v>340</v>
      </c>
      <c r="F386" s="357">
        <v>340</v>
      </c>
      <c r="G386" s="80" t="s">
        <v>51</v>
      </c>
      <c r="H386" s="81" t="s">
        <v>1098</v>
      </c>
      <c r="I386" s="82" t="s">
        <v>17</v>
      </c>
      <c r="J386" s="82"/>
      <c r="K386" s="82" t="s">
        <v>1102</v>
      </c>
      <c r="L386" s="82" t="s">
        <v>641</v>
      </c>
      <c r="M386" s="6">
        <v>43040</v>
      </c>
      <c r="N386" s="381">
        <v>43079</v>
      </c>
      <c r="O386" s="83" t="s">
        <v>3097</v>
      </c>
      <c r="P386" s="93" t="s">
        <v>3096</v>
      </c>
      <c r="Q386" s="249"/>
      <c r="R386" s="87" t="s">
        <v>3116</v>
      </c>
      <c r="S386" s="305"/>
      <c r="T386" s="338"/>
    </row>
    <row r="387" spans="1:20" ht="20.100000000000001" customHeight="1">
      <c r="A387" s="1190" t="s">
        <v>3094</v>
      </c>
      <c r="B387" s="1190" t="s">
        <v>3093</v>
      </c>
      <c r="C387" s="1190" t="s">
        <v>3114</v>
      </c>
      <c r="D387" s="357">
        <v>170</v>
      </c>
      <c r="E387" s="357">
        <v>340</v>
      </c>
      <c r="F387" s="357">
        <v>340</v>
      </c>
      <c r="G387" s="80" t="s">
        <v>51</v>
      </c>
      <c r="H387" s="81" t="s">
        <v>706</v>
      </c>
      <c r="I387" s="82" t="s">
        <v>17</v>
      </c>
      <c r="J387" s="82"/>
      <c r="K387" s="82" t="s">
        <v>1102</v>
      </c>
      <c r="L387" s="82" t="s">
        <v>641</v>
      </c>
      <c r="M387" s="6">
        <v>43040</v>
      </c>
      <c r="N387" s="381">
        <v>43079</v>
      </c>
      <c r="O387" s="83" t="s">
        <v>3097</v>
      </c>
      <c r="P387" s="93" t="s">
        <v>3096</v>
      </c>
      <c r="Q387" s="374"/>
      <c r="R387" s="87" t="s">
        <v>3115</v>
      </c>
      <c r="S387" s="305"/>
      <c r="T387" s="338"/>
    </row>
    <row r="388" spans="1:20" ht="20.100000000000001" customHeight="1">
      <c r="A388" s="1190" t="s">
        <v>3094</v>
      </c>
      <c r="B388" s="1190" t="s">
        <v>3093</v>
      </c>
      <c r="C388" s="1190" t="s">
        <v>3114</v>
      </c>
      <c r="D388" s="357"/>
      <c r="E388" s="357"/>
      <c r="F388" s="357"/>
      <c r="G388" s="80" t="s">
        <v>3091</v>
      </c>
      <c r="H388" s="298" t="s">
        <v>706</v>
      </c>
      <c r="I388" s="82" t="s">
        <v>17</v>
      </c>
      <c r="J388" s="82"/>
      <c r="K388" s="82">
        <v>3</v>
      </c>
      <c r="L388" s="82" t="s">
        <v>637</v>
      </c>
      <c r="M388" s="82"/>
      <c r="N388" s="9">
        <v>43030</v>
      </c>
      <c r="O388" s="93" t="s">
        <v>2570</v>
      </c>
      <c r="P388" s="93"/>
      <c r="Q388" s="86" t="s">
        <v>1024</v>
      </c>
      <c r="R388" s="87"/>
      <c r="S388" s="305"/>
      <c r="T388" s="338"/>
    </row>
    <row r="389" spans="1:20" ht="20.100000000000001" customHeight="1">
      <c r="A389" s="1190" t="s">
        <v>3094</v>
      </c>
      <c r="B389" s="1190" t="s">
        <v>3093</v>
      </c>
      <c r="C389" s="1190" t="s">
        <v>3114</v>
      </c>
      <c r="D389" s="357">
        <v>200</v>
      </c>
      <c r="E389" s="357">
        <v>400</v>
      </c>
      <c r="F389" s="357">
        <v>400</v>
      </c>
      <c r="G389" s="85" t="s">
        <v>36</v>
      </c>
      <c r="H389" s="81">
        <v>7</v>
      </c>
      <c r="I389" s="82" t="s">
        <v>17</v>
      </c>
      <c r="J389" s="82"/>
      <c r="K389" s="82">
        <v>3</v>
      </c>
      <c r="L389" s="82" t="s">
        <v>641</v>
      </c>
      <c r="M389" s="82"/>
      <c r="N389" s="9">
        <v>43051</v>
      </c>
      <c r="O389" s="83" t="s">
        <v>3097</v>
      </c>
      <c r="P389" s="93" t="s">
        <v>3096</v>
      </c>
      <c r="Q389" s="86" t="s">
        <v>3098</v>
      </c>
      <c r="R389" s="87" t="s">
        <v>3113</v>
      </c>
      <c r="S389" s="305"/>
      <c r="T389" s="317">
        <v>14</v>
      </c>
    </row>
    <row r="390" spans="1:20" ht="20.100000000000001" customHeight="1">
      <c r="A390" s="1190" t="s">
        <v>3094</v>
      </c>
      <c r="B390" s="1190" t="s">
        <v>3093</v>
      </c>
      <c r="C390" s="1190" t="s">
        <v>3109</v>
      </c>
      <c r="D390" s="357">
        <v>200</v>
      </c>
      <c r="E390" s="357">
        <v>400</v>
      </c>
      <c r="F390" s="357">
        <v>400</v>
      </c>
      <c r="G390" s="85" t="s">
        <v>36</v>
      </c>
      <c r="H390" s="81">
        <v>1</v>
      </c>
      <c r="I390" s="82" t="s">
        <v>17</v>
      </c>
      <c r="J390" s="82"/>
      <c r="K390" s="82">
        <v>3</v>
      </c>
      <c r="L390" s="82" t="s">
        <v>1192</v>
      </c>
      <c r="M390" s="82"/>
      <c r="N390" s="9">
        <v>43051</v>
      </c>
      <c r="O390" s="83" t="s">
        <v>3097</v>
      </c>
      <c r="P390" s="93" t="s">
        <v>3096</v>
      </c>
      <c r="Q390" s="86" t="s">
        <v>3098</v>
      </c>
      <c r="R390" s="87" t="s">
        <v>3108</v>
      </c>
      <c r="S390" s="305"/>
      <c r="T390" s="317">
        <v>14</v>
      </c>
    </row>
    <row r="391" spans="1:20" ht="20.100000000000001" customHeight="1">
      <c r="A391" s="1190" t="s">
        <v>3094</v>
      </c>
      <c r="B391" s="1190" t="s">
        <v>3093</v>
      </c>
      <c r="C391" s="1190" t="s">
        <v>3109</v>
      </c>
      <c r="D391" s="357"/>
      <c r="E391" s="357"/>
      <c r="F391" s="357"/>
      <c r="G391" s="80" t="s">
        <v>3091</v>
      </c>
      <c r="H391" s="298" t="s">
        <v>1102</v>
      </c>
      <c r="I391" s="82" t="s">
        <v>17</v>
      </c>
      <c r="J391" s="82"/>
      <c r="K391" s="82">
        <v>3</v>
      </c>
      <c r="L391" s="82" t="s">
        <v>637</v>
      </c>
      <c r="M391" s="82"/>
      <c r="N391" s="9">
        <v>43030</v>
      </c>
      <c r="O391" s="93" t="s">
        <v>2570</v>
      </c>
      <c r="P391" s="93"/>
      <c r="Q391" s="86" t="s">
        <v>1024</v>
      </c>
      <c r="R391" s="87"/>
      <c r="S391" s="305"/>
      <c r="T391" s="338"/>
    </row>
    <row r="392" spans="1:20" ht="20.100000000000001" customHeight="1">
      <c r="A392" s="1190" t="s">
        <v>3094</v>
      </c>
      <c r="B392" s="1190" t="s">
        <v>3093</v>
      </c>
      <c r="C392" s="1190" t="s">
        <v>3109</v>
      </c>
      <c r="D392" s="357">
        <v>200</v>
      </c>
      <c r="E392" s="357">
        <v>400</v>
      </c>
      <c r="F392" s="357">
        <v>400</v>
      </c>
      <c r="G392" s="85" t="s">
        <v>36</v>
      </c>
      <c r="H392" s="81">
        <v>2</v>
      </c>
      <c r="I392" s="82" t="s">
        <v>17</v>
      </c>
      <c r="J392" s="82"/>
      <c r="K392" s="82">
        <v>4</v>
      </c>
      <c r="L392" s="82" t="s">
        <v>649</v>
      </c>
      <c r="M392" s="82"/>
      <c r="N392" s="9">
        <v>43051</v>
      </c>
      <c r="O392" s="83" t="s">
        <v>3097</v>
      </c>
      <c r="P392" s="93" t="s">
        <v>3096</v>
      </c>
      <c r="Q392" s="86" t="s">
        <v>3098</v>
      </c>
      <c r="R392" s="87" t="s">
        <v>3107</v>
      </c>
      <c r="S392" s="305"/>
      <c r="T392" s="317">
        <v>14</v>
      </c>
    </row>
    <row r="393" spans="1:20" ht="20.100000000000001" customHeight="1">
      <c r="A393" s="1190" t="s">
        <v>3094</v>
      </c>
      <c r="B393" s="1190" t="s">
        <v>3093</v>
      </c>
      <c r="C393" s="1190" t="s">
        <v>3109</v>
      </c>
      <c r="D393" s="357">
        <v>200</v>
      </c>
      <c r="E393" s="357">
        <v>400</v>
      </c>
      <c r="F393" s="357">
        <v>400</v>
      </c>
      <c r="G393" s="85" t="s">
        <v>36</v>
      </c>
      <c r="H393" s="81">
        <v>2</v>
      </c>
      <c r="I393" s="82" t="s">
        <v>17</v>
      </c>
      <c r="J393" s="82"/>
      <c r="K393" s="82">
        <v>3</v>
      </c>
      <c r="L393" s="82" t="s">
        <v>641</v>
      </c>
      <c r="M393" s="82"/>
      <c r="N393" s="9">
        <v>43051</v>
      </c>
      <c r="O393" s="83" t="s">
        <v>3097</v>
      </c>
      <c r="P393" s="93" t="s">
        <v>3096</v>
      </c>
      <c r="Q393" s="86" t="s">
        <v>3098</v>
      </c>
      <c r="R393" s="87" t="s">
        <v>3106</v>
      </c>
      <c r="S393" s="305"/>
      <c r="T393" s="317">
        <v>14</v>
      </c>
    </row>
    <row r="394" spans="1:20" ht="20.100000000000001" customHeight="1">
      <c r="A394" s="1190" t="s">
        <v>3094</v>
      </c>
      <c r="B394" s="1190" t="s">
        <v>3093</v>
      </c>
      <c r="C394" s="1190" t="s">
        <v>3109</v>
      </c>
      <c r="D394" s="357">
        <v>210</v>
      </c>
      <c r="E394" s="357">
        <v>420</v>
      </c>
      <c r="F394" s="357">
        <v>420</v>
      </c>
      <c r="G394" s="80" t="s">
        <v>51</v>
      </c>
      <c r="H394" s="81" t="s">
        <v>1102</v>
      </c>
      <c r="I394" s="82" t="s">
        <v>17</v>
      </c>
      <c r="J394" s="82"/>
      <c r="K394" s="82" t="s">
        <v>1102</v>
      </c>
      <c r="L394" s="82" t="s">
        <v>1192</v>
      </c>
      <c r="M394" s="6">
        <v>43040</v>
      </c>
      <c r="N394" s="381">
        <v>43079</v>
      </c>
      <c r="O394" s="83" t="s">
        <v>3097</v>
      </c>
      <c r="P394" s="93" t="s">
        <v>3096</v>
      </c>
      <c r="Q394" s="249"/>
      <c r="R394" s="87" t="s">
        <v>3105</v>
      </c>
      <c r="S394" s="305"/>
      <c r="T394" s="338"/>
    </row>
    <row r="395" spans="1:20" ht="20.100000000000001" customHeight="1">
      <c r="A395" s="1190" t="s">
        <v>3094</v>
      </c>
      <c r="B395" s="1190" t="s">
        <v>3093</v>
      </c>
      <c r="C395" s="1190" t="s">
        <v>3109</v>
      </c>
      <c r="D395" s="357">
        <v>210</v>
      </c>
      <c r="E395" s="357">
        <v>420</v>
      </c>
      <c r="F395" s="357">
        <v>420</v>
      </c>
      <c r="G395" s="80" t="s">
        <v>51</v>
      </c>
      <c r="H395" s="81" t="s">
        <v>725</v>
      </c>
      <c r="I395" s="82" t="s">
        <v>17</v>
      </c>
      <c r="J395" s="82"/>
      <c r="K395" s="82" t="s">
        <v>725</v>
      </c>
      <c r="L395" s="82" t="s">
        <v>1192</v>
      </c>
      <c r="M395" s="6">
        <v>43040</v>
      </c>
      <c r="N395" s="381">
        <v>43079</v>
      </c>
      <c r="O395" s="83" t="s">
        <v>3097</v>
      </c>
      <c r="P395" s="93" t="s">
        <v>3096</v>
      </c>
      <c r="Q395" s="249"/>
      <c r="R395" s="87" t="s">
        <v>3104</v>
      </c>
      <c r="S395" s="305"/>
      <c r="T395" s="338"/>
    </row>
    <row r="396" spans="1:20" ht="20.100000000000001" customHeight="1">
      <c r="A396" s="1190" t="s">
        <v>3094</v>
      </c>
      <c r="B396" s="1190" t="s">
        <v>3093</v>
      </c>
      <c r="C396" s="1190" t="s">
        <v>3109</v>
      </c>
      <c r="D396" s="357">
        <v>200</v>
      </c>
      <c r="E396" s="357">
        <v>400</v>
      </c>
      <c r="F396" s="357">
        <v>400</v>
      </c>
      <c r="G396" s="85" t="s">
        <v>36</v>
      </c>
      <c r="H396" s="81">
        <v>4</v>
      </c>
      <c r="I396" s="82" t="s">
        <v>17</v>
      </c>
      <c r="J396" s="82"/>
      <c r="K396" s="82">
        <v>3</v>
      </c>
      <c r="L396" s="82" t="s">
        <v>1192</v>
      </c>
      <c r="M396" s="82"/>
      <c r="N396" s="9">
        <v>43051</v>
      </c>
      <c r="O396" s="83" t="s">
        <v>3097</v>
      </c>
      <c r="P396" s="93" t="s">
        <v>3096</v>
      </c>
      <c r="Q396" s="86" t="s">
        <v>3098</v>
      </c>
      <c r="R396" s="87" t="s">
        <v>3104</v>
      </c>
      <c r="S396" s="305"/>
      <c r="T396" s="317">
        <v>14</v>
      </c>
    </row>
    <row r="397" spans="1:20" ht="20.100000000000001" customHeight="1">
      <c r="A397" s="1190" t="s">
        <v>3094</v>
      </c>
      <c r="B397" s="1190" t="s">
        <v>3093</v>
      </c>
      <c r="C397" s="1190" t="s">
        <v>3109</v>
      </c>
      <c r="D397" s="357">
        <v>200</v>
      </c>
      <c r="E397" s="357">
        <v>400</v>
      </c>
      <c r="F397" s="357">
        <v>400</v>
      </c>
      <c r="G397" s="85" t="s">
        <v>36</v>
      </c>
      <c r="H397" s="81">
        <v>5</v>
      </c>
      <c r="I397" s="82" t="s">
        <v>17</v>
      </c>
      <c r="J397" s="82"/>
      <c r="K397" s="82">
        <v>3</v>
      </c>
      <c r="L397" s="82" t="s">
        <v>641</v>
      </c>
      <c r="M397" s="82"/>
      <c r="N397" s="9">
        <v>43051</v>
      </c>
      <c r="O397" s="83" t="s">
        <v>3097</v>
      </c>
      <c r="P397" s="93" t="s">
        <v>3096</v>
      </c>
      <c r="Q397" s="86" t="s">
        <v>3098</v>
      </c>
      <c r="R397" s="87" t="s">
        <v>3103</v>
      </c>
      <c r="S397" s="305"/>
      <c r="T397" s="317">
        <v>14</v>
      </c>
    </row>
    <row r="398" spans="1:20" ht="20.100000000000001" customHeight="1">
      <c r="A398" s="1190" t="s">
        <v>3094</v>
      </c>
      <c r="B398" s="1190" t="s">
        <v>3093</v>
      </c>
      <c r="C398" s="1190" t="s">
        <v>3109</v>
      </c>
      <c r="D398" s="357">
        <v>200</v>
      </c>
      <c r="E398" s="357">
        <v>400</v>
      </c>
      <c r="F398" s="357">
        <v>400</v>
      </c>
      <c r="G398" s="85" t="s">
        <v>36</v>
      </c>
      <c r="H398" s="81">
        <v>5</v>
      </c>
      <c r="I398" s="82" t="s">
        <v>17</v>
      </c>
      <c r="J398" s="82"/>
      <c r="K398" s="82">
        <v>4</v>
      </c>
      <c r="L398" s="82" t="s">
        <v>649</v>
      </c>
      <c r="M398" s="82"/>
      <c r="N398" s="9">
        <v>43051</v>
      </c>
      <c r="O398" s="83" t="s">
        <v>3097</v>
      </c>
      <c r="P398" s="93" t="s">
        <v>3096</v>
      </c>
      <c r="Q398" s="86" t="s">
        <v>3098</v>
      </c>
      <c r="R398" s="87" t="s">
        <v>3102</v>
      </c>
      <c r="S398" s="305"/>
      <c r="T398" s="317">
        <v>14</v>
      </c>
    </row>
    <row r="399" spans="1:20" ht="20.100000000000001" customHeight="1">
      <c r="A399" s="1190" t="s">
        <v>3094</v>
      </c>
      <c r="B399" s="1190" t="s">
        <v>3093</v>
      </c>
      <c r="C399" s="1190" t="s">
        <v>3109</v>
      </c>
      <c r="D399" s="357">
        <v>210</v>
      </c>
      <c r="E399" s="357">
        <v>420</v>
      </c>
      <c r="F399" s="357">
        <v>420</v>
      </c>
      <c r="G399" s="80" t="s">
        <v>51</v>
      </c>
      <c r="H399" s="81" t="s">
        <v>681</v>
      </c>
      <c r="I399" s="82" t="s">
        <v>17</v>
      </c>
      <c r="J399" s="82"/>
      <c r="K399" s="82">
        <v>3</v>
      </c>
      <c r="L399" s="82" t="s">
        <v>1192</v>
      </c>
      <c r="M399" s="6">
        <v>43040</v>
      </c>
      <c r="N399" s="381">
        <v>43079</v>
      </c>
      <c r="O399" s="83" t="s">
        <v>3097</v>
      </c>
      <c r="P399" s="93" t="s">
        <v>3096</v>
      </c>
      <c r="Q399" s="374"/>
      <c r="R399" s="87" t="s">
        <v>3101</v>
      </c>
      <c r="S399" s="305"/>
      <c r="T399" s="338"/>
    </row>
    <row r="400" spans="1:20" ht="20.100000000000001" customHeight="1">
      <c r="A400" s="1190" t="s">
        <v>3094</v>
      </c>
      <c r="B400" s="1190" t="s">
        <v>3093</v>
      </c>
      <c r="C400" s="1190" t="s">
        <v>3109</v>
      </c>
      <c r="D400" s="357">
        <v>210</v>
      </c>
      <c r="E400" s="357">
        <v>420</v>
      </c>
      <c r="F400" s="357">
        <v>420</v>
      </c>
      <c r="G400" s="80" t="s">
        <v>51</v>
      </c>
      <c r="H400" s="81" t="s">
        <v>1098</v>
      </c>
      <c r="I400" s="82" t="s">
        <v>17</v>
      </c>
      <c r="J400" s="82"/>
      <c r="K400" s="82">
        <v>3</v>
      </c>
      <c r="L400" s="82" t="s">
        <v>1192</v>
      </c>
      <c r="M400" s="6">
        <v>43040</v>
      </c>
      <c r="N400" s="381">
        <v>43079</v>
      </c>
      <c r="O400" s="83" t="s">
        <v>3097</v>
      </c>
      <c r="P400" s="93" t="s">
        <v>3096</v>
      </c>
      <c r="Q400" s="374"/>
      <c r="R400" s="87" t="s">
        <v>3100</v>
      </c>
      <c r="S400" s="305"/>
      <c r="T400" s="338"/>
    </row>
    <row r="401" spans="1:20" ht="20.100000000000001" customHeight="1">
      <c r="A401" s="1190" t="s">
        <v>3094</v>
      </c>
      <c r="B401" s="1190" t="s">
        <v>3093</v>
      </c>
      <c r="C401" s="1190" t="s">
        <v>3109</v>
      </c>
      <c r="D401" s="357">
        <v>200</v>
      </c>
      <c r="E401" s="357">
        <v>400</v>
      </c>
      <c r="F401" s="357">
        <v>400</v>
      </c>
      <c r="G401" s="85" t="s">
        <v>36</v>
      </c>
      <c r="H401" s="81">
        <v>6</v>
      </c>
      <c r="I401" s="82" t="s">
        <v>17</v>
      </c>
      <c r="J401" s="82"/>
      <c r="K401" s="82">
        <v>3</v>
      </c>
      <c r="L401" s="82" t="s">
        <v>649</v>
      </c>
      <c r="M401" s="82"/>
      <c r="N401" s="9">
        <v>43051</v>
      </c>
      <c r="O401" s="83" t="s">
        <v>3097</v>
      </c>
      <c r="P401" s="93" t="s">
        <v>3096</v>
      </c>
      <c r="Q401" s="86" t="s">
        <v>3098</v>
      </c>
      <c r="R401" s="87" t="s">
        <v>3099</v>
      </c>
      <c r="S401" s="305"/>
      <c r="T401" s="317">
        <v>14</v>
      </c>
    </row>
    <row r="402" spans="1:20" ht="20.100000000000001" customHeight="1">
      <c r="A402" s="1190" t="s">
        <v>3094</v>
      </c>
      <c r="B402" s="1190" t="s">
        <v>3093</v>
      </c>
      <c r="C402" s="1190" t="s">
        <v>3109</v>
      </c>
      <c r="D402" s="357"/>
      <c r="E402" s="357"/>
      <c r="F402" s="357"/>
      <c r="G402" s="214" t="s">
        <v>22</v>
      </c>
      <c r="H402" s="298" t="s">
        <v>706</v>
      </c>
      <c r="I402" s="82" t="s">
        <v>17</v>
      </c>
      <c r="J402" s="82"/>
      <c r="K402" s="82" t="s">
        <v>725</v>
      </c>
      <c r="L402" s="82" t="s">
        <v>1481</v>
      </c>
      <c r="M402" s="82"/>
      <c r="N402" s="9">
        <v>43030</v>
      </c>
      <c r="O402" s="83" t="s">
        <v>3112</v>
      </c>
      <c r="P402" s="93"/>
      <c r="Q402" s="93"/>
      <c r="R402" s="87" t="s">
        <v>3111</v>
      </c>
      <c r="S402" s="305"/>
      <c r="T402" s="338"/>
    </row>
    <row r="403" spans="1:20" ht="20.100000000000001" customHeight="1">
      <c r="A403" s="1190" t="s">
        <v>3094</v>
      </c>
      <c r="B403" s="1190" t="s">
        <v>3093</v>
      </c>
      <c r="C403" s="1190" t="s">
        <v>3109</v>
      </c>
      <c r="D403" s="357">
        <v>210</v>
      </c>
      <c r="E403" s="357">
        <v>420</v>
      </c>
      <c r="F403" s="357">
        <v>420</v>
      </c>
      <c r="G403" s="80" t="s">
        <v>51</v>
      </c>
      <c r="H403" s="81" t="s">
        <v>706</v>
      </c>
      <c r="I403" s="82" t="s">
        <v>17</v>
      </c>
      <c r="J403" s="82"/>
      <c r="K403" s="82">
        <v>3</v>
      </c>
      <c r="L403" s="82" t="s">
        <v>1192</v>
      </c>
      <c r="M403" s="6">
        <v>43040</v>
      </c>
      <c r="N403" s="381">
        <v>43079</v>
      </c>
      <c r="O403" s="83" t="s">
        <v>3097</v>
      </c>
      <c r="P403" s="93" t="s">
        <v>3096</v>
      </c>
      <c r="Q403" s="374"/>
      <c r="R403" s="87" t="s">
        <v>3095</v>
      </c>
      <c r="S403" s="305"/>
      <c r="T403" s="338"/>
    </row>
    <row r="404" spans="1:20" ht="20.100000000000001" customHeight="1">
      <c r="A404" s="1190" t="s">
        <v>3094</v>
      </c>
      <c r="B404" s="1190" t="s">
        <v>3093</v>
      </c>
      <c r="C404" s="1190" t="s">
        <v>3109</v>
      </c>
      <c r="D404" s="357">
        <v>200</v>
      </c>
      <c r="E404" s="357">
        <v>400</v>
      </c>
      <c r="F404" s="357">
        <v>400</v>
      </c>
      <c r="G404" s="85" t="s">
        <v>36</v>
      </c>
      <c r="H404" s="81">
        <v>7</v>
      </c>
      <c r="I404" s="82" t="s">
        <v>17</v>
      </c>
      <c r="J404" s="82"/>
      <c r="K404" s="82">
        <v>3</v>
      </c>
      <c r="L404" s="82" t="s">
        <v>641</v>
      </c>
      <c r="M404" s="82"/>
      <c r="N404" s="9">
        <v>43051</v>
      </c>
      <c r="O404" s="83" t="s">
        <v>3097</v>
      </c>
      <c r="P404" s="93" t="s">
        <v>3096</v>
      </c>
      <c r="Q404" s="86" t="s">
        <v>3098</v>
      </c>
      <c r="R404" s="87" t="s">
        <v>3095</v>
      </c>
      <c r="S404" s="305"/>
      <c r="T404" s="317">
        <v>14</v>
      </c>
    </row>
    <row r="405" spans="1:20" ht="20.100000000000001" customHeight="1">
      <c r="A405" s="1190" t="s">
        <v>3094</v>
      </c>
      <c r="B405" s="1190" t="s">
        <v>3093</v>
      </c>
      <c r="C405" s="1190" t="s">
        <v>3109</v>
      </c>
      <c r="D405" s="357">
        <v>200</v>
      </c>
      <c r="E405" s="357">
        <v>400</v>
      </c>
      <c r="F405" s="357">
        <v>400</v>
      </c>
      <c r="G405" s="85" t="s">
        <v>36</v>
      </c>
      <c r="H405" s="81">
        <v>7</v>
      </c>
      <c r="I405" s="82" t="s">
        <v>17</v>
      </c>
      <c r="J405" s="82"/>
      <c r="K405" s="82">
        <v>4</v>
      </c>
      <c r="L405" s="82" t="s">
        <v>649</v>
      </c>
      <c r="M405" s="82"/>
      <c r="N405" s="9">
        <v>43051</v>
      </c>
      <c r="O405" s="83" t="s">
        <v>3097</v>
      </c>
      <c r="P405" s="93" t="s">
        <v>3096</v>
      </c>
      <c r="Q405" s="86" t="s">
        <v>3098</v>
      </c>
      <c r="R405" s="87" t="s">
        <v>3110</v>
      </c>
      <c r="S405" s="305"/>
      <c r="T405" s="317">
        <v>14</v>
      </c>
    </row>
    <row r="406" spans="1:20" ht="20.100000000000001" customHeight="1">
      <c r="A406" s="1190" t="s">
        <v>3094</v>
      </c>
      <c r="B406" s="1190" t="s">
        <v>3093</v>
      </c>
      <c r="C406" s="1190" t="s">
        <v>3109</v>
      </c>
      <c r="D406" s="357"/>
      <c r="E406" s="357"/>
      <c r="F406" s="357"/>
      <c r="G406" s="80" t="s">
        <v>3091</v>
      </c>
      <c r="H406" s="298" t="s">
        <v>706</v>
      </c>
      <c r="I406" s="82" t="s">
        <v>17</v>
      </c>
      <c r="J406" s="82"/>
      <c r="K406" s="82">
        <v>3</v>
      </c>
      <c r="L406" s="82" t="s">
        <v>637</v>
      </c>
      <c r="M406" s="82"/>
      <c r="N406" s="9">
        <v>43030</v>
      </c>
      <c r="O406" s="93" t="s">
        <v>2570</v>
      </c>
      <c r="P406" s="93"/>
      <c r="Q406" s="86" t="s">
        <v>1024</v>
      </c>
      <c r="R406" s="87"/>
      <c r="S406" s="305"/>
      <c r="T406" s="338"/>
    </row>
    <row r="407" spans="1:20" ht="20.100000000000001" customHeight="1">
      <c r="A407" s="1190" t="s">
        <v>3094</v>
      </c>
      <c r="B407" s="1190" t="s">
        <v>3093</v>
      </c>
      <c r="C407" s="1190" t="s">
        <v>3092</v>
      </c>
      <c r="D407" s="357">
        <v>200</v>
      </c>
      <c r="E407" s="357">
        <v>400</v>
      </c>
      <c r="F407" s="357">
        <v>400</v>
      </c>
      <c r="G407" s="85" t="s">
        <v>36</v>
      </c>
      <c r="H407" s="81">
        <v>1</v>
      </c>
      <c r="I407" s="82" t="s">
        <v>17</v>
      </c>
      <c r="J407" s="82"/>
      <c r="K407" s="82">
        <v>3</v>
      </c>
      <c r="L407" s="82" t="s">
        <v>1192</v>
      </c>
      <c r="M407" s="82"/>
      <c r="N407" s="9">
        <v>43051</v>
      </c>
      <c r="O407" s="83" t="s">
        <v>3097</v>
      </c>
      <c r="P407" s="93" t="s">
        <v>3096</v>
      </c>
      <c r="Q407" s="86" t="s">
        <v>3098</v>
      </c>
      <c r="R407" s="87" t="s">
        <v>3108</v>
      </c>
      <c r="S407" s="305"/>
      <c r="T407" s="317">
        <v>14</v>
      </c>
    </row>
    <row r="408" spans="1:20" ht="20.100000000000001" customHeight="1">
      <c r="A408" s="1190" t="s">
        <v>3094</v>
      </c>
      <c r="B408" s="1190" t="s">
        <v>3093</v>
      </c>
      <c r="C408" s="1190" t="s">
        <v>3092</v>
      </c>
      <c r="D408" s="357">
        <v>200</v>
      </c>
      <c r="E408" s="357">
        <v>400</v>
      </c>
      <c r="F408" s="357">
        <v>400</v>
      </c>
      <c r="G408" s="85" t="s">
        <v>36</v>
      </c>
      <c r="H408" s="81">
        <v>2</v>
      </c>
      <c r="I408" s="82" t="s">
        <v>17</v>
      </c>
      <c r="J408" s="82"/>
      <c r="K408" s="82">
        <v>5</v>
      </c>
      <c r="L408" s="82" t="s">
        <v>649</v>
      </c>
      <c r="M408" s="82"/>
      <c r="N408" s="9">
        <v>43051</v>
      </c>
      <c r="O408" s="83" t="s">
        <v>3097</v>
      </c>
      <c r="P408" s="93" t="s">
        <v>3096</v>
      </c>
      <c r="Q408" s="86" t="s">
        <v>3098</v>
      </c>
      <c r="R408" s="87" t="s">
        <v>3107</v>
      </c>
      <c r="S408" s="305"/>
      <c r="T408" s="317">
        <v>14</v>
      </c>
    </row>
    <row r="409" spans="1:20" ht="20.100000000000001" customHeight="1">
      <c r="A409" s="1190" t="s">
        <v>3094</v>
      </c>
      <c r="B409" s="1190" t="s">
        <v>3093</v>
      </c>
      <c r="C409" s="1190" t="s">
        <v>3092</v>
      </c>
      <c r="D409" s="357">
        <v>200</v>
      </c>
      <c r="E409" s="357">
        <v>400</v>
      </c>
      <c r="F409" s="357">
        <v>400</v>
      </c>
      <c r="G409" s="85" t="s">
        <v>36</v>
      </c>
      <c r="H409" s="81">
        <v>2</v>
      </c>
      <c r="I409" s="82" t="s">
        <v>17</v>
      </c>
      <c r="J409" s="82"/>
      <c r="K409" s="82">
        <v>3</v>
      </c>
      <c r="L409" s="82" t="s">
        <v>641</v>
      </c>
      <c r="M409" s="82"/>
      <c r="N409" s="9">
        <v>43051</v>
      </c>
      <c r="O409" s="83" t="s">
        <v>3097</v>
      </c>
      <c r="P409" s="93" t="s">
        <v>3096</v>
      </c>
      <c r="Q409" s="86" t="s">
        <v>3098</v>
      </c>
      <c r="R409" s="87" t="s">
        <v>3106</v>
      </c>
      <c r="S409" s="305"/>
      <c r="T409" s="317">
        <v>14</v>
      </c>
    </row>
    <row r="410" spans="1:20" ht="20.100000000000001" customHeight="1">
      <c r="A410" s="1190" t="s">
        <v>3094</v>
      </c>
      <c r="B410" s="1190" t="s">
        <v>3093</v>
      </c>
      <c r="C410" s="1190" t="s">
        <v>3092</v>
      </c>
      <c r="D410" s="357"/>
      <c r="E410" s="357"/>
      <c r="F410" s="357"/>
      <c r="G410" s="80" t="s">
        <v>3091</v>
      </c>
      <c r="H410" s="298" t="s">
        <v>1102</v>
      </c>
      <c r="I410" s="82" t="s">
        <v>17</v>
      </c>
      <c r="J410" s="82"/>
      <c r="K410" s="82">
        <v>3</v>
      </c>
      <c r="L410" s="82" t="s">
        <v>637</v>
      </c>
      <c r="M410" s="82"/>
      <c r="N410" s="9">
        <v>43030</v>
      </c>
      <c r="O410" s="93" t="s">
        <v>2570</v>
      </c>
      <c r="P410" s="93"/>
      <c r="Q410" s="86" t="s">
        <v>1024</v>
      </c>
      <c r="R410" s="87"/>
      <c r="S410" s="305"/>
      <c r="T410" s="338"/>
    </row>
    <row r="411" spans="1:20" ht="20.100000000000001" customHeight="1">
      <c r="A411" s="1190" t="s">
        <v>3094</v>
      </c>
      <c r="B411" s="1190" t="s">
        <v>3093</v>
      </c>
      <c r="C411" s="1190" t="s">
        <v>3092</v>
      </c>
      <c r="D411" s="357">
        <v>210</v>
      </c>
      <c r="E411" s="357">
        <v>420</v>
      </c>
      <c r="F411" s="357">
        <v>420</v>
      </c>
      <c r="G411" s="80" t="s">
        <v>51</v>
      </c>
      <c r="H411" s="81" t="s">
        <v>1102</v>
      </c>
      <c r="I411" s="82" t="s">
        <v>17</v>
      </c>
      <c r="J411" s="82"/>
      <c r="K411" s="82">
        <v>3</v>
      </c>
      <c r="L411" s="82" t="s">
        <v>1192</v>
      </c>
      <c r="M411" s="6">
        <v>43040</v>
      </c>
      <c r="N411" s="381">
        <v>43079</v>
      </c>
      <c r="O411" s="83" t="s">
        <v>3097</v>
      </c>
      <c r="P411" s="93" t="s">
        <v>3096</v>
      </c>
      <c r="Q411" s="249"/>
      <c r="R411" s="87" t="s">
        <v>3105</v>
      </c>
      <c r="S411" s="305"/>
      <c r="T411" s="338"/>
    </row>
    <row r="412" spans="1:20" ht="20.100000000000001" customHeight="1">
      <c r="A412" s="1190" t="s">
        <v>3094</v>
      </c>
      <c r="B412" s="1190" t="s">
        <v>3093</v>
      </c>
      <c r="C412" s="1190" t="s">
        <v>3092</v>
      </c>
      <c r="D412" s="357">
        <v>210</v>
      </c>
      <c r="E412" s="357">
        <v>420</v>
      </c>
      <c r="F412" s="357">
        <v>420</v>
      </c>
      <c r="G412" s="80" t="s">
        <v>51</v>
      </c>
      <c r="H412" s="81" t="s">
        <v>725</v>
      </c>
      <c r="I412" s="82" t="s">
        <v>17</v>
      </c>
      <c r="J412" s="82"/>
      <c r="K412" s="82">
        <v>3</v>
      </c>
      <c r="L412" s="82" t="s">
        <v>1192</v>
      </c>
      <c r="M412" s="6">
        <v>43040</v>
      </c>
      <c r="N412" s="381">
        <v>43079</v>
      </c>
      <c r="O412" s="83" t="s">
        <v>3097</v>
      </c>
      <c r="P412" s="93" t="s">
        <v>3096</v>
      </c>
      <c r="Q412" s="249"/>
      <c r="R412" s="87" t="s">
        <v>3104</v>
      </c>
      <c r="S412" s="305"/>
      <c r="T412" s="338"/>
    </row>
    <row r="413" spans="1:20" ht="20.100000000000001" customHeight="1">
      <c r="A413" s="1190" t="s">
        <v>3094</v>
      </c>
      <c r="B413" s="1190" t="s">
        <v>3093</v>
      </c>
      <c r="C413" s="1190" t="s">
        <v>3092</v>
      </c>
      <c r="D413" s="357">
        <v>200</v>
      </c>
      <c r="E413" s="357">
        <v>400</v>
      </c>
      <c r="F413" s="357">
        <v>400</v>
      </c>
      <c r="G413" s="85" t="s">
        <v>36</v>
      </c>
      <c r="H413" s="81">
        <v>4</v>
      </c>
      <c r="I413" s="82" t="s">
        <v>17</v>
      </c>
      <c r="J413" s="82"/>
      <c r="K413" s="82">
        <v>3</v>
      </c>
      <c r="L413" s="82" t="s">
        <v>1192</v>
      </c>
      <c r="M413" s="82"/>
      <c r="N413" s="9">
        <v>43051</v>
      </c>
      <c r="O413" s="83" t="s">
        <v>3097</v>
      </c>
      <c r="P413" s="93" t="s">
        <v>3096</v>
      </c>
      <c r="Q413" s="86" t="s">
        <v>3098</v>
      </c>
      <c r="R413" s="87" t="s">
        <v>3104</v>
      </c>
      <c r="S413" s="305"/>
      <c r="T413" s="317">
        <v>14</v>
      </c>
    </row>
    <row r="414" spans="1:20" ht="20.100000000000001" customHeight="1">
      <c r="A414" s="1190" t="s">
        <v>3094</v>
      </c>
      <c r="B414" s="1190" t="s">
        <v>3093</v>
      </c>
      <c r="C414" s="1190" t="s">
        <v>3092</v>
      </c>
      <c r="D414" s="357">
        <v>200</v>
      </c>
      <c r="E414" s="357">
        <v>400</v>
      </c>
      <c r="F414" s="357">
        <v>400</v>
      </c>
      <c r="G414" s="85" t="s">
        <v>36</v>
      </c>
      <c r="H414" s="81">
        <v>5</v>
      </c>
      <c r="I414" s="82" t="s">
        <v>17</v>
      </c>
      <c r="J414" s="82"/>
      <c r="K414" s="82">
        <v>3</v>
      </c>
      <c r="L414" s="82" t="s">
        <v>641</v>
      </c>
      <c r="M414" s="82"/>
      <c r="N414" s="9">
        <v>43051</v>
      </c>
      <c r="O414" s="83" t="s">
        <v>3097</v>
      </c>
      <c r="P414" s="93" t="s">
        <v>3096</v>
      </c>
      <c r="Q414" s="86" t="s">
        <v>3098</v>
      </c>
      <c r="R414" s="87" t="s">
        <v>3103</v>
      </c>
      <c r="S414" s="305"/>
      <c r="T414" s="317">
        <v>14</v>
      </c>
    </row>
    <row r="415" spans="1:20" ht="20.100000000000001" customHeight="1">
      <c r="A415" s="1190" t="s">
        <v>3094</v>
      </c>
      <c r="B415" s="1190" t="s">
        <v>3093</v>
      </c>
      <c r="C415" s="1190" t="s">
        <v>3092</v>
      </c>
      <c r="D415" s="357">
        <v>200</v>
      </c>
      <c r="E415" s="357">
        <v>400</v>
      </c>
      <c r="F415" s="357">
        <v>400</v>
      </c>
      <c r="G415" s="85" t="s">
        <v>36</v>
      </c>
      <c r="H415" s="81">
        <v>5</v>
      </c>
      <c r="I415" s="82" t="s">
        <v>17</v>
      </c>
      <c r="J415" s="82"/>
      <c r="K415" s="82">
        <v>4</v>
      </c>
      <c r="L415" s="82" t="s">
        <v>649</v>
      </c>
      <c r="M415" s="82"/>
      <c r="N415" s="9">
        <v>43051</v>
      </c>
      <c r="O415" s="83" t="s">
        <v>3097</v>
      </c>
      <c r="P415" s="93" t="s">
        <v>3096</v>
      </c>
      <c r="Q415" s="86" t="s">
        <v>3098</v>
      </c>
      <c r="R415" s="87" t="s">
        <v>3102</v>
      </c>
      <c r="S415" s="305"/>
      <c r="T415" s="317">
        <v>14</v>
      </c>
    </row>
    <row r="416" spans="1:20" ht="20.100000000000001" customHeight="1">
      <c r="A416" s="1190" t="s">
        <v>3094</v>
      </c>
      <c r="B416" s="1190" t="s">
        <v>3093</v>
      </c>
      <c r="C416" s="1190" t="s">
        <v>3092</v>
      </c>
      <c r="D416" s="357">
        <v>210</v>
      </c>
      <c r="E416" s="357">
        <v>420</v>
      </c>
      <c r="F416" s="357">
        <v>420</v>
      </c>
      <c r="G416" s="80" t="s">
        <v>51</v>
      </c>
      <c r="H416" s="81" t="s">
        <v>681</v>
      </c>
      <c r="I416" s="82" t="s">
        <v>17</v>
      </c>
      <c r="J416" s="82"/>
      <c r="K416" s="82">
        <v>3</v>
      </c>
      <c r="L416" s="82" t="s">
        <v>1192</v>
      </c>
      <c r="M416" s="6">
        <v>43040</v>
      </c>
      <c r="N416" s="381">
        <v>43079</v>
      </c>
      <c r="O416" s="83" t="s">
        <v>3097</v>
      </c>
      <c r="P416" s="93" t="s">
        <v>3096</v>
      </c>
      <c r="Q416" s="374"/>
      <c r="R416" s="87" t="s">
        <v>3101</v>
      </c>
      <c r="S416" s="305"/>
      <c r="T416" s="338"/>
    </row>
    <row r="417" spans="1:20" ht="20.100000000000001" customHeight="1">
      <c r="A417" s="1190" t="s">
        <v>3094</v>
      </c>
      <c r="B417" s="1190" t="s">
        <v>3093</v>
      </c>
      <c r="C417" s="1190" t="s">
        <v>3092</v>
      </c>
      <c r="D417" s="357">
        <v>210</v>
      </c>
      <c r="E417" s="357">
        <v>420</v>
      </c>
      <c r="F417" s="357">
        <v>420</v>
      </c>
      <c r="G417" s="80" t="s">
        <v>51</v>
      </c>
      <c r="H417" s="81" t="s">
        <v>1098</v>
      </c>
      <c r="I417" s="82" t="s">
        <v>17</v>
      </c>
      <c r="J417" s="82"/>
      <c r="K417" s="82">
        <v>3</v>
      </c>
      <c r="L417" s="82" t="s">
        <v>1192</v>
      </c>
      <c r="M417" s="6">
        <v>43040</v>
      </c>
      <c r="N417" s="381">
        <v>43079</v>
      </c>
      <c r="O417" s="83" t="s">
        <v>3097</v>
      </c>
      <c r="P417" s="93" t="s">
        <v>3096</v>
      </c>
      <c r="Q417" s="374"/>
      <c r="R417" s="87" t="s">
        <v>3100</v>
      </c>
      <c r="S417" s="305"/>
      <c r="T417" s="338"/>
    </row>
    <row r="418" spans="1:20" ht="20.100000000000001" customHeight="1">
      <c r="A418" s="1190" t="s">
        <v>3094</v>
      </c>
      <c r="B418" s="1190" t="s">
        <v>3093</v>
      </c>
      <c r="C418" s="1190" t="s">
        <v>3092</v>
      </c>
      <c r="D418" s="357">
        <v>200</v>
      </c>
      <c r="E418" s="357">
        <v>400</v>
      </c>
      <c r="F418" s="357">
        <v>400</v>
      </c>
      <c r="G418" s="85" t="s">
        <v>36</v>
      </c>
      <c r="H418" s="81">
        <v>6</v>
      </c>
      <c r="I418" s="82" t="s">
        <v>17</v>
      </c>
      <c r="J418" s="82"/>
      <c r="K418" s="82">
        <v>4</v>
      </c>
      <c r="L418" s="82" t="s">
        <v>649</v>
      </c>
      <c r="M418" s="82"/>
      <c r="N418" s="9">
        <v>43051</v>
      </c>
      <c r="O418" s="83" t="s">
        <v>3097</v>
      </c>
      <c r="P418" s="93" t="s">
        <v>3096</v>
      </c>
      <c r="Q418" s="86" t="s">
        <v>3098</v>
      </c>
      <c r="R418" s="87" t="s">
        <v>3099</v>
      </c>
      <c r="S418" s="305"/>
      <c r="T418" s="317">
        <v>14</v>
      </c>
    </row>
    <row r="419" spans="1:20" ht="20.100000000000001" customHeight="1">
      <c r="A419" s="1190" t="s">
        <v>3094</v>
      </c>
      <c r="B419" s="1190" t="s">
        <v>3093</v>
      </c>
      <c r="C419" s="1190" t="s">
        <v>3092</v>
      </c>
      <c r="D419" s="357">
        <v>200</v>
      </c>
      <c r="E419" s="357">
        <v>400</v>
      </c>
      <c r="F419" s="357">
        <v>400</v>
      </c>
      <c r="G419" s="85" t="s">
        <v>36</v>
      </c>
      <c r="H419" s="81">
        <v>7</v>
      </c>
      <c r="I419" s="82" t="s">
        <v>17</v>
      </c>
      <c r="J419" s="82"/>
      <c r="K419" s="82">
        <v>3</v>
      </c>
      <c r="L419" s="82" t="s">
        <v>641</v>
      </c>
      <c r="M419" s="82"/>
      <c r="N419" s="9">
        <v>43051</v>
      </c>
      <c r="O419" s="83" t="s">
        <v>3097</v>
      </c>
      <c r="P419" s="93" t="s">
        <v>3096</v>
      </c>
      <c r="Q419" s="86" t="s">
        <v>3098</v>
      </c>
      <c r="R419" s="87" t="s">
        <v>3095</v>
      </c>
      <c r="S419" s="305"/>
      <c r="T419" s="317">
        <v>14</v>
      </c>
    </row>
    <row r="420" spans="1:20" ht="20.100000000000001" customHeight="1">
      <c r="A420" s="1190" t="s">
        <v>3094</v>
      </c>
      <c r="B420" s="1190" t="s">
        <v>3093</v>
      </c>
      <c r="C420" s="1190" t="s">
        <v>3092</v>
      </c>
      <c r="D420" s="357">
        <v>210</v>
      </c>
      <c r="E420" s="357">
        <v>420</v>
      </c>
      <c r="F420" s="357">
        <v>420</v>
      </c>
      <c r="G420" s="80" t="s">
        <v>51</v>
      </c>
      <c r="H420" s="81" t="s">
        <v>706</v>
      </c>
      <c r="I420" s="82" t="s">
        <v>17</v>
      </c>
      <c r="J420" s="82"/>
      <c r="K420" s="82">
        <v>3</v>
      </c>
      <c r="L420" s="82" t="s">
        <v>1192</v>
      </c>
      <c r="M420" s="6">
        <v>43040</v>
      </c>
      <c r="N420" s="381">
        <v>43079</v>
      </c>
      <c r="O420" s="83" t="s">
        <v>3097</v>
      </c>
      <c r="P420" s="93" t="s">
        <v>3096</v>
      </c>
      <c r="Q420" s="374"/>
      <c r="R420" s="87" t="s">
        <v>3095</v>
      </c>
      <c r="S420" s="305"/>
      <c r="T420" s="338"/>
    </row>
    <row r="421" spans="1:20" ht="20.100000000000001" customHeight="1">
      <c r="A421" s="1190" t="s">
        <v>3094</v>
      </c>
      <c r="B421" s="1190" t="s">
        <v>3093</v>
      </c>
      <c r="C421" s="1190" t="s">
        <v>3092</v>
      </c>
      <c r="D421" s="357"/>
      <c r="E421" s="357"/>
      <c r="F421" s="357"/>
      <c r="G421" s="80" t="s">
        <v>3091</v>
      </c>
      <c r="H421" s="298" t="s">
        <v>706</v>
      </c>
      <c r="I421" s="82" t="s">
        <v>17</v>
      </c>
      <c r="J421" s="82"/>
      <c r="K421" s="82">
        <v>3</v>
      </c>
      <c r="L421" s="82" t="s">
        <v>637</v>
      </c>
      <c r="M421" s="82"/>
      <c r="N421" s="9">
        <v>43030</v>
      </c>
      <c r="O421" s="93" t="s">
        <v>2570</v>
      </c>
      <c r="P421" s="93"/>
      <c r="Q421" s="86" t="s">
        <v>1024</v>
      </c>
      <c r="R421" s="87"/>
      <c r="S421" s="305"/>
      <c r="T421" s="338"/>
    </row>
    <row r="422" spans="1:20" ht="20.100000000000001" customHeight="1">
      <c r="C422" s="307"/>
    </row>
    <row r="423" spans="1:20" ht="20.100000000000001" customHeight="1">
      <c r="C423" s="307"/>
    </row>
    <row r="424" spans="1:20" ht="20.100000000000001" customHeight="1">
      <c r="C424" s="307"/>
    </row>
    <row r="425" spans="1:20" ht="20.100000000000001" customHeight="1">
      <c r="C425" s="307"/>
    </row>
    <row r="426" spans="1:20" ht="20.100000000000001" customHeight="1">
      <c r="C426" s="307"/>
    </row>
    <row r="427" spans="1:20" ht="20.100000000000001" customHeight="1">
      <c r="C427" s="307"/>
      <c r="J427" s="300"/>
    </row>
    <row r="428" spans="1:20" ht="20.100000000000001" customHeight="1">
      <c r="C428" s="307"/>
    </row>
    <row r="429" spans="1:20" ht="20.100000000000001" customHeight="1">
      <c r="C429" s="307"/>
    </row>
    <row r="430" spans="1:20" ht="20.100000000000001" customHeight="1">
      <c r="C430" s="307"/>
    </row>
    <row r="431" spans="1:20" ht="20.100000000000001" customHeight="1">
      <c r="C431" s="307"/>
    </row>
    <row r="432" spans="1:20" ht="20.100000000000001" customHeight="1">
      <c r="C432" s="307"/>
    </row>
    <row r="433" spans="3:3" ht="20.100000000000001" customHeight="1">
      <c r="C433" s="307"/>
    </row>
    <row r="434" spans="3:3" ht="20.100000000000001" customHeight="1">
      <c r="C434" s="307"/>
    </row>
    <row r="435" spans="3:3" ht="20.100000000000001" customHeight="1">
      <c r="C435" s="307"/>
    </row>
    <row r="436" spans="3:3" ht="20.100000000000001" customHeight="1">
      <c r="C436" s="307"/>
    </row>
    <row r="437" spans="3:3" ht="20.100000000000001" customHeight="1">
      <c r="C437" s="307"/>
    </row>
    <row r="438" spans="3:3" ht="20.100000000000001" customHeight="1">
      <c r="C438" s="307"/>
    </row>
    <row r="439" spans="3:3" ht="20.100000000000001" customHeight="1">
      <c r="C439" s="307"/>
    </row>
    <row r="440" spans="3:3" ht="20.100000000000001" customHeight="1">
      <c r="C440" s="307"/>
    </row>
    <row r="441" spans="3:3" ht="20.100000000000001" customHeight="1">
      <c r="C441" s="307"/>
    </row>
    <row r="442" spans="3:3" ht="20.100000000000001" customHeight="1">
      <c r="C442" s="307"/>
    </row>
    <row r="443" spans="3:3" ht="20.100000000000001" customHeight="1">
      <c r="C443" s="307"/>
    </row>
    <row r="444" spans="3:3" ht="20.100000000000001" customHeight="1">
      <c r="C444" s="307"/>
    </row>
    <row r="445" spans="3:3" ht="20.100000000000001" customHeight="1">
      <c r="C445" s="307"/>
    </row>
    <row r="446" spans="3:3" ht="20.100000000000001" customHeight="1">
      <c r="C446" s="307"/>
    </row>
    <row r="447" spans="3:3" ht="20.100000000000001" customHeight="1">
      <c r="C447" s="307"/>
    </row>
    <row r="448" spans="3:3" ht="20.100000000000001" customHeight="1">
      <c r="C448" s="307"/>
    </row>
    <row r="449" spans="3:3" ht="20.100000000000001" customHeight="1">
      <c r="C449" s="307"/>
    </row>
    <row r="450" spans="3:3" ht="20.100000000000001" customHeight="1">
      <c r="C450" s="307"/>
    </row>
    <row r="451" spans="3:3" ht="20.100000000000001" customHeight="1">
      <c r="C451" s="307"/>
    </row>
    <row r="452" spans="3:3" ht="20.100000000000001" customHeight="1">
      <c r="C452" s="307"/>
    </row>
    <row r="453" spans="3:3" ht="20.100000000000001" customHeight="1">
      <c r="C453" s="307"/>
    </row>
    <row r="454" spans="3:3" ht="20.100000000000001" customHeight="1">
      <c r="C454" s="307"/>
    </row>
    <row r="455" spans="3:3" ht="20.100000000000001" customHeight="1">
      <c r="C455" s="307"/>
    </row>
    <row r="456" spans="3:3" ht="20.100000000000001" customHeight="1">
      <c r="C456" s="307"/>
    </row>
    <row r="457" spans="3:3" ht="20.100000000000001" customHeight="1">
      <c r="C457" s="307"/>
    </row>
    <row r="458" spans="3:3" ht="20.100000000000001" customHeight="1">
      <c r="C458" s="307"/>
    </row>
    <row r="459" spans="3:3" ht="20.100000000000001" customHeight="1">
      <c r="C459" s="307"/>
    </row>
    <row r="460" spans="3:3" ht="20.100000000000001" customHeight="1">
      <c r="C460" s="307"/>
    </row>
    <row r="461" spans="3:3" ht="20.100000000000001" customHeight="1">
      <c r="C461" s="307"/>
    </row>
    <row r="462" spans="3:3" ht="20.100000000000001" customHeight="1">
      <c r="C462" s="307"/>
    </row>
    <row r="463" spans="3:3" ht="20.100000000000001" customHeight="1">
      <c r="C463" s="307"/>
    </row>
    <row r="464" spans="3:3" ht="20.100000000000001" customHeight="1">
      <c r="C464" s="307"/>
    </row>
    <row r="465" spans="3:3" ht="20.100000000000001" customHeight="1">
      <c r="C465" s="307"/>
    </row>
    <row r="466" spans="3:3" ht="20.100000000000001" customHeight="1">
      <c r="C466" s="307"/>
    </row>
    <row r="467" spans="3:3" ht="20.100000000000001" customHeight="1">
      <c r="C467" s="307"/>
    </row>
    <row r="468" spans="3:3" ht="20.100000000000001" customHeight="1">
      <c r="C468" s="307"/>
    </row>
    <row r="469" spans="3:3" ht="20.100000000000001" customHeight="1">
      <c r="C469" s="307"/>
    </row>
    <row r="470" spans="3:3" ht="20.100000000000001" customHeight="1">
      <c r="C470" s="307"/>
    </row>
    <row r="471" spans="3:3" ht="20.100000000000001" customHeight="1">
      <c r="C471" s="307"/>
    </row>
    <row r="472" spans="3:3" ht="20.100000000000001" customHeight="1">
      <c r="C472" s="307"/>
    </row>
    <row r="473" spans="3:3" ht="20.100000000000001" customHeight="1">
      <c r="C473" s="307"/>
    </row>
    <row r="474" spans="3:3" ht="20.100000000000001" customHeight="1">
      <c r="C474" s="307"/>
    </row>
    <row r="475" spans="3:3" ht="20.100000000000001" customHeight="1">
      <c r="C475" s="307"/>
    </row>
    <row r="476" spans="3:3" ht="20.100000000000001" customHeight="1">
      <c r="C476" s="307"/>
    </row>
    <row r="477" spans="3:3" ht="20.100000000000001" customHeight="1">
      <c r="C477" s="307"/>
    </row>
    <row r="478" spans="3:3" ht="20.100000000000001" customHeight="1">
      <c r="C478" s="307"/>
    </row>
    <row r="479" spans="3:3" ht="20.100000000000001" customHeight="1">
      <c r="C479" s="307"/>
    </row>
    <row r="480" spans="3:3" ht="20.100000000000001" customHeight="1">
      <c r="C480" s="307"/>
    </row>
    <row r="481" spans="1:20" ht="20.100000000000001" customHeight="1">
      <c r="C481" s="307"/>
    </row>
    <row r="482" spans="1:20" ht="20.100000000000001" customHeight="1">
      <c r="C482" s="307"/>
    </row>
    <row r="483" spans="1:20" ht="20.100000000000001" customHeight="1">
      <c r="C483" s="307"/>
    </row>
    <row r="484" spans="1:20" ht="20.100000000000001" customHeight="1">
      <c r="C484" s="307"/>
    </row>
    <row r="485" spans="1:20" ht="20.100000000000001" customHeight="1">
      <c r="C485" s="307"/>
    </row>
    <row r="486" spans="1:20" s="1115" customFormat="1" ht="20.100000000000001" customHeight="1">
      <c r="A486" s="1107"/>
      <c r="B486" s="1107"/>
      <c r="C486" s="1108"/>
      <c r="D486" s="1109"/>
      <c r="E486" s="1109"/>
      <c r="F486" s="1109"/>
      <c r="G486" s="1110"/>
      <c r="H486" s="1110"/>
      <c r="I486" s="1111"/>
      <c r="J486" s="1111"/>
      <c r="K486" s="1112"/>
      <c r="L486" s="1110"/>
      <c r="M486" s="1110"/>
      <c r="N486" s="1110"/>
      <c r="O486" s="1111"/>
      <c r="P486" s="1111"/>
      <c r="Q486" s="1111"/>
      <c r="R486" s="1113"/>
      <c r="S486" s="1114"/>
      <c r="T486" s="1112"/>
    </row>
    <row r="740" ht="18" customHeight="1"/>
  </sheetData>
  <sheetProtection selectLockedCells="1" autoFilter="0" selectUnlockedCells="1"/>
  <mergeCells count="205">
    <mergeCell ref="C4:C59"/>
    <mergeCell ref="B4:B59"/>
    <mergeCell ref="A4:A59"/>
    <mergeCell ref="A61:A80"/>
    <mergeCell ref="B61:B80"/>
    <mergeCell ref="C61:C80"/>
    <mergeCell ref="D2:F2"/>
    <mergeCell ref="C2:C3"/>
    <mergeCell ref="C81:C109"/>
    <mergeCell ref="A81:A109"/>
    <mergeCell ref="B81:B109"/>
    <mergeCell ref="A229:A230"/>
    <mergeCell ref="B229:B230"/>
    <mergeCell ref="C229:C230"/>
    <mergeCell ref="A222:A225"/>
    <mergeCell ref="B222:B225"/>
    <mergeCell ref="C222:C225"/>
    <mergeCell ref="A212:A214"/>
    <mergeCell ref="B212:B214"/>
    <mergeCell ref="C212:C214"/>
    <mergeCell ref="A215:A216"/>
    <mergeCell ref="B215:B216"/>
    <mergeCell ref="C215:C216"/>
    <mergeCell ref="A1:T1"/>
    <mergeCell ref="T2:T3"/>
    <mergeCell ref="S2:S3"/>
    <mergeCell ref="K2:K3"/>
    <mergeCell ref="N2:N3"/>
    <mergeCell ref="R2:R3"/>
    <mergeCell ref="O2:O3"/>
    <mergeCell ref="Q2:Q3"/>
    <mergeCell ref="P2:P3"/>
    <mergeCell ref="G2:G3"/>
    <mergeCell ref="H2:H3"/>
    <mergeCell ref="I2:I3"/>
    <mergeCell ref="A2:A3"/>
    <mergeCell ref="J2:J3"/>
    <mergeCell ref="L2:L3"/>
    <mergeCell ref="B2:B3"/>
    <mergeCell ref="M2:M3"/>
    <mergeCell ref="C117:C122"/>
    <mergeCell ref="A110:A111"/>
    <mergeCell ref="B110:B111"/>
    <mergeCell ref="C110:C111"/>
    <mergeCell ref="A115:A116"/>
    <mergeCell ref="B115:B116"/>
    <mergeCell ref="C115:C116"/>
    <mergeCell ref="A112:A114"/>
    <mergeCell ref="B112:B114"/>
    <mergeCell ref="C112:C114"/>
    <mergeCell ref="A117:A122"/>
    <mergeCell ref="B117:B122"/>
    <mergeCell ref="A231:A232"/>
    <mergeCell ref="B231:B232"/>
    <mergeCell ref="C231:C232"/>
    <mergeCell ref="B210:B211"/>
    <mergeCell ref="C210:C211"/>
    <mergeCell ref="C123:C136"/>
    <mergeCell ref="A123:A136"/>
    <mergeCell ref="B123:B136"/>
    <mergeCell ref="C151:C164"/>
    <mergeCell ref="A151:A164"/>
    <mergeCell ref="B151:B164"/>
    <mergeCell ref="A184:A186"/>
    <mergeCell ref="B184:B186"/>
    <mergeCell ref="C184:C186"/>
    <mergeCell ref="B182:B183"/>
    <mergeCell ref="C182:C183"/>
    <mergeCell ref="A167:A173"/>
    <mergeCell ref="B167:B173"/>
    <mergeCell ref="C167:C173"/>
    <mergeCell ref="A182:A183"/>
    <mergeCell ref="A137:A150"/>
    <mergeCell ref="B137:B150"/>
    <mergeCell ref="C137:C150"/>
    <mergeCell ref="A175:A181"/>
    <mergeCell ref="A270:A273"/>
    <mergeCell ref="B270:B273"/>
    <mergeCell ref="C270:C273"/>
    <mergeCell ref="A313:A317"/>
    <mergeCell ref="C252:C253"/>
    <mergeCell ref="A280:A282"/>
    <mergeCell ref="B280:B282"/>
    <mergeCell ref="C280:C282"/>
    <mergeCell ref="B268:B269"/>
    <mergeCell ref="C268:C269"/>
    <mergeCell ref="A252:A253"/>
    <mergeCell ref="B252:B253"/>
    <mergeCell ref="A258:A265"/>
    <mergeCell ref="B258:B265"/>
    <mergeCell ref="C258:C265"/>
    <mergeCell ref="A274:A278"/>
    <mergeCell ref="B274:B278"/>
    <mergeCell ref="A266:A267"/>
    <mergeCell ref="B266:B267"/>
    <mergeCell ref="C266:C267"/>
    <mergeCell ref="B175:B181"/>
    <mergeCell ref="C175:C181"/>
    <mergeCell ref="A351:A355"/>
    <mergeCell ref="B351:B355"/>
    <mergeCell ref="C346:C350"/>
    <mergeCell ref="C351:C355"/>
    <mergeCell ref="B367:B378"/>
    <mergeCell ref="A356:A366"/>
    <mergeCell ref="B356:B366"/>
    <mergeCell ref="C356:C366"/>
    <mergeCell ref="B346:B350"/>
    <mergeCell ref="A346:A350"/>
    <mergeCell ref="A187:A189"/>
    <mergeCell ref="B187:B189"/>
    <mergeCell ref="C187:C189"/>
    <mergeCell ref="A190:A191"/>
    <mergeCell ref="B190:B191"/>
    <mergeCell ref="C190:C191"/>
    <mergeCell ref="A199:A201"/>
    <mergeCell ref="B199:B201"/>
    <mergeCell ref="C199:C201"/>
    <mergeCell ref="A194:A198"/>
    <mergeCell ref="B194:B198"/>
    <mergeCell ref="C194:C198"/>
    <mergeCell ref="A407:A421"/>
    <mergeCell ref="B407:B421"/>
    <mergeCell ref="C407:C421"/>
    <mergeCell ref="A255:A257"/>
    <mergeCell ref="B255:B257"/>
    <mergeCell ref="C255:C257"/>
    <mergeCell ref="A390:A406"/>
    <mergeCell ref="B390:B406"/>
    <mergeCell ref="C390:C406"/>
    <mergeCell ref="A330:A334"/>
    <mergeCell ref="B330:B334"/>
    <mergeCell ref="C330:C334"/>
    <mergeCell ref="A326:A329"/>
    <mergeCell ref="B326:B329"/>
    <mergeCell ref="C326:C329"/>
    <mergeCell ref="A379:A389"/>
    <mergeCell ref="A268:A269"/>
    <mergeCell ref="A310:A312"/>
    <mergeCell ref="B310:B312"/>
    <mergeCell ref="C310:C312"/>
    <mergeCell ref="B379:B389"/>
    <mergeCell ref="C379:C389"/>
    <mergeCell ref="C367:C378"/>
    <mergeCell ref="A367:A378"/>
    <mergeCell ref="A202:A205"/>
    <mergeCell ref="B202:B205"/>
    <mergeCell ref="C202:C205"/>
    <mergeCell ref="A227:A228"/>
    <mergeCell ref="B227:B228"/>
    <mergeCell ref="C227:C228"/>
    <mergeCell ref="A217:A221"/>
    <mergeCell ref="B217:B221"/>
    <mergeCell ref="C217:C221"/>
    <mergeCell ref="A206:A209"/>
    <mergeCell ref="B206:B209"/>
    <mergeCell ref="C206:C209"/>
    <mergeCell ref="A210:A211"/>
    <mergeCell ref="A233:A234"/>
    <mergeCell ref="B233:B234"/>
    <mergeCell ref="C233:C234"/>
    <mergeCell ref="A235:A239"/>
    <mergeCell ref="B235:B239"/>
    <mergeCell ref="C235:C239"/>
    <mergeCell ref="A249:A251"/>
    <mergeCell ref="B249:B251"/>
    <mergeCell ref="C249:C251"/>
    <mergeCell ref="A240:A242"/>
    <mergeCell ref="A244:A247"/>
    <mergeCell ref="B244:B247"/>
    <mergeCell ref="C244:C247"/>
    <mergeCell ref="B240:B242"/>
    <mergeCell ref="C240:C242"/>
    <mergeCell ref="A341:A345"/>
    <mergeCell ref="B341:B345"/>
    <mergeCell ref="C341:C345"/>
    <mergeCell ref="A289:A291"/>
    <mergeCell ref="B289:B291"/>
    <mergeCell ref="C289:C291"/>
    <mergeCell ref="A292:A300"/>
    <mergeCell ref="B292:B300"/>
    <mergeCell ref="C292:C300"/>
    <mergeCell ref="A318:A325"/>
    <mergeCell ref="B318:B325"/>
    <mergeCell ref="C318:C325"/>
    <mergeCell ref="A307:A309"/>
    <mergeCell ref="B307:B309"/>
    <mergeCell ref="C307:C309"/>
    <mergeCell ref="A301:A302"/>
    <mergeCell ref="B301:B302"/>
    <mergeCell ref="A303:A306"/>
    <mergeCell ref="B303:B306"/>
    <mergeCell ref="C303:C306"/>
    <mergeCell ref="B313:B317"/>
    <mergeCell ref="C301:C302"/>
    <mergeCell ref="A336:A337"/>
    <mergeCell ref="B336:B337"/>
    <mergeCell ref="C336:C337"/>
    <mergeCell ref="A338:A340"/>
    <mergeCell ref="B338:B340"/>
    <mergeCell ref="C338:C340"/>
    <mergeCell ref="C274:C278"/>
    <mergeCell ref="A283:A288"/>
    <mergeCell ref="B283:B288"/>
    <mergeCell ref="C283:C288"/>
    <mergeCell ref="C313:C317"/>
  </mergeCells>
  <phoneticPr fontId="3" type="noConversion"/>
  <pageMargins left="0.75" right="0.75" top="1" bottom="1" header="0.5" footer="0.5"/>
  <pageSetup paperSize="9" orientation="landscape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indexed="53"/>
  </sheetPr>
  <dimension ref="A1:T127"/>
  <sheetViews>
    <sheetView showGridLines="0" zoomScale="95" zoomScaleNormal="95" workbookViewId="0">
      <pane ySplit="3" topLeftCell="A4" activePane="bottomLeft" state="frozen"/>
      <selection activeCell="A5" sqref="A5:G5"/>
      <selection pane="bottomLeft" sqref="A1:T1"/>
    </sheetView>
  </sheetViews>
  <sheetFormatPr defaultColWidth="9" defaultRowHeight="20.100000000000001" customHeight="1"/>
  <cols>
    <col min="1" max="1" width="5.25" style="164" customWidth="1"/>
    <col min="2" max="2" width="7.125" style="164" customWidth="1"/>
    <col min="3" max="3" width="15" style="164" customWidth="1"/>
    <col min="4" max="4" width="7.5" style="795" customWidth="1"/>
    <col min="5" max="5" width="7.625" style="795" customWidth="1"/>
    <col min="6" max="6" width="7.875" style="795" customWidth="1"/>
    <col min="7" max="7" width="7.5" style="162" customWidth="1"/>
    <col min="8" max="8" width="6.625" style="162" customWidth="1"/>
    <col min="9" max="9" width="6.375" style="164" customWidth="1"/>
    <col min="10" max="10" width="5.25" style="164" customWidth="1"/>
    <col min="11" max="11" width="8" style="165" customWidth="1"/>
    <col min="12" max="12" width="8.25" style="162" customWidth="1"/>
    <col min="13" max="14" width="10.5" style="162" customWidth="1"/>
    <col min="15" max="15" width="17.875" style="164" customWidth="1"/>
    <col min="16" max="16" width="10" style="164" customWidth="1"/>
    <col min="17" max="17" width="11.75" style="164" customWidth="1"/>
    <col min="18" max="18" width="15.25" style="166" customWidth="1"/>
    <col min="19" max="19" width="20.25" style="162" customWidth="1"/>
    <col min="20" max="16384" width="9" style="162"/>
  </cols>
  <sheetData>
    <row r="1" spans="1:20" ht="20.100000000000001" customHeight="1">
      <c r="A1" s="1277"/>
      <c r="B1" s="1277"/>
      <c r="C1" s="1277"/>
      <c r="D1" s="1277"/>
      <c r="E1" s="1277"/>
      <c r="F1" s="1277"/>
      <c r="G1" s="1277"/>
      <c r="H1" s="1277"/>
      <c r="I1" s="1277"/>
      <c r="J1" s="1277"/>
      <c r="K1" s="1277"/>
      <c r="L1" s="1277"/>
      <c r="M1" s="1277"/>
      <c r="N1" s="1277"/>
      <c r="O1" s="1277"/>
      <c r="P1" s="1277"/>
      <c r="Q1" s="1277"/>
      <c r="R1" s="1277"/>
      <c r="S1" s="1277"/>
      <c r="T1" s="1277"/>
    </row>
    <row r="2" spans="1:20" s="725" customFormat="1" ht="20.100000000000001" customHeight="1">
      <c r="A2" s="1129" t="s">
        <v>2945</v>
      </c>
      <c r="B2" s="1129" t="s">
        <v>2879</v>
      </c>
      <c r="C2" s="1129" t="s">
        <v>2880</v>
      </c>
      <c r="D2" s="1133" t="s">
        <v>3318</v>
      </c>
      <c r="E2" s="1133"/>
      <c r="F2" s="1133"/>
      <c r="G2" s="1129" t="s">
        <v>2881</v>
      </c>
      <c r="H2" s="1129" t="s">
        <v>2882</v>
      </c>
      <c r="I2" s="1129" t="s">
        <v>2883</v>
      </c>
      <c r="J2" s="1129" t="s">
        <v>2884</v>
      </c>
      <c r="K2" s="1129" t="s">
        <v>2885</v>
      </c>
      <c r="L2" s="1129" t="s">
        <v>2886</v>
      </c>
      <c r="M2" s="1132" t="s">
        <v>3048</v>
      </c>
      <c r="N2" s="1129" t="s">
        <v>2887</v>
      </c>
      <c r="O2" s="1129" t="s">
        <v>2888</v>
      </c>
      <c r="P2" s="1129" t="s">
        <v>2889</v>
      </c>
      <c r="Q2" s="1129" t="s">
        <v>2890</v>
      </c>
      <c r="R2" s="1129" t="s">
        <v>2891</v>
      </c>
      <c r="S2" s="1129" t="s">
        <v>2892</v>
      </c>
      <c r="T2" s="1129" t="s">
        <v>2839</v>
      </c>
    </row>
    <row r="3" spans="1:20" s="725" customFormat="1" ht="20.100000000000001" customHeight="1">
      <c r="A3" s="1129"/>
      <c r="B3" s="1129"/>
      <c r="C3" s="1129"/>
      <c r="D3" s="841" t="s">
        <v>57</v>
      </c>
      <c r="E3" s="841" t="s">
        <v>58</v>
      </c>
      <c r="F3" s="841" t="s">
        <v>59</v>
      </c>
      <c r="G3" s="1129"/>
      <c r="H3" s="1129"/>
      <c r="I3" s="1129"/>
      <c r="J3" s="1129"/>
      <c r="K3" s="1129"/>
      <c r="L3" s="1129"/>
      <c r="M3" s="1129"/>
      <c r="N3" s="1129"/>
      <c r="O3" s="1129"/>
      <c r="P3" s="1129"/>
      <c r="Q3" s="1129"/>
      <c r="R3" s="1129"/>
      <c r="S3" s="1129"/>
      <c r="T3" s="1129"/>
    </row>
    <row r="4" spans="1:20" ht="20.100000000000001" customHeight="1">
      <c r="A4" s="1195" t="s">
        <v>1035</v>
      </c>
      <c r="B4" s="1195" t="s">
        <v>349</v>
      </c>
      <c r="C4" s="1195" t="s">
        <v>2106</v>
      </c>
      <c r="D4" s="938">
        <v>935</v>
      </c>
      <c r="E4" s="938">
        <v>1165</v>
      </c>
      <c r="F4" s="938">
        <v>1165</v>
      </c>
      <c r="G4" s="832" t="s">
        <v>1016</v>
      </c>
      <c r="H4" s="56" t="s">
        <v>729</v>
      </c>
      <c r="I4" s="16" t="s">
        <v>17</v>
      </c>
      <c r="J4" s="16"/>
      <c r="K4" s="37" t="s">
        <v>743</v>
      </c>
      <c r="L4" s="5" t="s">
        <v>636</v>
      </c>
      <c r="M4" s="159">
        <v>43081</v>
      </c>
      <c r="N4" s="159">
        <v>43083</v>
      </c>
      <c r="O4" s="163" t="s">
        <v>1019</v>
      </c>
      <c r="P4" s="163"/>
      <c r="Q4" s="172"/>
      <c r="R4" s="17" t="s">
        <v>1832</v>
      </c>
      <c r="S4" s="309"/>
      <c r="T4" s="309"/>
    </row>
    <row r="5" spans="1:20" ht="20.100000000000001" customHeight="1">
      <c r="A5" s="1195" t="s">
        <v>1035</v>
      </c>
      <c r="B5" s="1195" t="s">
        <v>349</v>
      </c>
      <c r="C5" s="1195" t="s">
        <v>426</v>
      </c>
      <c r="D5" s="938">
        <v>935</v>
      </c>
      <c r="E5" s="938">
        <v>1165</v>
      </c>
      <c r="F5" s="938">
        <v>1165</v>
      </c>
      <c r="G5" s="832" t="s">
        <v>1016</v>
      </c>
      <c r="H5" s="56" t="s">
        <v>659</v>
      </c>
      <c r="I5" s="16" t="s">
        <v>17</v>
      </c>
      <c r="J5" s="16"/>
      <c r="K5" s="16" t="s">
        <v>151</v>
      </c>
      <c r="L5" s="34" t="s">
        <v>643</v>
      </c>
      <c r="M5" s="159">
        <v>43081</v>
      </c>
      <c r="N5" s="159">
        <v>43083</v>
      </c>
      <c r="O5" s="163" t="s">
        <v>1019</v>
      </c>
      <c r="P5" s="163"/>
      <c r="Q5" s="172"/>
      <c r="R5" s="17" t="s">
        <v>1831</v>
      </c>
      <c r="S5" s="309"/>
      <c r="T5" s="309"/>
    </row>
    <row r="6" spans="1:20" ht="19.5" customHeight="1">
      <c r="A6" s="1195" t="s">
        <v>1035</v>
      </c>
      <c r="B6" s="1195" t="s">
        <v>349</v>
      </c>
      <c r="C6" s="1195" t="s">
        <v>426</v>
      </c>
      <c r="D6" s="938">
        <v>935</v>
      </c>
      <c r="E6" s="938">
        <v>1165</v>
      </c>
      <c r="F6" s="938">
        <v>1165</v>
      </c>
      <c r="G6" s="832" t="s">
        <v>1016</v>
      </c>
      <c r="H6" s="56" t="s">
        <v>721</v>
      </c>
      <c r="I6" s="16" t="s">
        <v>17</v>
      </c>
      <c r="J6" s="16"/>
      <c r="K6" s="16" t="s">
        <v>723</v>
      </c>
      <c r="L6" s="5" t="s">
        <v>636</v>
      </c>
      <c r="M6" s="159">
        <v>43081</v>
      </c>
      <c r="N6" s="159">
        <v>43083</v>
      </c>
      <c r="O6" s="163" t="s">
        <v>1019</v>
      </c>
      <c r="P6" s="163"/>
      <c r="Q6" s="172"/>
      <c r="R6" s="17" t="s">
        <v>1833</v>
      </c>
      <c r="S6" s="309"/>
      <c r="T6" s="309"/>
    </row>
    <row r="7" spans="1:20" ht="20.100000000000001" customHeight="1">
      <c r="A7" s="1195" t="s">
        <v>1035</v>
      </c>
      <c r="B7" s="1195" t="s">
        <v>349</v>
      </c>
      <c r="C7" s="1195" t="s">
        <v>426</v>
      </c>
      <c r="D7" s="871" t="s">
        <v>3062</v>
      </c>
      <c r="E7" s="871" t="s">
        <v>4305</v>
      </c>
      <c r="F7" s="871" t="s">
        <v>4305</v>
      </c>
      <c r="G7" s="36" t="s">
        <v>12</v>
      </c>
      <c r="H7" s="56" t="s">
        <v>1225</v>
      </c>
      <c r="I7" s="16" t="s">
        <v>17</v>
      </c>
      <c r="J7" s="16"/>
      <c r="K7" s="16" t="s">
        <v>723</v>
      </c>
      <c r="L7" s="5" t="s">
        <v>636</v>
      </c>
      <c r="M7" s="159">
        <v>43077</v>
      </c>
      <c r="N7" s="159">
        <v>43083</v>
      </c>
      <c r="O7" s="163" t="s">
        <v>2107</v>
      </c>
      <c r="P7" s="163"/>
      <c r="Q7" s="163"/>
      <c r="R7" s="17" t="s">
        <v>1737</v>
      </c>
      <c r="S7" s="322"/>
      <c r="T7" s="309"/>
    </row>
    <row r="8" spans="1:20" ht="20.100000000000001" customHeight="1">
      <c r="A8" s="1195" t="s">
        <v>1035</v>
      </c>
      <c r="B8" s="1195" t="s">
        <v>349</v>
      </c>
      <c r="C8" s="1195" t="s">
        <v>426</v>
      </c>
      <c r="D8" s="873" t="s">
        <v>3062</v>
      </c>
      <c r="E8" s="873" t="s">
        <v>4305</v>
      </c>
      <c r="F8" s="873" t="s">
        <v>4305</v>
      </c>
      <c r="G8" s="36" t="s">
        <v>12</v>
      </c>
      <c r="H8" s="56" t="s">
        <v>1226</v>
      </c>
      <c r="I8" s="16" t="s">
        <v>17</v>
      </c>
      <c r="J8" s="16"/>
      <c r="K8" s="16" t="s">
        <v>20</v>
      </c>
      <c r="L8" s="5" t="s">
        <v>1227</v>
      </c>
      <c r="M8" s="159">
        <v>43077</v>
      </c>
      <c r="N8" s="159">
        <v>43083</v>
      </c>
      <c r="O8" s="163" t="s">
        <v>2107</v>
      </c>
      <c r="P8" s="163"/>
      <c r="Q8" s="163"/>
      <c r="R8" s="17" t="s">
        <v>1738</v>
      </c>
      <c r="S8" s="322"/>
      <c r="T8" s="309"/>
    </row>
    <row r="9" spans="1:20" ht="20.100000000000001" customHeight="1">
      <c r="A9" s="1195" t="s">
        <v>1035</v>
      </c>
      <c r="B9" s="1195" t="s">
        <v>349</v>
      </c>
      <c r="C9" s="1195" t="s">
        <v>507</v>
      </c>
      <c r="D9" s="938">
        <v>1220</v>
      </c>
      <c r="E9" s="938">
        <v>1365</v>
      </c>
      <c r="F9" s="938">
        <v>1365</v>
      </c>
      <c r="G9" s="832" t="s">
        <v>1016</v>
      </c>
      <c r="H9" s="56">
        <v>1</v>
      </c>
      <c r="I9" s="16" t="s">
        <v>17</v>
      </c>
      <c r="J9" s="16"/>
      <c r="K9" s="16">
        <v>11</v>
      </c>
      <c r="L9" s="34" t="s">
        <v>643</v>
      </c>
      <c r="M9" s="159">
        <v>43081</v>
      </c>
      <c r="N9" s="159">
        <v>43083</v>
      </c>
      <c r="O9" s="163" t="s">
        <v>1019</v>
      </c>
      <c r="P9" s="163"/>
      <c r="Q9" s="172"/>
      <c r="R9" s="17" t="s">
        <v>1017</v>
      </c>
      <c r="S9" s="309"/>
      <c r="T9" s="309"/>
    </row>
    <row r="10" spans="1:20" ht="20.100000000000001" customHeight="1">
      <c r="A10" s="1195" t="s">
        <v>1035</v>
      </c>
      <c r="B10" s="1195" t="s">
        <v>349</v>
      </c>
      <c r="C10" s="1195" t="s">
        <v>507</v>
      </c>
      <c r="D10" s="938">
        <v>1220</v>
      </c>
      <c r="E10" s="938">
        <v>1365</v>
      </c>
      <c r="F10" s="938">
        <v>1365</v>
      </c>
      <c r="G10" s="832" t="s">
        <v>1016</v>
      </c>
      <c r="H10" s="56" t="s">
        <v>659</v>
      </c>
      <c r="I10" s="16" t="s">
        <v>17</v>
      </c>
      <c r="J10" s="16"/>
      <c r="K10" s="16" t="s">
        <v>1830</v>
      </c>
      <c r="L10" s="34" t="s">
        <v>643</v>
      </c>
      <c r="M10" s="159">
        <v>43081</v>
      </c>
      <c r="N10" s="159">
        <v>43083</v>
      </c>
      <c r="O10" s="163" t="s">
        <v>1019</v>
      </c>
      <c r="P10" s="163"/>
      <c r="Q10" s="172"/>
      <c r="R10" s="17" t="s">
        <v>1831</v>
      </c>
      <c r="S10" s="309"/>
      <c r="T10" s="309"/>
    </row>
    <row r="11" spans="1:20" ht="20.100000000000001" customHeight="1">
      <c r="A11" s="1195" t="s">
        <v>1035</v>
      </c>
      <c r="B11" s="1195" t="s">
        <v>349</v>
      </c>
      <c r="C11" s="1195" t="s">
        <v>427</v>
      </c>
      <c r="D11" s="938">
        <v>2570</v>
      </c>
      <c r="E11" s="938">
        <v>2865</v>
      </c>
      <c r="F11" s="938">
        <v>2865</v>
      </c>
      <c r="G11" s="832" t="s">
        <v>1016</v>
      </c>
      <c r="H11" s="56" t="s">
        <v>651</v>
      </c>
      <c r="I11" s="16" t="s">
        <v>262</v>
      </c>
      <c r="J11" s="16"/>
      <c r="K11" s="16" t="s">
        <v>1021</v>
      </c>
      <c r="L11" s="5" t="s">
        <v>637</v>
      </c>
      <c r="M11" s="159">
        <v>43081</v>
      </c>
      <c r="N11" s="159">
        <v>43083</v>
      </c>
      <c r="O11" s="163" t="s">
        <v>1019</v>
      </c>
      <c r="P11" s="163"/>
      <c r="Q11" s="163"/>
      <c r="R11" s="17"/>
      <c r="S11" s="309"/>
      <c r="T11" s="309"/>
    </row>
    <row r="12" spans="1:20" ht="20.100000000000001" customHeight="1">
      <c r="A12" s="1195" t="s">
        <v>1035</v>
      </c>
      <c r="B12" s="1195" t="s">
        <v>349</v>
      </c>
      <c r="C12" s="1195" t="s">
        <v>427</v>
      </c>
      <c r="D12" s="938">
        <v>2570</v>
      </c>
      <c r="E12" s="938">
        <v>2865</v>
      </c>
      <c r="F12" s="938">
        <v>2865</v>
      </c>
      <c r="G12" s="832" t="s">
        <v>1016</v>
      </c>
      <c r="H12" s="56" t="s">
        <v>886</v>
      </c>
      <c r="I12" s="16" t="s">
        <v>1020</v>
      </c>
      <c r="J12" s="16"/>
      <c r="K12" s="16" t="s">
        <v>1018</v>
      </c>
      <c r="L12" s="5" t="s">
        <v>643</v>
      </c>
      <c r="M12" s="159">
        <v>43081</v>
      </c>
      <c r="N12" s="159">
        <v>43083</v>
      </c>
      <c r="O12" s="163" t="s">
        <v>1019</v>
      </c>
      <c r="P12" s="163"/>
      <c r="Q12" s="163"/>
      <c r="R12" s="17"/>
      <c r="S12" s="309"/>
      <c r="T12" s="309"/>
    </row>
    <row r="13" spans="1:20" ht="20.100000000000001" customHeight="1">
      <c r="A13" s="1195" t="s">
        <v>1035</v>
      </c>
      <c r="B13" s="1195" t="s">
        <v>349</v>
      </c>
      <c r="C13" s="1195" t="s">
        <v>427</v>
      </c>
      <c r="D13" s="873" t="s">
        <v>4195</v>
      </c>
      <c r="E13" s="873" t="s">
        <v>4196</v>
      </c>
      <c r="F13" s="873" t="s">
        <v>4196</v>
      </c>
      <c r="G13" s="36" t="s">
        <v>12</v>
      </c>
      <c r="H13" s="4" t="s">
        <v>1228</v>
      </c>
      <c r="I13" s="16" t="s">
        <v>262</v>
      </c>
      <c r="J13" s="16"/>
      <c r="K13" s="37" t="s">
        <v>1229</v>
      </c>
      <c r="L13" s="5" t="s">
        <v>1230</v>
      </c>
      <c r="M13" s="159">
        <v>43077</v>
      </c>
      <c r="N13" s="159">
        <v>43083</v>
      </c>
      <c r="O13" s="163" t="s">
        <v>2107</v>
      </c>
      <c r="P13" s="163"/>
      <c r="Q13" s="74"/>
      <c r="R13" s="17" t="s">
        <v>1739</v>
      </c>
      <c r="S13" s="322"/>
      <c r="T13" s="309"/>
    </row>
    <row r="14" spans="1:20" ht="20.100000000000001" customHeight="1">
      <c r="A14" s="1195" t="s">
        <v>1035</v>
      </c>
      <c r="B14" s="1195" t="s">
        <v>349</v>
      </c>
      <c r="C14" s="1195" t="s">
        <v>427</v>
      </c>
      <c r="D14" s="872" t="s">
        <v>4312</v>
      </c>
      <c r="E14" s="872" t="s">
        <v>4313</v>
      </c>
      <c r="F14" s="872" t="s">
        <v>4313</v>
      </c>
      <c r="G14" s="36" t="s">
        <v>12</v>
      </c>
      <c r="H14" s="4" t="s">
        <v>1231</v>
      </c>
      <c r="I14" s="16" t="s">
        <v>905</v>
      </c>
      <c r="J14" s="16"/>
      <c r="K14" s="37" t="s">
        <v>1232</v>
      </c>
      <c r="L14" s="5" t="s">
        <v>1227</v>
      </c>
      <c r="M14" s="159">
        <v>43077</v>
      </c>
      <c r="N14" s="159">
        <v>43083</v>
      </c>
      <c r="O14" s="163" t="s">
        <v>2107</v>
      </c>
      <c r="P14" s="163"/>
      <c r="Q14" s="74"/>
      <c r="R14" s="17" t="s">
        <v>198</v>
      </c>
      <c r="S14" s="322"/>
      <c r="T14" s="309"/>
    </row>
    <row r="15" spans="1:20" ht="20.100000000000001" customHeight="1">
      <c r="A15" s="1195" t="s">
        <v>1035</v>
      </c>
      <c r="B15" s="1195" t="s">
        <v>349</v>
      </c>
      <c r="C15" s="1195" t="s">
        <v>428</v>
      </c>
      <c r="D15" s="938">
        <v>2570</v>
      </c>
      <c r="E15" s="938">
        <v>2865</v>
      </c>
      <c r="F15" s="938">
        <v>2865</v>
      </c>
      <c r="G15" s="832" t="s">
        <v>1016</v>
      </c>
      <c r="H15" s="56" t="s">
        <v>651</v>
      </c>
      <c r="I15" s="16" t="s">
        <v>262</v>
      </c>
      <c r="J15" s="16"/>
      <c r="K15" s="16" t="s">
        <v>1021</v>
      </c>
      <c r="L15" s="5" t="s">
        <v>637</v>
      </c>
      <c r="M15" s="159">
        <v>43081</v>
      </c>
      <c r="N15" s="159">
        <v>43083</v>
      </c>
      <c r="O15" s="163" t="s">
        <v>1019</v>
      </c>
      <c r="P15" s="163"/>
      <c r="Q15" s="74"/>
      <c r="R15" s="17"/>
      <c r="S15" s="309"/>
      <c r="T15" s="309"/>
    </row>
    <row r="16" spans="1:20" ht="20.100000000000001" customHeight="1">
      <c r="A16" s="1195" t="s">
        <v>1035</v>
      </c>
      <c r="B16" s="1195" t="s">
        <v>349</v>
      </c>
      <c r="C16" s="1195" t="s">
        <v>428</v>
      </c>
      <c r="D16" s="938">
        <v>2570</v>
      </c>
      <c r="E16" s="938">
        <v>2865</v>
      </c>
      <c r="F16" s="938">
        <v>2865</v>
      </c>
      <c r="G16" s="832" t="s">
        <v>1016</v>
      </c>
      <c r="H16" s="56" t="s">
        <v>886</v>
      </c>
      <c r="I16" s="16" t="s">
        <v>1020</v>
      </c>
      <c r="J16" s="16"/>
      <c r="K16" s="16" t="s">
        <v>1018</v>
      </c>
      <c r="L16" s="5" t="s">
        <v>643</v>
      </c>
      <c r="M16" s="159">
        <v>43081</v>
      </c>
      <c r="N16" s="159">
        <v>43083</v>
      </c>
      <c r="O16" s="163" t="s">
        <v>1019</v>
      </c>
      <c r="P16" s="163"/>
      <c r="Q16" s="74"/>
      <c r="R16" s="17"/>
      <c r="S16" s="309"/>
      <c r="T16" s="309"/>
    </row>
    <row r="17" spans="1:20" ht="20.100000000000001" customHeight="1">
      <c r="A17" s="1195" t="s">
        <v>1035</v>
      </c>
      <c r="B17" s="1195" t="s">
        <v>349</v>
      </c>
      <c r="C17" s="1195" t="s">
        <v>428</v>
      </c>
      <c r="D17" s="873" t="s">
        <v>4195</v>
      </c>
      <c r="E17" s="873" t="s">
        <v>4196</v>
      </c>
      <c r="F17" s="873" t="s">
        <v>4196</v>
      </c>
      <c r="G17" s="36" t="s">
        <v>12</v>
      </c>
      <c r="H17" s="4" t="s">
        <v>1228</v>
      </c>
      <c r="I17" s="16" t="s">
        <v>262</v>
      </c>
      <c r="J17" s="16"/>
      <c r="K17" s="37" t="s">
        <v>1229</v>
      </c>
      <c r="L17" s="5" t="s">
        <v>1230</v>
      </c>
      <c r="M17" s="159">
        <v>43077</v>
      </c>
      <c r="N17" s="159">
        <v>43083</v>
      </c>
      <c r="O17" s="163" t="s">
        <v>2107</v>
      </c>
      <c r="P17" s="163"/>
      <c r="Q17" s="74"/>
      <c r="R17" s="17" t="s">
        <v>1739</v>
      </c>
      <c r="S17" s="322"/>
      <c r="T17" s="309"/>
    </row>
    <row r="18" spans="1:20" ht="20.100000000000001" customHeight="1">
      <c r="A18" s="1195" t="s">
        <v>1035</v>
      </c>
      <c r="B18" s="1195" t="s">
        <v>349</v>
      </c>
      <c r="C18" s="1195" t="s">
        <v>428</v>
      </c>
      <c r="D18" s="872" t="s">
        <v>4312</v>
      </c>
      <c r="E18" s="872" t="s">
        <v>4313</v>
      </c>
      <c r="F18" s="872" t="s">
        <v>4313</v>
      </c>
      <c r="G18" s="36" t="s">
        <v>12</v>
      </c>
      <c r="H18" s="4" t="s">
        <v>1231</v>
      </c>
      <c r="I18" s="16" t="s">
        <v>905</v>
      </c>
      <c r="J18" s="16"/>
      <c r="K18" s="37" t="s">
        <v>1232</v>
      </c>
      <c r="L18" s="5" t="s">
        <v>1227</v>
      </c>
      <c r="M18" s="159">
        <v>43077</v>
      </c>
      <c r="N18" s="159">
        <v>43083</v>
      </c>
      <c r="O18" s="163" t="s">
        <v>2107</v>
      </c>
      <c r="P18" s="163"/>
      <c r="Q18" s="74"/>
      <c r="R18" s="17" t="s">
        <v>198</v>
      </c>
      <c r="S18" s="322"/>
      <c r="T18" s="309"/>
    </row>
    <row r="19" spans="1:20" ht="20.100000000000001" customHeight="1">
      <c r="A19" s="1195" t="s">
        <v>1035</v>
      </c>
      <c r="B19" s="1195" t="s">
        <v>349</v>
      </c>
      <c r="C19" s="1195" t="s">
        <v>1159</v>
      </c>
      <c r="D19" s="938">
        <v>2120</v>
      </c>
      <c r="E19" s="938">
        <v>2365</v>
      </c>
      <c r="F19" s="938">
        <v>2365</v>
      </c>
      <c r="G19" s="832" t="s">
        <v>1016</v>
      </c>
      <c r="H19" s="56" t="s">
        <v>651</v>
      </c>
      <c r="I19" s="16" t="s">
        <v>262</v>
      </c>
      <c r="J19" s="16"/>
      <c r="K19" s="16" t="s">
        <v>1022</v>
      </c>
      <c r="L19" s="5" t="s">
        <v>637</v>
      </c>
      <c r="M19" s="159">
        <v>43081</v>
      </c>
      <c r="N19" s="159">
        <v>43083</v>
      </c>
      <c r="O19" s="163" t="s">
        <v>1019</v>
      </c>
      <c r="P19" s="163"/>
      <c r="Q19" s="74"/>
      <c r="R19" s="17"/>
      <c r="S19" s="309"/>
      <c r="T19" s="309"/>
    </row>
    <row r="20" spans="1:20" ht="20.100000000000001" customHeight="1">
      <c r="A20" s="1195" t="s">
        <v>1035</v>
      </c>
      <c r="B20" s="1195" t="s">
        <v>349</v>
      </c>
      <c r="C20" s="1195" t="s">
        <v>897</v>
      </c>
      <c r="D20" s="938">
        <v>2120</v>
      </c>
      <c r="E20" s="938">
        <v>2365</v>
      </c>
      <c r="F20" s="938">
        <v>2365</v>
      </c>
      <c r="G20" s="832" t="s">
        <v>1016</v>
      </c>
      <c r="H20" s="56" t="s">
        <v>886</v>
      </c>
      <c r="I20" s="16" t="s">
        <v>1020</v>
      </c>
      <c r="J20" s="16"/>
      <c r="K20" s="16" t="s">
        <v>1023</v>
      </c>
      <c r="L20" s="5" t="s">
        <v>643</v>
      </c>
      <c r="M20" s="159">
        <v>43081</v>
      </c>
      <c r="N20" s="159">
        <v>43083</v>
      </c>
      <c r="O20" s="163" t="s">
        <v>1019</v>
      </c>
      <c r="P20" s="163"/>
      <c r="Q20" s="74"/>
      <c r="R20" s="17"/>
      <c r="S20" s="309"/>
      <c r="T20" s="309"/>
    </row>
    <row r="21" spans="1:20" ht="20.100000000000001" customHeight="1">
      <c r="A21" s="1195" t="s">
        <v>1035</v>
      </c>
      <c r="B21" s="1195" t="s">
        <v>349</v>
      </c>
      <c r="C21" s="1195" t="s">
        <v>897</v>
      </c>
      <c r="D21" s="873" t="s">
        <v>4306</v>
      </c>
      <c r="E21" s="873" t="s">
        <v>4307</v>
      </c>
      <c r="F21" s="873" t="s">
        <v>4307</v>
      </c>
      <c r="G21" s="36" t="s">
        <v>12</v>
      </c>
      <c r="H21" s="4" t="s">
        <v>1228</v>
      </c>
      <c r="I21" s="16" t="s">
        <v>262</v>
      </c>
      <c r="J21" s="16"/>
      <c r="K21" s="37" t="s">
        <v>1229</v>
      </c>
      <c r="L21" s="5" t="s">
        <v>1230</v>
      </c>
      <c r="M21" s="159">
        <v>43077</v>
      </c>
      <c r="N21" s="159">
        <v>43083</v>
      </c>
      <c r="O21" s="163" t="s">
        <v>2107</v>
      </c>
      <c r="P21" s="163"/>
      <c r="Q21" s="74"/>
      <c r="R21" s="17" t="s">
        <v>1739</v>
      </c>
      <c r="S21" s="322"/>
      <c r="T21" s="309"/>
    </row>
    <row r="22" spans="1:20" ht="20.100000000000001" customHeight="1">
      <c r="A22" s="1195" t="s">
        <v>1035</v>
      </c>
      <c r="B22" s="1195" t="s">
        <v>349</v>
      </c>
      <c r="C22" s="1195" t="s">
        <v>898</v>
      </c>
      <c r="D22" s="787">
        <v>2480</v>
      </c>
      <c r="E22" s="787">
        <v>2765</v>
      </c>
      <c r="F22" s="787">
        <v>2765</v>
      </c>
      <c r="G22" s="832" t="s">
        <v>1016</v>
      </c>
      <c r="H22" s="56" t="s">
        <v>651</v>
      </c>
      <c r="I22" s="16" t="s">
        <v>262</v>
      </c>
      <c r="J22" s="16"/>
      <c r="K22" s="16" t="s">
        <v>1022</v>
      </c>
      <c r="L22" s="5" t="s">
        <v>637</v>
      </c>
      <c r="M22" s="159">
        <v>43046</v>
      </c>
      <c r="N22" s="159">
        <v>43069</v>
      </c>
      <c r="O22" s="163" t="s">
        <v>1019</v>
      </c>
      <c r="P22" s="163"/>
      <c r="Q22" s="74"/>
      <c r="R22" s="17"/>
      <c r="S22" s="309"/>
      <c r="T22" s="309"/>
    </row>
    <row r="23" spans="1:20" ht="20.100000000000001" customHeight="1">
      <c r="A23" s="1195" t="s">
        <v>1035</v>
      </c>
      <c r="B23" s="1195" t="s">
        <v>349</v>
      </c>
      <c r="C23" s="1282" t="s">
        <v>898</v>
      </c>
      <c r="D23" s="937">
        <v>2315</v>
      </c>
      <c r="E23" s="937">
        <v>2580</v>
      </c>
      <c r="F23" s="937">
        <v>2580</v>
      </c>
      <c r="G23" s="832" t="s">
        <v>1016</v>
      </c>
      <c r="H23" s="56" t="s">
        <v>886</v>
      </c>
      <c r="I23" s="16" t="s">
        <v>1020</v>
      </c>
      <c r="J23" s="16"/>
      <c r="K23" s="16" t="s">
        <v>1023</v>
      </c>
      <c r="L23" s="5" t="s">
        <v>643</v>
      </c>
      <c r="M23" s="159">
        <v>43046</v>
      </c>
      <c r="N23" s="159">
        <v>43069</v>
      </c>
      <c r="O23" s="163" t="s">
        <v>1019</v>
      </c>
      <c r="P23" s="163"/>
      <c r="Q23" s="74"/>
      <c r="R23" s="17"/>
      <c r="S23" s="309"/>
      <c r="T23" s="309"/>
    </row>
    <row r="24" spans="1:20" ht="20.100000000000001" customHeight="1">
      <c r="A24" s="1195" t="s">
        <v>1035</v>
      </c>
      <c r="B24" s="1195" t="s">
        <v>349</v>
      </c>
      <c r="C24" s="1195" t="s">
        <v>898</v>
      </c>
      <c r="D24" s="873" t="s">
        <v>4306</v>
      </c>
      <c r="E24" s="873" t="s">
        <v>4307</v>
      </c>
      <c r="F24" s="873" t="s">
        <v>4307</v>
      </c>
      <c r="G24" s="36" t="s">
        <v>12</v>
      </c>
      <c r="H24" s="4" t="s">
        <v>1228</v>
      </c>
      <c r="I24" s="16" t="s">
        <v>262</v>
      </c>
      <c r="J24" s="16"/>
      <c r="K24" s="37" t="s">
        <v>1229</v>
      </c>
      <c r="L24" s="5" t="s">
        <v>1230</v>
      </c>
      <c r="M24" s="159">
        <v>43077</v>
      </c>
      <c r="N24" s="159">
        <v>43083</v>
      </c>
      <c r="O24" s="163" t="s">
        <v>2107</v>
      </c>
      <c r="P24" s="163"/>
      <c r="Q24" s="74"/>
      <c r="R24" s="17" t="s">
        <v>1739</v>
      </c>
      <c r="S24" s="322"/>
      <c r="T24" s="309"/>
    </row>
    <row r="25" spans="1:20" ht="20.100000000000001" customHeight="1">
      <c r="A25" s="820" t="s">
        <v>1035</v>
      </c>
      <c r="B25" s="820" t="s">
        <v>349</v>
      </c>
      <c r="C25" s="820" t="s">
        <v>429</v>
      </c>
      <c r="D25" s="871" t="s">
        <v>4195</v>
      </c>
      <c r="E25" s="871" t="s">
        <v>4196</v>
      </c>
      <c r="F25" s="871" t="s">
        <v>4196</v>
      </c>
      <c r="G25" s="36" t="s">
        <v>12</v>
      </c>
      <c r="H25" s="4" t="s">
        <v>1228</v>
      </c>
      <c r="I25" s="16" t="s">
        <v>262</v>
      </c>
      <c r="J25" s="16"/>
      <c r="K25" s="37" t="s">
        <v>1229</v>
      </c>
      <c r="L25" s="5" t="s">
        <v>1230</v>
      </c>
      <c r="M25" s="159">
        <v>43077</v>
      </c>
      <c r="N25" s="159">
        <v>43083</v>
      </c>
      <c r="O25" s="163" t="s">
        <v>2107</v>
      </c>
      <c r="P25" s="163"/>
      <c r="Q25" s="74"/>
      <c r="R25" s="17" t="s">
        <v>1739</v>
      </c>
      <c r="S25" s="322"/>
      <c r="T25" s="309"/>
    </row>
    <row r="26" spans="1:20" ht="20.100000000000001" customHeight="1">
      <c r="A26" s="820" t="s">
        <v>1035</v>
      </c>
      <c r="B26" s="820" t="s">
        <v>349</v>
      </c>
      <c r="C26" s="820" t="s">
        <v>430</v>
      </c>
      <c r="D26" s="874" t="s">
        <v>4308</v>
      </c>
      <c r="E26" s="874" t="s">
        <v>4309</v>
      </c>
      <c r="F26" s="874" t="s">
        <v>4309</v>
      </c>
      <c r="G26" s="36" t="s">
        <v>12</v>
      </c>
      <c r="H26" s="4" t="s">
        <v>1228</v>
      </c>
      <c r="I26" s="16" t="s">
        <v>262</v>
      </c>
      <c r="J26" s="16"/>
      <c r="K26" s="37" t="s">
        <v>1229</v>
      </c>
      <c r="L26" s="5" t="s">
        <v>1230</v>
      </c>
      <c r="M26" s="159">
        <v>43077</v>
      </c>
      <c r="N26" s="159">
        <v>43083</v>
      </c>
      <c r="O26" s="163" t="s">
        <v>2107</v>
      </c>
      <c r="P26" s="163"/>
      <c r="Q26" s="74"/>
      <c r="R26" s="17" t="s">
        <v>1739</v>
      </c>
      <c r="S26" s="322"/>
      <c r="T26" s="309"/>
    </row>
    <row r="27" spans="1:20" ht="20.100000000000001" customHeight="1">
      <c r="A27" s="820" t="s">
        <v>1035</v>
      </c>
      <c r="B27" s="820" t="s">
        <v>349</v>
      </c>
      <c r="C27" s="820" t="s">
        <v>431</v>
      </c>
      <c r="D27" s="872" t="s">
        <v>4310</v>
      </c>
      <c r="E27" s="872" t="s">
        <v>4311</v>
      </c>
      <c r="F27" s="872" t="s">
        <v>4311</v>
      </c>
      <c r="G27" s="56" t="s">
        <v>79</v>
      </c>
      <c r="H27" s="4">
        <v>3</v>
      </c>
      <c r="I27" s="34" t="s">
        <v>17</v>
      </c>
      <c r="J27" s="34"/>
      <c r="K27" s="50" t="s">
        <v>1736</v>
      </c>
      <c r="L27" s="34" t="s">
        <v>655</v>
      </c>
      <c r="M27" s="159">
        <v>43077</v>
      </c>
      <c r="N27" s="159">
        <v>43083</v>
      </c>
      <c r="O27" s="163" t="s">
        <v>2107</v>
      </c>
      <c r="P27" s="163"/>
      <c r="Q27" s="74"/>
      <c r="R27" s="17" t="s">
        <v>198</v>
      </c>
      <c r="S27" s="322"/>
      <c r="T27" s="309"/>
    </row>
    <row r="28" spans="1:20" ht="20.100000000000001" customHeight="1">
      <c r="A28" s="1278" t="s">
        <v>1036</v>
      </c>
      <c r="B28" s="1278" t="s">
        <v>348</v>
      </c>
      <c r="C28" s="1279" t="s">
        <v>556</v>
      </c>
      <c r="D28" s="884">
        <v>985</v>
      </c>
      <c r="E28" s="884">
        <v>1215</v>
      </c>
      <c r="F28" s="884">
        <v>1215</v>
      </c>
      <c r="G28" s="832" t="s">
        <v>51</v>
      </c>
      <c r="H28" s="56">
        <v>1</v>
      </c>
      <c r="I28" s="34" t="s">
        <v>17</v>
      </c>
      <c r="J28" s="34" t="s">
        <v>439</v>
      </c>
      <c r="K28" s="34">
        <v>16</v>
      </c>
      <c r="L28" s="34" t="s">
        <v>643</v>
      </c>
      <c r="M28" s="159">
        <v>43077</v>
      </c>
      <c r="N28" s="159">
        <v>43083</v>
      </c>
      <c r="O28" s="163" t="s">
        <v>1206</v>
      </c>
      <c r="P28" s="163"/>
      <c r="Q28" s="172"/>
      <c r="R28" s="17" t="s">
        <v>1190</v>
      </c>
      <c r="S28" s="309"/>
      <c r="T28" s="309"/>
    </row>
    <row r="29" spans="1:20" ht="20.100000000000001" customHeight="1">
      <c r="A29" s="1278" t="s">
        <v>1036</v>
      </c>
      <c r="B29" s="1278" t="s">
        <v>348</v>
      </c>
      <c r="C29" s="1279" t="s">
        <v>556</v>
      </c>
      <c r="D29" s="884">
        <v>985</v>
      </c>
      <c r="E29" s="884">
        <v>1215</v>
      </c>
      <c r="F29" s="884">
        <v>1215</v>
      </c>
      <c r="G29" s="832" t="s">
        <v>51</v>
      </c>
      <c r="H29" s="56" t="s">
        <v>1556</v>
      </c>
      <c r="I29" s="34" t="s">
        <v>17</v>
      </c>
      <c r="J29" s="16" t="s">
        <v>110</v>
      </c>
      <c r="K29" s="34" t="s">
        <v>1557</v>
      </c>
      <c r="L29" s="5" t="s">
        <v>636</v>
      </c>
      <c r="M29" s="159">
        <v>43077</v>
      </c>
      <c r="N29" s="159">
        <v>43083</v>
      </c>
      <c r="O29" s="163" t="s">
        <v>1206</v>
      </c>
      <c r="P29" s="163"/>
      <c r="Q29" s="172"/>
      <c r="R29" s="17" t="s">
        <v>1829</v>
      </c>
      <c r="S29" s="309"/>
      <c r="T29" s="309"/>
    </row>
    <row r="30" spans="1:20" ht="20.100000000000001" customHeight="1">
      <c r="A30" s="1278" t="s">
        <v>1036</v>
      </c>
      <c r="B30" s="1278" t="s">
        <v>348</v>
      </c>
      <c r="C30" s="1279" t="s">
        <v>556</v>
      </c>
      <c r="D30" s="884">
        <v>985</v>
      </c>
      <c r="E30" s="884">
        <v>1215</v>
      </c>
      <c r="F30" s="884">
        <v>1215</v>
      </c>
      <c r="G30" s="833" t="s">
        <v>51</v>
      </c>
      <c r="H30" s="56" t="s">
        <v>725</v>
      </c>
      <c r="I30" s="16" t="s">
        <v>17</v>
      </c>
      <c r="J30" s="16" t="s">
        <v>110</v>
      </c>
      <c r="K30" s="16">
        <v>14</v>
      </c>
      <c r="L30" s="5" t="s">
        <v>636</v>
      </c>
      <c r="M30" s="159">
        <v>43077</v>
      </c>
      <c r="N30" s="159">
        <v>43083</v>
      </c>
      <c r="O30" s="163" t="s">
        <v>1206</v>
      </c>
      <c r="P30" s="163"/>
      <c r="Q30" s="172"/>
      <c r="R30" s="17" t="s">
        <v>1326</v>
      </c>
      <c r="S30" s="309"/>
      <c r="T30" s="309"/>
    </row>
    <row r="31" spans="1:20" ht="20.100000000000001" customHeight="1">
      <c r="A31" s="1278" t="s">
        <v>1036</v>
      </c>
      <c r="B31" s="1278" t="s">
        <v>348</v>
      </c>
      <c r="C31" s="1279" t="s">
        <v>556</v>
      </c>
      <c r="D31" s="884">
        <v>985</v>
      </c>
      <c r="E31" s="884">
        <v>1215</v>
      </c>
      <c r="F31" s="884">
        <v>1215</v>
      </c>
      <c r="G31" s="832" t="s">
        <v>51</v>
      </c>
      <c r="H31" s="56" t="s">
        <v>706</v>
      </c>
      <c r="I31" s="34" t="s">
        <v>17</v>
      </c>
      <c r="J31" s="34" t="s">
        <v>439</v>
      </c>
      <c r="K31" s="34" t="s">
        <v>723</v>
      </c>
      <c r="L31" s="34" t="s">
        <v>636</v>
      </c>
      <c r="M31" s="159">
        <v>43077</v>
      </c>
      <c r="N31" s="159">
        <v>43083</v>
      </c>
      <c r="O31" s="163" t="s">
        <v>1206</v>
      </c>
      <c r="P31" s="113"/>
      <c r="Q31" s="250"/>
      <c r="R31" s="21" t="s">
        <v>1827</v>
      </c>
      <c r="S31" s="309"/>
      <c r="T31" s="309"/>
    </row>
    <row r="32" spans="1:20" ht="20.100000000000001" customHeight="1">
      <c r="A32" s="1278" t="s">
        <v>1036</v>
      </c>
      <c r="B32" s="1278" t="s">
        <v>348</v>
      </c>
      <c r="C32" s="1279" t="s">
        <v>418</v>
      </c>
      <c r="D32" s="884">
        <v>985</v>
      </c>
      <c r="E32" s="884">
        <v>1215</v>
      </c>
      <c r="F32" s="884">
        <v>1215</v>
      </c>
      <c r="G32" s="834" t="s">
        <v>51</v>
      </c>
      <c r="H32" s="56">
        <v>1</v>
      </c>
      <c r="I32" s="34" t="s">
        <v>17</v>
      </c>
      <c r="J32" s="34"/>
      <c r="K32" s="19" t="s">
        <v>682</v>
      </c>
      <c r="L32" s="34" t="s">
        <v>643</v>
      </c>
      <c r="M32" s="159">
        <v>43077</v>
      </c>
      <c r="N32" s="159">
        <v>43083</v>
      </c>
      <c r="O32" s="163" t="s">
        <v>1206</v>
      </c>
      <c r="P32" s="163"/>
      <c r="Q32" s="172"/>
      <c r="R32" s="17" t="s">
        <v>1191</v>
      </c>
      <c r="S32" s="309"/>
      <c r="T32" s="309"/>
    </row>
    <row r="33" spans="1:20" ht="20.100000000000001" customHeight="1">
      <c r="A33" s="1278" t="s">
        <v>1036</v>
      </c>
      <c r="B33" s="1278" t="s">
        <v>348</v>
      </c>
      <c r="C33" s="1279" t="s">
        <v>418</v>
      </c>
      <c r="D33" s="884">
        <v>985</v>
      </c>
      <c r="E33" s="884">
        <v>1215</v>
      </c>
      <c r="F33" s="884">
        <v>1215</v>
      </c>
      <c r="G33" s="832" t="s">
        <v>51</v>
      </c>
      <c r="H33" s="56" t="s">
        <v>1556</v>
      </c>
      <c r="I33" s="34" t="s">
        <v>17</v>
      </c>
      <c r="J33" s="16"/>
      <c r="K33" s="34" t="s">
        <v>1558</v>
      </c>
      <c r="L33" s="5" t="s">
        <v>636</v>
      </c>
      <c r="M33" s="159">
        <v>43077</v>
      </c>
      <c r="N33" s="159">
        <v>43083</v>
      </c>
      <c r="O33" s="163" t="s">
        <v>1206</v>
      </c>
      <c r="P33" s="163"/>
      <c r="Q33" s="172"/>
      <c r="R33" s="17" t="s">
        <v>1829</v>
      </c>
      <c r="S33" s="309"/>
      <c r="T33" s="309"/>
    </row>
    <row r="34" spans="1:20" ht="20.100000000000001" customHeight="1">
      <c r="A34" s="1278" t="s">
        <v>1036</v>
      </c>
      <c r="B34" s="1278" t="s">
        <v>348</v>
      </c>
      <c r="C34" s="1279" t="s">
        <v>418</v>
      </c>
      <c r="D34" s="884">
        <v>985</v>
      </c>
      <c r="E34" s="884">
        <v>1215</v>
      </c>
      <c r="F34" s="884">
        <v>1215</v>
      </c>
      <c r="G34" s="832" t="s">
        <v>51</v>
      </c>
      <c r="H34" s="56" t="s">
        <v>725</v>
      </c>
      <c r="I34" s="16" t="s">
        <v>17</v>
      </c>
      <c r="J34" s="16"/>
      <c r="K34" s="34" t="s">
        <v>1828</v>
      </c>
      <c r="L34" s="5" t="s">
        <v>636</v>
      </c>
      <c r="M34" s="159">
        <v>43077</v>
      </c>
      <c r="N34" s="159">
        <v>43083</v>
      </c>
      <c r="O34" s="163" t="s">
        <v>1206</v>
      </c>
      <c r="P34" s="163"/>
      <c r="Q34" s="172"/>
      <c r="R34" s="17" t="s">
        <v>1326</v>
      </c>
      <c r="S34" s="309"/>
      <c r="T34" s="309"/>
    </row>
    <row r="35" spans="1:20" ht="20.100000000000001" customHeight="1">
      <c r="A35" s="1278" t="s">
        <v>1036</v>
      </c>
      <c r="B35" s="1278" t="s">
        <v>348</v>
      </c>
      <c r="C35" s="1279" t="s">
        <v>417</v>
      </c>
      <c r="D35" s="884">
        <v>985</v>
      </c>
      <c r="E35" s="884">
        <v>1215</v>
      </c>
      <c r="F35" s="884">
        <v>1215</v>
      </c>
      <c r="G35" s="833" t="s">
        <v>51</v>
      </c>
      <c r="H35" s="56" t="s">
        <v>729</v>
      </c>
      <c r="I35" s="16" t="s">
        <v>17</v>
      </c>
      <c r="J35" s="16"/>
      <c r="K35" s="16" t="s">
        <v>746</v>
      </c>
      <c r="L35" s="5" t="s">
        <v>636</v>
      </c>
      <c r="M35" s="159">
        <v>43077</v>
      </c>
      <c r="N35" s="159">
        <v>43083</v>
      </c>
      <c r="O35" s="163" t="s">
        <v>1206</v>
      </c>
      <c r="P35" s="163"/>
      <c r="Q35" s="172"/>
      <c r="R35" s="17" t="s">
        <v>1832</v>
      </c>
      <c r="S35" s="309"/>
      <c r="T35" s="309"/>
    </row>
    <row r="36" spans="1:20" ht="20.100000000000001" customHeight="1">
      <c r="A36" s="1278" t="s">
        <v>1036</v>
      </c>
      <c r="B36" s="1278" t="s">
        <v>348</v>
      </c>
      <c r="C36" s="1279" t="s">
        <v>417</v>
      </c>
      <c r="D36" s="884">
        <v>985</v>
      </c>
      <c r="E36" s="884">
        <v>1215</v>
      </c>
      <c r="F36" s="884">
        <v>1215</v>
      </c>
      <c r="G36" s="832" t="s">
        <v>51</v>
      </c>
      <c r="H36" s="56" t="s">
        <v>706</v>
      </c>
      <c r="I36" s="34" t="s">
        <v>17</v>
      </c>
      <c r="J36" s="34"/>
      <c r="K36" s="34" t="s">
        <v>680</v>
      </c>
      <c r="L36" s="34" t="s">
        <v>636</v>
      </c>
      <c r="M36" s="159">
        <v>43077</v>
      </c>
      <c r="N36" s="159">
        <v>43083</v>
      </c>
      <c r="O36" s="163" t="s">
        <v>1206</v>
      </c>
      <c r="P36" s="113"/>
      <c r="Q36" s="250"/>
      <c r="R36" s="21" t="s">
        <v>1827</v>
      </c>
      <c r="S36" s="309"/>
      <c r="T36" s="309"/>
    </row>
    <row r="37" spans="1:20" ht="20.100000000000001" customHeight="1">
      <c r="A37" s="822" t="s">
        <v>1036</v>
      </c>
      <c r="B37" s="822" t="s">
        <v>348</v>
      </c>
      <c r="C37" s="830" t="s">
        <v>1193</v>
      </c>
      <c r="D37" s="884">
        <v>985</v>
      </c>
      <c r="E37" s="884">
        <v>1215</v>
      </c>
      <c r="F37" s="884">
        <v>1215</v>
      </c>
      <c r="G37" s="833" t="s">
        <v>51</v>
      </c>
      <c r="H37" s="56" t="s">
        <v>721</v>
      </c>
      <c r="I37" s="16" t="s">
        <v>825</v>
      </c>
      <c r="J37" s="16"/>
      <c r="K37" s="16" t="s">
        <v>1194</v>
      </c>
      <c r="L37" s="5" t="s">
        <v>636</v>
      </c>
      <c r="M37" s="159">
        <v>43077</v>
      </c>
      <c r="N37" s="159">
        <v>43083</v>
      </c>
      <c r="O37" s="163" t="s">
        <v>1206</v>
      </c>
      <c r="P37" s="163"/>
      <c r="Q37" s="172"/>
      <c r="R37" s="17" t="s">
        <v>1833</v>
      </c>
      <c r="S37" s="309"/>
      <c r="T37" s="309"/>
    </row>
    <row r="38" spans="1:20" ht="20.100000000000001" customHeight="1">
      <c r="A38" s="821" t="s">
        <v>1037</v>
      </c>
      <c r="B38" s="821" t="s">
        <v>348</v>
      </c>
      <c r="C38" s="821" t="s">
        <v>954</v>
      </c>
      <c r="D38" s="836"/>
      <c r="E38" s="836"/>
      <c r="F38" s="836"/>
      <c r="G38" s="29"/>
      <c r="H38" s="56"/>
      <c r="I38" s="34"/>
      <c r="J38" s="34"/>
      <c r="K38" s="34"/>
      <c r="L38" s="34"/>
      <c r="M38" s="34"/>
      <c r="N38" s="108"/>
      <c r="O38" s="113"/>
      <c r="P38" s="113"/>
      <c r="Q38" s="303"/>
      <c r="R38" s="21"/>
      <c r="S38" s="309"/>
      <c r="T38" s="309"/>
    </row>
    <row r="39" spans="1:20" ht="20.100000000000001" customHeight="1">
      <c r="A39" s="821" t="s">
        <v>1037</v>
      </c>
      <c r="B39" s="821" t="s">
        <v>348</v>
      </c>
      <c r="C39" s="831" t="s">
        <v>1202</v>
      </c>
      <c r="D39" s="884">
        <v>1505</v>
      </c>
      <c r="E39" s="884">
        <v>1865</v>
      </c>
      <c r="F39" s="884">
        <v>1865</v>
      </c>
      <c r="G39" s="833" t="s">
        <v>51</v>
      </c>
      <c r="H39" s="56" t="s">
        <v>721</v>
      </c>
      <c r="I39" s="16" t="s">
        <v>825</v>
      </c>
      <c r="J39" s="16"/>
      <c r="K39" s="16" t="s">
        <v>685</v>
      </c>
      <c r="L39" s="5" t="s">
        <v>1197</v>
      </c>
      <c r="M39" s="159">
        <v>43077</v>
      </c>
      <c r="N39" s="159">
        <v>43083</v>
      </c>
      <c r="O39" s="163" t="s">
        <v>1206</v>
      </c>
      <c r="P39" s="163"/>
      <c r="Q39" s="172"/>
      <c r="R39" s="17" t="s">
        <v>1201</v>
      </c>
      <c r="S39" s="309"/>
      <c r="T39" s="309"/>
    </row>
    <row r="40" spans="1:20" ht="20.100000000000001" customHeight="1">
      <c r="A40" s="1215" t="s">
        <v>1037</v>
      </c>
      <c r="B40" s="1215" t="s">
        <v>348</v>
      </c>
      <c r="C40" s="1280" t="s">
        <v>1514</v>
      </c>
      <c r="D40" s="884">
        <v>1505</v>
      </c>
      <c r="E40" s="884">
        <v>1865</v>
      </c>
      <c r="F40" s="884">
        <v>1865</v>
      </c>
      <c r="G40" s="833" t="s">
        <v>51</v>
      </c>
      <c r="H40" s="56" t="s">
        <v>729</v>
      </c>
      <c r="I40" s="16" t="s">
        <v>17</v>
      </c>
      <c r="J40" s="16"/>
      <c r="K40" s="30" t="s">
        <v>685</v>
      </c>
      <c r="L40" s="34" t="s">
        <v>643</v>
      </c>
      <c r="M40" s="159">
        <v>43077</v>
      </c>
      <c r="N40" s="159">
        <v>43083</v>
      </c>
      <c r="O40" s="163" t="s">
        <v>1206</v>
      </c>
      <c r="P40" s="163"/>
      <c r="Q40" s="172"/>
      <c r="R40" s="17" t="s">
        <v>1834</v>
      </c>
      <c r="S40" s="309"/>
      <c r="T40" s="309"/>
    </row>
    <row r="41" spans="1:20" ht="20.100000000000001" customHeight="1">
      <c r="A41" s="1215" t="s">
        <v>1037</v>
      </c>
      <c r="B41" s="1215" t="s">
        <v>348</v>
      </c>
      <c r="C41" s="1280" t="s">
        <v>423</v>
      </c>
      <c r="D41" s="884">
        <v>1505</v>
      </c>
      <c r="E41" s="884">
        <v>1865</v>
      </c>
      <c r="F41" s="884">
        <v>1865</v>
      </c>
      <c r="G41" s="835" t="s">
        <v>51</v>
      </c>
      <c r="H41" s="56" t="s">
        <v>725</v>
      </c>
      <c r="I41" s="16" t="s">
        <v>825</v>
      </c>
      <c r="J41" s="16"/>
      <c r="K41" s="30" t="s">
        <v>688</v>
      </c>
      <c r="L41" s="34" t="s">
        <v>1197</v>
      </c>
      <c r="M41" s="159">
        <v>43077</v>
      </c>
      <c r="N41" s="159">
        <v>43083</v>
      </c>
      <c r="O41" s="163" t="s">
        <v>1206</v>
      </c>
      <c r="P41" s="163"/>
      <c r="Q41" s="251"/>
      <c r="R41" s="17" t="s">
        <v>1204</v>
      </c>
      <c r="S41" s="309"/>
      <c r="T41" s="309"/>
    </row>
    <row r="42" spans="1:20" ht="20.100000000000001" customHeight="1">
      <c r="A42" s="1215" t="s">
        <v>1037</v>
      </c>
      <c r="B42" s="1215" t="s">
        <v>348</v>
      </c>
      <c r="C42" s="1280" t="s">
        <v>3071</v>
      </c>
      <c r="D42" s="884">
        <v>1971</v>
      </c>
      <c r="E42" s="884">
        <v>2365</v>
      </c>
      <c r="F42" s="884">
        <v>2365</v>
      </c>
      <c r="G42" s="835" t="s">
        <v>51</v>
      </c>
      <c r="H42" s="56" t="s">
        <v>1199</v>
      </c>
      <c r="I42" s="16" t="s">
        <v>825</v>
      </c>
      <c r="J42" s="16"/>
      <c r="K42" s="30" t="s">
        <v>1198</v>
      </c>
      <c r="L42" s="5" t="s">
        <v>639</v>
      </c>
      <c r="M42" s="159">
        <v>43077</v>
      </c>
      <c r="N42" s="159">
        <v>43083</v>
      </c>
      <c r="O42" s="163" t="s">
        <v>2358</v>
      </c>
      <c r="P42" s="163"/>
      <c r="Q42" s="251"/>
      <c r="R42" s="17" t="s">
        <v>1205</v>
      </c>
      <c r="S42" s="309"/>
      <c r="T42" s="309"/>
    </row>
    <row r="43" spans="1:20" ht="20.100000000000001" customHeight="1">
      <c r="A43" s="1215" t="s">
        <v>1037</v>
      </c>
      <c r="B43" s="1215" t="s">
        <v>348</v>
      </c>
      <c r="C43" s="1280" t="s">
        <v>424</v>
      </c>
      <c r="D43" s="884">
        <v>1971</v>
      </c>
      <c r="E43" s="884">
        <v>2365</v>
      </c>
      <c r="F43" s="884">
        <v>2365</v>
      </c>
      <c r="G43" s="835" t="s">
        <v>51</v>
      </c>
      <c r="H43" s="56" t="s">
        <v>1195</v>
      </c>
      <c r="I43" s="16" t="s">
        <v>17</v>
      </c>
      <c r="J43" s="16"/>
      <c r="K43" s="30" t="s">
        <v>1196</v>
      </c>
      <c r="L43" s="5" t="s">
        <v>1197</v>
      </c>
      <c r="M43" s="159">
        <v>43077</v>
      </c>
      <c r="N43" s="159">
        <v>43083</v>
      </c>
      <c r="O43" s="163" t="s">
        <v>2358</v>
      </c>
      <c r="P43" s="163"/>
      <c r="Q43" s="251"/>
      <c r="R43" s="17" t="s">
        <v>1839</v>
      </c>
      <c r="S43" s="309"/>
      <c r="T43" s="309"/>
    </row>
    <row r="44" spans="1:20" ht="20.100000000000001" customHeight="1">
      <c r="A44" s="821" t="s">
        <v>1037</v>
      </c>
      <c r="B44" s="821" t="s">
        <v>348</v>
      </c>
      <c r="C44" s="831" t="s">
        <v>3073</v>
      </c>
      <c r="D44" s="884">
        <v>1905</v>
      </c>
      <c r="E44" s="884">
        <v>2365</v>
      </c>
      <c r="F44" s="884">
        <v>2365</v>
      </c>
      <c r="G44" s="835" t="s">
        <v>51</v>
      </c>
      <c r="H44" s="56">
        <v>6</v>
      </c>
      <c r="I44" s="16" t="s">
        <v>17</v>
      </c>
      <c r="J44" s="16"/>
      <c r="K44" s="30" t="s">
        <v>1835</v>
      </c>
      <c r="L44" s="34" t="s">
        <v>643</v>
      </c>
      <c r="M44" s="159">
        <v>43077</v>
      </c>
      <c r="N44" s="159">
        <v>43083</v>
      </c>
      <c r="O44" s="163" t="s">
        <v>2357</v>
      </c>
      <c r="P44" s="163"/>
      <c r="Q44" s="251"/>
      <c r="R44" s="17" t="s">
        <v>1839</v>
      </c>
      <c r="S44" s="309"/>
      <c r="T44" s="309"/>
    </row>
    <row r="45" spans="1:20" ht="20.100000000000001" customHeight="1">
      <c r="A45" s="821" t="s">
        <v>1037</v>
      </c>
      <c r="B45" s="821" t="s">
        <v>348</v>
      </c>
      <c r="C45" s="831" t="s">
        <v>421</v>
      </c>
      <c r="D45" s="884">
        <v>1905</v>
      </c>
      <c r="E45" s="884">
        <v>2365</v>
      </c>
      <c r="F45" s="884">
        <v>2365</v>
      </c>
      <c r="G45" s="835" t="s">
        <v>51</v>
      </c>
      <c r="H45" s="56" t="s">
        <v>1195</v>
      </c>
      <c r="I45" s="16" t="s">
        <v>825</v>
      </c>
      <c r="J45" s="16"/>
      <c r="K45" s="30" t="s">
        <v>664</v>
      </c>
      <c r="L45" s="34" t="s">
        <v>1197</v>
      </c>
      <c r="M45" s="159">
        <v>43077</v>
      </c>
      <c r="N45" s="159">
        <v>43083</v>
      </c>
      <c r="O45" s="163" t="s">
        <v>2357</v>
      </c>
      <c r="P45" s="163"/>
      <c r="Q45" s="251"/>
      <c r="R45" s="17" t="s">
        <v>1839</v>
      </c>
      <c r="S45" s="309"/>
      <c r="T45" s="309"/>
    </row>
    <row r="46" spans="1:20" ht="20.100000000000001" customHeight="1">
      <c r="A46" s="1215" t="s">
        <v>1037</v>
      </c>
      <c r="B46" s="1215" t="s">
        <v>348</v>
      </c>
      <c r="C46" s="1280" t="s">
        <v>425</v>
      </c>
      <c r="D46" s="884">
        <v>1888</v>
      </c>
      <c r="E46" s="884">
        <v>2265</v>
      </c>
      <c r="F46" s="884">
        <v>2265</v>
      </c>
      <c r="G46" s="835" t="s">
        <v>51</v>
      </c>
      <c r="H46" s="56" t="s">
        <v>1199</v>
      </c>
      <c r="I46" s="16" t="s">
        <v>825</v>
      </c>
      <c r="J46" s="16"/>
      <c r="K46" s="30" t="s">
        <v>1203</v>
      </c>
      <c r="L46" s="5" t="s">
        <v>1192</v>
      </c>
      <c r="M46" s="159">
        <v>43077</v>
      </c>
      <c r="N46" s="159">
        <v>43083</v>
      </c>
      <c r="O46" s="163" t="s">
        <v>2357</v>
      </c>
      <c r="P46" s="163"/>
      <c r="Q46" s="251"/>
      <c r="R46" s="17" t="s">
        <v>1205</v>
      </c>
      <c r="S46" s="309"/>
      <c r="T46" s="309"/>
    </row>
    <row r="47" spans="1:20" ht="20.100000000000001" customHeight="1">
      <c r="A47" s="1215" t="s">
        <v>1037</v>
      </c>
      <c r="B47" s="1215" t="s">
        <v>348</v>
      </c>
      <c r="C47" s="1280" t="s">
        <v>425</v>
      </c>
      <c r="D47" s="884">
        <v>1888</v>
      </c>
      <c r="E47" s="884">
        <v>2265</v>
      </c>
      <c r="F47" s="884">
        <v>2265</v>
      </c>
      <c r="G47" s="835" t="s">
        <v>51</v>
      </c>
      <c r="H47" s="56">
        <v>6</v>
      </c>
      <c r="I47" s="16" t="s">
        <v>17</v>
      </c>
      <c r="J47" s="16"/>
      <c r="K47" s="30">
        <v>27</v>
      </c>
      <c r="L47" s="34" t="s">
        <v>643</v>
      </c>
      <c r="M47" s="159">
        <v>43077</v>
      </c>
      <c r="N47" s="159">
        <v>43083</v>
      </c>
      <c r="O47" s="163" t="s">
        <v>2357</v>
      </c>
      <c r="P47" s="163"/>
      <c r="Q47" s="251"/>
      <c r="R47" s="17" t="s">
        <v>1839</v>
      </c>
      <c r="S47" s="309"/>
      <c r="T47" s="309"/>
    </row>
    <row r="48" spans="1:20" ht="20.100000000000001" customHeight="1">
      <c r="A48" s="1215" t="s">
        <v>1037</v>
      </c>
      <c r="B48" s="1215" t="s">
        <v>348</v>
      </c>
      <c r="C48" s="1280" t="s">
        <v>419</v>
      </c>
      <c r="D48" s="884">
        <v>1505</v>
      </c>
      <c r="E48" s="884">
        <v>1865</v>
      </c>
      <c r="F48" s="884">
        <v>1865</v>
      </c>
      <c r="G48" s="833" t="s">
        <v>51</v>
      </c>
      <c r="H48" s="56" t="s">
        <v>729</v>
      </c>
      <c r="I48" s="16" t="s">
        <v>17</v>
      </c>
      <c r="J48" s="16"/>
      <c r="K48" s="30" t="s">
        <v>688</v>
      </c>
      <c r="L48" s="34" t="s">
        <v>643</v>
      </c>
      <c r="M48" s="159">
        <v>43077</v>
      </c>
      <c r="N48" s="159">
        <v>43083</v>
      </c>
      <c r="O48" s="163" t="s">
        <v>1206</v>
      </c>
      <c r="P48" s="163"/>
      <c r="Q48" s="172"/>
      <c r="R48" s="17" t="s">
        <v>1834</v>
      </c>
      <c r="S48" s="309"/>
      <c r="T48" s="309"/>
    </row>
    <row r="49" spans="1:20" ht="20.100000000000001" customHeight="1">
      <c r="A49" s="1215" t="s">
        <v>1037</v>
      </c>
      <c r="B49" s="1215" t="s">
        <v>348</v>
      </c>
      <c r="C49" s="1280" t="s">
        <v>419</v>
      </c>
      <c r="D49" s="884">
        <v>1505</v>
      </c>
      <c r="E49" s="884">
        <v>1865</v>
      </c>
      <c r="F49" s="884">
        <v>1865</v>
      </c>
      <c r="G49" s="833" t="s">
        <v>51</v>
      </c>
      <c r="H49" s="56" t="s">
        <v>721</v>
      </c>
      <c r="I49" s="16" t="s">
        <v>825</v>
      </c>
      <c r="J49" s="16"/>
      <c r="K49" s="16" t="s">
        <v>684</v>
      </c>
      <c r="L49" s="34" t="s">
        <v>643</v>
      </c>
      <c r="M49" s="159">
        <v>43077</v>
      </c>
      <c r="N49" s="159">
        <v>43083</v>
      </c>
      <c r="O49" s="163" t="s">
        <v>1206</v>
      </c>
      <c r="P49" s="163"/>
      <c r="Q49" s="172"/>
      <c r="R49" s="17" t="s">
        <v>1201</v>
      </c>
      <c r="S49" s="309"/>
      <c r="T49" s="309"/>
    </row>
    <row r="50" spans="1:20" ht="20.100000000000001" customHeight="1">
      <c r="A50" s="821" t="s">
        <v>1037</v>
      </c>
      <c r="B50" s="821" t="s">
        <v>348</v>
      </c>
      <c r="C50" s="831" t="s">
        <v>1837</v>
      </c>
      <c r="D50" s="884">
        <v>1971</v>
      </c>
      <c r="E50" s="884">
        <v>2365</v>
      </c>
      <c r="F50" s="884">
        <v>2365</v>
      </c>
      <c r="G50" s="833" t="s">
        <v>51</v>
      </c>
      <c r="H50" s="56">
        <v>6</v>
      </c>
      <c r="I50" s="16" t="s">
        <v>17</v>
      </c>
      <c r="J50" s="16"/>
      <c r="K50" s="30" t="s">
        <v>1838</v>
      </c>
      <c r="L50" s="34" t="s">
        <v>643</v>
      </c>
      <c r="M50" s="159">
        <v>43077</v>
      </c>
      <c r="N50" s="159">
        <v>43083</v>
      </c>
      <c r="O50" s="163" t="s">
        <v>1206</v>
      </c>
      <c r="P50" s="163"/>
      <c r="Q50" s="251"/>
      <c r="R50" s="17" t="s">
        <v>1839</v>
      </c>
      <c r="S50" s="309"/>
      <c r="T50" s="309"/>
    </row>
    <row r="51" spans="1:20" ht="20.100000000000001" customHeight="1">
      <c r="A51" s="1215" t="s">
        <v>1037</v>
      </c>
      <c r="B51" s="1215" t="s">
        <v>348</v>
      </c>
      <c r="C51" s="1280" t="s">
        <v>3075</v>
      </c>
      <c r="D51" s="884">
        <v>1505</v>
      </c>
      <c r="E51" s="884">
        <v>1865</v>
      </c>
      <c r="F51" s="884">
        <v>1865</v>
      </c>
      <c r="G51" s="835" t="s">
        <v>51</v>
      </c>
      <c r="H51" s="56" t="s">
        <v>725</v>
      </c>
      <c r="I51" s="16" t="s">
        <v>825</v>
      </c>
      <c r="J51" s="16"/>
      <c r="K51" s="30" t="s">
        <v>728</v>
      </c>
      <c r="L51" s="34" t="s">
        <v>643</v>
      </c>
      <c r="M51" s="159">
        <v>43077</v>
      </c>
      <c r="N51" s="159">
        <v>43083</v>
      </c>
      <c r="O51" s="163" t="s">
        <v>1206</v>
      </c>
      <c r="P51" s="163"/>
      <c r="Q51" s="251"/>
      <c r="R51" s="17" t="s">
        <v>1204</v>
      </c>
      <c r="S51" s="310"/>
      <c r="T51" s="309"/>
    </row>
    <row r="52" spans="1:20" ht="20.100000000000001" customHeight="1">
      <c r="A52" s="1215" t="s">
        <v>1037</v>
      </c>
      <c r="B52" s="1215" t="s">
        <v>348</v>
      </c>
      <c r="C52" s="1280" t="s">
        <v>422</v>
      </c>
      <c r="D52" s="884">
        <v>1505</v>
      </c>
      <c r="E52" s="884">
        <v>1865</v>
      </c>
      <c r="F52" s="884">
        <v>1865</v>
      </c>
      <c r="G52" s="835" t="s">
        <v>51</v>
      </c>
      <c r="H52" s="56" t="s">
        <v>721</v>
      </c>
      <c r="I52" s="16" t="s">
        <v>825</v>
      </c>
      <c r="J52" s="16"/>
      <c r="K52" s="30" t="s">
        <v>687</v>
      </c>
      <c r="L52" s="34" t="s">
        <v>643</v>
      </c>
      <c r="M52" s="159">
        <v>43077</v>
      </c>
      <c r="N52" s="159">
        <v>43083</v>
      </c>
      <c r="O52" s="163" t="s">
        <v>1206</v>
      </c>
      <c r="P52" s="163"/>
      <c r="Q52" s="172"/>
      <c r="R52" s="17" t="s">
        <v>1201</v>
      </c>
      <c r="S52" s="310"/>
      <c r="T52" s="309"/>
    </row>
    <row r="53" spans="1:20" ht="20.100000000000001" customHeight="1">
      <c r="A53" s="1215" t="s">
        <v>1037</v>
      </c>
      <c r="B53" s="1215" t="s">
        <v>348</v>
      </c>
      <c r="C53" s="1280" t="s">
        <v>3077</v>
      </c>
      <c r="D53" s="884">
        <v>1505</v>
      </c>
      <c r="E53" s="884">
        <v>1865</v>
      </c>
      <c r="F53" s="884">
        <v>1865</v>
      </c>
      <c r="G53" s="833" t="s">
        <v>51</v>
      </c>
      <c r="H53" s="56" t="s">
        <v>729</v>
      </c>
      <c r="I53" s="16" t="s">
        <v>17</v>
      </c>
      <c r="J53" s="16"/>
      <c r="K53" s="30" t="s">
        <v>728</v>
      </c>
      <c r="L53" s="34" t="s">
        <v>643</v>
      </c>
      <c r="M53" s="159">
        <v>43077</v>
      </c>
      <c r="N53" s="159">
        <v>43083</v>
      </c>
      <c r="O53" s="163" t="s">
        <v>1206</v>
      </c>
      <c r="P53" s="163"/>
      <c r="Q53" s="172"/>
      <c r="R53" s="17" t="s">
        <v>1834</v>
      </c>
      <c r="S53" s="310"/>
      <c r="T53" s="309"/>
    </row>
    <row r="54" spans="1:20" ht="20.100000000000001" customHeight="1">
      <c r="A54" s="1215" t="s">
        <v>1037</v>
      </c>
      <c r="B54" s="1215" t="s">
        <v>348</v>
      </c>
      <c r="C54" s="1280" t="s">
        <v>420</v>
      </c>
      <c r="D54" s="884">
        <v>1505</v>
      </c>
      <c r="E54" s="884">
        <v>1865</v>
      </c>
      <c r="F54" s="884">
        <v>1865</v>
      </c>
      <c r="G54" s="835" t="s">
        <v>51</v>
      </c>
      <c r="H54" s="56" t="s">
        <v>725</v>
      </c>
      <c r="I54" s="16" t="s">
        <v>825</v>
      </c>
      <c r="J54" s="16"/>
      <c r="K54" s="30" t="s">
        <v>685</v>
      </c>
      <c r="L54" s="34" t="s">
        <v>643</v>
      </c>
      <c r="M54" s="159">
        <v>43077</v>
      </c>
      <c r="N54" s="159">
        <v>43083</v>
      </c>
      <c r="O54" s="163" t="s">
        <v>1206</v>
      </c>
      <c r="P54" s="163"/>
      <c r="Q54" s="251"/>
      <c r="R54" s="17" t="s">
        <v>1204</v>
      </c>
      <c r="S54" s="310"/>
      <c r="T54" s="309"/>
    </row>
    <row r="55" spans="1:20" ht="20.100000000000001" customHeight="1">
      <c r="A55" s="821" t="s">
        <v>1037</v>
      </c>
      <c r="B55" s="821" t="s">
        <v>348</v>
      </c>
      <c r="C55" s="821" t="s">
        <v>1200</v>
      </c>
      <c r="D55" s="837"/>
      <c r="E55" s="837"/>
      <c r="F55" s="837"/>
      <c r="G55" s="352"/>
      <c r="H55" s="56"/>
      <c r="I55" s="34"/>
      <c r="J55" s="34"/>
      <c r="K55" s="34"/>
      <c r="L55" s="34"/>
      <c r="M55" s="34"/>
      <c r="N55" s="108"/>
      <c r="O55" s="113"/>
      <c r="P55" s="113"/>
      <c r="Q55" s="59"/>
      <c r="R55" s="21"/>
      <c r="S55" s="310"/>
      <c r="T55" s="309"/>
    </row>
    <row r="56" spans="1:20" ht="20.100000000000001" customHeight="1">
      <c r="A56" s="1128" t="s">
        <v>1038</v>
      </c>
      <c r="B56" s="1128" t="s">
        <v>348</v>
      </c>
      <c r="C56" s="1281" t="s">
        <v>1400</v>
      </c>
      <c r="D56" s="772">
        <v>3305</v>
      </c>
      <c r="E56" s="773">
        <v>4115</v>
      </c>
      <c r="F56" s="773">
        <v>4115</v>
      </c>
      <c r="G56" s="835" t="s">
        <v>51</v>
      </c>
      <c r="H56" s="4" t="s">
        <v>1189</v>
      </c>
      <c r="I56" s="16" t="s">
        <v>703</v>
      </c>
      <c r="J56" s="16"/>
      <c r="K56" s="30"/>
      <c r="L56" s="5" t="s">
        <v>637</v>
      </c>
      <c r="M56" s="159">
        <v>43042</v>
      </c>
      <c r="N56" s="159">
        <v>43053</v>
      </c>
      <c r="O56" s="163" t="s">
        <v>1206</v>
      </c>
      <c r="P56" s="113"/>
      <c r="Q56" s="59"/>
      <c r="R56" s="21"/>
      <c r="S56" s="310"/>
      <c r="T56" s="309"/>
    </row>
    <row r="57" spans="1:20" ht="20.100000000000001" customHeight="1">
      <c r="A57" s="1128" t="s">
        <v>1038</v>
      </c>
      <c r="B57" s="1128" t="s">
        <v>348</v>
      </c>
      <c r="C57" s="1128" t="s">
        <v>1400</v>
      </c>
      <c r="D57" s="838">
        <v>2145</v>
      </c>
      <c r="E57" s="839">
        <v>2665</v>
      </c>
      <c r="F57" s="839">
        <v>2665</v>
      </c>
      <c r="G57" s="352" t="s">
        <v>51</v>
      </c>
      <c r="H57" s="4" t="s">
        <v>651</v>
      </c>
      <c r="I57" s="16" t="s">
        <v>705</v>
      </c>
      <c r="J57" s="16"/>
      <c r="K57" s="30"/>
      <c r="L57" s="34" t="s">
        <v>643</v>
      </c>
      <c r="M57" s="159">
        <v>43042</v>
      </c>
      <c r="N57" s="159">
        <v>43053</v>
      </c>
      <c r="O57" s="163" t="s">
        <v>1206</v>
      </c>
      <c r="P57" s="163"/>
      <c r="Q57" s="61"/>
      <c r="R57" s="17"/>
      <c r="S57" s="310"/>
      <c r="T57" s="309"/>
    </row>
    <row r="58" spans="1:20" ht="20.100000000000001" customHeight="1">
      <c r="A58" s="1128" t="s">
        <v>1038</v>
      </c>
      <c r="B58" s="1128" t="s">
        <v>348</v>
      </c>
      <c r="C58" s="1128" t="s">
        <v>954</v>
      </c>
      <c r="D58" s="772">
        <v>3585</v>
      </c>
      <c r="E58" s="773">
        <v>4365</v>
      </c>
      <c r="F58" s="773">
        <v>4365</v>
      </c>
      <c r="G58" s="352" t="s">
        <v>51</v>
      </c>
      <c r="H58" s="4" t="s">
        <v>1189</v>
      </c>
      <c r="I58" s="16" t="s">
        <v>703</v>
      </c>
      <c r="J58" s="16"/>
      <c r="K58" s="30"/>
      <c r="L58" s="5" t="s">
        <v>637</v>
      </c>
      <c r="M58" s="159">
        <v>43042</v>
      </c>
      <c r="N58" s="159">
        <v>43053</v>
      </c>
      <c r="O58" s="163" t="s">
        <v>1206</v>
      </c>
      <c r="P58" s="163"/>
      <c r="Q58" s="61"/>
      <c r="R58" s="17"/>
      <c r="S58" s="310"/>
      <c r="T58" s="309"/>
    </row>
    <row r="59" spans="1:20" ht="20.100000000000001" customHeight="1">
      <c r="A59" s="1128" t="s">
        <v>1038</v>
      </c>
      <c r="B59" s="1128" t="s">
        <v>348</v>
      </c>
      <c r="C59" s="1128" t="s">
        <v>954</v>
      </c>
      <c r="D59" s="772">
        <v>3225</v>
      </c>
      <c r="E59" s="773">
        <v>4365</v>
      </c>
      <c r="F59" s="773">
        <v>4365</v>
      </c>
      <c r="G59" s="351" t="s">
        <v>51</v>
      </c>
      <c r="H59" s="56" t="s">
        <v>886</v>
      </c>
      <c r="I59" s="16" t="s">
        <v>1020</v>
      </c>
      <c r="J59" s="16"/>
      <c r="K59" s="16"/>
      <c r="L59" s="5" t="s">
        <v>643</v>
      </c>
      <c r="M59" s="159">
        <v>43042</v>
      </c>
      <c r="N59" s="159">
        <v>43053</v>
      </c>
      <c r="O59" s="163" t="s">
        <v>1206</v>
      </c>
      <c r="P59" s="163"/>
      <c r="Q59" s="61"/>
      <c r="R59" s="17"/>
      <c r="S59" s="310"/>
      <c r="T59" s="309"/>
    </row>
    <row r="60" spans="1:20" ht="20.100000000000001" customHeight="1">
      <c r="A60" s="819" t="s">
        <v>1038</v>
      </c>
      <c r="B60" s="819" t="s">
        <v>348</v>
      </c>
      <c r="C60" s="819" t="s">
        <v>1401</v>
      </c>
      <c r="D60" s="772">
        <v>3485</v>
      </c>
      <c r="E60" s="773">
        <v>4415</v>
      </c>
      <c r="F60" s="773">
        <v>4415</v>
      </c>
      <c r="G60" s="353" t="s">
        <v>51</v>
      </c>
      <c r="H60" s="4" t="s">
        <v>1189</v>
      </c>
      <c r="I60" s="16" t="s">
        <v>703</v>
      </c>
      <c r="J60" s="16"/>
      <c r="K60" s="30"/>
      <c r="L60" s="5" t="s">
        <v>637</v>
      </c>
      <c r="M60" s="159">
        <v>43042</v>
      </c>
      <c r="N60" s="159">
        <v>43053</v>
      </c>
      <c r="O60" s="163" t="s">
        <v>1206</v>
      </c>
      <c r="P60" s="163"/>
      <c r="Q60" s="61"/>
      <c r="R60" s="17"/>
      <c r="S60" s="310"/>
      <c r="T60" s="309"/>
    </row>
    <row r="61" spans="1:20" ht="20.100000000000001" customHeight="1">
      <c r="A61" s="819" t="s">
        <v>1038</v>
      </c>
      <c r="B61" s="819" t="s">
        <v>348</v>
      </c>
      <c r="C61" s="819" t="s">
        <v>3079</v>
      </c>
      <c r="D61" s="772">
        <v>3385</v>
      </c>
      <c r="E61" s="773">
        <v>4215</v>
      </c>
      <c r="F61" s="773">
        <v>4215</v>
      </c>
      <c r="G61" s="353" t="s">
        <v>51</v>
      </c>
      <c r="H61" s="4" t="s">
        <v>1189</v>
      </c>
      <c r="I61" s="16" t="s">
        <v>703</v>
      </c>
      <c r="J61" s="16"/>
      <c r="K61" s="30"/>
      <c r="L61" s="5" t="s">
        <v>637</v>
      </c>
      <c r="M61" s="159">
        <v>43042</v>
      </c>
      <c r="N61" s="159">
        <v>43053</v>
      </c>
      <c r="O61" s="163" t="s">
        <v>1206</v>
      </c>
      <c r="P61" s="163"/>
      <c r="Q61" s="61"/>
      <c r="R61" s="17"/>
      <c r="S61" s="310"/>
      <c r="T61" s="309"/>
    </row>
    <row r="62" spans="1:20" ht="20.100000000000001" customHeight="1">
      <c r="A62" s="1128" t="s">
        <v>1038</v>
      </c>
      <c r="B62" s="1128" t="s">
        <v>348</v>
      </c>
      <c r="C62" s="1128" t="s">
        <v>3070</v>
      </c>
      <c r="D62" s="774">
        <v>3785</v>
      </c>
      <c r="E62" s="774">
        <v>4715</v>
      </c>
      <c r="F62" s="774">
        <v>4715</v>
      </c>
      <c r="G62" s="353" t="s">
        <v>51</v>
      </c>
      <c r="H62" s="4" t="s">
        <v>1189</v>
      </c>
      <c r="I62" s="16" t="s">
        <v>703</v>
      </c>
      <c r="J62" s="16"/>
      <c r="K62" s="30"/>
      <c r="L62" s="5" t="s">
        <v>637</v>
      </c>
      <c r="M62" s="159">
        <v>43042</v>
      </c>
      <c r="N62" s="159">
        <v>43053</v>
      </c>
      <c r="O62" s="163" t="s">
        <v>1206</v>
      </c>
      <c r="P62" s="163"/>
      <c r="Q62" s="61"/>
      <c r="R62" s="17"/>
      <c r="S62" s="310"/>
      <c r="T62" s="309"/>
    </row>
    <row r="63" spans="1:20" ht="20.100000000000001" customHeight="1">
      <c r="A63" s="1128" t="s">
        <v>1038</v>
      </c>
      <c r="B63" s="1128" t="s">
        <v>348</v>
      </c>
      <c r="C63" s="1128" t="s">
        <v>689</v>
      </c>
      <c r="D63" s="772">
        <v>2245</v>
      </c>
      <c r="E63" s="773">
        <v>2665</v>
      </c>
      <c r="F63" s="773">
        <v>2665</v>
      </c>
      <c r="G63" s="353" t="s">
        <v>51</v>
      </c>
      <c r="H63" s="4" t="s">
        <v>651</v>
      </c>
      <c r="I63" s="16" t="s">
        <v>705</v>
      </c>
      <c r="J63" s="16"/>
      <c r="K63" s="30"/>
      <c r="L63" s="34" t="s">
        <v>643</v>
      </c>
      <c r="M63" s="159">
        <v>43042</v>
      </c>
      <c r="N63" s="159">
        <v>43053</v>
      </c>
      <c r="O63" s="163" t="s">
        <v>1206</v>
      </c>
      <c r="P63" s="163"/>
      <c r="Q63" s="61"/>
      <c r="R63" s="17"/>
      <c r="S63" s="310"/>
      <c r="T63" s="309"/>
    </row>
    <row r="64" spans="1:20" ht="20.100000000000001" customHeight="1">
      <c r="A64" s="1128" t="s">
        <v>1038</v>
      </c>
      <c r="B64" s="1128" t="s">
        <v>348</v>
      </c>
      <c r="C64" s="1128" t="s">
        <v>692</v>
      </c>
      <c r="D64" s="773">
        <v>3065</v>
      </c>
      <c r="E64" s="773">
        <v>3815</v>
      </c>
      <c r="F64" s="773">
        <v>3815</v>
      </c>
      <c r="G64" s="353" t="s">
        <v>51</v>
      </c>
      <c r="H64" s="4" t="s">
        <v>1189</v>
      </c>
      <c r="I64" s="16" t="s">
        <v>703</v>
      </c>
      <c r="J64" s="16"/>
      <c r="K64" s="30"/>
      <c r="L64" s="5" t="s">
        <v>637</v>
      </c>
      <c r="M64" s="159">
        <v>43042</v>
      </c>
      <c r="N64" s="159">
        <v>43053</v>
      </c>
      <c r="O64" s="163" t="s">
        <v>1206</v>
      </c>
      <c r="P64" s="163"/>
      <c r="Q64" s="61"/>
      <c r="R64" s="17"/>
      <c r="S64" s="310"/>
      <c r="T64" s="309"/>
    </row>
    <row r="65" spans="1:20" ht="20.100000000000001" customHeight="1">
      <c r="A65" s="1128" t="s">
        <v>1038</v>
      </c>
      <c r="B65" s="1128" t="s">
        <v>348</v>
      </c>
      <c r="C65" s="1128" t="s">
        <v>692</v>
      </c>
      <c r="D65" s="772">
        <v>2905</v>
      </c>
      <c r="E65" s="773">
        <v>3615</v>
      </c>
      <c r="F65" s="773">
        <v>3615</v>
      </c>
      <c r="G65" s="351" t="s">
        <v>51</v>
      </c>
      <c r="H65" s="56" t="s">
        <v>886</v>
      </c>
      <c r="I65" s="16" t="s">
        <v>1020</v>
      </c>
      <c r="J65" s="16"/>
      <c r="K65" s="16"/>
      <c r="L65" s="5" t="s">
        <v>643</v>
      </c>
      <c r="M65" s="159">
        <v>43042</v>
      </c>
      <c r="N65" s="159">
        <v>43053</v>
      </c>
      <c r="O65" s="163" t="s">
        <v>1206</v>
      </c>
      <c r="P65" s="163"/>
      <c r="Q65" s="61"/>
      <c r="R65" s="17"/>
      <c r="S65" s="310"/>
      <c r="T65" s="309"/>
    </row>
    <row r="66" spans="1:20" ht="20.100000000000001" customHeight="1">
      <c r="A66" s="1128" t="s">
        <v>1038</v>
      </c>
      <c r="B66" s="1128" t="s">
        <v>348</v>
      </c>
      <c r="C66" s="1128" t="s">
        <v>692</v>
      </c>
      <c r="D66" s="772">
        <v>2905</v>
      </c>
      <c r="E66" s="773">
        <v>3615</v>
      </c>
      <c r="F66" s="773">
        <v>3615</v>
      </c>
      <c r="G66" s="351" t="s">
        <v>51</v>
      </c>
      <c r="H66" s="56" t="s">
        <v>651</v>
      </c>
      <c r="I66" s="16" t="s">
        <v>262</v>
      </c>
      <c r="J66" s="16"/>
      <c r="K66" s="16"/>
      <c r="L66" s="5" t="s">
        <v>637</v>
      </c>
      <c r="M66" s="159">
        <v>43042</v>
      </c>
      <c r="N66" s="159">
        <v>43053</v>
      </c>
      <c r="O66" s="163" t="s">
        <v>1206</v>
      </c>
      <c r="P66" s="163"/>
      <c r="Q66" s="61"/>
      <c r="R66" s="17"/>
      <c r="S66" s="310"/>
      <c r="T66" s="309"/>
    </row>
    <row r="67" spans="1:20" ht="20.100000000000001" customHeight="1">
      <c r="A67" s="1128" t="s">
        <v>1038</v>
      </c>
      <c r="B67" s="1128" t="s">
        <v>348</v>
      </c>
      <c r="C67" s="1128" t="s">
        <v>1329</v>
      </c>
      <c r="D67" s="772">
        <v>3065</v>
      </c>
      <c r="E67" s="773">
        <v>3715</v>
      </c>
      <c r="F67" s="773">
        <v>3715</v>
      </c>
      <c r="G67" s="351" t="s">
        <v>51</v>
      </c>
      <c r="H67" s="56" t="s">
        <v>886</v>
      </c>
      <c r="I67" s="16" t="s">
        <v>1020</v>
      </c>
      <c r="J67" s="16"/>
      <c r="K67" s="16"/>
      <c r="L67" s="5" t="s">
        <v>643</v>
      </c>
      <c r="M67" s="159">
        <v>43042</v>
      </c>
      <c r="N67" s="159">
        <v>43053</v>
      </c>
      <c r="O67" s="163" t="s">
        <v>1206</v>
      </c>
      <c r="P67" s="163"/>
      <c r="Q67" s="61"/>
      <c r="R67" s="17"/>
      <c r="S67" s="310"/>
      <c r="T67" s="309"/>
    </row>
    <row r="68" spans="1:20" ht="20.100000000000001" customHeight="1">
      <c r="A68" s="1128" t="s">
        <v>1038</v>
      </c>
      <c r="B68" s="1128" t="s">
        <v>348</v>
      </c>
      <c r="C68" s="1128" t="s">
        <v>1329</v>
      </c>
      <c r="D68" s="772">
        <v>3145</v>
      </c>
      <c r="E68" s="773">
        <v>3665</v>
      </c>
      <c r="F68" s="773">
        <v>3665</v>
      </c>
      <c r="G68" s="351" t="s">
        <v>51</v>
      </c>
      <c r="H68" s="56" t="s">
        <v>651</v>
      </c>
      <c r="I68" s="16" t="s">
        <v>262</v>
      </c>
      <c r="J68" s="16"/>
      <c r="K68" s="16"/>
      <c r="L68" s="5" t="s">
        <v>637</v>
      </c>
      <c r="M68" s="159">
        <v>43042</v>
      </c>
      <c r="N68" s="159">
        <v>43053</v>
      </c>
      <c r="O68" s="163" t="s">
        <v>1206</v>
      </c>
      <c r="P68" s="163"/>
      <c r="Q68" s="61"/>
      <c r="R68" s="17"/>
      <c r="S68" s="310"/>
      <c r="T68" s="309"/>
    </row>
    <row r="69" spans="1:20" ht="20.100000000000001" customHeight="1">
      <c r="A69" s="1128" t="s">
        <v>1038</v>
      </c>
      <c r="B69" s="1128" t="s">
        <v>348</v>
      </c>
      <c r="C69" s="1128" t="s">
        <v>691</v>
      </c>
      <c r="D69" s="772">
        <v>3385</v>
      </c>
      <c r="E69" s="773">
        <v>3915</v>
      </c>
      <c r="F69" s="773">
        <v>3915</v>
      </c>
      <c r="G69" s="353" t="s">
        <v>51</v>
      </c>
      <c r="H69" s="4" t="s">
        <v>1189</v>
      </c>
      <c r="I69" s="16" t="s">
        <v>703</v>
      </c>
      <c r="J69" s="16"/>
      <c r="K69" s="30"/>
      <c r="L69" s="5" t="s">
        <v>637</v>
      </c>
      <c r="M69" s="159">
        <v>43042</v>
      </c>
      <c r="N69" s="159">
        <v>43053</v>
      </c>
      <c r="O69" s="163" t="s">
        <v>1206</v>
      </c>
      <c r="P69" s="163"/>
      <c r="Q69" s="61"/>
      <c r="R69" s="17"/>
      <c r="S69" s="310"/>
      <c r="T69" s="309"/>
    </row>
    <row r="70" spans="1:20" ht="20.100000000000001" customHeight="1">
      <c r="A70" s="1128" t="s">
        <v>1038</v>
      </c>
      <c r="B70" s="1128" t="s">
        <v>348</v>
      </c>
      <c r="C70" s="1128" t="s">
        <v>691</v>
      </c>
      <c r="D70" s="772">
        <v>3305</v>
      </c>
      <c r="E70" s="773">
        <v>3815</v>
      </c>
      <c r="F70" s="773">
        <v>3815</v>
      </c>
      <c r="G70" s="351" t="s">
        <v>51</v>
      </c>
      <c r="H70" s="56" t="s">
        <v>886</v>
      </c>
      <c r="I70" s="16" t="s">
        <v>1020</v>
      </c>
      <c r="J70" s="16"/>
      <c r="K70" s="16"/>
      <c r="L70" s="5" t="s">
        <v>643</v>
      </c>
      <c r="M70" s="159">
        <v>43042</v>
      </c>
      <c r="N70" s="159">
        <v>43053</v>
      </c>
      <c r="O70" s="163" t="s">
        <v>1206</v>
      </c>
      <c r="P70" s="163"/>
      <c r="Q70" s="61"/>
      <c r="R70" s="17"/>
      <c r="S70" s="310"/>
      <c r="T70" s="309"/>
    </row>
    <row r="71" spans="1:20" ht="20.100000000000001" customHeight="1">
      <c r="A71" s="1128" t="s">
        <v>1038</v>
      </c>
      <c r="B71" s="1128" t="s">
        <v>348</v>
      </c>
      <c r="C71" s="1128" t="s">
        <v>691</v>
      </c>
      <c r="D71" s="772">
        <v>2345</v>
      </c>
      <c r="E71" s="773">
        <v>2965</v>
      </c>
      <c r="F71" s="773">
        <v>2965</v>
      </c>
      <c r="G71" s="352" t="s">
        <v>51</v>
      </c>
      <c r="H71" s="4" t="s">
        <v>651</v>
      </c>
      <c r="I71" s="16" t="s">
        <v>705</v>
      </c>
      <c r="J71" s="16"/>
      <c r="K71" s="30"/>
      <c r="L71" s="34" t="s">
        <v>643</v>
      </c>
      <c r="M71" s="159">
        <v>43042</v>
      </c>
      <c r="N71" s="159">
        <v>43053</v>
      </c>
      <c r="O71" s="163" t="s">
        <v>1206</v>
      </c>
      <c r="P71" s="163"/>
      <c r="Q71" s="61"/>
      <c r="R71" s="17"/>
      <c r="S71" s="310"/>
      <c r="T71" s="309"/>
    </row>
    <row r="72" spans="1:20" ht="20.100000000000001" customHeight="1">
      <c r="A72" s="1128" t="s">
        <v>1038</v>
      </c>
      <c r="B72" s="1128" t="s">
        <v>348</v>
      </c>
      <c r="C72" s="1128" t="s">
        <v>707</v>
      </c>
      <c r="D72" s="772">
        <v>3285</v>
      </c>
      <c r="E72" s="773">
        <v>4115</v>
      </c>
      <c r="F72" s="773">
        <v>4115</v>
      </c>
      <c r="G72" s="353" t="s">
        <v>51</v>
      </c>
      <c r="H72" s="4" t="s">
        <v>1189</v>
      </c>
      <c r="I72" s="16" t="s">
        <v>703</v>
      </c>
      <c r="J72" s="16"/>
      <c r="K72" s="30"/>
      <c r="L72" s="5" t="s">
        <v>637</v>
      </c>
      <c r="M72" s="159">
        <v>43042</v>
      </c>
      <c r="N72" s="159">
        <v>43053</v>
      </c>
      <c r="O72" s="163" t="s">
        <v>1206</v>
      </c>
      <c r="P72" s="163"/>
      <c r="Q72" s="61"/>
      <c r="R72" s="17"/>
      <c r="S72" s="310"/>
      <c r="T72" s="309"/>
    </row>
    <row r="73" spans="1:20" ht="20.100000000000001" customHeight="1">
      <c r="A73" s="1128" t="s">
        <v>1038</v>
      </c>
      <c r="B73" s="1128" t="s">
        <v>348</v>
      </c>
      <c r="C73" s="1128" t="s">
        <v>693</v>
      </c>
      <c r="D73" s="772">
        <v>3405</v>
      </c>
      <c r="E73" s="773">
        <v>4115</v>
      </c>
      <c r="F73" s="773">
        <v>4115</v>
      </c>
      <c r="G73" s="351" t="s">
        <v>51</v>
      </c>
      <c r="H73" s="56" t="s">
        <v>886</v>
      </c>
      <c r="I73" s="16" t="s">
        <v>1020</v>
      </c>
      <c r="J73" s="16"/>
      <c r="K73" s="16"/>
      <c r="L73" s="5" t="s">
        <v>643</v>
      </c>
      <c r="M73" s="159">
        <v>43042</v>
      </c>
      <c r="N73" s="159">
        <v>43053</v>
      </c>
      <c r="O73" s="163" t="s">
        <v>1206</v>
      </c>
      <c r="P73" s="163"/>
      <c r="Q73" s="61"/>
      <c r="R73" s="17"/>
      <c r="S73" s="310"/>
      <c r="T73" s="309"/>
    </row>
    <row r="74" spans="1:20" ht="20.100000000000001" customHeight="1">
      <c r="A74" s="1128" t="s">
        <v>1038</v>
      </c>
      <c r="B74" s="1128" t="s">
        <v>348</v>
      </c>
      <c r="C74" s="1128" t="s">
        <v>693</v>
      </c>
      <c r="D74" s="772">
        <v>2545</v>
      </c>
      <c r="E74" s="773">
        <v>2965</v>
      </c>
      <c r="F74" s="773">
        <v>2965</v>
      </c>
      <c r="G74" s="352" t="s">
        <v>51</v>
      </c>
      <c r="H74" s="4" t="s">
        <v>651</v>
      </c>
      <c r="I74" s="16" t="s">
        <v>705</v>
      </c>
      <c r="J74" s="16"/>
      <c r="K74" s="30"/>
      <c r="L74" s="34" t="s">
        <v>643</v>
      </c>
      <c r="M74" s="159">
        <v>43042</v>
      </c>
      <c r="N74" s="159">
        <v>43053</v>
      </c>
      <c r="O74" s="163" t="s">
        <v>1206</v>
      </c>
      <c r="P74" s="163"/>
      <c r="Q74" s="61"/>
      <c r="R74" s="17"/>
      <c r="S74" s="310"/>
      <c r="T74" s="309"/>
    </row>
    <row r="75" spans="1:20" ht="20.100000000000001" customHeight="1">
      <c r="A75" s="1128" t="s">
        <v>1038</v>
      </c>
      <c r="B75" s="1128" t="s">
        <v>348</v>
      </c>
      <c r="C75" s="1128" t="s">
        <v>708</v>
      </c>
      <c r="D75" s="772">
        <v>3545</v>
      </c>
      <c r="E75" s="773">
        <v>4115</v>
      </c>
      <c r="F75" s="773">
        <v>4115</v>
      </c>
      <c r="G75" s="353" t="s">
        <v>51</v>
      </c>
      <c r="H75" s="4" t="s">
        <v>1189</v>
      </c>
      <c r="I75" s="16" t="s">
        <v>703</v>
      </c>
      <c r="J75" s="16"/>
      <c r="K75" s="30"/>
      <c r="L75" s="5" t="s">
        <v>637</v>
      </c>
      <c r="M75" s="159">
        <v>43042</v>
      </c>
      <c r="N75" s="159">
        <v>43053</v>
      </c>
      <c r="O75" s="163" t="s">
        <v>1206</v>
      </c>
      <c r="P75" s="163"/>
      <c r="Q75" s="61"/>
      <c r="R75" s="17"/>
      <c r="S75" s="310"/>
      <c r="T75" s="309"/>
    </row>
    <row r="76" spans="1:20" ht="20.100000000000001" customHeight="1">
      <c r="A76" s="1128" t="s">
        <v>1038</v>
      </c>
      <c r="B76" s="1128" t="s">
        <v>348</v>
      </c>
      <c r="C76" s="1128" t="s">
        <v>690</v>
      </c>
      <c r="D76" s="774">
        <v>3465</v>
      </c>
      <c r="E76" s="774">
        <v>4115</v>
      </c>
      <c r="F76" s="774">
        <v>4115</v>
      </c>
      <c r="G76" s="351" t="s">
        <v>51</v>
      </c>
      <c r="H76" s="56" t="s">
        <v>886</v>
      </c>
      <c r="I76" s="16" t="s">
        <v>1020</v>
      </c>
      <c r="J76" s="16"/>
      <c r="K76" s="16"/>
      <c r="L76" s="5" t="s">
        <v>643</v>
      </c>
      <c r="M76" s="159">
        <v>43042</v>
      </c>
      <c r="N76" s="159">
        <v>43053</v>
      </c>
      <c r="O76" s="163" t="s">
        <v>1206</v>
      </c>
      <c r="P76" s="163"/>
      <c r="Q76" s="61"/>
      <c r="R76" s="17"/>
      <c r="S76" s="310"/>
      <c r="T76" s="309"/>
    </row>
    <row r="77" spans="1:20" ht="20.100000000000001" customHeight="1">
      <c r="A77" s="1128" t="s">
        <v>1038</v>
      </c>
      <c r="B77" s="1128" t="s">
        <v>348</v>
      </c>
      <c r="C77" s="1128" t="s">
        <v>690</v>
      </c>
      <c r="D77" s="772">
        <v>2545</v>
      </c>
      <c r="E77" s="773">
        <v>2965</v>
      </c>
      <c r="F77" s="773">
        <v>2965</v>
      </c>
      <c r="G77" s="352" t="s">
        <v>51</v>
      </c>
      <c r="H77" s="4" t="s">
        <v>651</v>
      </c>
      <c r="I77" s="16" t="s">
        <v>705</v>
      </c>
      <c r="J77" s="16"/>
      <c r="K77" s="30"/>
      <c r="L77" s="34" t="s">
        <v>643</v>
      </c>
      <c r="M77" s="159">
        <v>43042</v>
      </c>
      <c r="N77" s="159">
        <v>43053</v>
      </c>
      <c r="O77" s="163" t="s">
        <v>1206</v>
      </c>
      <c r="P77" s="163"/>
      <c r="Q77" s="61"/>
      <c r="R77" s="17"/>
      <c r="S77" s="310"/>
      <c r="T77" s="309"/>
    </row>
    <row r="78" spans="1:20" ht="20.100000000000001" customHeight="1">
      <c r="A78" s="819" t="s">
        <v>1038</v>
      </c>
      <c r="B78" s="819" t="s">
        <v>348</v>
      </c>
      <c r="C78" s="819" t="s">
        <v>709</v>
      </c>
      <c r="D78" s="772">
        <v>2920</v>
      </c>
      <c r="E78" s="773">
        <v>3365</v>
      </c>
      <c r="F78" s="773">
        <v>3365</v>
      </c>
      <c r="G78" s="353" t="s">
        <v>51</v>
      </c>
      <c r="H78" s="4" t="s">
        <v>651</v>
      </c>
      <c r="I78" s="16" t="s">
        <v>1313</v>
      </c>
      <c r="J78" s="16"/>
      <c r="K78" s="30"/>
      <c r="L78" s="5" t="s">
        <v>640</v>
      </c>
      <c r="M78" s="159">
        <v>43042</v>
      </c>
      <c r="N78" s="159">
        <v>43053</v>
      </c>
      <c r="O78" s="163" t="s">
        <v>1206</v>
      </c>
      <c r="P78" s="163"/>
      <c r="Q78" s="61"/>
      <c r="R78" s="17"/>
      <c r="S78" s="310"/>
      <c r="T78" s="309"/>
    </row>
    <row r="79" spans="1:20" ht="20.100000000000001" customHeight="1">
      <c r="A79" s="819" t="s">
        <v>1038</v>
      </c>
      <c r="B79" s="819" t="s">
        <v>348</v>
      </c>
      <c r="C79" s="819" t="s">
        <v>710</v>
      </c>
      <c r="D79" s="772">
        <v>3605</v>
      </c>
      <c r="E79" s="773">
        <v>4265</v>
      </c>
      <c r="F79" s="773">
        <v>4265</v>
      </c>
      <c r="G79" s="353" t="s">
        <v>51</v>
      </c>
      <c r="H79" s="4" t="s">
        <v>1189</v>
      </c>
      <c r="I79" s="16" t="s">
        <v>703</v>
      </c>
      <c r="J79" s="16"/>
      <c r="K79" s="30"/>
      <c r="L79" s="5" t="s">
        <v>637</v>
      </c>
      <c r="M79" s="159">
        <v>43042</v>
      </c>
      <c r="N79" s="159">
        <v>43053</v>
      </c>
      <c r="O79" s="163" t="s">
        <v>1206</v>
      </c>
      <c r="P79" s="163"/>
      <c r="Q79" s="61"/>
      <c r="R79" s="17"/>
      <c r="S79" s="310"/>
      <c r="T79" s="309"/>
    </row>
    <row r="80" spans="1:20" ht="20.100000000000001" customHeight="1">
      <c r="A80" s="1128" t="s">
        <v>1038</v>
      </c>
      <c r="B80" s="1128" t="s">
        <v>348</v>
      </c>
      <c r="C80" s="1128" t="s">
        <v>694</v>
      </c>
      <c r="D80" s="772">
        <v>3785</v>
      </c>
      <c r="E80" s="773">
        <v>4115</v>
      </c>
      <c r="F80" s="773">
        <v>4115</v>
      </c>
      <c r="G80" s="353" t="s">
        <v>51</v>
      </c>
      <c r="H80" s="4" t="s">
        <v>1189</v>
      </c>
      <c r="I80" s="16" t="s">
        <v>703</v>
      </c>
      <c r="J80" s="16"/>
      <c r="K80" s="30"/>
      <c r="L80" s="5" t="s">
        <v>637</v>
      </c>
      <c r="M80" s="159">
        <v>43042</v>
      </c>
      <c r="N80" s="159">
        <v>43053</v>
      </c>
      <c r="O80" s="163" t="s">
        <v>1206</v>
      </c>
      <c r="P80" s="163"/>
      <c r="Q80" s="61"/>
      <c r="R80" s="17"/>
      <c r="S80" s="310"/>
      <c r="T80" s="309"/>
    </row>
    <row r="81" spans="1:20" ht="20.100000000000001" customHeight="1">
      <c r="A81" s="1128" t="s">
        <v>1038</v>
      </c>
      <c r="B81" s="1128" t="s">
        <v>348</v>
      </c>
      <c r="C81" s="1128" t="s">
        <v>694</v>
      </c>
      <c r="D81" s="773">
        <v>3365</v>
      </c>
      <c r="E81" s="773">
        <v>3765</v>
      </c>
      <c r="F81" s="773">
        <v>3765</v>
      </c>
      <c r="G81" s="351" t="s">
        <v>51</v>
      </c>
      <c r="H81" s="56" t="s">
        <v>886</v>
      </c>
      <c r="I81" s="16" t="s">
        <v>1020</v>
      </c>
      <c r="J81" s="16"/>
      <c r="K81" s="16"/>
      <c r="L81" s="5" t="s">
        <v>643</v>
      </c>
      <c r="M81" s="159">
        <v>43042</v>
      </c>
      <c r="N81" s="159">
        <v>43053</v>
      </c>
      <c r="O81" s="163" t="s">
        <v>1206</v>
      </c>
      <c r="P81" s="163"/>
      <c r="Q81" s="61"/>
      <c r="R81" s="17"/>
      <c r="S81" s="310"/>
      <c r="T81" s="309"/>
    </row>
    <row r="82" spans="1:20" ht="20.100000000000001" customHeight="1">
      <c r="A82" s="1128" t="s">
        <v>1038</v>
      </c>
      <c r="B82" s="1128" t="s">
        <v>348</v>
      </c>
      <c r="C82" s="1128" t="s">
        <v>694</v>
      </c>
      <c r="D82" s="772">
        <v>3585</v>
      </c>
      <c r="E82" s="773">
        <v>3915</v>
      </c>
      <c r="F82" s="773">
        <v>3915</v>
      </c>
      <c r="G82" s="351" t="s">
        <v>51</v>
      </c>
      <c r="H82" s="56" t="s">
        <v>651</v>
      </c>
      <c r="I82" s="16" t="s">
        <v>262</v>
      </c>
      <c r="J82" s="16"/>
      <c r="K82" s="16"/>
      <c r="L82" s="5" t="s">
        <v>637</v>
      </c>
      <c r="M82" s="159">
        <v>43042</v>
      </c>
      <c r="N82" s="159">
        <v>43053</v>
      </c>
      <c r="O82" s="163" t="s">
        <v>1206</v>
      </c>
      <c r="P82" s="163"/>
      <c r="Q82" s="61"/>
      <c r="R82" s="17"/>
      <c r="S82" s="310"/>
      <c r="T82" s="309"/>
    </row>
    <row r="83" spans="1:20" ht="20.100000000000001" customHeight="1">
      <c r="A83" s="819" t="s">
        <v>1038</v>
      </c>
      <c r="B83" s="819" t="s">
        <v>348</v>
      </c>
      <c r="C83" s="819" t="s">
        <v>1328</v>
      </c>
      <c r="D83" s="774">
        <v>3085</v>
      </c>
      <c r="E83" s="774">
        <v>3815</v>
      </c>
      <c r="F83" s="774">
        <v>3815</v>
      </c>
      <c r="G83" s="353" t="s">
        <v>51</v>
      </c>
      <c r="H83" s="4" t="s">
        <v>1189</v>
      </c>
      <c r="I83" s="16" t="s">
        <v>703</v>
      </c>
      <c r="J83" s="16"/>
      <c r="K83" s="30"/>
      <c r="L83" s="5" t="s">
        <v>637</v>
      </c>
      <c r="M83" s="159">
        <v>43042</v>
      </c>
      <c r="N83" s="159">
        <v>43053</v>
      </c>
      <c r="O83" s="163" t="s">
        <v>1206</v>
      </c>
      <c r="P83" s="163"/>
      <c r="Q83" s="61"/>
      <c r="R83" s="17"/>
      <c r="S83" s="310"/>
      <c r="T83" s="309"/>
    </row>
    <row r="84" spans="1:20" ht="20.100000000000001" customHeight="1">
      <c r="A84" s="819" t="s">
        <v>1038</v>
      </c>
      <c r="B84" s="819" t="s">
        <v>348</v>
      </c>
      <c r="C84" s="819" t="s">
        <v>1330</v>
      </c>
      <c r="D84" s="772">
        <v>2105</v>
      </c>
      <c r="E84" s="773">
        <v>2565</v>
      </c>
      <c r="F84" s="773">
        <v>2565</v>
      </c>
      <c r="G84" s="353" t="s">
        <v>51</v>
      </c>
      <c r="H84" s="4" t="s">
        <v>651</v>
      </c>
      <c r="I84" s="16" t="s">
        <v>705</v>
      </c>
      <c r="J84" s="16"/>
      <c r="K84" s="30"/>
      <c r="L84" s="34" t="s">
        <v>643</v>
      </c>
      <c r="M84" s="159">
        <v>43042</v>
      </c>
      <c r="N84" s="159">
        <v>43053</v>
      </c>
      <c r="O84" s="163" t="s">
        <v>1206</v>
      </c>
      <c r="P84" s="163"/>
      <c r="Q84" s="61"/>
      <c r="R84" s="17"/>
      <c r="S84" s="310"/>
      <c r="T84" s="309"/>
    </row>
    <row r="85" spans="1:20" ht="20.100000000000001" customHeight="1">
      <c r="A85" s="819" t="s">
        <v>1038</v>
      </c>
      <c r="B85" s="819" t="s">
        <v>348</v>
      </c>
      <c r="C85" s="819" t="s">
        <v>719</v>
      </c>
      <c r="D85" s="364"/>
      <c r="E85" s="364"/>
      <c r="F85" s="364"/>
      <c r="G85" s="351"/>
      <c r="H85" s="56"/>
      <c r="I85" s="16"/>
      <c r="J85" s="16"/>
      <c r="K85" s="16"/>
      <c r="L85" s="5"/>
      <c r="M85" s="5"/>
      <c r="N85" s="159"/>
      <c r="O85" s="163"/>
      <c r="P85" s="163"/>
      <c r="Q85" s="61"/>
      <c r="R85" s="17"/>
      <c r="S85" s="310"/>
      <c r="T85" s="309"/>
    </row>
    <row r="86" spans="1:20" ht="20.100000000000001" customHeight="1">
      <c r="A86" s="819" t="s">
        <v>1038</v>
      </c>
      <c r="B86" s="819" t="s">
        <v>348</v>
      </c>
      <c r="C86" s="819" t="s">
        <v>1402</v>
      </c>
      <c r="D86" s="772"/>
      <c r="E86" s="773"/>
      <c r="F86" s="773"/>
      <c r="G86" s="352"/>
      <c r="H86" s="4"/>
      <c r="I86" s="16"/>
      <c r="J86" s="16"/>
      <c r="K86" s="30"/>
      <c r="L86" s="5"/>
      <c r="M86" s="5"/>
      <c r="N86" s="159"/>
      <c r="O86" s="163"/>
      <c r="P86" s="163"/>
      <c r="Q86" s="61"/>
      <c r="R86" s="17"/>
      <c r="S86" s="310"/>
      <c r="T86" s="309"/>
    </row>
    <row r="87" spans="1:20" ht="20.100000000000001" customHeight="1">
      <c r="A87" s="819" t="s">
        <v>1038</v>
      </c>
      <c r="B87" s="819" t="s">
        <v>348</v>
      </c>
      <c r="C87" s="819" t="s">
        <v>3072</v>
      </c>
      <c r="D87" s="772">
        <v>3085</v>
      </c>
      <c r="E87" s="773">
        <v>3715</v>
      </c>
      <c r="F87" s="773">
        <v>3715</v>
      </c>
      <c r="G87" s="353" t="s">
        <v>51</v>
      </c>
      <c r="H87" s="4" t="s">
        <v>1189</v>
      </c>
      <c r="I87" s="16" t="s">
        <v>703</v>
      </c>
      <c r="J87" s="16"/>
      <c r="K87" s="30"/>
      <c r="L87" s="5" t="s">
        <v>637</v>
      </c>
      <c r="M87" s="159">
        <v>43042</v>
      </c>
      <c r="N87" s="159">
        <v>43053</v>
      </c>
      <c r="O87" s="163" t="s">
        <v>1206</v>
      </c>
      <c r="P87" s="163"/>
      <c r="Q87" s="61"/>
      <c r="R87" s="17"/>
      <c r="S87" s="310"/>
      <c r="T87" s="309"/>
    </row>
    <row r="88" spans="1:20" ht="20.100000000000001" customHeight="1">
      <c r="A88" s="1128" t="s">
        <v>1038</v>
      </c>
      <c r="B88" s="1128" t="s">
        <v>348</v>
      </c>
      <c r="C88" s="1128" t="s">
        <v>695</v>
      </c>
      <c r="D88" s="772">
        <v>3545</v>
      </c>
      <c r="E88" s="773">
        <v>4415</v>
      </c>
      <c r="F88" s="773">
        <v>4415</v>
      </c>
      <c r="G88" s="353" t="s">
        <v>51</v>
      </c>
      <c r="H88" s="4" t="s">
        <v>1189</v>
      </c>
      <c r="I88" s="16" t="s">
        <v>703</v>
      </c>
      <c r="J88" s="16"/>
      <c r="K88" s="30"/>
      <c r="L88" s="5" t="s">
        <v>637</v>
      </c>
      <c r="M88" s="159">
        <v>43042</v>
      </c>
      <c r="N88" s="159">
        <v>43053</v>
      </c>
      <c r="O88" s="163" t="s">
        <v>1206</v>
      </c>
      <c r="P88" s="163"/>
      <c r="Q88" s="61"/>
      <c r="R88" s="17"/>
      <c r="S88" s="310"/>
      <c r="T88" s="309"/>
    </row>
    <row r="89" spans="1:20" ht="20.100000000000001" customHeight="1">
      <c r="A89" s="1128" t="s">
        <v>1038</v>
      </c>
      <c r="B89" s="1128" t="s">
        <v>348</v>
      </c>
      <c r="C89" s="1128" t="s">
        <v>695</v>
      </c>
      <c r="D89" s="773">
        <v>3225</v>
      </c>
      <c r="E89" s="773">
        <v>4015</v>
      </c>
      <c r="F89" s="773">
        <v>4015</v>
      </c>
      <c r="G89" s="351" t="s">
        <v>51</v>
      </c>
      <c r="H89" s="56" t="s">
        <v>886</v>
      </c>
      <c r="I89" s="16" t="s">
        <v>1020</v>
      </c>
      <c r="J89" s="16"/>
      <c r="K89" s="16"/>
      <c r="L89" s="5" t="s">
        <v>643</v>
      </c>
      <c r="M89" s="159">
        <v>43042</v>
      </c>
      <c r="N89" s="159">
        <v>43053</v>
      </c>
      <c r="O89" s="163" t="s">
        <v>1206</v>
      </c>
      <c r="P89" s="163"/>
      <c r="Q89" s="61"/>
      <c r="R89" s="17"/>
      <c r="S89" s="310"/>
      <c r="T89" s="309"/>
    </row>
    <row r="90" spans="1:20" ht="20.100000000000001" customHeight="1">
      <c r="A90" s="1128" t="s">
        <v>1038</v>
      </c>
      <c r="B90" s="1128" t="s">
        <v>348</v>
      </c>
      <c r="C90" s="1128" t="s">
        <v>695</v>
      </c>
      <c r="D90" s="774">
        <v>3505</v>
      </c>
      <c r="E90" s="774">
        <v>4215</v>
      </c>
      <c r="F90" s="774">
        <v>4215</v>
      </c>
      <c r="G90" s="351" t="s">
        <v>51</v>
      </c>
      <c r="H90" s="56" t="s">
        <v>651</v>
      </c>
      <c r="I90" s="16" t="s">
        <v>262</v>
      </c>
      <c r="J90" s="16"/>
      <c r="K90" s="16"/>
      <c r="L90" s="5" t="s">
        <v>637</v>
      </c>
      <c r="M90" s="159">
        <v>43042</v>
      </c>
      <c r="N90" s="159">
        <v>43053</v>
      </c>
      <c r="O90" s="163" t="s">
        <v>1206</v>
      </c>
      <c r="P90" s="163"/>
      <c r="Q90" s="61"/>
      <c r="R90" s="17"/>
      <c r="S90" s="310"/>
      <c r="T90" s="309"/>
    </row>
    <row r="91" spans="1:20" ht="20.100000000000001" customHeight="1">
      <c r="A91" s="819" t="s">
        <v>1038</v>
      </c>
      <c r="B91" s="819" t="s">
        <v>348</v>
      </c>
      <c r="C91" s="819" t="s">
        <v>720</v>
      </c>
      <c r="D91" s="364"/>
      <c r="E91" s="364"/>
      <c r="F91" s="364"/>
      <c r="G91" s="351"/>
      <c r="H91" s="56"/>
      <c r="I91" s="16"/>
      <c r="J91" s="16"/>
      <c r="K91" s="16"/>
      <c r="L91" s="5"/>
      <c r="M91" s="5"/>
      <c r="N91" s="159"/>
      <c r="O91" s="163"/>
      <c r="P91" s="163"/>
      <c r="Q91" s="61"/>
      <c r="R91" s="17"/>
      <c r="S91" s="310"/>
      <c r="T91" s="309"/>
    </row>
    <row r="92" spans="1:20" ht="20.100000000000001" customHeight="1">
      <c r="A92" s="819" t="s">
        <v>1038</v>
      </c>
      <c r="B92" s="819" t="s">
        <v>348</v>
      </c>
      <c r="C92" s="819" t="s">
        <v>3074</v>
      </c>
      <c r="D92" s="773">
        <v>5385</v>
      </c>
      <c r="E92" s="773">
        <v>4665</v>
      </c>
      <c r="F92" s="773">
        <v>4665</v>
      </c>
      <c r="G92" s="353" t="s">
        <v>51</v>
      </c>
      <c r="H92" s="4" t="s">
        <v>1189</v>
      </c>
      <c r="I92" s="16" t="s">
        <v>703</v>
      </c>
      <c r="J92" s="16"/>
      <c r="K92" s="30"/>
      <c r="L92" s="5" t="s">
        <v>637</v>
      </c>
      <c r="M92" s="159">
        <v>43042</v>
      </c>
      <c r="N92" s="159">
        <v>43053</v>
      </c>
      <c r="O92" s="163" t="s">
        <v>1206</v>
      </c>
      <c r="P92" s="163"/>
      <c r="Q92" s="61"/>
      <c r="R92" s="17"/>
      <c r="S92" s="310"/>
      <c r="T92" s="309"/>
    </row>
    <row r="93" spans="1:20" ht="20.100000000000001" customHeight="1">
      <c r="A93" s="819" t="s">
        <v>1038</v>
      </c>
      <c r="B93" s="819" t="s">
        <v>348</v>
      </c>
      <c r="C93" s="819" t="s">
        <v>712</v>
      </c>
      <c r="D93" s="773">
        <v>3185</v>
      </c>
      <c r="E93" s="773">
        <v>3715</v>
      </c>
      <c r="F93" s="773">
        <v>3715</v>
      </c>
      <c r="G93" s="353" t="s">
        <v>51</v>
      </c>
      <c r="H93" s="4" t="s">
        <v>1189</v>
      </c>
      <c r="I93" s="16" t="s">
        <v>703</v>
      </c>
      <c r="J93" s="16"/>
      <c r="K93" s="30"/>
      <c r="L93" s="5" t="s">
        <v>637</v>
      </c>
      <c r="M93" s="159">
        <v>43042</v>
      </c>
      <c r="N93" s="159">
        <v>43053</v>
      </c>
      <c r="O93" s="163" t="s">
        <v>1206</v>
      </c>
      <c r="P93" s="163"/>
      <c r="Q93" s="61"/>
      <c r="R93" s="17"/>
      <c r="S93" s="310"/>
      <c r="T93" s="309"/>
    </row>
    <row r="94" spans="1:20" ht="20.100000000000001" customHeight="1">
      <c r="A94" s="819" t="s">
        <v>1038</v>
      </c>
      <c r="B94" s="819" t="s">
        <v>348</v>
      </c>
      <c r="C94" s="819" t="s">
        <v>713</v>
      </c>
      <c r="D94" s="773">
        <v>3935</v>
      </c>
      <c r="E94" s="773">
        <v>4315</v>
      </c>
      <c r="F94" s="773">
        <v>4315</v>
      </c>
      <c r="G94" s="353" t="s">
        <v>51</v>
      </c>
      <c r="H94" s="4" t="s">
        <v>1189</v>
      </c>
      <c r="I94" s="16" t="s">
        <v>703</v>
      </c>
      <c r="J94" s="16"/>
      <c r="K94" s="30"/>
      <c r="L94" s="5" t="s">
        <v>637</v>
      </c>
      <c r="M94" s="159">
        <v>43042</v>
      </c>
      <c r="N94" s="159">
        <v>43053</v>
      </c>
      <c r="O94" s="163" t="s">
        <v>1206</v>
      </c>
      <c r="P94" s="163"/>
      <c r="Q94" s="61"/>
      <c r="R94" s="17"/>
      <c r="S94" s="310"/>
      <c r="T94" s="309"/>
    </row>
    <row r="95" spans="1:20" ht="20.100000000000001" customHeight="1">
      <c r="A95" s="1128" t="s">
        <v>1038</v>
      </c>
      <c r="B95" s="1128" t="s">
        <v>348</v>
      </c>
      <c r="C95" s="1128" t="s">
        <v>696</v>
      </c>
      <c r="D95" s="773">
        <v>3885</v>
      </c>
      <c r="E95" s="773">
        <v>4465</v>
      </c>
      <c r="F95" s="773">
        <v>4465</v>
      </c>
      <c r="G95" s="353" t="s">
        <v>51</v>
      </c>
      <c r="H95" s="4" t="s">
        <v>1189</v>
      </c>
      <c r="I95" s="16" t="s">
        <v>703</v>
      </c>
      <c r="J95" s="16"/>
      <c r="K95" s="30"/>
      <c r="L95" s="5" t="s">
        <v>637</v>
      </c>
      <c r="M95" s="159">
        <v>43042</v>
      </c>
      <c r="N95" s="159">
        <v>43053</v>
      </c>
      <c r="O95" s="163" t="s">
        <v>1206</v>
      </c>
      <c r="P95" s="163"/>
      <c r="Q95" s="61"/>
      <c r="R95" s="17"/>
      <c r="S95" s="310"/>
      <c r="T95" s="309"/>
    </row>
    <row r="96" spans="1:20" ht="20.100000000000001" customHeight="1">
      <c r="A96" s="1128" t="s">
        <v>1038</v>
      </c>
      <c r="B96" s="1128" t="s">
        <v>348</v>
      </c>
      <c r="C96" s="1128" t="s">
        <v>696</v>
      </c>
      <c r="D96" s="773">
        <v>4005</v>
      </c>
      <c r="E96" s="773">
        <v>4665</v>
      </c>
      <c r="F96" s="773">
        <v>4665</v>
      </c>
      <c r="G96" s="351" t="s">
        <v>51</v>
      </c>
      <c r="H96" s="56" t="s">
        <v>886</v>
      </c>
      <c r="I96" s="16" t="s">
        <v>1020</v>
      </c>
      <c r="J96" s="16"/>
      <c r="K96" s="16"/>
      <c r="L96" s="5" t="s">
        <v>643</v>
      </c>
      <c r="M96" s="159">
        <v>43042</v>
      </c>
      <c r="N96" s="159">
        <v>43053</v>
      </c>
      <c r="O96" s="163" t="s">
        <v>1206</v>
      </c>
      <c r="P96" s="163"/>
      <c r="Q96" s="61"/>
      <c r="R96" s="17"/>
      <c r="S96" s="310"/>
      <c r="T96" s="309"/>
    </row>
    <row r="97" spans="1:20" ht="20.100000000000001" customHeight="1">
      <c r="A97" s="1128" t="s">
        <v>1038</v>
      </c>
      <c r="B97" s="1128" t="s">
        <v>348</v>
      </c>
      <c r="C97" s="1128" t="s">
        <v>696</v>
      </c>
      <c r="D97" s="772">
        <v>2545</v>
      </c>
      <c r="E97" s="773">
        <v>2965</v>
      </c>
      <c r="F97" s="773">
        <v>2965</v>
      </c>
      <c r="G97" s="352" t="s">
        <v>51</v>
      </c>
      <c r="H97" s="4" t="s">
        <v>651</v>
      </c>
      <c r="I97" s="16" t="s">
        <v>705</v>
      </c>
      <c r="J97" s="16"/>
      <c r="K97" s="30"/>
      <c r="L97" s="34" t="s">
        <v>643</v>
      </c>
      <c r="M97" s="159">
        <v>43042</v>
      </c>
      <c r="N97" s="159">
        <v>43053</v>
      </c>
      <c r="O97" s="163" t="s">
        <v>1206</v>
      </c>
      <c r="P97" s="163"/>
      <c r="Q97" s="61"/>
      <c r="R97" s="17"/>
      <c r="S97" s="310"/>
      <c r="T97" s="309"/>
    </row>
    <row r="98" spans="1:20" ht="20.100000000000001" customHeight="1">
      <c r="A98" s="1128" t="s">
        <v>1038</v>
      </c>
      <c r="B98" s="1128" t="s">
        <v>348</v>
      </c>
      <c r="C98" s="1128" t="s">
        <v>697</v>
      </c>
      <c r="D98" s="773">
        <v>3125</v>
      </c>
      <c r="E98" s="773">
        <v>3865</v>
      </c>
      <c r="F98" s="773">
        <v>3865</v>
      </c>
      <c r="G98" s="353" t="s">
        <v>51</v>
      </c>
      <c r="H98" s="4" t="s">
        <v>1189</v>
      </c>
      <c r="I98" s="16" t="s">
        <v>703</v>
      </c>
      <c r="J98" s="16"/>
      <c r="K98" s="30"/>
      <c r="L98" s="5" t="s">
        <v>637</v>
      </c>
      <c r="M98" s="159">
        <v>43042</v>
      </c>
      <c r="N98" s="159">
        <v>43053</v>
      </c>
      <c r="O98" s="163" t="s">
        <v>1206</v>
      </c>
      <c r="P98" s="163"/>
      <c r="Q98" s="61"/>
      <c r="R98" s="17"/>
      <c r="S98" s="310"/>
      <c r="T98" s="309"/>
    </row>
    <row r="99" spans="1:20" ht="20.100000000000001" customHeight="1">
      <c r="A99" s="1128" t="s">
        <v>1038</v>
      </c>
      <c r="B99" s="1128" t="s">
        <v>348</v>
      </c>
      <c r="C99" s="1128" t="s">
        <v>697</v>
      </c>
      <c r="D99" s="773">
        <v>2945</v>
      </c>
      <c r="E99" s="773">
        <v>3665</v>
      </c>
      <c r="F99" s="773">
        <v>3665</v>
      </c>
      <c r="G99" s="351" t="s">
        <v>51</v>
      </c>
      <c r="H99" s="56" t="s">
        <v>886</v>
      </c>
      <c r="I99" s="16" t="s">
        <v>1020</v>
      </c>
      <c r="J99" s="16"/>
      <c r="K99" s="16"/>
      <c r="L99" s="5" t="s">
        <v>643</v>
      </c>
      <c r="M99" s="159">
        <v>43042</v>
      </c>
      <c r="N99" s="159">
        <v>43053</v>
      </c>
      <c r="O99" s="163" t="s">
        <v>1206</v>
      </c>
      <c r="P99" s="163"/>
      <c r="Q99" s="61"/>
      <c r="R99" s="17"/>
      <c r="S99" s="310"/>
      <c r="T99" s="309"/>
    </row>
    <row r="100" spans="1:20" ht="20.100000000000001" customHeight="1">
      <c r="A100" s="1128" t="s">
        <v>1038</v>
      </c>
      <c r="B100" s="1128" t="s">
        <v>348</v>
      </c>
      <c r="C100" s="1128" t="s">
        <v>697</v>
      </c>
      <c r="D100" s="774">
        <v>2985</v>
      </c>
      <c r="E100" s="774">
        <v>3715</v>
      </c>
      <c r="F100" s="774">
        <v>3715</v>
      </c>
      <c r="G100" s="351" t="s">
        <v>51</v>
      </c>
      <c r="H100" s="56" t="s">
        <v>651</v>
      </c>
      <c r="I100" s="16" t="s">
        <v>262</v>
      </c>
      <c r="J100" s="16"/>
      <c r="K100" s="16"/>
      <c r="L100" s="5" t="s">
        <v>637</v>
      </c>
      <c r="M100" s="159">
        <v>43042</v>
      </c>
      <c r="N100" s="159">
        <v>43053</v>
      </c>
      <c r="O100" s="163" t="s">
        <v>1206</v>
      </c>
      <c r="P100" s="163"/>
      <c r="Q100" s="61"/>
      <c r="R100" s="17"/>
      <c r="S100" s="310"/>
      <c r="T100" s="309"/>
    </row>
    <row r="101" spans="1:20" ht="20.100000000000001" customHeight="1">
      <c r="A101" s="1128" t="s">
        <v>1038</v>
      </c>
      <c r="B101" s="1128" t="s">
        <v>348</v>
      </c>
      <c r="C101" s="1128" t="s">
        <v>697</v>
      </c>
      <c r="D101" s="772">
        <v>3097</v>
      </c>
      <c r="E101" s="773">
        <v>3539</v>
      </c>
      <c r="F101" s="773">
        <v>3539</v>
      </c>
      <c r="G101" s="351" t="s">
        <v>51</v>
      </c>
      <c r="H101" s="56" t="s">
        <v>651</v>
      </c>
      <c r="I101" s="16" t="s">
        <v>3080</v>
      </c>
      <c r="J101" s="16"/>
      <c r="K101" s="16"/>
      <c r="L101" s="5" t="s">
        <v>640</v>
      </c>
      <c r="M101" s="159">
        <v>43042</v>
      </c>
      <c r="N101" s="159">
        <v>43053</v>
      </c>
      <c r="O101" s="163" t="s">
        <v>1206</v>
      </c>
      <c r="P101" s="163"/>
      <c r="Q101" s="61"/>
      <c r="R101" s="17"/>
      <c r="S101" s="310"/>
      <c r="T101" s="309"/>
    </row>
    <row r="102" spans="1:20" ht="20.100000000000001" customHeight="1">
      <c r="A102" s="819" t="s">
        <v>1038</v>
      </c>
      <c r="B102" s="819" t="s">
        <v>348</v>
      </c>
      <c r="C102" s="819" t="s">
        <v>421</v>
      </c>
      <c r="D102" s="772">
        <v>5385</v>
      </c>
      <c r="E102" s="773">
        <v>4915</v>
      </c>
      <c r="F102" s="773">
        <v>4915</v>
      </c>
      <c r="G102" s="353" t="s">
        <v>51</v>
      </c>
      <c r="H102" s="4" t="s">
        <v>1189</v>
      </c>
      <c r="I102" s="16" t="s">
        <v>703</v>
      </c>
      <c r="J102" s="16"/>
      <c r="K102" s="30"/>
      <c r="L102" s="5" t="s">
        <v>637</v>
      </c>
      <c r="M102" s="159">
        <v>43042</v>
      </c>
      <c r="N102" s="159">
        <v>43053</v>
      </c>
      <c r="O102" s="163" t="s">
        <v>1206</v>
      </c>
      <c r="P102" s="163"/>
      <c r="Q102" s="61"/>
      <c r="R102" s="17"/>
      <c r="S102" s="310"/>
      <c r="T102" s="309"/>
    </row>
    <row r="103" spans="1:20" ht="20.100000000000001" customHeight="1">
      <c r="A103" s="1128" t="s">
        <v>1038</v>
      </c>
      <c r="B103" s="1128" t="s">
        <v>348</v>
      </c>
      <c r="C103" s="1128" t="s">
        <v>1403</v>
      </c>
      <c r="D103" s="773">
        <v>2765</v>
      </c>
      <c r="E103" s="773">
        <v>3315</v>
      </c>
      <c r="F103" s="773">
        <v>3315</v>
      </c>
      <c r="G103" s="351" t="s">
        <v>51</v>
      </c>
      <c r="H103" s="56" t="s">
        <v>651</v>
      </c>
      <c r="I103" s="16" t="s">
        <v>262</v>
      </c>
      <c r="J103" s="16"/>
      <c r="K103" s="16"/>
      <c r="L103" s="5" t="s">
        <v>637</v>
      </c>
      <c r="M103" s="159">
        <v>43042</v>
      </c>
      <c r="N103" s="159">
        <v>43053</v>
      </c>
      <c r="O103" s="163" t="s">
        <v>1206</v>
      </c>
      <c r="P103" s="163"/>
      <c r="Q103" s="61"/>
      <c r="R103" s="17"/>
      <c r="S103" s="310"/>
      <c r="T103" s="309"/>
    </row>
    <row r="104" spans="1:20" ht="20.100000000000001" customHeight="1">
      <c r="A104" s="1128" t="s">
        <v>1038</v>
      </c>
      <c r="B104" s="1128" t="s">
        <v>348</v>
      </c>
      <c r="C104" s="1128" t="s">
        <v>714</v>
      </c>
      <c r="D104" s="772">
        <v>3185</v>
      </c>
      <c r="E104" s="773">
        <v>3915</v>
      </c>
      <c r="F104" s="773">
        <v>3915</v>
      </c>
      <c r="G104" s="351" t="s">
        <v>51</v>
      </c>
      <c r="H104" s="56" t="s">
        <v>1840</v>
      </c>
      <c r="I104" s="16" t="s">
        <v>704</v>
      </c>
      <c r="J104" s="16"/>
      <c r="K104" s="16"/>
      <c r="L104" s="5" t="s">
        <v>636</v>
      </c>
      <c r="M104" s="159">
        <v>43042</v>
      </c>
      <c r="N104" s="159">
        <v>43053</v>
      </c>
      <c r="O104" s="163" t="s">
        <v>1206</v>
      </c>
      <c r="P104" s="163"/>
      <c r="Q104" s="61"/>
      <c r="R104" s="17"/>
      <c r="S104" s="310"/>
      <c r="T104" s="309"/>
    </row>
    <row r="105" spans="1:20" ht="20.100000000000001" customHeight="1">
      <c r="A105" s="1128" t="s">
        <v>1038</v>
      </c>
      <c r="B105" s="1128" t="s">
        <v>1405</v>
      </c>
      <c r="C105" s="1128" t="s">
        <v>1404</v>
      </c>
      <c r="D105" s="772">
        <v>3985</v>
      </c>
      <c r="E105" s="773">
        <v>4715</v>
      </c>
      <c r="F105" s="773">
        <v>4715</v>
      </c>
      <c r="G105" s="353" t="s">
        <v>51</v>
      </c>
      <c r="H105" s="4" t="s">
        <v>1189</v>
      </c>
      <c r="I105" s="16" t="s">
        <v>703</v>
      </c>
      <c r="J105" s="16"/>
      <c r="K105" s="30"/>
      <c r="L105" s="5" t="s">
        <v>637</v>
      </c>
      <c r="M105" s="159">
        <v>43042</v>
      </c>
      <c r="N105" s="159">
        <v>43053</v>
      </c>
      <c r="O105" s="163" t="s">
        <v>1206</v>
      </c>
      <c r="P105" s="163"/>
      <c r="Q105" s="61"/>
      <c r="R105" s="17"/>
      <c r="S105" s="310"/>
      <c r="T105" s="309"/>
    </row>
    <row r="106" spans="1:20" ht="20.100000000000001" customHeight="1">
      <c r="A106" s="1128" t="s">
        <v>1038</v>
      </c>
      <c r="B106" s="1128" t="s">
        <v>348</v>
      </c>
      <c r="C106" s="1128" t="s">
        <v>699</v>
      </c>
      <c r="D106" s="772">
        <v>2745</v>
      </c>
      <c r="E106" s="773">
        <v>3265</v>
      </c>
      <c r="F106" s="773">
        <v>3265</v>
      </c>
      <c r="G106" s="353" t="s">
        <v>51</v>
      </c>
      <c r="H106" s="4" t="s">
        <v>651</v>
      </c>
      <c r="I106" s="16" t="s">
        <v>705</v>
      </c>
      <c r="J106" s="16"/>
      <c r="K106" s="30"/>
      <c r="L106" s="34" t="s">
        <v>643</v>
      </c>
      <c r="M106" s="159">
        <v>43042</v>
      </c>
      <c r="N106" s="159">
        <v>43053</v>
      </c>
      <c r="O106" s="163" t="s">
        <v>1206</v>
      </c>
      <c r="P106" s="163"/>
      <c r="Q106" s="61"/>
      <c r="R106" s="17"/>
      <c r="S106" s="310"/>
      <c r="T106" s="309"/>
    </row>
    <row r="107" spans="1:20" ht="20.100000000000001" customHeight="1">
      <c r="A107" s="1128" t="s">
        <v>1038</v>
      </c>
      <c r="B107" s="1128" t="s">
        <v>348</v>
      </c>
      <c r="C107" s="1128" t="s">
        <v>699</v>
      </c>
      <c r="D107" s="772">
        <v>3865</v>
      </c>
      <c r="E107" s="773">
        <v>4515</v>
      </c>
      <c r="F107" s="773">
        <v>4515</v>
      </c>
      <c r="G107" s="351" t="s">
        <v>51</v>
      </c>
      <c r="H107" s="56" t="s">
        <v>886</v>
      </c>
      <c r="I107" s="16" t="s">
        <v>1020</v>
      </c>
      <c r="J107" s="16"/>
      <c r="K107" s="16"/>
      <c r="L107" s="5" t="s">
        <v>643</v>
      </c>
      <c r="M107" s="159">
        <v>43042</v>
      </c>
      <c r="N107" s="159">
        <v>43053</v>
      </c>
      <c r="O107" s="163" t="s">
        <v>1206</v>
      </c>
      <c r="P107" s="163"/>
      <c r="Q107" s="61"/>
      <c r="R107" s="17"/>
      <c r="S107" s="310"/>
      <c r="T107" s="309"/>
    </row>
    <row r="108" spans="1:20" ht="20.100000000000001" customHeight="1">
      <c r="A108" s="819" t="s">
        <v>1038</v>
      </c>
      <c r="B108" s="819" t="s">
        <v>348</v>
      </c>
      <c r="C108" s="819" t="s">
        <v>1836</v>
      </c>
      <c r="D108" s="773">
        <v>3145</v>
      </c>
      <c r="E108" s="773">
        <v>4065</v>
      </c>
      <c r="F108" s="773">
        <v>4065</v>
      </c>
      <c r="G108" s="353" t="s">
        <v>51</v>
      </c>
      <c r="H108" s="4" t="s">
        <v>1189</v>
      </c>
      <c r="I108" s="16" t="s">
        <v>703</v>
      </c>
      <c r="J108" s="16"/>
      <c r="K108" s="30"/>
      <c r="L108" s="5" t="s">
        <v>637</v>
      </c>
      <c r="M108" s="159">
        <v>43042</v>
      </c>
      <c r="N108" s="159">
        <v>43053</v>
      </c>
      <c r="O108" s="163" t="s">
        <v>1206</v>
      </c>
      <c r="P108" s="163"/>
      <c r="Q108" s="61"/>
      <c r="R108" s="17"/>
      <c r="S108" s="310"/>
      <c r="T108" s="309"/>
    </row>
    <row r="109" spans="1:20" ht="20.100000000000001" customHeight="1">
      <c r="A109" s="1128" t="s">
        <v>1038</v>
      </c>
      <c r="B109" s="1128" t="s">
        <v>348</v>
      </c>
      <c r="C109" s="1128" t="s">
        <v>419</v>
      </c>
      <c r="D109" s="772">
        <v>3385</v>
      </c>
      <c r="E109" s="773">
        <v>4215</v>
      </c>
      <c r="F109" s="773">
        <v>4215</v>
      </c>
      <c r="G109" s="353" t="s">
        <v>51</v>
      </c>
      <c r="H109" s="4" t="s">
        <v>1189</v>
      </c>
      <c r="I109" s="16" t="s">
        <v>703</v>
      </c>
      <c r="J109" s="16"/>
      <c r="K109" s="30"/>
      <c r="L109" s="5" t="s">
        <v>637</v>
      </c>
      <c r="M109" s="159">
        <v>43042</v>
      </c>
      <c r="N109" s="159">
        <v>43053</v>
      </c>
      <c r="O109" s="163" t="s">
        <v>1206</v>
      </c>
      <c r="P109" s="163"/>
      <c r="Q109" s="61"/>
      <c r="R109" s="17"/>
      <c r="S109" s="310"/>
      <c r="T109" s="309"/>
    </row>
    <row r="110" spans="1:20" ht="20.100000000000001" customHeight="1">
      <c r="A110" s="1128" t="s">
        <v>1038</v>
      </c>
      <c r="B110" s="1128" t="s">
        <v>348</v>
      </c>
      <c r="C110" s="1128" t="s">
        <v>419</v>
      </c>
      <c r="D110" s="772">
        <v>3225</v>
      </c>
      <c r="E110" s="773">
        <v>4215</v>
      </c>
      <c r="F110" s="773">
        <v>4215</v>
      </c>
      <c r="G110" s="351" t="s">
        <v>51</v>
      </c>
      <c r="H110" s="56" t="s">
        <v>886</v>
      </c>
      <c r="I110" s="16" t="s">
        <v>1020</v>
      </c>
      <c r="J110" s="16"/>
      <c r="K110" s="16"/>
      <c r="L110" s="5" t="s">
        <v>643</v>
      </c>
      <c r="M110" s="159">
        <v>43042</v>
      </c>
      <c r="N110" s="159">
        <v>43053</v>
      </c>
      <c r="O110" s="163" t="s">
        <v>1206</v>
      </c>
      <c r="P110" s="163"/>
      <c r="Q110" s="61"/>
      <c r="R110" s="17"/>
      <c r="S110" s="310"/>
      <c r="T110" s="309"/>
    </row>
    <row r="111" spans="1:20" ht="20.100000000000001" customHeight="1">
      <c r="A111" s="819" t="s">
        <v>1038</v>
      </c>
      <c r="B111" s="819" t="s">
        <v>348</v>
      </c>
      <c r="C111" s="819" t="s">
        <v>3076</v>
      </c>
      <c r="D111" s="773">
        <v>3585</v>
      </c>
      <c r="E111" s="773">
        <v>4415</v>
      </c>
      <c r="F111" s="773">
        <v>4415</v>
      </c>
      <c r="G111" s="353" t="s">
        <v>51</v>
      </c>
      <c r="H111" s="4" t="s">
        <v>1189</v>
      </c>
      <c r="I111" s="16" t="s">
        <v>703</v>
      </c>
      <c r="J111" s="16"/>
      <c r="K111" s="30"/>
      <c r="L111" s="5" t="s">
        <v>637</v>
      </c>
      <c r="M111" s="159">
        <v>43042</v>
      </c>
      <c r="N111" s="159">
        <v>43053</v>
      </c>
      <c r="O111" s="163" t="s">
        <v>1206</v>
      </c>
      <c r="P111" s="163"/>
      <c r="Q111" s="61"/>
      <c r="R111" s="17"/>
      <c r="S111" s="310"/>
      <c r="T111" s="309"/>
    </row>
    <row r="112" spans="1:20" ht="20.100000000000001" customHeight="1">
      <c r="A112" s="819" t="s">
        <v>1038</v>
      </c>
      <c r="B112" s="819" t="s">
        <v>348</v>
      </c>
      <c r="C112" s="819" t="s">
        <v>700</v>
      </c>
      <c r="D112" s="772">
        <v>3345</v>
      </c>
      <c r="E112" s="773">
        <v>3915</v>
      </c>
      <c r="F112" s="773">
        <v>3915</v>
      </c>
      <c r="G112" s="351" t="s">
        <v>51</v>
      </c>
      <c r="H112" s="56" t="s">
        <v>1840</v>
      </c>
      <c r="I112" s="16" t="s">
        <v>704</v>
      </c>
      <c r="J112" s="16"/>
      <c r="K112" s="16"/>
      <c r="L112" s="5" t="s">
        <v>636</v>
      </c>
      <c r="M112" s="159">
        <v>43042</v>
      </c>
      <c r="N112" s="159">
        <v>43053</v>
      </c>
      <c r="O112" s="163" t="s">
        <v>1206</v>
      </c>
      <c r="P112" s="163"/>
      <c r="Q112" s="61"/>
      <c r="R112" s="17"/>
      <c r="S112" s="310"/>
      <c r="T112" s="309"/>
    </row>
    <row r="113" spans="1:20" ht="20.100000000000001" customHeight="1">
      <c r="A113" s="819" t="s">
        <v>1038</v>
      </c>
      <c r="B113" s="819" t="s">
        <v>348</v>
      </c>
      <c r="C113" s="819" t="s">
        <v>715</v>
      </c>
      <c r="D113" s="364"/>
      <c r="E113" s="364"/>
      <c r="F113" s="364"/>
      <c r="G113" s="353"/>
      <c r="H113" s="4"/>
      <c r="I113" s="16"/>
      <c r="J113" s="16"/>
      <c r="K113" s="30"/>
      <c r="L113" s="5"/>
      <c r="M113" s="5"/>
      <c r="N113" s="159"/>
      <c r="O113" s="163"/>
      <c r="P113" s="163"/>
      <c r="Q113" s="61"/>
      <c r="R113" s="17"/>
      <c r="S113" s="310"/>
      <c r="T113" s="309"/>
    </row>
    <row r="114" spans="1:20" ht="20.100000000000001" customHeight="1">
      <c r="A114" s="1128" t="s">
        <v>1038</v>
      </c>
      <c r="B114" s="1128" t="s">
        <v>348</v>
      </c>
      <c r="C114" s="1128" t="s">
        <v>701</v>
      </c>
      <c r="D114" s="773">
        <v>3635</v>
      </c>
      <c r="E114" s="773">
        <v>4415</v>
      </c>
      <c r="F114" s="773">
        <v>4415</v>
      </c>
      <c r="G114" s="353" t="s">
        <v>51</v>
      </c>
      <c r="H114" s="4" t="s">
        <v>1189</v>
      </c>
      <c r="I114" s="16" t="s">
        <v>703</v>
      </c>
      <c r="J114" s="16"/>
      <c r="K114" s="30"/>
      <c r="L114" s="5" t="s">
        <v>637</v>
      </c>
      <c r="M114" s="159">
        <v>43042</v>
      </c>
      <c r="N114" s="159">
        <v>43053</v>
      </c>
      <c r="O114" s="163" t="s">
        <v>1206</v>
      </c>
      <c r="P114" s="163"/>
      <c r="Q114" s="61"/>
      <c r="R114" s="17"/>
      <c r="S114" s="310"/>
      <c r="T114" s="309"/>
    </row>
    <row r="115" spans="1:20" ht="20.100000000000001" customHeight="1">
      <c r="A115" s="1128" t="s">
        <v>1038</v>
      </c>
      <c r="B115" s="1128" t="s">
        <v>348</v>
      </c>
      <c r="C115" s="1128" t="s">
        <v>701</v>
      </c>
      <c r="D115" s="772">
        <v>3635</v>
      </c>
      <c r="E115" s="773">
        <v>4415</v>
      </c>
      <c r="F115" s="773">
        <v>4415</v>
      </c>
      <c r="G115" s="351" t="s">
        <v>51</v>
      </c>
      <c r="H115" s="56" t="s">
        <v>886</v>
      </c>
      <c r="I115" s="16" t="s">
        <v>1020</v>
      </c>
      <c r="J115" s="16"/>
      <c r="K115" s="16"/>
      <c r="L115" s="5" t="s">
        <v>643</v>
      </c>
      <c r="M115" s="159">
        <v>43042</v>
      </c>
      <c r="N115" s="159">
        <v>43053</v>
      </c>
      <c r="O115" s="163" t="s">
        <v>1206</v>
      </c>
      <c r="P115" s="163"/>
      <c r="Q115" s="61"/>
      <c r="R115" s="17"/>
      <c r="S115" s="310"/>
      <c r="T115" s="309"/>
    </row>
    <row r="116" spans="1:20" ht="20.100000000000001" customHeight="1">
      <c r="A116" s="1128" t="s">
        <v>1038</v>
      </c>
      <c r="B116" s="1128" t="s">
        <v>348</v>
      </c>
      <c r="C116" s="1128" t="s">
        <v>701</v>
      </c>
      <c r="D116" s="772">
        <v>2145</v>
      </c>
      <c r="E116" s="773">
        <v>2565</v>
      </c>
      <c r="F116" s="773">
        <v>2565</v>
      </c>
      <c r="G116" s="352" t="s">
        <v>51</v>
      </c>
      <c r="H116" s="4" t="s">
        <v>651</v>
      </c>
      <c r="I116" s="16" t="s">
        <v>705</v>
      </c>
      <c r="J116" s="16"/>
      <c r="K116" s="30"/>
      <c r="L116" s="34" t="s">
        <v>643</v>
      </c>
      <c r="M116" s="159">
        <v>43042</v>
      </c>
      <c r="N116" s="159">
        <v>43053</v>
      </c>
      <c r="O116" s="163" t="s">
        <v>1206</v>
      </c>
      <c r="P116" s="163"/>
      <c r="Q116" s="61"/>
      <c r="R116" s="17"/>
      <c r="S116" s="310"/>
      <c r="T116" s="309"/>
    </row>
    <row r="117" spans="1:20" ht="20.100000000000001" customHeight="1">
      <c r="A117" s="819" t="s">
        <v>1038</v>
      </c>
      <c r="B117" s="819" t="s">
        <v>348</v>
      </c>
      <c r="C117" s="819" t="s">
        <v>1327</v>
      </c>
      <c r="D117" s="772">
        <v>1855</v>
      </c>
      <c r="E117" s="773">
        <v>2165</v>
      </c>
      <c r="F117" s="773">
        <v>2165</v>
      </c>
      <c r="G117" s="353" t="s">
        <v>51</v>
      </c>
      <c r="H117" s="56" t="s">
        <v>1840</v>
      </c>
      <c r="I117" s="16" t="s">
        <v>704</v>
      </c>
      <c r="J117" s="16"/>
      <c r="K117" s="30"/>
      <c r="L117" s="34" t="s">
        <v>636</v>
      </c>
      <c r="M117" s="159">
        <v>43042</v>
      </c>
      <c r="N117" s="159">
        <v>43053</v>
      </c>
      <c r="O117" s="163" t="s">
        <v>1206</v>
      </c>
      <c r="P117" s="163"/>
      <c r="Q117" s="61"/>
      <c r="R117" s="17"/>
      <c r="S117" s="310"/>
      <c r="T117" s="309"/>
    </row>
    <row r="118" spans="1:20" ht="20.100000000000001" customHeight="1">
      <c r="A118" s="819" t="s">
        <v>1038</v>
      </c>
      <c r="B118" s="819" t="s">
        <v>348</v>
      </c>
      <c r="C118" s="819" t="s">
        <v>711</v>
      </c>
      <c r="D118" s="772">
        <v>3285</v>
      </c>
      <c r="E118" s="773">
        <v>4065</v>
      </c>
      <c r="F118" s="773">
        <v>4065</v>
      </c>
      <c r="G118" s="353" t="s">
        <v>51</v>
      </c>
      <c r="H118" s="4" t="s">
        <v>1189</v>
      </c>
      <c r="I118" s="16" t="s">
        <v>703</v>
      </c>
      <c r="J118" s="16"/>
      <c r="K118" s="30"/>
      <c r="L118" s="5" t="s">
        <v>637</v>
      </c>
      <c r="M118" s="159">
        <v>43042</v>
      </c>
      <c r="N118" s="159">
        <v>43053</v>
      </c>
      <c r="O118" s="163" t="s">
        <v>1206</v>
      </c>
      <c r="P118" s="163"/>
      <c r="Q118" s="61"/>
      <c r="R118" s="17"/>
      <c r="S118" s="310"/>
      <c r="T118" s="309"/>
    </row>
    <row r="119" spans="1:20" ht="20.100000000000001" customHeight="1">
      <c r="A119" s="819" t="s">
        <v>1038</v>
      </c>
      <c r="B119" s="819" t="s">
        <v>348</v>
      </c>
      <c r="C119" s="819" t="s">
        <v>716</v>
      </c>
      <c r="D119" s="772">
        <v>3585</v>
      </c>
      <c r="E119" s="773">
        <v>4165</v>
      </c>
      <c r="F119" s="773">
        <v>4165</v>
      </c>
      <c r="G119" s="353" t="s">
        <v>51</v>
      </c>
      <c r="H119" s="4" t="s">
        <v>1189</v>
      </c>
      <c r="I119" s="16" t="s">
        <v>703</v>
      </c>
      <c r="J119" s="16"/>
      <c r="K119" s="30"/>
      <c r="L119" s="5" t="s">
        <v>637</v>
      </c>
      <c r="M119" s="159">
        <v>43042</v>
      </c>
      <c r="N119" s="159">
        <v>43053</v>
      </c>
      <c r="O119" s="163" t="s">
        <v>1206</v>
      </c>
      <c r="P119" s="163"/>
      <c r="Q119" s="61"/>
      <c r="R119" s="17"/>
      <c r="S119" s="310"/>
      <c r="T119" s="309"/>
    </row>
    <row r="120" spans="1:20" ht="20.100000000000001" customHeight="1">
      <c r="A120" s="819" t="s">
        <v>1038</v>
      </c>
      <c r="B120" s="819" t="s">
        <v>348</v>
      </c>
      <c r="C120" s="819" t="s">
        <v>717</v>
      </c>
      <c r="D120" s="772">
        <v>3225</v>
      </c>
      <c r="E120" s="773">
        <v>3765</v>
      </c>
      <c r="F120" s="773">
        <v>3765</v>
      </c>
      <c r="G120" s="353" t="s">
        <v>51</v>
      </c>
      <c r="H120" s="4" t="s">
        <v>1189</v>
      </c>
      <c r="I120" s="16" t="s">
        <v>703</v>
      </c>
      <c r="J120" s="16"/>
      <c r="K120" s="30"/>
      <c r="L120" s="5" t="s">
        <v>637</v>
      </c>
      <c r="M120" s="159">
        <v>43042</v>
      </c>
      <c r="N120" s="159">
        <v>43053</v>
      </c>
      <c r="O120" s="163" t="s">
        <v>1206</v>
      </c>
      <c r="P120" s="163"/>
      <c r="Q120" s="61"/>
      <c r="R120" s="17"/>
      <c r="S120" s="310"/>
      <c r="T120" s="309"/>
    </row>
    <row r="121" spans="1:20" ht="20.100000000000001" customHeight="1">
      <c r="A121" s="819" t="s">
        <v>1038</v>
      </c>
      <c r="B121" s="819" t="s">
        <v>348</v>
      </c>
      <c r="C121" s="819" t="s">
        <v>3078</v>
      </c>
      <c r="D121" s="773">
        <v>3385</v>
      </c>
      <c r="E121" s="773">
        <v>4315</v>
      </c>
      <c r="F121" s="773">
        <v>4315</v>
      </c>
      <c r="G121" s="353" t="s">
        <v>51</v>
      </c>
      <c r="H121" s="4" t="s">
        <v>1189</v>
      </c>
      <c r="I121" s="16" t="s">
        <v>703</v>
      </c>
      <c r="J121" s="16"/>
      <c r="K121" s="30"/>
      <c r="L121" s="5" t="s">
        <v>637</v>
      </c>
      <c r="M121" s="159">
        <v>43042</v>
      </c>
      <c r="N121" s="159">
        <v>43053</v>
      </c>
      <c r="O121" s="163" t="s">
        <v>1206</v>
      </c>
      <c r="P121" s="163"/>
      <c r="Q121" s="61"/>
      <c r="R121" s="17"/>
      <c r="S121" s="310"/>
      <c r="T121" s="309"/>
    </row>
    <row r="122" spans="1:20" ht="20.100000000000001" customHeight="1">
      <c r="A122" s="819" t="s">
        <v>1038</v>
      </c>
      <c r="B122" s="819" t="s">
        <v>348</v>
      </c>
      <c r="C122" s="819" t="s">
        <v>718</v>
      </c>
      <c r="D122" s="772">
        <v>3185</v>
      </c>
      <c r="E122" s="773">
        <v>3965</v>
      </c>
      <c r="F122" s="773">
        <v>3965</v>
      </c>
      <c r="G122" s="353" t="s">
        <v>51</v>
      </c>
      <c r="H122" s="4" t="s">
        <v>1189</v>
      </c>
      <c r="I122" s="16" t="s">
        <v>703</v>
      </c>
      <c r="J122" s="16"/>
      <c r="K122" s="30"/>
      <c r="L122" s="5" t="s">
        <v>637</v>
      </c>
      <c r="M122" s="159">
        <v>43042</v>
      </c>
      <c r="N122" s="159">
        <v>43053</v>
      </c>
      <c r="O122" s="163" t="s">
        <v>1206</v>
      </c>
      <c r="P122" s="163"/>
      <c r="Q122" s="61"/>
      <c r="R122" s="17"/>
      <c r="S122" s="310"/>
      <c r="T122" s="309"/>
    </row>
    <row r="123" spans="1:20" ht="20.100000000000001" customHeight="1">
      <c r="A123" s="819" t="s">
        <v>1038</v>
      </c>
      <c r="B123" s="819" t="s">
        <v>348</v>
      </c>
      <c r="C123" s="819" t="s">
        <v>758</v>
      </c>
      <c r="D123" s="364"/>
      <c r="E123" s="364"/>
      <c r="F123" s="364"/>
      <c r="G123" s="353"/>
      <c r="H123" s="4"/>
      <c r="I123" s="16"/>
      <c r="J123" s="16"/>
      <c r="K123" s="30"/>
      <c r="L123" s="5"/>
      <c r="M123" s="5"/>
      <c r="N123" s="159"/>
      <c r="O123" s="163"/>
      <c r="P123" s="163"/>
      <c r="Q123" s="61"/>
      <c r="R123" s="17"/>
      <c r="S123" s="310"/>
      <c r="T123" s="309"/>
    </row>
    <row r="124" spans="1:20" ht="20.100000000000001" customHeight="1">
      <c r="A124" s="819" t="s">
        <v>1038</v>
      </c>
      <c r="B124" s="819" t="s">
        <v>348</v>
      </c>
      <c r="C124" s="819" t="s">
        <v>698</v>
      </c>
      <c r="D124" s="364"/>
      <c r="E124" s="364"/>
      <c r="F124" s="364"/>
      <c r="G124" s="353"/>
      <c r="H124" s="4"/>
      <c r="I124" s="16"/>
      <c r="J124" s="16"/>
      <c r="K124" s="30"/>
      <c r="L124" s="34"/>
      <c r="M124" s="34"/>
      <c r="N124" s="159"/>
      <c r="O124" s="163"/>
      <c r="P124" s="163"/>
      <c r="Q124" s="61"/>
      <c r="R124" s="17"/>
      <c r="S124" s="310"/>
      <c r="T124" s="309"/>
    </row>
    <row r="125" spans="1:20" ht="20.100000000000001" customHeight="1">
      <c r="A125" s="819" t="s">
        <v>1038</v>
      </c>
      <c r="B125" s="819" t="s">
        <v>348</v>
      </c>
      <c r="C125" s="819" t="s">
        <v>702</v>
      </c>
      <c r="D125" s="364"/>
      <c r="E125" s="364"/>
      <c r="F125" s="364"/>
      <c r="G125" s="353"/>
      <c r="H125" s="4"/>
      <c r="I125" s="16"/>
      <c r="J125" s="16"/>
      <c r="K125" s="30"/>
      <c r="L125" s="5"/>
      <c r="M125" s="5"/>
      <c r="N125" s="159"/>
      <c r="O125" s="163"/>
      <c r="P125" s="163"/>
      <c r="Q125" s="61"/>
      <c r="R125" s="17"/>
      <c r="S125" s="310"/>
      <c r="T125" s="309"/>
    </row>
    <row r="126" spans="1:20" ht="20.100000000000001" customHeight="1">
      <c r="A126" s="162"/>
      <c r="B126" s="162"/>
      <c r="C126" s="162"/>
      <c r="I126" s="162"/>
      <c r="J126" s="162"/>
      <c r="K126" s="162"/>
      <c r="O126" s="162"/>
      <c r="P126" s="162"/>
      <c r="Q126" s="162"/>
      <c r="R126" s="162"/>
    </row>
    <row r="127" spans="1:20" ht="20.100000000000001" customHeight="1">
      <c r="A127" s="162"/>
      <c r="B127" s="162"/>
      <c r="C127" s="162"/>
      <c r="I127" s="162"/>
      <c r="J127" s="162"/>
      <c r="K127" s="162"/>
      <c r="O127" s="162"/>
      <c r="P127" s="162"/>
      <c r="Q127" s="162"/>
      <c r="R127" s="162"/>
    </row>
  </sheetData>
  <sheetProtection selectLockedCells="1" autoFilter="0" selectUnlockedCells="1"/>
  <autoFilter ref="A2:R125"/>
  <mergeCells count="112">
    <mergeCell ref="C114:C116"/>
    <mergeCell ref="C69:C71"/>
    <mergeCell ref="C95:C97"/>
    <mergeCell ref="C72:C74"/>
    <mergeCell ref="C75:C77"/>
    <mergeCell ref="C67:C68"/>
    <mergeCell ref="A88:A90"/>
    <mergeCell ref="B88:B90"/>
    <mergeCell ref="C88:C90"/>
    <mergeCell ref="A95:A97"/>
    <mergeCell ref="B95:B97"/>
    <mergeCell ref="C80:C82"/>
    <mergeCell ref="A103:A104"/>
    <mergeCell ref="B103:B104"/>
    <mergeCell ref="C103:C104"/>
    <mergeCell ref="A114:A116"/>
    <mergeCell ref="B114:B116"/>
    <mergeCell ref="A72:A74"/>
    <mergeCell ref="B72:B74"/>
    <mergeCell ref="B109:B110"/>
    <mergeCell ref="C109:C110"/>
    <mergeCell ref="A98:A101"/>
    <mergeCell ref="B98:B101"/>
    <mergeCell ref="C98:C101"/>
    <mergeCell ref="A1:T1"/>
    <mergeCell ref="S2:S3"/>
    <mergeCell ref="T2:T3"/>
    <mergeCell ref="B28:B31"/>
    <mergeCell ref="B22:B24"/>
    <mergeCell ref="A75:A77"/>
    <mergeCell ref="B75:B77"/>
    <mergeCell ref="A80:A82"/>
    <mergeCell ref="B80:B82"/>
    <mergeCell ref="A42:A43"/>
    <mergeCell ref="B42:B43"/>
    <mergeCell ref="C40:C41"/>
    <mergeCell ref="A40:A41"/>
    <mergeCell ref="B40:B41"/>
    <mergeCell ref="R2:R3"/>
    <mergeCell ref="H2:H3"/>
    <mergeCell ref="G2:G3"/>
    <mergeCell ref="O2:O3"/>
    <mergeCell ref="N2:N3"/>
    <mergeCell ref="I2:I3"/>
    <mergeCell ref="K2:K3"/>
    <mergeCell ref="L2:L3"/>
    <mergeCell ref="Q2:Q3"/>
    <mergeCell ref="J2:J3"/>
    <mergeCell ref="A109:A110"/>
    <mergeCell ref="C42:C43"/>
    <mergeCell ref="A64:A66"/>
    <mergeCell ref="B64:B66"/>
    <mergeCell ref="A69:A71"/>
    <mergeCell ref="B69:B71"/>
    <mergeCell ref="B51:B52"/>
    <mergeCell ref="C51:C52"/>
    <mergeCell ref="A46:A47"/>
    <mergeCell ref="A67:A68"/>
    <mergeCell ref="B67:B68"/>
    <mergeCell ref="A58:A59"/>
    <mergeCell ref="B58:B59"/>
    <mergeCell ref="C58:C59"/>
    <mergeCell ref="A48:A49"/>
    <mergeCell ref="B48:B49"/>
    <mergeCell ref="C48:C49"/>
    <mergeCell ref="P2:P3"/>
    <mergeCell ref="M2:M3"/>
    <mergeCell ref="B32:B34"/>
    <mergeCell ref="C32:C34"/>
    <mergeCell ref="D2:F2"/>
    <mergeCell ref="C15:C18"/>
    <mergeCell ref="C22:C24"/>
    <mergeCell ref="A28:A31"/>
    <mergeCell ref="C9:C10"/>
    <mergeCell ref="B2:B3"/>
    <mergeCell ref="A9:A10"/>
    <mergeCell ref="B9:B10"/>
    <mergeCell ref="A4:A8"/>
    <mergeCell ref="B4:B8"/>
    <mergeCell ref="C4:C8"/>
    <mergeCell ref="C2:C3"/>
    <mergeCell ref="B19:B21"/>
    <mergeCell ref="C19:C21"/>
    <mergeCell ref="A2:A3"/>
    <mergeCell ref="A15:A18"/>
    <mergeCell ref="B15:B18"/>
    <mergeCell ref="A19:A21"/>
    <mergeCell ref="A11:A14"/>
    <mergeCell ref="A35:A36"/>
    <mergeCell ref="B35:B36"/>
    <mergeCell ref="C35:C36"/>
    <mergeCell ref="B11:B14"/>
    <mergeCell ref="A105:A107"/>
    <mergeCell ref="B105:B107"/>
    <mergeCell ref="C105:C107"/>
    <mergeCell ref="B46:B47"/>
    <mergeCell ref="C46:C47"/>
    <mergeCell ref="A53:A54"/>
    <mergeCell ref="B53:B54"/>
    <mergeCell ref="A56:A57"/>
    <mergeCell ref="B56:B57"/>
    <mergeCell ref="C56:C57"/>
    <mergeCell ref="A62:A63"/>
    <mergeCell ref="B62:B63"/>
    <mergeCell ref="C62:C63"/>
    <mergeCell ref="C64:C66"/>
    <mergeCell ref="C53:C54"/>
    <mergeCell ref="A51:A52"/>
    <mergeCell ref="C28:C31"/>
    <mergeCell ref="C11:C14"/>
    <mergeCell ref="A22:A24"/>
    <mergeCell ref="A32:A34"/>
  </mergeCells>
  <phoneticPr fontId="3" type="noConversion"/>
  <pageMargins left="0.75" right="0.75" top="1" bottom="1" header="0.5" footer="0.5"/>
  <pageSetup paperSize="9" orientation="portrait" verticalDpi="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indexed="16"/>
  </sheetPr>
  <dimension ref="A1:J38"/>
  <sheetViews>
    <sheetView workbookViewId="0">
      <pane ySplit="6" topLeftCell="A10" activePane="bottomLeft" state="frozen"/>
      <selection pane="bottomLeft" activeCell="G9" sqref="G9"/>
    </sheetView>
  </sheetViews>
  <sheetFormatPr defaultColWidth="9" defaultRowHeight="12.75"/>
  <cols>
    <col min="1" max="1" width="13.125" style="175" customWidth="1"/>
    <col min="2" max="3" width="9" style="175"/>
    <col min="4" max="4" width="15.125" style="175" customWidth="1"/>
    <col min="5" max="5" width="24.625" style="175" customWidth="1"/>
    <col min="6" max="6" width="9" style="175"/>
    <col min="7" max="7" width="12.125" style="175" customWidth="1"/>
    <col min="8" max="8" width="13.625" style="175" customWidth="1"/>
    <col min="9" max="9" width="26.375" style="175" customWidth="1"/>
    <col min="10" max="10" width="24.125" style="175" customWidth="1"/>
    <col min="11" max="16384" width="9" style="175"/>
  </cols>
  <sheetData>
    <row r="1" spans="1:10">
      <c r="A1" s="1304" t="s">
        <v>211</v>
      </c>
      <c r="B1" s="1304"/>
      <c r="C1" s="1304"/>
      <c r="D1" s="1304"/>
      <c r="E1" s="1304"/>
      <c r="F1" s="1304"/>
      <c r="G1" s="1304"/>
      <c r="H1" s="1304"/>
      <c r="I1" s="1304"/>
      <c r="J1" s="1304"/>
    </row>
    <row r="2" spans="1:10" ht="26.25">
      <c r="A2" s="1305" t="s">
        <v>2111</v>
      </c>
      <c r="B2" s="1306"/>
      <c r="C2" s="1306"/>
      <c r="D2" s="1306"/>
      <c r="E2" s="1306"/>
      <c r="F2" s="1306"/>
      <c r="G2" s="1306"/>
      <c r="H2" s="1306"/>
      <c r="I2" s="1306"/>
      <c r="J2" s="1306"/>
    </row>
    <row r="3" spans="1:10">
      <c r="A3" s="272" t="s">
        <v>1067</v>
      </c>
      <c r="B3" s="1308" t="s">
        <v>2823</v>
      </c>
      <c r="C3" s="1307"/>
      <c r="D3" s="1307"/>
      <c r="E3" s="1307"/>
      <c r="F3" s="1307"/>
      <c r="G3" s="1307"/>
      <c r="H3" s="1307"/>
      <c r="I3" s="1307"/>
      <c r="J3" s="1307"/>
    </row>
    <row r="4" spans="1:10">
      <c r="A4" s="272" t="s">
        <v>1068</v>
      </c>
      <c r="B4" s="1307" t="s">
        <v>783</v>
      </c>
      <c r="C4" s="1307"/>
      <c r="D4" s="1307"/>
      <c r="E4" s="1307"/>
      <c r="F4" s="1307"/>
      <c r="G4" s="1307"/>
      <c r="H4" s="1307"/>
      <c r="I4" s="1307"/>
      <c r="J4" s="1307"/>
    </row>
    <row r="5" spans="1:10">
      <c r="A5" s="272" t="s">
        <v>1039</v>
      </c>
      <c r="B5" s="1307" t="s">
        <v>784</v>
      </c>
      <c r="C5" s="1307"/>
      <c r="D5" s="1307"/>
      <c r="E5" s="1307"/>
      <c r="F5" s="1307"/>
      <c r="G5" s="1307"/>
      <c r="H5" s="1307"/>
      <c r="I5" s="1307"/>
      <c r="J5" s="1307"/>
    </row>
    <row r="6" spans="1:10">
      <c r="A6" s="1307" t="s">
        <v>1040</v>
      </c>
      <c r="B6" s="1307"/>
      <c r="C6" s="272" t="s">
        <v>1041</v>
      </c>
      <c r="D6" s="272" t="s">
        <v>1042</v>
      </c>
      <c r="E6" s="288" t="s">
        <v>1670</v>
      </c>
      <c r="F6" s="272" t="s">
        <v>1043</v>
      </c>
      <c r="G6" s="272" t="s">
        <v>1044</v>
      </c>
      <c r="H6" s="272" t="s">
        <v>1045</v>
      </c>
      <c r="I6" s="272" t="s">
        <v>1046</v>
      </c>
      <c r="J6" s="272" t="s">
        <v>1047</v>
      </c>
    </row>
    <row r="7" spans="1:10">
      <c r="A7" s="1283" t="s">
        <v>1090</v>
      </c>
      <c r="B7" s="1283"/>
      <c r="C7" s="181" t="s">
        <v>1048</v>
      </c>
      <c r="D7" s="181" t="s">
        <v>1049</v>
      </c>
      <c r="E7" s="286"/>
      <c r="F7" s="181" t="s">
        <v>785</v>
      </c>
      <c r="G7" s="181" t="s">
        <v>786</v>
      </c>
      <c r="H7" s="181" t="s">
        <v>3056</v>
      </c>
      <c r="I7" s="182" t="s">
        <v>1440</v>
      </c>
      <c r="J7" s="181">
        <v>2355929716</v>
      </c>
    </row>
    <row r="8" spans="1:10">
      <c r="A8" s="1285" t="s">
        <v>1053</v>
      </c>
      <c r="B8" s="1286"/>
      <c r="C8" s="186" t="s">
        <v>1127</v>
      </c>
      <c r="D8" s="177" t="s">
        <v>1054</v>
      </c>
      <c r="E8" s="188"/>
      <c r="F8" s="178">
        <v>8311</v>
      </c>
      <c r="G8" s="178" t="s">
        <v>1133</v>
      </c>
      <c r="H8" s="177" t="s">
        <v>1277</v>
      </c>
      <c r="I8" s="180" t="s">
        <v>2946</v>
      </c>
      <c r="J8" s="177" t="s">
        <v>1115</v>
      </c>
    </row>
    <row r="9" spans="1:10" ht="14.25" customHeight="1">
      <c r="A9" s="1287"/>
      <c r="B9" s="1288"/>
      <c r="C9" s="186" t="s">
        <v>1862</v>
      </c>
      <c r="D9" s="186" t="s">
        <v>1671</v>
      </c>
      <c r="E9" s="186" t="s">
        <v>1668</v>
      </c>
      <c r="F9" s="178">
        <v>8315</v>
      </c>
      <c r="G9" s="178" t="s">
        <v>2032</v>
      </c>
      <c r="H9" s="177" t="s">
        <v>2031</v>
      </c>
      <c r="I9" s="180" t="s">
        <v>1666</v>
      </c>
      <c r="J9" s="177" t="s">
        <v>2578</v>
      </c>
    </row>
    <row r="10" spans="1:10" ht="14.25" customHeight="1">
      <c r="A10" s="1287"/>
      <c r="B10" s="1288"/>
      <c r="C10" s="177" t="s">
        <v>1055</v>
      </c>
      <c r="D10" s="186" t="s">
        <v>1671</v>
      </c>
      <c r="E10" s="186" t="s">
        <v>1667</v>
      </c>
      <c r="F10" s="178">
        <v>8312</v>
      </c>
      <c r="G10" s="178" t="s">
        <v>3089</v>
      </c>
      <c r="H10" s="177" t="s">
        <v>2698</v>
      </c>
      <c r="I10" s="180" t="s">
        <v>2015</v>
      </c>
      <c r="J10" s="177" t="s">
        <v>2825</v>
      </c>
    </row>
    <row r="11" spans="1:10" ht="14.25" customHeight="1">
      <c r="A11" s="1289"/>
      <c r="B11" s="1290"/>
      <c r="C11" s="186" t="s">
        <v>1129</v>
      </c>
      <c r="D11" s="186" t="s">
        <v>1671</v>
      </c>
      <c r="E11" s="186" t="s">
        <v>1669</v>
      </c>
      <c r="F11" s="189" t="s">
        <v>2759</v>
      </c>
      <c r="G11" s="189" t="s">
        <v>2758</v>
      </c>
      <c r="H11" s="188" t="s">
        <v>2033</v>
      </c>
      <c r="I11" s="180" t="s">
        <v>1130</v>
      </c>
      <c r="J11" s="188" t="s">
        <v>2477</v>
      </c>
    </row>
    <row r="12" spans="1:10" ht="14.25" customHeight="1">
      <c r="A12" s="1302" t="s">
        <v>1050</v>
      </c>
      <c r="B12" s="1303"/>
      <c r="C12" s="181" t="s">
        <v>1051</v>
      </c>
      <c r="D12" s="181" t="s">
        <v>1052</v>
      </c>
      <c r="E12" s="286"/>
      <c r="F12" s="181" t="s">
        <v>787</v>
      </c>
      <c r="G12" s="181" t="s">
        <v>788</v>
      </c>
      <c r="H12" s="181" t="s">
        <v>789</v>
      </c>
      <c r="I12" s="182" t="s">
        <v>790</v>
      </c>
      <c r="J12" s="181" t="s">
        <v>912</v>
      </c>
    </row>
    <row r="13" spans="1:10" ht="14.25" customHeight="1">
      <c r="A13" s="1298"/>
      <c r="B13" s="1299"/>
      <c r="C13" s="368" t="s">
        <v>2480</v>
      </c>
      <c r="D13" s="368" t="s">
        <v>2481</v>
      </c>
      <c r="E13" s="367"/>
      <c r="F13" s="367" t="s">
        <v>2772</v>
      </c>
      <c r="G13" s="367" t="s">
        <v>2771</v>
      </c>
      <c r="H13" s="367" t="s">
        <v>2482</v>
      </c>
      <c r="I13" s="182" t="s">
        <v>2483</v>
      </c>
      <c r="J13" s="367" t="s">
        <v>2484</v>
      </c>
    </row>
    <row r="14" spans="1:10" ht="14.25" customHeight="1">
      <c r="A14" s="1298"/>
      <c r="B14" s="1299"/>
      <c r="C14" s="368" t="s">
        <v>2773</v>
      </c>
      <c r="D14" s="368" t="s">
        <v>2785</v>
      </c>
      <c r="E14" s="375"/>
      <c r="F14" s="375" t="s">
        <v>2777</v>
      </c>
      <c r="G14" s="375" t="s">
        <v>2775</v>
      </c>
      <c r="H14" s="375" t="s">
        <v>2783</v>
      </c>
      <c r="I14" s="182" t="s">
        <v>2786</v>
      </c>
      <c r="J14" s="375" t="s">
        <v>2784</v>
      </c>
    </row>
    <row r="15" spans="1:10" ht="14.25" customHeight="1">
      <c r="A15" s="1298"/>
      <c r="B15" s="1299"/>
      <c r="C15" s="368" t="s">
        <v>2774</v>
      </c>
      <c r="D15" s="368" t="s">
        <v>2481</v>
      </c>
      <c r="E15" s="375"/>
      <c r="F15" s="375" t="s">
        <v>2778</v>
      </c>
      <c r="G15" s="375" t="s">
        <v>2776</v>
      </c>
      <c r="H15" s="375" t="s">
        <v>2781</v>
      </c>
      <c r="I15" s="182" t="s">
        <v>2780</v>
      </c>
      <c r="J15" s="375" t="s">
        <v>2782</v>
      </c>
    </row>
    <row r="16" spans="1:10" ht="14.25" customHeight="1">
      <c r="A16" s="1291" t="s">
        <v>2017</v>
      </c>
      <c r="B16" s="1292"/>
      <c r="C16" s="177" t="s">
        <v>1091</v>
      </c>
      <c r="D16" s="177" t="s">
        <v>1056</v>
      </c>
      <c r="E16" s="186" t="s">
        <v>3867</v>
      </c>
      <c r="F16" s="178" t="s">
        <v>1085</v>
      </c>
      <c r="G16" s="178" t="s">
        <v>1084</v>
      </c>
      <c r="H16" s="177" t="s">
        <v>1087</v>
      </c>
      <c r="I16" s="179" t="s">
        <v>1086</v>
      </c>
      <c r="J16" s="177" t="s">
        <v>2455</v>
      </c>
    </row>
    <row r="17" spans="1:10" ht="14.25" customHeight="1">
      <c r="A17" s="1293"/>
      <c r="B17" s="1292"/>
      <c r="C17" s="186" t="s">
        <v>2010</v>
      </c>
      <c r="D17" s="188" t="s">
        <v>1056</v>
      </c>
      <c r="E17" s="186" t="s">
        <v>2514</v>
      </c>
      <c r="F17" s="270" t="s">
        <v>2014</v>
      </c>
      <c r="G17" s="270" t="s">
        <v>2013</v>
      </c>
      <c r="H17" s="188" t="s">
        <v>2011</v>
      </c>
      <c r="I17" s="180" t="s">
        <v>2016</v>
      </c>
      <c r="J17" s="188" t="s">
        <v>2012</v>
      </c>
    </row>
    <row r="18" spans="1:10" ht="14.25" customHeight="1">
      <c r="A18" s="1298" t="s">
        <v>1057</v>
      </c>
      <c r="B18" s="1299"/>
      <c r="C18" s="824" t="s">
        <v>3870</v>
      </c>
      <c r="D18" s="187" t="s">
        <v>3854</v>
      </c>
      <c r="E18" s="368" t="s">
        <v>2512</v>
      </c>
      <c r="F18" s="286" t="s">
        <v>1083</v>
      </c>
      <c r="G18" s="286" t="s">
        <v>2991</v>
      </c>
      <c r="H18" s="287" t="s">
        <v>1936</v>
      </c>
      <c r="I18" s="184" t="s">
        <v>1116</v>
      </c>
      <c r="J18" s="287" t="s">
        <v>2796</v>
      </c>
    </row>
    <row r="19" spans="1:10" ht="14.25" customHeight="1">
      <c r="A19" s="1298"/>
      <c r="B19" s="1299"/>
      <c r="C19" s="187" t="s">
        <v>3856</v>
      </c>
      <c r="D19" s="187" t="s">
        <v>3861</v>
      </c>
      <c r="E19" s="368" t="s">
        <v>3860</v>
      </c>
      <c r="F19" s="823" t="s">
        <v>3865</v>
      </c>
      <c r="G19" s="823" t="s">
        <v>3862</v>
      </c>
      <c r="H19" s="824" t="s">
        <v>3864</v>
      </c>
      <c r="I19" s="184" t="s">
        <v>3858</v>
      </c>
      <c r="J19" s="824" t="s">
        <v>3863</v>
      </c>
    </row>
    <row r="20" spans="1:10" ht="14.25" customHeight="1">
      <c r="A20" s="1298"/>
      <c r="B20" s="1299"/>
      <c r="C20" s="187" t="s">
        <v>3857</v>
      </c>
      <c r="D20" s="187" t="s">
        <v>1672</v>
      </c>
      <c r="E20" s="368" t="s">
        <v>2511</v>
      </c>
      <c r="F20" s="371" t="s">
        <v>2702</v>
      </c>
      <c r="G20" s="371" t="s">
        <v>2701</v>
      </c>
      <c r="H20" s="372" t="s">
        <v>3859</v>
      </c>
      <c r="I20" s="184" t="s">
        <v>2703</v>
      </c>
      <c r="J20" s="372" t="s">
        <v>2747</v>
      </c>
    </row>
    <row r="21" spans="1:10" ht="14.25" customHeight="1">
      <c r="A21" s="1298"/>
      <c r="B21" s="1299"/>
      <c r="C21" s="187" t="s">
        <v>1434</v>
      </c>
      <c r="D21" s="187" t="s">
        <v>1672</v>
      </c>
      <c r="E21" s="368" t="s">
        <v>2007</v>
      </c>
      <c r="F21" s="268" t="s">
        <v>2763</v>
      </c>
      <c r="G21" s="268" t="s">
        <v>2762</v>
      </c>
      <c r="H21" s="269" t="s">
        <v>2609</v>
      </c>
      <c r="I21" s="184" t="s">
        <v>1435</v>
      </c>
      <c r="J21" s="269" t="s">
        <v>3390</v>
      </c>
    </row>
    <row r="22" spans="1:10" ht="14.25" customHeight="1">
      <c r="A22" s="1298"/>
      <c r="B22" s="1299"/>
      <c r="C22" s="824" t="s">
        <v>3872</v>
      </c>
      <c r="D22" s="187" t="s">
        <v>1672</v>
      </c>
      <c r="E22" s="368" t="s">
        <v>2009</v>
      </c>
      <c r="F22" s="181">
        <v>8320</v>
      </c>
      <c r="G22" s="181" t="s">
        <v>2715</v>
      </c>
      <c r="H22" s="183" t="s">
        <v>4201</v>
      </c>
      <c r="I22" s="184" t="s">
        <v>2006</v>
      </c>
      <c r="J22" s="183" t="s">
        <v>4464</v>
      </c>
    </row>
    <row r="23" spans="1:10" ht="14.25" customHeight="1">
      <c r="A23" s="1298"/>
      <c r="B23" s="1299"/>
      <c r="C23" s="824" t="s">
        <v>3873</v>
      </c>
      <c r="D23" s="187" t="s">
        <v>1672</v>
      </c>
      <c r="E23" s="375"/>
      <c r="F23" s="181">
        <v>8316</v>
      </c>
      <c r="G23" s="181">
        <v>60658316</v>
      </c>
      <c r="H23" s="183">
        <v>13512153859</v>
      </c>
      <c r="I23" s="182" t="s">
        <v>852</v>
      </c>
      <c r="J23" s="183" t="s">
        <v>1149</v>
      </c>
    </row>
    <row r="24" spans="1:10" ht="14.25" customHeight="1">
      <c r="A24" s="1298"/>
      <c r="B24" s="1299"/>
      <c r="C24" s="824" t="s">
        <v>3874</v>
      </c>
      <c r="D24" s="187" t="s">
        <v>1672</v>
      </c>
      <c r="E24" s="368" t="s">
        <v>1673</v>
      </c>
      <c r="F24" s="181">
        <v>8319</v>
      </c>
      <c r="G24" s="181" t="s">
        <v>963</v>
      </c>
      <c r="H24" s="183" t="s">
        <v>1674</v>
      </c>
      <c r="I24" s="184" t="s">
        <v>791</v>
      </c>
      <c r="J24" s="183" t="s">
        <v>4192</v>
      </c>
    </row>
    <row r="25" spans="1:10" ht="14.25" customHeight="1">
      <c r="A25" s="1298"/>
      <c r="B25" s="1299"/>
      <c r="C25" s="187" t="s">
        <v>2457</v>
      </c>
      <c r="D25" s="187" t="s">
        <v>1672</v>
      </c>
      <c r="E25" s="368" t="s">
        <v>2008</v>
      </c>
      <c r="F25" s="286" t="s">
        <v>2765</v>
      </c>
      <c r="G25" s="286" t="s">
        <v>2764</v>
      </c>
      <c r="H25" s="287" t="s">
        <v>1187</v>
      </c>
      <c r="I25" s="184" t="s">
        <v>901</v>
      </c>
      <c r="J25" s="287" t="s">
        <v>4088</v>
      </c>
    </row>
    <row r="26" spans="1:10" ht="14.25" customHeight="1">
      <c r="A26" s="1298"/>
      <c r="B26" s="1299"/>
      <c r="C26" s="824" t="s">
        <v>3869</v>
      </c>
      <c r="D26" s="187" t="s">
        <v>1672</v>
      </c>
      <c r="E26" s="368" t="s">
        <v>2513</v>
      </c>
      <c r="F26" s="339" t="s">
        <v>1432</v>
      </c>
      <c r="G26" s="339" t="s">
        <v>2985</v>
      </c>
      <c r="H26" s="340" t="s">
        <v>1433</v>
      </c>
      <c r="I26" s="184" t="s">
        <v>1441</v>
      </c>
      <c r="J26" s="340" t="s">
        <v>4292</v>
      </c>
    </row>
    <row r="27" spans="1:10" ht="14.25" customHeight="1">
      <c r="A27" s="1298"/>
      <c r="B27" s="1299"/>
      <c r="C27" s="824" t="s">
        <v>3875</v>
      </c>
      <c r="D27" s="187" t="s">
        <v>1672</v>
      </c>
      <c r="E27" s="187" t="s">
        <v>3855</v>
      </c>
      <c r="F27" s="339" t="s">
        <v>2761</v>
      </c>
      <c r="G27" s="339" t="s">
        <v>2760</v>
      </c>
      <c r="H27" s="340" t="s">
        <v>1088</v>
      </c>
      <c r="I27" s="184" t="s">
        <v>1089</v>
      </c>
      <c r="J27" s="340" t="s">
        <v>3499</v>
      </c>
    </row>
    <row r="28" spans="1:10" ht="14.25" customHeight="1">
      <c r="A28" s="1298"/>
      <c r="B28" s="1299"/>
      <c r="C28" s="187" t="s">
        <v>2768</v>
      </c>
      <c r="D28" s="187" t="s">
        <v>1672</v>
      </c>
      <c r="E28" s="187" t="s">
        <v>3871</v>
      </c>
      <c r="F28" s="375" t="s">
        <v>2770</v>
      </c>
      <c r="G28" s="375" t="s">
        <v>2769</v>
      </c>
      <c r="H28" s="376" t="s">
        <v>2779</v>
      </c>
      <c r="I28" s="184" t="s">
        <v>3866</v>
      </c>
      <c r="J28" s="376" t="s">
        <v>3090</v>
      </c>
    </row>
    <row r="29" spans="1:10" ht="14.25" customHeight="1">
      <c r="A29" s="1300"/>
      <c r="B29" s="1301"/>
      <c r="C29" s="187" t="s">
        <v>2024</v>
      </c>
      <c r="D29" s="187" t="s">
        <v>2025</v>
      </c>
      <c r="E29" s="187"/>
      <c r="F29" s="341" t="s">
        <v>2767</v>
      </c>
      <c r="G29" s="369" t="s">
        <v>2766</v>
      </c>
      <c r="H29" s="342" t="s">
        <v>2028</v>
      </c>
      <c r="I29" s="184" t="s">
        <v>2026</v>
      </c>
      <c r="J29" s="342" t="s">
        <v>2027</v>
      </c>
    </row>
    <row r="30" spans="1:10" ht="14.25" customHeight="1">
      <c r="A30" s="1294" t="s">
        <v>1058</v>
      </c>
      <c r="B30" s="1295"/>
      <c r="C30" s="186" t="s">
        <v>1126</v>
      </c>
      <c r="D30" s="177" t="s">
        <v>1059</v>
      </c>
      <c r="E30" s="188"/>
      <c r="F30" s="178">
        <v>8314</v>
      </c>
      <c r="G30" s="178" t="s">
        <v>1005</v>
      </c>
      <c r="H30" s="177" t="s">
        <v>1004</v>
      </c>
      <c r="I30" s="179" t="s">
        <v>792</v>
      </c>
      <c r="J30" s="177">
        <v>2355822000</v>
      </c>
    </row>
    <row r="31" spans="1:10" ht="14.25" customHeight="1">
      <c r="A31" s="1293"/>
      <c r="B31" s="1292"/>
      <c r="C31" s="177" t="s">
        <v>1060</v>
      </c>
      <c r="D31" s="177" t="s">
        <v>1061</v>
      </c>
      <c r="E31" s="188"/>
      <c r="F31" s="178">
        <v>8394</v>
      </c>
      <c r="G31" s="178">
        <v>60658394</v>
      </c>
      <c r="H31" s="177">
        <v>13681771631</v>
      </c>
      <c r="I31" s="179" t="s">
        <v>853</v>
      </c>
      <c r="J31" s="177">
        <v>2355911605</v>
      </c>
    </row>
    <row r="32" spans="1:10" ht="14.25" customHeight="1">
      <c r="A32" s="1296"/>
      <c r="B32" s="1297"/>
      <c r="C32" s="186" t="s">
        <v>1436</v>
      </c>
      <c r="D32" s="188" t="s">
        <v>1061</v>
      </c>
      <c r="E32" s="188"/>
      <c r="F32" s="270" t="s">
        <v>1439</v>
      </c>
      <c r="G32" s="270" t="s">
        <v>1438</v>
      </c>
      <c r="H32" s="188"/>
      <c r="I32" s="179" t="s">
        <v>2018</v>
      </c>
      <c r="J32" s="188" t="s">
        <v>1437</v>
      </c>
    </row>
    <row r="33" spans="1:10">
      <c r="A33" s="1283" t="s">
        <v>1062</v>
      </c>
      <c r="B33" s="1284"/>
      <c r="C33" s="183" t="s">
        <v>1063</v>
      </c>
      <c r="D33" s="183" t="s">
        <v>1064</v>
      </c>
      <c r="E33" s="287"/>
      <c r="F33" s="181">
        <v>8387</v>
      </c>
      <c r="G33" s="181">
        <v>60658387</v>
      </c>
      <c r="H33" s="183">
        <v>18717801619</v>
      </c>
      <c r="I33" s="184"/>
      <c r="J33" s="183">
        <v>2355821966</v>
      </c>
    </row>
    <row r="34" spans="1:10">
      <c r="A34" s="1284"/>
      <c r="B34" s="1284"/>
      <c r="C34" s="187" t="s">
        <v>1253</v>
      </c>
      <c r="D34" s="183" t="s">
        <v>1065</v>
      </c>
      <c r="E34" s="287"/>
      <c r="F34" s="181">
        <v>8330</v>
      </c>
      <c r="G34" s="181" t="s">
        <v>4206</v>
      </c>
      <c r="H34" s="183" t="s">
        <v>2748</v>
      </c>
      <c r="I34" s="184" t="s">
        <v>3868</v>
      </c>
      <c r="J34" s="183" t="s">
        <v>1911</v>
      </c>
    </row>
    <row r="35" spans="1:10">
      <c r="A35" s="1284"/>
      <c r="B35" s="1284"/>
      <c r="C35" s="183" t="s">
        <v>1066</v>
      </c>
      <c r="D35" s="183" t="s">
        <v>1065</v>
      </c>
      <c r="E35" s="287"/>
      <c r="F35" s="181">
        <v>8313</v>
      </c>
      <c r="G35" s="181">
        <v>60658313</v>
      </c>
      <c r="H35" s="183">
        <v>13774410640</v>
      </c>
      <c r="I35" s="184" t="s">
        <v>1128</v>
      </c>
      <c r="J35" s="183">
        <v>2355821965</v>
      </c>
    </row>
    <row r="36" spans="1:10">
      <c r="A36" s="176"/>
      <c r="B36" s="176"/>
      <c r="C36" s="176"/>
      <c r="D36" s="176"/>
      <c r="E36" s="176"/>
      <c r="F36" s="176"/>
      <c r="G36" s="176"/>
      <c r="H36" s="176"/>
      <c r="I36" s="176"/>
      <c r="J36" s="176"/>
    </row>
    <row r="37" spans="1:10">
      <c r="A37" s="176"/>
      <c r="B37" s="176"/>
      <c r="C37" s="176"/>
      <c r="D37" s="176"/>
      <c r="E37" s="176"/>
      <c r="F37" s="176"/>
      <c r="G37" s="176"/>
      <c r="H37" s="176"/>
      <c r="I37" s="176"/>
      <c r="J37" s="176"/>
    </row>
    <row r="38" spans="1:10">
      <c r="A38" s="176"/>
      <c r="B38" s="176"/>
      <c r="C38" s="176"/>
      <c r="D38" s="176"/>
      <c r="E38" s="176"/>
      <c r="F38" s="176"/>
      <c r="G38" s="176"/>
      <c r="H38" s="176"/>
      <c r="I38" s="176"/>
      <c r="J38" s="176"/>
    </row>
  </sheetData>
  <mergeCells count="13">
    <mergeCell ref="A1:J1"/>
    <mergeCell ref="A2:J2"/>
    <mergeCell ref="A6:B6"/>
    <mergeCell ref="B3:J3"/>
    <mergeCell ref="B4:J4"/>
    <mergeCell ref="B5:J5"/>
    <mergeCell ref="A33:B35"/>
    <mergeCell ref="A7:B7"/>
    <mergeCell ref="A8:B11"/>
    <mergeCell ref="A16:B17"/>
    <mergeCell ref="A30:B32"/>
    <mergeCell ref="A18:B29"/>
    <mergeCell ref="A12:B15"/>
  </mergeCells>
  <phoneticPr fontId="3" type="noConversion"/>
  <hyperlinks>
    <hyperlink ref="I8" r:id="rId1"/>
    <hyperlink ref="I18" r:id="rId2"/>
    <hyperlink ref="I34" r:id="rId3"/>
    <hyperlink ref="I11" r:id="rId4"/>
    <hyperlink ref="I7" r:id="rId5"/>
    <hyperlink ref="I26" r:id="rId6"/>
    <hyperlink ref="I21" r:id="rId7"/>
    <hyperlink ref="I9" r:id="rId8"/>
    <hyperlink ref="I10" r:id="rId9"/>
    <hyperlink ref="I22" r:id="rId10"/>
    <hyperlink ref="I17" r:id="rId11"/>
    <hyperlink ref="I32" r:id="rId12"/>
    <hyperlink ref="I29" r:id="rId13"/>
    <hyperlink ref="I13" r:id="rId14"/>
    <hyperlink ref="I15" r:id="rId15"/>
    <hyperlink ref="I14" r:id="rId16"/>
    <hyperlink ref="I20" r:id="rId17"/>
    <hyperlink ref="I28" r:id="rId18"/>
    <hyperlink ref="I35" r:id="rId19"/>
  </hyperlinks>
  <pageMargins left="0.75" right="0.75" top="1" bottom="1" header="0.5" footer="0.5"/>
  <pageSetup paperSize="9" orientation="portrait" verticalDpi="200" r:id="rId20"/>
  <headerFooter alignWithMargins="0"/>
  <drawing r:id="rId2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/>
  <dimension ref="A1:W61"/>
  <sheetViews>
    <sheetView workbookViewId="0">
      <pane ySplit="3" topLeftCell="A4" activePane="bottomLeft" state="frozen"/>
      <selection pane="bottomLeft" activeCell="O63" sqref="O63"/>
    </sheetView>
  </sheetViews>
  <sheetFormatPr defaultColWidth="5.625" defaultRowHeight="24.95" customHeight="1"/>
  <cols>
    <col min="1" max="2" width="10.625" style="203" customWidth="1"/>
    <col min="3" max="16384" width="5.625" style="203"/>
  </cols>
  <sheetData>
    <row r="1" spans="1:23" ht="39.950000000000003" customHeight="1">
      <c r="A1" s="1312"/>
      <c r="B1" s="1312"/>
      <c r="C1" s="1312"/>
      <c r="D1" s="1312"/>
      <c r="E1" s="1312"/>
      <c r="F1" s="1312"/>
      <c r="G1" s="1312"/>
      <c r="H1" s="1312"/>
      <c r="I1" s="1312"/>
      <c r="J1" s="1312"/>
      <c r="K1" s="1312"/>
      <c r="L1" s="1312"/>
      <c r="M1" s="1312"/>
      <c r="N1" s="1312"/>
      <c r="O1" s="1312"/>
      <c r="P1" s="1312"/>
      <c r="Q1" s="1312"/>
      <c r="R1" s="1312"/>
      <c r="S1" s="1312"/>
      <c r="T1" s="1312"/>
      <c r="U1" s="1312"/>
      <c r="V1" s="1312"/>
      <c r="W1" s="1312"/>
    </row>
    <row r="2" spans="1:23" ht="24.95" customHeight="1">
      <c r="A2" s="1268" t="s">
        <v>2263</v>
      </c>
      <c r="B2" s="1268" t="s">
        <v>2262</v>
      </c>
      <c r="C2" s="1313" t="s">
        <v>2261</v>
      </c>
      <c r="D2" s="1314"/>
      <c r="E2" s="1315"/>
      <c r="F2" s="1313" t="s">
        <v>2188</v>
      </c>
      <c r="G2" s="1314"/>
      <c r="H2" s="1315"/>
      <c r="I2" s="349" t="s">
        <v>2187</v>
      </c>
      <c r="J2" s="1313" t="s">
        <v>2186</v>
      </c>
      <c r="K2" s="1314"/>
      <c r="L2" s="1315"/>
      <c r="M2" s="349" t="s">
        <v>2185</v>
      </c>
      <c r="N2" s="349" t="s">
        <v>2184</v>
      </c>
      <c r="O2" s="349" t="s">
        <v>2183</v>
      </c>
      <c r="P2" s="349" t="s">
        <v>2182</v>
      </c>
      <c r="Q2" s="349" t="s">
        <v>2181</v>
      </c>
      <c r="R2" s="1313" t="s">
        <v>2180</v>
      </c>
      <c r="S2" s="1314"/>
      <c r="T2" s="1315"/>
      <c r="U2" s="1313" t="s">
        <v>2179</v>
      </c>
      <c r="V2" s="1314"/>
      <c r="W2" s="1315"/>
    </row>
    <row r="3" spans="1:23" ht="24.95" hidden="1" customHeight="1">
      <c r="A3" s="1269"/>
      <c r="B3" s="1269"/>
      <c r="C3" s="349" t="s">
        <v>2176</v>
      </c>
      <c r="D3" s="349" t="s">
        <v>2175</v>
      </c>
      <c r="E3" s="349" t="s">
        <v>2174</v>
      </c>
      <c r="F3" s="349" t="s">
        <v>2176</v>
      </c>
      <c r="G3" s="349" t="s">
        <v>2175</v>
      </c>
      <c r="H3" s="349" t="s">
        <v>2174</v>
      </c>
      <c r="I3" s="349" t="s">
        <v>2178</v>
      </c>
      <c r="J3" s="349" t="s">
        <v>2176</v>
      </c>
      <c r="K3" s="349" t="s">
        <v>2175</v>
      </c>
      <c r="L3" s="349" t="s">
        <v>2174</v>
      </c>
      <c r="M3" s="349" t="s">
        <v>2178</v>
      </c>
      <c r="N3" s="349" t="s">
        <v>2177</v>
      </c>
      <c r="O3" s="349" t="s">
        <v>2177</v>
      </c>
      <c r="P3" s="349" t="s">
        <v>2177</v>
      </c>
      <c r="Q3" s="349"/>
      <c r="R3" s="349" t="s">
        <v>2176</v>
      </c>
      <c r="S3" s="349" t="s">
        <v>2175</v>
      </c>
      <c r="T3" s="349" t="s">
        <v>2174</v>
      </c>
      <c r="U3" s="349" t="s">
        <v>2176</v>
      </c>
      <c r="V3" s="349" t="s">
        <v>2175</v>
      </c>
      <c r="W3" s="349" t="s">
        <v>2174</v>
      </c>
    </row>
    <row r="4" spans="1:23" ht="24.95" hidden="1" customHeight="1">
      <c r="A4" s="204" t="s">
        <v>2260</v>
      </c>
      <c r="B4" s="205"/>
      <c r="C4" s="204">
        <v>270</v>
      </c>
      <c r="D4" s="204">
        <v>410</v>
      </c>
      <c r="E4" s="204">
        <v>410</v>
      </c>
      <c r="F4" s="205" t="s">
        <v>2245</v>
      </c>
      <c r="G4" s="205" t="s">
        <v>2244</v>
      </c>
      <c r="H4" s="205" t="s">
        <v>2244</v>
      </c>
      <c r="I4" s="204"/>
      <c r="J4" s="205">
        <v>20</v>
      </c>
      <c r="K4" s="205">
        <v>30</v>
      </c>
      <c r="L4" s="205">
        <v>30</v>
      </c>
      <c r="M4" s="204" t="s">
        <v>2248</v>
      </c>
      <c r="N4" s="205">
        <v>450</v>
      </c>
      <c r="O4" s="204" t="s">
        <v>2247</v>
      </c>
      <c r="P4" s="204">
        <v>450</v>
      </c>
      <c r="Q4" s="205" t="s">
        <v>2142</v>
      </c>
      <c r="R4" s="204"/>
      <c r="S4" s="204"/>
      <c r="T4" s="204"/>
      <c r="U4" s="206">
        <f t="shared" ref="U4:U37" si="0">C4+F4+I4+J4+M4+N4+R4</f>
        <v>1465</v>
      </c>
      <c r="V4" s="206">
        <f t="shared" ref="V4:V37" si="1">D4+G4+I4+K4+M4+N4+S4</f>
        <v>1960</v>
      </c>
      <c r="W4" s="206">
        <f t="shared" ref="W4:W37" si="2">E4+H4+I4+L4+M4+N4+T4</f>
        <v>1960</v>
      </c>
    </row>
    <row r="5" spans="1:23" ht="24.95" hidden="1" customHeight="1">
      <c r="A5" s="204" t="s">
        <v>2259</v>
      </c>
      <c r="B5" s="205"/>
      <c r="C5" s="204" t="s">
        <v>2258</v>
      </c>
      <c r="D5" s="204" t="s">
        <v>2257</v>
      </c>
      <c r="E5" s="204" t="s">
        <v>2257</v>
      </c>
      <c r="F5" s="205" t="s">
        <v>2245</v>
      </c>
      <c r="G5" s="205" t="s">
        <v>2244</v>
      </c>
      <c r="H5" s="205" t="s">
        <v>2244</v>
      </c>
      <c r="I5" s="204"/>
      <c r="J5" s="205"/>
      <c r="K5" s="205"/>
      <c r="L5" s="205"/>
      <c r="M5" s="204" t="s">
        <v>2256</v>
      </c>
      <c r="N5" s="205" t="s">
        <v>2247</v>
      </c>
      <c r="O5" s="204" t="s">
        <v>2247</v>
      </c>
      <c r="P5" s="204" t="s">
        <v>2247</v>
      </c>
      <c r="Q5" s="205" t="s">
        <v>2142</v>
      </c>
      <c r="R5" s="204"/>
      <c r="S5" s="204"/>
      <c r="T5" s="204"/>
      <c r="U5" s="206">
        <f t="shared" si="0"/>
        <v>1485</v>
      </c>
      <c r="V5" s="206">
        <f t="shared" si="1"/>
        <v>1950</v>
      </c>
      <c r="W5" s="206">
        <f t="shared" si="2"/>
        <v>1950</v>
      </c>
    </row>
    <row r="6" spans="1:23" ht="24.95" hidden="1" customHeight="1">
      <c r="A6" s="204" t="s">
        <v>2255</v>
      </c>
      <c r="B6" s="205"/>
      <c r="C6" s="204">
        <v>270</v>
      </c>
      <c r="D6" s="204">
        <v>380</v>
      </c>
      <c r="E6" s="204">
        <v>380</v>
      </c>
      <c r="F6" s="205" t="s">
        <v>1853</v>
      </c>
      <c r="G6" s="205" t="s">
        <v>2227</v>
      </c>
      <c r="H6" s="205" t="s">
        <v>2227</v>
      </c>
      <c r="I6" s="204"/>
      <c r="J6" s="205"/>
      <c r="K6" s="205"/>
      <c r="L6" s="205"/>
      <c r="M6" s="204"/>
      <c r="N6" s="205">
        <v>450</v>
      </c>
      <c r="O6" s="204" t="s">
        <v>2254</v>
      </c>
      <c r="P6" s="204" t="s">
        <v>4103</v>
      </c>
      <c r="Q6" s="205" t="s">
        <v>2250</v>
      </c>
      <c r="R6" s="204"/>
      <c r="S6" s="204"/>
      <c r="T6" s="204"/>
      <c r="U6" s="206">
        <f t="shared" si="0"/>
        <v>1405</v>
      </c>
      <c r="V6" s="206">
        <f t="shared" si="1"/>
        <v>1885</v>
      </c>
      <c r="W6" s="206">
        <f t="shared" si="2"/>
        <v>1885</v>
      </c>
    </row>
    <row r="7" spans="1:23" ht="24.95" hidden="1" customHeight="1">
      <c r="A7" s="204" t="s">
        <v>2253</v>
      </c>
      <c r="B7" s="205"/>
      <c r="C7" s="204" t="s">
        <v>4095</v>
      </c>
      <c r="D7" s="204" t="s">
        <v>4096</v>
      </c>
      <c r="E7" s="204" t="s">
        <v>4096</v>
      </c>
      <c r="F7" s="205" t="s">
        <v>4101</v>
      </c>
      <c r="G7" s="205" t="s">
        <v>4102</v>
      </c>
      <c r="H7" s="205" t="s">
        <v>4102</v>
      </c>
      <c r="I7" s="204" t="s">
        <v>4100</v>
      </c>
      <c r="J7" s="205">
        <v>20</v>
      </c>
      <c r="K7" s="205">
        <v>30</v>
      </c>
      <c r="L7" s="205">
        <v>30</v>
      </c>
      <c r="M7" s="204" t="s">
        <v>4099</v>
      </c>
      <c r="N7" s="205" t="s">
        <v>2432</v>
      </c>
      <c r="O7" s="204" t="s">
        <v>4097</v>
      </c>
      <c r="P7" s="204" t="s">
        <v>4098</v>
      </c>
      <c r="Q7" s="205" t="s">
        <v>2250</v>
      </c>
      <c r="R7" s="204"/>
      <c r="S7" s="204"/>
      <c r="T7" s="204"/>
      <c r="U7" s="206">
        <f t="shared" si="0"/>
        <v>1540</v>
      </c>
      <c r="V7" s="206">
        <f t="shared" si="1"/>
        <v>2035</v>
      </c>
      <c r="W7" s="206">
        <f t="shared" si="2"/>
        <v>2035</v>
      </c>
    </row>
    <row r="8" spans="1:23" ht="24.95" hidden="1" customHeight="1">
      <c r="A8" s="204" t="s">
        <v>2253</v>
      </c>
      <c r="B8" s="1309" t="s">
        <v>2433</v>
      </c>
      <c r="C8" s="1310"/>
      <c r="D8" s="1310"/>
      <c r="E8" s="1310"/>
      <c r="F8" s="1310"/>
      <c r="G8" s="1310"/>
      <c r="H8" s="1310"/>
      <c r="I8" s="1310"/>
      <c r="J8" s="1310"/>
      <c r="K8" s="1310"/>
      <c r="L8" s="1310"/>
      <c r="M8" s="1310"/>
      <c r="N8" s="1310"/>
      <c r="O8" s="1310"/>
      <c r="P8" s="1310"/>
      <c r="Q8" s="1310"/>
      <c r="R8" s="1310"/>
      <c r="S8" s="1310"/>
      <c r="T8" s="1310"/>
      <c r="U8" s="1310"/>
      <c r="V8" s="1310"/>
      <c r="W8" s="1311"/>
    </row>
    <row r="9" spans="1:23" ht="24.95" hidden="1" customHeight="1">
      <c r="A9" s="204" t="s">
        <v>2252</v>
      </c>
      <c r="B9" s="205"/>
      <c r="C9" s="204">
        <v>270</v>
      </c>
      <c r="D9" s="204">
        <v>390</v>
      </c>
      <c r="E9" s="204">
        <v>390</v>
      </c>
      <c r="F9" s="205" t="s">
        <v>1846</v>
      </c>
      <c r="G9" s="205" t="s">
        <v>1797</v>
      </c>
      <c r="H9" s="205" t="s">
        <v>1797</v>
      </c>
      <c r="I9" s="204"/>
      <c r="J9" s="205"/>
      <c r="K9" s="205"/>
      <c r="L9" s="205"/>
      <c r="M9" s="204"/>
      <c r="N9" s="205" t="s">
        <v>2449</v>
      </c>
      <c r="O9" s="204" t="s">
        <v>2241</v>
      </c>
      <c r="P9" s="204" t="s">
        <v>2452</v>
      </c>
      <c r="Q9" s="205" t="s">
        <v>2250</v>
      </c>
      <c r="R9" s="204"/>
      <c r="S9" s="204"/>
      <c r="T9" s="204"/>
      <c r="U9" s="206">
        <f t="shared" si="0"/>
        <v>1410</v>
      </c>
      <c r="V9" s="206">
        <f t="shared" si="1"/>
        <v>1890</v>
      </c>
      <c r="W9" s="206">
        <f t="shared" si="2"/>
        <v>1890</v>
      </c>
    </row>
    <row r="10" spans="1:23" ht="24.95" hidden="1" customHeight="1">
      <c r="A10" s="204" t="s">
        <v>2251</v>
      </c>
      <c r="B10" s="205"/>
      <c r="C10" s="204">
        <v>270</v>
      </c>
      <c r="D10" s="204">
        <v>410</v>
      </c>
      <c r="E10" s="204">
        <v>410</v>
      </c>
      <c r="F10" s="205" t="s">
        <v>1846</v>
      </c>
      <c r="G10" s="205" t="s">
        <v>1797</v>
      </c>
      <c r="H10" s="205" t="s">
        <v>1797</v>
      </c>
      <c r="I10" s="204"/>
      <c r="J10" s="205"/>
      <c r="K10" s="205"/>
      <c r="L10" s="205"/>
      <c r="M10" s="204"/>
      <c r="N10" s="205" t="s">
        <v>2247</v>
      </c>
      <c r="O10" s="204" t="s">
        <v>2241</v>
      </c>
      <c r="P10" s="204" t="s">
        <v>2453</v>
      </c>
      <c r="Q10" s="205" t="s">
        <v>2250</v>
      </c>
      <c r="R10" s="204"/>
      <c r="S10" s="204"/>
      <c r="T10" s="204"/>
      <c r="U10" s="206">
        <f t="shared" si="0"/>
        <v>1410</v>
      </c>
      <c r="V10" s="206">
        <f t="shared" si="1"/>
        <v>1910</v>
      </c>
      <c r="W10" s="206">
        <f t="shared" si="2"/>
        <v>1910</v>
      </c>
    </row>
    <row r="11" spans="1:23" ht="24.95" hidden="1" customHeight="1">
      <c r="A11" s="208" t="s">
        <v>2249</v>
      </c>
      <c r="B11" s="205"/>
      <c r="C11" s="204">
        <v>270</v>
      </c>
      <c r="D11" s="204">
        <v>410</v>
      </c>
      <c r="E11" s="204">
        <v>410</v>
      </c>
      <c r="F11" s="205" t="s">
        <v>2245</v>
      </c>
      <c r="G11" s="205" t="s">
        <v>2244</v>
      </c>
      <c r="H11" s="205" t="s">
        <v>2244</v>
      </c>
      <c r="I11" s="204"/>
      <c r="J11" s="205">
        <v>20</v>
      </c>
      <c r="K11" s="205">
        <v>30</v>
      </c>
      <c r="L11" s="205">
        <v>30</v>
      </c>
      <c r="M11" s="204" t="s">
        <v>2248</v>
      </c>
      <c r="N11" s="205">
        <v>450</v>
      </c>
      <c r="O11" s="204" t="s">
        <v>2247</v>
      </c>
      <c r="P11" s="204" t="s">
        <v>2247</v>
      </c>
      <c r="Q11" s="205" t="s">
        <v>2142</v>
      </c>
      <c r="R11" s="204"/>
      <c r="S11" s="204"/>
      <c r="T11" s="204"/>
      <c r="U11" s="206">
        <f t="shared" si="0"/>
        <v>1465</v>
      </c>
      <c r="V11" s="206">
        <f t="shared" si="1"/>
        <v>1960</v>
      </c>
      <c r="W11" s="206">
        <f t="shared" si="2"/>
        <v>1960</v>
      </c>
    </row>
    <row r="12" spans="1:23" ht="24.95" hidden="1" customHeight="1">
      <c r="A12" s="204" t="s">
        <v>2246</v>
      </c>
      <c r="B12" s="205"/>
      <c r="C12" s="204">
        <v>260</v>
      </c>
      <c r="D12" s="204">
        <v>380</v>
      </c>
      <c r="E12" s="204">
        <v>380</v>
      </c>
      <c r="F12" s="205" t="s">
        <v>2245</v>
      </c>
      <c r="G12" s="205" t="s">
        <v>2244</v>
      </c>
      <c r="H12" s="205" t="s">
        <v>2244</v>
      </c>
      <c r="I12" s="204"/>
      <c r="J12" s="205"/>
      <c r="K12" s="205"/>
      <c r="L12" s="205"/>
      <c r="M12" s="204">
        <v>30</v>
      </c>
      <c r="N12" s="205">
        <v>450</v>
      </c>
      <c r="O12" s="204" t="s">
        <v>2153</v>
      </c>
      <c r="P12" s="204">
        <v>250</v>
      </c>
      <c r="Q12" s="205" t="s">
        <v>2150</v>
      </c>
      <c r="R12" s="204"/>
      <c r="S12" s="204"/>
      <c r="T12" s="204"/>
      <c r="U12" s="206">
        <f t="shared" si="0"/>
        <v>1435</v>
      </c>
      <c r="V12" s="206">
        <f t="shared" si="1"/>
        <v>1900</v>
      </c>
      <c r="W12" s="206">
        <f t="shared" si="2"/>
        <v>1900</v>
      </c>
    </row>
    <row r="13" spans="1:23" ht="24.95" hidden="1" customHeight="1">
      <c r="A13" s="204" t="s">
        <v>2243</v>
      </c>
      <c r="B13" s="261" t="s">
        <v>2242</v>
      </c>
      <c r="C13" s="204">
        <v>270</v>
      </c>
      <c r="D13" s="204">
        <v>400</v>
      </c>
      <c r="E13" s="204">
        <v>400</v>
      </c>
      <c r="F13" s="205" t="s">
        <v>1795</v>
      </c>
      <c r="G13" s="205" t="s">
        <v>1796</v>
      </c>
      <c r="H13" s="205" t="s">
        <v>1796</v>
      </c>
      <c r="I13" s="204">
        <v>30</v>
      </c>
      <c r="J13" s="205"/>
      <c r="K13" s="205"/>
      <c r="L13" s="205"/>
      <c r="M13" s="204"/>
      <c r="N13" s="205">
        <v>500</v>
      </c>
      <c r="O13" s="204" t="s">
        <v>2241</v>
      </c>
      <c r="P13" s="204">
        <v>100</v>
      </c>
      <c r="Q13" s="205" t="s">
        <v>2142</v>
      </c>
      <c r="R13" s="204"/>
      <c r="S13" s="204"/>
      <c r="T13" s="204"/>
      <c r="U13" s="206">
        <f t="shared" si="0"/>
        <v>1480</v>
      </c>
      <c r="V13" s="206">
        <f t="shared" si="1"/>
        <v>1964</v>
      </c>
      <c r="W13" s="206">
        <f t="shared" si="2"/>
        <v>1964</v>
      </c>
    </row>
    <row r="14" spans="1:23" ht="24.95" hidden="1" customHeight="1">
      <c r="A14" s="204" t="s">
        <v>2239</v>
      </c>
      <c r="B14" s="205"/>
      <c r="C14" s="204">
        <v>240</v>
      </c>
      <c r="D14" s="204">
        <v>360</v>
      </c>
      <c r="E14" s="204">
        <v>480</v>
      </c>
      <c r="F14" s="205" t="s">
        <v>1795</v>
      </c>
      <c r="G14" s="205" t="s">
        <v>1796</v>
      </c>
      <c r="H14" s="205" t="s">
        <v>1796</v>
      </c>
      <c r="I14" s="204" t="s">
        <v>2237</v>
      </c>
      <c r="J14" s="205">
        <v>10</v>
      </c>
      <c r="K14" s="205">
        <v>15</v>
      </c>
      <c r="L14" s="205">
        <v>15</v>
      </c>
      <c r="M14" s="204">
        <v>30</v>
      </c>
      <c r="N14" s="205">
        <v>500</v>
      </c>
      <c r="O14" s="204">
        <v>300</v>
      </c>
      <c r="P14" s="204">
        <v>300</v>
      </c>
      <c r="Q14" s="205" t="s">
        <v>2142</v>
      </c>
      <c r="R14" s="204">
        <v>50</v>
      </c>
      <c r="S14" s="204">
        <v>100</v>
      </c>
      <c r="T14" s="204">
        <v>100</v>
      </c>
      <c r="U14" s="206">
        <f t="shared" si="0"/>
        <v>1570</v>
      </c>
      <c r="V14" s="206">
        <f t="shared" si="1"/>
        <v>2099</v>
      </c>
      <c r="W14" s="206">
        <f t="shared" si="2"/>
        <v>2219</v>
      </c>
    </row>
    <row r="15" spans="1:23" ht="24.95" hidden="1" customHeight="1">
      <c r="A15" s="204" t="s">
        <v>2239</v>
      </c>
      <c r="B15" s="261" t="s">
        <v>2240</v>
      </c>
      <c r="C15" s="204">
        <v>240</v>
      </c>
      <c r="D15" s="204">
        <v>360</v>
      </c>
      <c r="E15" s="204">
        <v>480</v>
      </c>
      <c r="F15" s="205" t="s">
        <v>1795</v>
      </c>
      <c r="G15" s="205" t="s">
        <v>1797</v>
      </c>
      <c r="H15" s="205" t="s">
        <v>1797</v>
      </c>
      <c r="I15" s="204" t="s">
        <v>2237</v>
      </c>
      <c r="J15" s="205">
        <v>10</v>
      </c>
      <c r="K15" s="205">
        <v>15</v>
      </c>
      <c r="L15" s="205">
        <v>15</v>
      </c>
      <c r="M15" s="204">
        <v>30</v>
      </c>
      <c r="N15" s="205">
        <v>500</v>
      </c>
      <c r="O15" s="204">
        <v>300</v>
      </c>
      <c r="P15" s="204">
        <v>300</v>
      </c>
      <c r="Q15" s="205" t="s">
        <v>2142</v>
      </c>
      <c r="R15" s="204">
        <v>50</v>
      </c>
      <c r="S15" s="204">
        <v>100</v>
      </c>
      <c r="T15" s="204">
        <v>100</v>
      </c>
      <c r="U15" s="206">
        <f t="shared" si="0"/>
        <v>1570</v>
      </c>
      <c r="V15" s="206">
        <f t="shared" si="1"/>
        <v>2115</v>
      </c>
      <c r="W15" s="206">
        <f t="shared" si="2"/>
        <v>2235</v>
      </c>
    </row>
    <row r="16" spans="1:23" ht="24.95" hidden="1" customHeight="1">
      <c r="A16" s="204" t="s">
        <v>2239</v>
      </c>
      <c r="B16" s="261" t="s">
        <v>2238</v>
      </c>
      <c r="C16" s="204">
        <v>240</v>
      </c>
      <c r="D16" s="204">
        <v>360</v>
      </c>
      <c r="E16" s="204">
        <v>480</v>
      </c>
      <c r="F16" s="205" t="s">
        <v>1795</v>
      </c>
      <c r="G16" s="205" t="s">
        <v>1797</v>
      </c>
      <c r="H16" s="205" t="s">
        <v>1797</v>
      </c>
      <c r="I16" s="204" t="s">
        <v>2237</v>
      </c>
      <c r="J16" s="205">
        <v>10</v>
      </c>
      <c r="K16" s="205">
        <v>15</v>
      </c>
      <c r="L16" s="205">
        <v>15</v>
      </c>
      <c r="M16" s="204">
        <v>30</v>
      </c>
      <c r="N16" s="205">
        <v>500</v>
      </c>
      <c r="O16" s="204">
        <v>300</v>
      </c>
      <c r="P16" s="204" t="s">
        <v>1145</v>
      </c>
      <c r="Q16" s="205" t="s">
        <v>1161</v>
      </c>
      <c r="R16" s="204">
        <v>50</v>
      </c>
      <c r="S16" s="204">
        <v>100</v>
      </c>
      <c r="T16" s="204">
        <v>100</v>
      </c>
      <c r="U16" s="206">
        <f t="shared" si="0"/>
        <v>1570</v>
      </c>
      <c r="V16" s="206">
        <f t="shared" si="1"/>
        <v>2115</v>
      </c>
      <c r="W16" s="206">
        <f t="shared" si="2"/>
        <v>2235</v>
      </c>
    </row>
    <row r="17" spans="1:23" ht="24.95" hidden="1" customHeight="1">
      <c r="A17" s="204" t="s">
        <v>1162</v>
      </c>
      <c r="B17" s="205"/>
      <c r="C17" s="204">
        <v>280</v>
      </c>
      <c r="D17" s="204">
        <v>410</v>
      </c>
      <c r="E17" s="204">
        <v>410</v>
      </c>
      <c r="F17" s="205" t="s">
        <v>1849</v>
      </c>
      <c r="G17" s="205" t="s">
        <v>1850</v>
      </c>
      <c r="H17" s="205" t="s">
        <v>1850</v>
      </c>
      <c r="I17" s="204"/>
      <c r="J17" s="205"/>
      <c r="K17" s="205"/>
      <c r="L17" s="205"/>
      <c r="M17" s="204">
        <v>80</v>
      </c>
      <c r="N17" s="205">
        <v>450</v>
      </c>
      <c r="O17" s="204">
        <v>300</v>
      </c>
      <c r="P17" s="204">
        <v>300</v>
      </c>
      <c r="Q17" s="205" t="s">
        <v>1160</v>
      </c>
      <c r="R17" s="204"/>
      <c r="S17" s="204"/>
      <c r="T17" s="204"/>
      <c r="U17" s="206">
        <f t="shared" si="0"/>
        <v>1471</v>
      </c>
      <c r="V17" s="206">
        <f t="shared" si="1"/>
        <v>1932</v>
      </c>
      <c r="W17" s="206">
        <f t="shared" si="2"/>
        <v>1932</v>
      </c>
    </row>
    <row r="18" spans="1:23" ht="24.95" hidden="1" customHeight="1">
      <c r="A18" s="204" t="s">
        <v>1163</v>
      </c>
      <c r="B18" s="205"/>
      <c r="C18" s="204" t="s">
        <v>2413</v>
      </c>
      <c r="D18" s="204">
        <v>420</v>
      </c>
      <c r="E18" s="204">
        <v>420</v>
      </c>
      <c r="F18" s="205" t="s">
        <v>2236</v>
      </c>
      <c r="G18" s="205" t="s">
        <v>2235</v>
      </c>
      <c r="H18" s="205" t="s">
        <v>2235</v>
      </c>
      <c r="I18" s="204"/>
      <c r="J18" s="205">
        <v>20</v>
      </c>
      <c r="K18" s="205">
        <v>30</v>
      </c>
      <c r="L18" s="205">
        <v>30</v>
      </c>
      <c r="M18" s="204">
        <v>40</v>
      </c>
      <c r="N18" s="205">
        <v>450</v>
      </c>
      <c r="O18" s="204" t="s">
        <v>2148</v>
      </c>
      <c r="P18" s="204">
        <v>300</v>
      </c>
      <c r="Q18" s="205" t="s">
        <v>2150</v>
      </c>
      <c r="R18" s="204"/>
      <c r="S18" s="204"/>
      <c r="T18" s="204"/>
      <c r="U18" s="206">
        <f t="shared" si="0"/>
        <v>1489</v>
      </c>
      <c r="V18" s="206">
        <f t="shared" si="1"/>
        <v>1946</v>
      </c>
      <c r="W18" s="206">
        <f t="shared" si="2"/>
        <v>1946</v>
      </c>
    </row>
    <row r="19" spans="1:23" ht="24.95" hidden="1" customHeight="1">
      <c r="A19" s="204" t="s">
        <v>2234</v>
      </c>
      <c r="B19" s="205"/>
      <c r="C19" s="204" t="s">
        <v>2233</v>
      </c>
      <c r="D19" s="204" t="s">
        <v>2232</v>
      </c>
      <c r="E19" s="204" t="s">
        <v>2232</v>
      </c>
      <c r="F19" s="205" t="s">
        <v>1846</v>
      </c>
      <c r="G19" s="205" t="s">
        <v>1797</v>
      </c>
      <c r="H19" s="205" t="s">
        <v>1797</v>
      </c>
      <c r="I19" s="204"/>
      <c r="J19" s="205"/>
      <c r="K19" s="205"/>
      <c r="L19" s="205"/>
      <c r="M19" s="204"/>
      <c r="N19" s="205" t="s">
        <v>2201</v>
      </c>
      <c r="O19" s="204" t="s">
        <v>2140</v>
      </c>
      <c r="P19" s="204" t="s">
        <v>2224</v>
      </c>
      <c r="Q19" s="205" t="s">
        <v>2150</v>
      </c>
      <c r="R19" s="204"/>
      <c r="S19" s="204"/>
      <c r="T19" s="204"/>
      <c r="U19" s="206">
        <f t="shared" si="0"/>
        <v>1400</v>
      </c>
      <c r="V19" s="206">
        <f t="shared" si="1"/>
        <v>1880</v>
      </c>
      <c r="W19" s="206">
        <f t="shared" si="2"/>
        <v>1880</v>
      </c>
    </row>
    <row r="20" spans="1:23" ht="24.95" hidden="1" customHeight="1">
      <c r="A20" s="204" t="s">
        <v>3884</v>
      </c>
      <c r="B20" s="205"/>
      <c r="C20" s="204" t="s">
        <v>3885</v>
      </c>
      <c r="D20" s="204" t="s">
        <v>3886</v>
      </c>
      <c r="E20" s="204" t="s">
        <v>3887</v>
      </c>
      <c r="F20" s="205" t="s">
        <v>3888</v>
      </c>
      <c r="G20" s="205" t="s">
        <v>3889</v>
      </c>
      <c r="H20" s="205" t="s">
        <v>3889</v>
      </c>
      <c r="I20" s="204"/>
      <c r="J20" s="205"/>
      <c r="K20" s="205"/>
      <c r="L20" s="205"/>
      <c r="M20" s="204"/>
      <c r="N20" s="205" t="s">
        <v>3890</v>
      </c>
      <c r="O20" s="204" t="s">
        <v>3891</v>
      </c>
      <c r="P20" s="204" t="s">
        <v>3891</v>
      </c>
      <c r="Q20" s="205" t="s">
        <v>1160</v>
      </c>
      <c r="R20" s="204"/>
      <c r="S20" s="204"/>
      <c r="T20" s="204"/>
      <c r="U20" s="206">
        <f t="shared" si="0"/>
        <v>1495</v>
      </c>
      <c r="V20" s="206">
        <f t="shared" si="1"/>
        <v>2032</v>
      </c>
      <c r="W20" s="206">
        <f t="shared" si="2"/>
        <v>2032</v>
      </c>
    </row>
    <row r="21" spans="1:23" ht="24.95" hidden="1" customHeight="1">
      <c r="A21" s="204" t="s">
        <v>2231</v>
      </c>
      <c r="B21" s="205"/>
      <c r="C21" s="204">
        <v>240</v>
      </c>
      <c r="D21" s="204">
        <v>370</v>
      </c>
      <c r="E21" s="204">
        <v>370</v>
      </c>
      <c r="F21" s="205" t="s">
        <v>2230</v>
      </c>
      <c r="G21" s="205" t="s">
        <v>2229</v>
      </c>
      <c r="H21" s="205" t="s">
        <v>2229</v>
      </c>
      <c r="I21" s="204"/>
      <c r="J21" s="205">
        <v>20</v>
      </c>
      <c r="K21" s="205">
        <v>30</v>
      </c>
      <c r="L21" s="205">
        <v>30</v>
      </c>
      <c r="M21" s="204">
        <v>60</v>
      </c>
      <c r="N21" s="205">
        <v>450</v>
      </c>
      <c r="O21" s="204" t="s">
        <v>2146</v>
      </c>
      <c r="P21" s="204">
        <v>500</v>
      </c>
      <c r="Q21" s="205" t="s">
        <v>2150</v>
      </c>
      <c r="R21" s="204"/>
      <c r="S21" s="204"/>
      <c r="T21" s="204"/>
      <c r="U21" s="206">
        <f t="shared" si="0"/>
        <v>1520</v>
      </c>
      <c r="V21" s="206">
        <f t="shared" si="1"/>
        <v>2016</v>
      </c>
      <c r="W21" s="206">
        <f t="shared" si="2"/>
        <v>2016</v>
      </c>
    </row>
    <row r="22" spans="1:23" ht="24.95" hidden="1" customHeight="1">
      <c r="A22" s="204" t="s">
        <v>2228</v>
      </c>
      <c r="B22" s="205"/>
      <c r="C22" s="204">
        <v>240</v>
      </c>
      <c r="D22" s="204">
        <v>360</v>
      </c>
      <c r="E22" s="204">
        <v>360</v>
      </c>
      <c r="F22" s="205" t="s">
        <v>1853</v>
      </c>
      <c r="G22" s="205" t="s">
        <v>2227</v>
      </c>
      <c r="H22" s="205" t="s">
        <v>2227</v>
      </c>
      <c r="I22" s="204"/>
      <c r="J22" s="205"/>
      <c r="K22" s="205"/>
      <c r="L22" s="205"/>
      <c r="M22" s="204"/>
      <c r="N22" s="205">
        <v>450</v>
      </c>
      <c r="O22" s="204" t="s">
        <v>2140</v>
      </c>
      <c r="P22" s="204" t="s">
        <v>2226</v>
      </c>
      <c r="Q22" s="205" t="s">
        <v>2143</v>
      </c>
      <c r="R22" s="204"/>
      <c r="S22" s="204"/>
      <c r="T22" s="204"/>
      <c r="U22" s="206">
        <f t="shared" si="0"/>
        <v>1375</v>
      </c>
      <c r="V22" s="206">
        <f t="shared" si="1"/>
        <v>1865</v>
      </c>
      <c r="W22" s="206">
        <f t="shared" si="2"/>
        <v>1865</v>
      </c>
    </row>
    <row r="23" spans="1:23" ht="24.95" hidden="1" customHeight="1">
      <c r="A23" s="204" t="s">
        <v>2173</v>
      </c>
      <c r="B23" s="205"/>
      <c r="C23" s="204">
        <v>250</v>
      </c>
      <c r="D23" s="204">
        <v>400</v>
      </c>
      <c r="E23" s="204">
        <v>400</v>
      </c>
      <c r="F23" s="205" t="s">
        <v>1846</v>
      </c>
      <c r="G23" s="205" t="s">
        <v>1797</v>
      </c>
      <c r="H23" s="205" t="s">
        <v>1797</v>
      </c>
      <c r="I23" s="204">
        <v>30</v>
      </c>
      <c r="J23" s="205"/>
      <c r="K23" s="205"/>
      <c r="L23" s="205"/>
      <c r="M23" s="204">
        <v>10</v>
      </c>
      <c r="N23" s="205">
        <v>450</v>
      </c>
      <c r="O23" s="204" t="s">
        <v>2148</v>
      </c>
      <c r="P23" s="204">
        <v>300</v>
      </c>
      <c r="Q23" s="205" t="s">
        <v>2150</v>
      </c>
      <c r="R23" s="204"/>
      <c r="S23" s="204"/>
      <c r="T23" s="204"/>
      <c r="U23" s="206">
        <f t="shared" si="0"/>
        <v>1430</v>
      </c>
      <c r="V23" s="206">
        <f t="shared" si="1"/>
        <v>1940</v>
      </c>
      <c r="W23" s="206">
        <f t="shared" si="2"/>
        <v>1940</v>
      </c>
    </row>
    <row r="24" spans="1:23" ht="24.95" hidden="1" customHeight="1">
      <c r="A24" s="204" t="s">
        <v>2173</v>
      </c>
      <c r="B24" s="205" t="s">
        <v>2225</v>
      </c>
      <c r="C24" s="204">
        <v>250</v>
      </c>
      <c r="D24" s="204">
        <v>400</v>
      </c>
      <c r="E24" s="204">
        <v>400</v>
      </c>
      <c r="F24" s="205" t="s">
        <v>1846</v>
      </c>
      <c r="G24" s="205" t="s">
        <v>1797</v>
      </c>
      <c r="H24" s="205" t="s">
        <v>1797</v>
      </c>
      <c r="I24" s="204">
        <v>30</v>
      </c>
      <c r="J24" s="205"/>
      <c r="K24" s="205"/>
      <c r="L24" s="205"/>
      <c r="M24" s="204">
        <v>10</v>
      </c>
      <c r="N24" s="205">
        <v>450</v>
      </c>
      <c r="O24" s="204" t="s">
        <v>2224</v>
      </c>
      <c r="P24" s="204">
        <v>100</v>
      </c>
      <c r="Q24" s="205" t="s">
        <v>2150</v>
      </c>
      <c r="R24" s="204"/>
      <c r="S24" s="204"/>
      <c r="T24" s="204"/>
      <c r="U24" s="206">
        <f t="shared" si="0"/>
        <v>1430</v>
      </c>
      <c r="V24" s="206">
        <f t="shared" si="1"/>
        <v>1940</v>
      </c>
      <c r="W24" s="206">
        <f t="shared" si="2"/>
        <v>1940</v>
      </c>
    </row>
    <row r="25" spans="1:23" ht="24.95" hidden="1" customHeight="1">
      <c r="A25" s="204" t="s">
        <v>2173</v>
      </c>
      <c r="B25" s="205" t="s">
        <v>2155</v>
      </c>
      <c r="C25" s="204">
        <v>250</v>
      </c>
      <c r="D25" s="204">
        <v>400</v>
      </c>
      <c r="E25" s="204">
        <v>400</v>
      </c>
      <c r="F25" s="205" t="s">
        <v>1846</v>
      </c>
      <c r="G25" s="205" t="s">
        <v>1797</v>
      </c>
      <c r="H25" s="205" t="s">
        <v>1797</v>
      </c>
      <c r="I25" s="204">
        <v>30</v>
      </c>
      <c r="J25" s="205"/>
      <c r="K25" s="205"/>
      <c r="L25" s="205"/>
      <c r="M25" s="204">
        <v>10</v>
      </c>
      <c r="N25" s="205">
        <v>450</v>
      </c>
      <c r="O25" s="204" t="s">
        <v>2140</v>
      </c>
      <c r="P25" s="204" t="s">
        <v>2140</v>
      </c>
      <c r="Q25" s="205" t="s">
        <v>2150</v>
      </c>
      <c r="R25" s="204"/>
      <c r="S25" s="204"/>
      <c r="T25" s="204"/>
      <c r="U25" s="206">
        <f t="shared" si="0"/>
        <v>1430</v>
      </c>
      <c r="V25" s="206">
        <f t="shared" si="1"/>
        <v>1940</v>
      </c>
      <c r="W25" s="206">
        <f t="shared" si="2"/>
        <v>1940</v>
      </c>
    </row>
    <row r="26" spans="1:23" ht="24.95" hidden="1" customHeight="1">
      <c r="A26" s="204" t="s">
        <v>2172</v>
      </c>
      <c r="B26" s="205"/>
      <c r="C26" s="204">
        <v>260</v>
      </c>
      <c r="D26" s="204" t="s">
        <v>2257</v>
      </c>
      <c r="E26" s="204" t="s">
        <v>2257</v>
      </c>
      <c r="F26" s="205" t="s">
        <v>2171</v>
      </c>
      <c r="G26" s="205" t="s">
        <v>2170</v>
      </c>
      <c r="H26" s="205" t="s">
        <v>2170</v>
      </c>
      <c r="I26" s="204">
        <v>20</v>
      </c>
      <c r="J26" s="205"/>
      <c r="K26" s="205"/>
      <c r="L26" s="205"/>
      <c r="M26" s="204">
        <v>20</v>
      </c>
      <c r="N26" s="205">
        <v>400</v>
      </c>
      <c r="O26" s="204" t="s">
        <v>2149</v>
      </c>
      <c r="P26" s="204">
        <v>200</v>
      </c>
      <c r="Q26" s="205" t="s">
        <v>2150</v>
      </c>
      <c r="R26" s="204"/>
      <c r="S26" s="204"/>
      <c r="T26" s="204"/>
      <c r="U26" s="206">
        <f t="shared" si="0"/>
        <v>1386</v>
      </c>
      <c r="V26" s="206">
        <f t="shared" si="1"/>
        <v>1792</v>
      </c>
      <c r="W26" s="206">
        <f t="shared" si="2"/>
        <v>1792</v>
      </c>
    </row>
    <row r="27" spans="1:23" ht="24.95" customHeight="1">
      <c r="A27" s="204" t="s">
        <v>2169</v>
      </c>
      <c r="B27" s="205"/>
      <c r="C27" s="204">
        <v>315</v>
      </c>
      <c r="D27" s="204">
        <v>470</v>
      </c>
      <c r="E27" s="204">
        <v>470</v>
      </c>
      <c r="F27" s="205" t="s">
        <v>2147</v>
      </c>
      <c r="G27" s="205" t="s">
        <v>1851</v>
      </c>
      <c r="H27" s="205" t="s">
        <v>1851</v>
      </c>
      <c r="I27" s="204"/>
      <c r="J27" s="205"/>
      <c r="K27" s="205"/>
      <c r="L27" s="205"/>
      <c r="M27" s="204">
        <v>40</v>
      </c>
      <c r="N27" s="205">
        <v>450</v>
      </c>
      <c r="O27" s="204" t="s">
        <v>2149</v>
      </c>
      <c r="P27" s="204">
        <v>200</v>
      </c>
      <c r="Q27" s="205" t="s">
        <v>2143</v>
      </c>
      <c r="R27" s="204"/>
      <c r="S27" s="204"/>
      <c r="T27" s="204"/>
      <c r="U27" s="206">
        <f t="shared" si="0"/>
        <v>1470</v>
      </c>
      <c r="V27" s="206">
        <f t="shared" si="1"/>
        <v>1957</v>
      </c>
      <c r="W27" s="206">
        <f t="shared" si="2"/>
        <v>1957</v>
      </c>
    </row>
    <row r="28" spans="1:23" ht="24.95" hidden="1" customHeight="1">
      <c r="A28" s="204" t="s">
        <v>2168</v>
      </c>
      <c r="B28" s="205"/>
      <c r="C28" s="204" t="s">
        <v>2232</v>
      </c>
      <c r="D28" s="204" t="s">
        <v>2424</v>
      </c>
      <c r="E28" s="204" t="s">
        <v>2424</v>
      </c>
      <c r="F28" s="205">
        <v>750</v>
      </c>
      <c r="G28" s="205">
        <v>1100</v>
      </c>
      <c r="H28" s="205">
        <v>1100</v>
      </c>
      <c r="I28" s="204"/>
      <c r="J28" s="205"/>
      <c r="K28" s="205"/>
      <c r="L28" s="205"/>
      <c r="M28" s="204"/>
      <c r="N28" s="205">
        <v>500</v>
      </c>
      <c r="O28" s="204" t="s">
        <v>2146</v>
      </c>
      <c r="P28" s="204" t="s">
        <v>2146</v>
      </c>
      <c r="Q28" s="205" t="s">
        <v>2143</v>
      </c>
      <c r="R28" s="204"/>
      <c r="S28" s="204"/>
      <c r="T28" s="204"/>
      <c r="U28" s="206">
        <f t="shared" si="0"/>
        <v>1630</v>
      </c>
      <c r="V28" s="206">
        <f t="shared" si="1"/>
        <v>2080</v>
      </c>
      <c r="W28" s="206">
        <f t="shared" si="2"/>
        <v>2080</v>
      </c>
    </row>
    <row r="29" spans="1:23" ht="24.95" hidden="1" customHeight="1">
      <c r="A29" s="204" t="s">
        <v>2167</v>
      </c>
      <c r="B29" s="205"/>
      <c r="C29" s="204">
        <v>240</v>
      </c>
      <c r="D29" s="204">
        <v>360</v>
      </c>
      <c r="E29" s="204">
        <v>360</v>
      </c>
      <c r="F29" s="205" t="s">
        <v>1795</v>
      </c>
      <c r="G29" s="205" t="s">
        <v>2166</v>
      </c>
      <c r="H29" s="205" t="s">
        <v>2166</v>
      </c>
      <c r="I29" s="204"/>
      <c r="J29" s="205">
        <v>20</v>
      </c>
      <c r="K29" s="205">
        <v>30</v>
      </c>
      <c r="L29" s="205">
        <v>30</v>
      </c>
      <c r="M29" s="204" t="s">
        <v>2161</v>
      </c>
      <c r="N29" s="205">
        <v>450</v>
      </c>
      <c r="O29" s="204" t="s">
        <v>2148</v>
      </c>
      <c r="P29" s="204">
        <v>300</v>
      </c>
      <c r="Q29" s="205" t="s">
        <v>2143</v>
      </c>
      <c r="R29" s="204"/>
      <c r="S29" s="204"/>
      <c r="T29" s="204"/>
      <c r="U29" s="206">
        <f t="shared" si="0"/>
        <v>1420</v>
      </c>
      <c r="V29" s="206">
        <f t="shared" si="1"/>
        <v>1900</v>
      </c>
      <c r="W29" s="206">
        <f t="shared" si="2"/>
        <v>1900</v>
      </c>
    </row>
    <row r="30" spans="1:23" ht="24.95" hidden="1" customHeight="1">
      <c r="A30" s="204" t="s">
        <v>2165</v>
      </c>
      <c r="B30" s="205"/>
      <c r="C30" s="204" t="s">
        <v>2415</v>
      </c>
      <c r="D30" s="204" t="s">
        <v>2232</v>
      </c>
      <c r="E30" s="204" t="s">
        <v>2232</v>
      </c>
      <c r="F30" s="205" t="s">
        <v>2164</v>
      </c>
      <c r="G30" s="205" t="s">
        <v>2163</v>
      </c>
      <c r="H30" s="205" t="s">
        <v>2163</v>
      </c>
      <c r="I30" s="204"/>
      <c r="J30" s="205"/>
      <c r="K30" s="205"/>
      <c r="L30" s="205"/>
      <c r="M30" s="204"/>
      <c r="N30" s="205" t="s">
        <v>2414</v>
      </c>
      <c r="O30" s="204" t="s">
        <v>2162</v>
      </c>
      <c r="P30" s="204">
        <v>150</v>
      </c>
      <c r="Q30" s="205" t="s">
        <v>2150</v>
      </c>
      <c r="R30" s="204"/>
      <c r="S30" s="204"/>
      <c r="T30" s="204"/>
      <c r="U30" s="206">
        <f t="shared" si="0"/>
        <v>1356</v>
      </c>
      <c r="V30" s="206">
        <f t="shared" si="1"/>
        <v>1831</v>
      </c>
      <c r="W30" s="206">
        <f t="shared" si="2"/>
        <v>1831</v>
      </c>
    </row>
    <row r="31" spans="1:23" ht="24.95" hidden="1" customHeight="1">
      <c r="A31" s="204" t="s">
        <v>2160</v>
      </c>
      <c r="B31" s="205"/>
      <c r="C31" s="204">
        <v>270</v>
      </c>
      <c r="D31" s="204">
        <v>400</v>
      </c>
      <c r="E31" s="204">
        <v>400</v>
      </c>
      <c r="F31" s="205" t="s">
        <v>1846</v>
      </c>
      <c r="G31" s="205" t="s">
        <v>1797</v>
      </c>
      <c r="H31" s="205" t="s">
        <v>1797</v>
      </c>
      <c r="I31" s="204"/>
      <c r="J31" s="205"/>
      <c r="K31" s="205"/>
      <c r="L31" s="205"/>
      <c r="M31" s="204" t="s">
        <v>2161</v>
      </c>
      <c r="N31" s="205">
        <v>450</v>
      </c>
      <c r="O31" s="204" t="s">
        <v>2148</v>
      </c>
      <c r="P31" s="204">
        <v>300</v>
      </c>
      <c r="Q31" s="205" t="s">
        <v>2150</v>
      </c>
      <c r="R31" s="204"/>
      <c r="S31" s="204"/>
      <c r="T31" s="204"/>
      <c r="U31" s="206">
        <f t="shared" si="0"/>
        <v>1440</v>
      </c>
      <c r="V31" s="206">
        <f t="shared" si="1"/>
        <v>1930</v>
      </c>
      <c r="W31" s="206">
        <f t="shared" si="2"/>
        <v>1930</v>
      </c>
    </row>
    <row r="32" spans="1:23" ht="24.95" hidden="1" customHeight="1">
      <c r="A32" s="204" t="s">
        <v>2160</v>
      </c>
      <c r="B32" s="261" t="s">
        <v>2152</v>
      </c>
      <c r="C32" s="204">
        <v>270</v>
      </c>
      <c r="D32" s="204">
        <v>400</v>
      </c>
      <c r="E32" s="204">
        <v>400</v>
      </c>
      <c r="F32" s="205" t="s">
        <v>1846</v>
      </c>
      <c r="G32" s="205" t="s">
        <v>1797</v>
      </c>
      <c r="H32" s="205" t="s">
        <v>1797</v>
      </c>
      <c r="I32" s="204"/>
      <c r="J32" s="205"/>
      <c r="K32" s="205"/>
      <c r="L32" s="205"/>
      <c r="M32" s="204" t="s">
        <v>2159</v>
      </c>
      <c r="N32" s="205">
        <v>450</v>
      </c>
      <c r="O32" s="204" t="s">
        <v>2148</v>
      </c>
      <c r="P32" s="204">
        <v>300</v>
      </c>
      <c r="Q32" s="205" t="s">
        <v>2150</v>
      </c>
      <c r="R32" s="204"/>
      <c r="S32" s="204"/>
      <c r="T32" s="204"/>
      <c r="U32" s="206">
        <f t="shared" si="0"/>
        <v>1420</v>
      </c>
      <c r="V32" s="206">
        <f t="shared" si="1"/>
        <v>1910</v>
      </c>
      <c r="W32" s="206">
        <f t="shared" si="2"/>
        <v>1910</v>
      </c>
    </row>
    <row r="33" spans="1:23" ht="24.95" hidden="1" customHeight="1">
      <c r="A33" s="204" t="s">
        <v>2223</v>
      </c>
      <c r="B33" s="205"/>
      <c r="C33" s="204" t="s">
        <v>2144</v>
      </c>
      <c r="D33" s="204" t="s">
        <v>2146</v>
      </c>
      <c r="E33" s="204" t="s">
        <v>2146</v>
      </c>
      <c r="F33" s="205" t="s">
        <v>2222</v>
      </c>
      <c r="G33" s="205" t="s">
        <v>2221</v>
      </c>
      <c r="H33" s="205" t="s">
        <v>2221</v>
      </c>
      <c r="I33" s="204"/>
      <c r="J33" s="205"/>
      <c r="K33" s="205"/>
      <c r="L33" s="205"/>
      <c r="M33" s="204"/>
      <c r="N33" s="205" t="s">
        <v>2146</v>
      </c>
      <c r="O33" s="204" t="s">
        <v>2207</v>
      </c>
      <c r="P33" s="204" t="s">
        <v>2207</v>
      </c>
      <c r="Q33" s="205" t="s">
        <v>2143</v>
      </c>
      <c r="R33" s="204"/>
      <c r="S33" s="204"/>
      <c r="T33" s="204"/>
      <c r="U33" s="206">
        <f t="shared" si="0"/>
        <v>1675</v>
      </c>
      <c r="V33" s="206">
        <f t="shared" si="1"/>
        <v>2100</v>
      </c>
      <c r="W33" s="206">
        <f t="shared" si="2"/>
        <v>2100</v>
      </c>
    </row>
    <row r="34" spans="1:23" ht="24.95" hidden="1" customHeight="1">
      <c r="A34" s="204" t="s">
        <v>2220</v>
      </c>
      <c r="B34" s="205"/>
      <c r="C34" s="204">
        <v>300</v>
      </c>
      <c r="D34" s="204" t="s">
        <v>2425</v>
      </c>
      <c r="E34" s="204" t="s">
        <v>2425</v>
      </c>
      <c r="F34" s="205" t="s">
        <v>1846</v>
      </c>
      <c r="G34" s="205" t="s">
        <v>1797</v>
      </c>
      <c r="H34" s="205" t="s">
        <v>1797</v>
      </c>
      <c r="I34" s="204"/>
      <c r="J34" s="205"/>
      <c r="K34" s="205"/>
      <c r="L34" s="205"/>
      <c r="M34" s="204">
        <v>100</v>
      </c>
      <c r="N34" s="205">
        <v>450</v>
      </c>
      <c r="O34" s="204" t="s">
        <v>2146</v>
      </c>
      <c r="P34" s="204">
        <v>500</v>
      </c>
      <c r="Q34" s="205" t="s">
        <v>2150</v>
      </c>
      <c r="R34" s="204"/>
      <c r="S34" s="204"/>
      <c r="T34" s="204"/>
      <c r="U34" s="206">
        <f t="shared" si="0"/>
        <v>1540</v>
      </c>
      <c r="V34" s="206">
        <f t="shared" si="1"/>
        <v>2010</v>
      </c>
      <c r="W34" s="206">
        <f t="shared" si="2"/>
        <v>2010</v>
      </c>
    </row>
    <row r="35" spans="1:23" ht="24.95" hidden="1" customHeight="1">
      <c r="A35" s="204" t="s">
        <v>2219</v>
      </c>
      <c r="B35" s="205"/>
      <c r="C35" s="204" t="s">
        <v>2218</v>
      </c>
      <c r="D35" s="204" t="s">
        <v>2201</v>
      </c>
      <c r="E35" s="204" t="s">
        <v>2201</v>
      </c>
      <c r="F35" s="205" t="s">
        <v>2217</v>
      </c>
      <c r="G35" s="205" t="s">
        <v>2216</v>
      </c>
      <c r="H35" s="205" t="s">
        <v>2216</v>
      </c>
      <c r="I35" s="204"/>
      <c r="J35" s="205">
        <v>20</v>
      </c>
      <c r="K35" s="205">
        <v>30</v>
      </c>
      <c r="L35" s="205">
        <v>30</v>
      </c>
      <c r="M35" s="204">
        <v>30</v>
      </c>
      <c r="N35" s="205">
        <v>450</v>
      </c>
      <c r="O35" s="204" t="s">
        <v>1173</v>
      </c>
      <c r="P35" s="204">
        <v>450</v>
      </c>
      <c r="Q35" s="205" t="s">
        <v>1161</v>
      </c>
      <c r="R35" s="204"/>
      <c r="S35" s="204"/>
      <c r="T35" s="204"/>
      <c r="U35" s="206">
        <f t="shared" si="0"/>
        <v>1443</v>
      </c>
      <c r="V35" s="206">
        <f t="shared" si="1"/>
        <v>1889</v>
      </c>
      <c r="W35" s="206">
        <f t="shared" si="2"/>
        <v>1889</v>
      </c>
    </row>
    <row r="36" spans="1:23" ht="24.95" hidden="1" customHeight="1">
      <c r="A36" s="204" t="s">
        <v>2436</v>
      </c>
      <c r="B36" s="205"/>
      <c r="C36" s="204">
        <v>250</v>
      </c>
      <c r="D36" s="204">
        <v>380</v>
      </c>
      <c r="E36" s="204">
        <v>380</v>
      </c>
      <c r="F36" s="205">
        <v>800</v>
      </c>
      <c r="G36" s="205">
        <v>1200</v>
      </c>
      <c r="H36" s="205">
        <v>1200</v>
      </c>
      <c r="I36" s="204"/>
      <c r="J36" s="205"/>
      <c r="K36" s="205"/>
      <c r="L36" s="205"/>
      <c r="M36" s="204"/>
      <c r="N36" s="205">
        <v>450</v>
      </c>
      <c r="O36" s="204" t="s">
        <v>1146</v>
      </c>
      <c r="P36" s="204">
        <v>200</v>
      </c>
      <c r="Q36" s="205" t="s">
        <v>1160</v>
      </c>
      <c r="R36" s="209"/>
      <c r="S36" s="209"/>
      <c r="T36" s="209"/>
      <c r="U36" s="206">
        <f t="shared" si="0"/>
        <v>1500</v>
      </c>
      <c r="V36" s="206">
        <f t="shared" si="1"/>
        <v>2030</v>
      </c>
      <c r="W36" s="206">
        <f t="shared" si="2"/>
        <v>2030</v>
      </c>
    </row>
    <row r="37" spans="1:23" ht="24.95" hidden="1" customHeight="1">
      <c r="A37" s="204" t="s">
        <v>1164</v>
      </c>
      <c r="B37" s="205"/>
      <c r="C37" s="204">
        <v>400</v>
      </c>
      <c r="D37" s="204">
        <v>500</v>
      </c>
      <c r="E37" s="204">
        <v>500</v>
      </c>
      <c r="F37" s="205" t="s">
        <v>1847</v>
      </c>
      <c r="G37" s="205" t="s">
        <v>1848</v>
      </c>
      <c r="H37" s="205" t="s">
        <v>1848</v>
      </c>
      <c r="I37" s="204"/>
      <c r="J37" s="205">
        <v>20</v>
      </c>
      <c r="K37" s="205">
        <v>30</v>
      </c>
      <c r="L37" s="205">
        <v>30</v>
      </c>
      <c r="M37" s="204">
        <v>50</v>
      </c>
      <c r="N37" s="205">
        <v>450</v>
      </c>
      <c r="O37" s="204" t="s">
        <v>1174</v>
      </c>
      <c r="P37" s="204">
        <v>190</v>
      </c>
      <c r="Q37" s="205" t="s">
        <v>1161</v>
      </c>
      <c r="R37" s="204"/>
      <c r="S37" s="204"/>
      <c r="T37" s="204"/>
      <c r="U37" s="206">
        <f t="shared" si="0"/>
        <v>1545</v>
      </c>
      <c r="V37" s="206">
        <f t="shared" si="1"/>
        <v>2010</v>
      </c>
      <c r="W37" s="206">
        <f t="shared" si="2"/>
        <v>2010</v>
      </c>
    </row>
    <row r="38" spans="1:23" ht="24.95" hidden="1" customHeight="1">
      <c r="A38" s="204" t="s">
        <v>1165</v>
      </c>
      <c r="B38" s="205"/>
      <c r="C38" s="204">
        <v>250</v>
      </c>
      <c r="D38" s="204">
        <v>370</v>
      </c>
      <c r="E38" s="204">
        <v>370</v>
      </c>
      <c r="F38" s="205" t="s">
        <v>2226</v>
      </c>
      <c r="G38" s="205" t="s">
        <v>3062</v>
      </c>
      <c r="H38" s="205" t="s">
        <v>3062</v>
      </c>
      <c r="I38" s="204"/>
      <c r="J38" s="205"/>
      <c r="K38" s="205"/>
      <c r="L38" s="205"/>
      <c r="M38" s="204">
        <v>40</v>
      </c>
      <c r="N38" s="205">
        <v>450</v>
      </c>
      <c r="O38" s="204" t="s">
        <v>1145</v>
      </c>
      <c r="P38" s="204">
        <v>300</v>
      </c>
      <c r="Q38" s="205" t="s">
        <v>1161</v>
      </c>
      <c r="R38" s="204"/>
      <c r="S38" s="204"/>
      <c r="T38" s="204"/>
      <c r="U38" s="206">
        <f t="shared" ref="U38:U61" si="3">C38+F38+I38+J38+M38+N38+R38</f>
        <v>1390</v>
      </c>
      <c r="V38" s="206">
        <f t="shared" ref="V38:V61" si="4">D38+G38+I38+K38+M38+N38+S38</f>
        <v>1880</v>
      </c>
      <c r="W38" s="206">
        <f t="shared" ref="W38:W61" si="5">E38+H38+I38+L38+M38+N38+T38</f>
        <v>1880</v>
      </c>
    </row>
    <row r="39" spans="1:23" ht="24.95" hidden="1" customHeight="1">
      <c r="A39" s="204" t="s">
        <v>1446</v>
      </c>
      <c r="B39" s="205"/>
      <c r="C39" s="204" t="s">
        <v>1683</v>
      </c>
      <c r="D39" s="204" t="s">
        <v>1684</v>
      </c>
      <c r="E39" s="204" t="s">
        <v>1684</v>
      </c>
      <c r="F39" s="205" t="s">
        <v>1846</v>
      </c>
      <c r="G39" s="205" t="s">
        <v>1888</v>
      </c>
      <c r="H39" s="205" t="s">
        <v>1888</v>
      </c>
      <c r="I39" s="204"/>
      <c r="J39" s="205"/>
      <c r="K39" s="205"/>
      <c r="L39" s="205"/>
      <c r="M39" s="204" t="s">
        <v>798</v>
      </c>
      <c r="N39" s="205" t="s">
        <v>1156</v>
      </c>
      <c r="O39" s="204" t="s">
        <v>1156</v>
      </c>
      <c r="P39" s="204" t="s">
        <v>1156</v>
      </c>
      <c r="Q39" s="205"/>
      <c r="R39" s="204"/>
      <c r="S39" s="204"/>
      <c r="T39" s="204"/>
      <c r="U39" s="206">
        <f t="shared" si="3"/>
        <v>1560</v>
      </c>
      <c r="V39" s="206">
        <f t="shared" si="4"/>
        <v>2110</v>
      </c>
      <c r="W39" s="206">
        <f t="shared" si="5"/>
        <v>2110</v>
      </c>
    </row>
    <row r="40" spans="1:23" ht="24.95" hidden="1" customHeight="1">
      <c r="A40" s="204" t="s">
        <v>2215</v>
      </c>
      <c r="B40" s="205"/>
      <c r="C40" s="204">
        <v>270</v>
      </c>
      <c r="D40" s="204">
        <v>400</v>
      </c>
      <c r="E40" s="204">
        <v>400</v>
      </c>
      <c r="F40" s="205" t="s">
        <v>2214</v>
      </c>
      <c r="G40" s="205" t="s">
        <v>1852</v>
      </c>
      <c r="H40" s="205" t="s">
        <v>1852</v>
      </c>
      <c r="I40" s="204">
        <v>20</v>
      </c>
      <c r="J40" s="205"/>
      <c r="K40" s="205"/>
      <c r="L40" s="205"/>
      <c r="M40" s="204">
        <v>20</v>
      </c>
      <c r="N40" s="205">
        <v>400</v>
      </c>
      <c r="O40" s="204">
        <v>200</v>
      </c>
      <c r="P40" s="204">
        <v>200</v>
      </c>
      <c r="Q40" s="205" t="s">
        <v>2150</v>
      </c>
      <c r="R40" s="204"/>
      <c r="S40" s="204"/>
      <c r="T40" s="204"/>
      <c r="U40" s="206">
        <f t="shared" si="3"/>
        <v>1389</v>
      </c>
      <c r="V40" s="206">
        <f t="shared" si="4"/>
        <v>1885</v>
      </c>
      <c r="W40" s="206">
        <f t="shared" si="5"/>
        <v>1885</v>
      </c>
    </row>
    <row r="41" spans="1:23" ht="24.95" hidden="1" customHeight="1">
      <c r="A41" s="204" t="s">
        <v>2448</v>
      </c>
      <c r="B41" s="205"/>
      <c r="C41" s="204">
        <v>250</v>
      </c>
      <c r="D41" s="204">
        <v>410</v>
      </c>
      <c r="E41" s="204">
        <v>410</v>
      </c>
      <c r="F41" s="205" t="s">
        <v>1846</v>
      </c>
      <c r="G41" s="205" t="s">
        <v>1797</v>
      </c>
      <c r="H41" s="205" t="s">
        <v>1797</v>
      </c>
      <c r="I41" s="204"/>
      <c r="J41" s="205"/>
      <c r="K41" s="205"/>
      <c r="L41" s="205"/>
      <c r="M41" s="204"/>
      <c r="N41" s="205">
        <v>450</v>
      </c>
      <c r="O41" s="204" t="s">
        <v>2148</v>
      </c>
      <c r="P41" s="204">
        <v>300</v>
      </c>
      <c r="Q41" s="205" t="s">
        <v>2143</v>
      </c>
      <c r="R41" s="204"/>
      <c r="S41" s="204"/>
      <c r="T41" s="204"/>
      <c r="U41" s="206">
        <f t="shared" si="3"/>
        <v>1390</v>
      </c>
      <c r="V41" s="206">
        <f t="shared" si="4"/>
        <v>1910</v>
      </c>
      <c r="W41" s="206">
        <f t="shared" si="5"/>
        <v>1910</v>
      </c>
    </row>
    <row r="42" spans="1:23" ht="24.95" hidden="1" customHeight="1">
      <c r="A42" s="204" t="s">
        <v>2211</v>
      </c>
      <c r="B42" s="205"/>
      <c r="C42" s="204">
        <v>290</v>
      </c>
      <c r="D42" s="204" t="s">
        <v>2416</v>
      </c>
      <c r="E42" s="204" t="s">
        <v>2416</v>
      </c>
      <c r="F42" s="205" t="s">
        <v>2213</v>
      </c>
      <c r="G42" s="205" t="s">
        <v>2212</v>
      </c>
      <c r="H42" s="205" t="s">
        <v>2212</v>
      </c>
      <c r="I42" s="204">
        <v>20</v>
      </c>
      <c r="J42" s="205"/>
      <c r="K42" s="205"/>
      <c r="L42" s="205"/>
      <c r="M42" s="204" t="s">
        <v>2450</v>
      </c>
      <c r="N42" s="205">
        <v>450</v>
      </c>
      <c r="O42" s="204" t="s">
        <v>2148</v>
      </c>
      <c r="P42" s="204">
        <v>300</v>
      </c>
      <c r="Q42" s="205" t="s">
        <v>2150</v>
      </c>
      <c r="R42" s="204"/>
      <c r="S42" s="204"/>
      <c r="T42" s="204"/>
      <c r="U42" s="206">
        <f t="shared" si="3"/>
        <v>1561</v>
      </c>
      <c r="V42" s="206">
        <f t="shared" si="4"/>
        <v>2097</v>
      </c>
      <c r="W42" s="206">
        <f t="shared" si="5"/>
        <v>2097</v>
      </c>
    </row>
    <row r="43" spans="1:23" ht="24.95" hidden="1" customHeight="1">
      <c r="A43" s="204" t="s">
        <v>3896</v>
      </c>
      <c r="B43" s="205"/>
      <c r="C43" s="869" t="s">
        <v>2218</v>
      </c>
      <c r="D43" s="869" t="s">
        <v>3898</v>
      </c>
      <c r="E43" s="869" t="s">
        <v>3898</v>
      </c>
      <c r="F43" s="869" t="s">
        <v>2245</v>
      </c>
      <c r="G43" s="869" t="s">
        <v>2244</v>
      </c>
      <c r="H43" s="869" t="s">
        <v>2244</v>
      </c>
      <c r="I43" s="204"/>
      <c r="J43" s="205"/>
      <c r="K43" s="205"/>
      <c r="L43" s="205"/>
      <c r="M43" s="204"/>
      <c r="N43" s="205" t="s">
        <v>3899</v>
      </c>
      <c r="O43" s="204" t="s">
        <v>3897</v>
      </c>
      <c r="P43" s="204" t="s">
        <v>3897</v>
      </c>
      <c r="Q43" s="205" t="s">
        <v>1160</v>
      </c>
      <c r="R43" s="204"/>
      <c r="S43" s="204"/>
      <c r="T43" s="204"/>
      <c r="U43" s="206">
        <f t="shared" ref="U43" si="6">C43+F43+I43+J43+M43+N43+R43</f>
        <v>1485</v>
      </c>
      <c r="V43" s="206">
        <f t="shared" ref="V43" si="7">D43+G43+I43+K43+M43+N43+S43</f>
        <v>1970</v>
      </c>
      <c r="W43" s="206">
        <f t="shared" ref="W43" si="8">E43+H43+I43+L43+M43+N43+T43</f>
        <v>1970</v>
      </c>
    </row>
    <row r="44" spans="1:23" ht="24.95" hidden="1" customHeight="1">
      <c r="A44" s="204" t="s">
        <v>2210</v>
      </c>
      <c r="B44" s="205"/>
      <c r="C44" s="204">
        <v>290</v>
      </c>
      <c r="D44" s="204" t="s">
        <v>2414</v>
      </c>
      <c r="E44" s="204" t="s">
        <v>2414</v>
      </c>
      <c r="F44" s="205" t="s">
        <v>2209</v>
      </c>
      <c r="G44" s="205" t="s">
        <v>2208</v>
      </c>
      <c r="H44" s="205" t="s">
        <v>2208</v>
      </c>
      <c r="I44" s="204" t="s">
        <v>2151</v>
      </c>
      <c r="J44" s="205"/>
      <c r="K44" s="205"/>
      <c r="L44" s="205"/>
      <c r="M44" s="204"/>
      <c r="N44" s="205">
        <v>450</v>
      </c>
      <c r="O44" s="204" t="s">
        <v>2207</v>
      </c>
      <c r="P44" s="204">
        <v>400</v>
      </c>
      <c r="Q44" s="205" t="s">
        <v>2150</v>
      </c>
      <c r="R44" s="204"/>
      <c r="S44" s="204"/>
      <c r="T44" s="204"/>
      <c r="U44" s="206">
        <f t="shared" si="3"/>
        <v>1505</v>
      </c>
      <c r="V44" s="206">
        <f t="shared" si="4"/>
        <v>2078</v>
      </c>
      <c r="W44" s="206">
        <f t="shared" si="5"/>
        <v>2078</v>
      </c>
    </row>
    <row r="45" spans="1:23" ht="24.95" hidden="1" customHeight="1">
      <c r="A45" s="204" t="s">
        <v>2206</v>
      </c>
      <c r="B45" s="205"/>
      <c r="C45" s="204">
        <v>270</v>
      </c>
      <c r="D45" s="204">
        <v>400</v>
      </c>
      <c r="E45" s="204">
        <v>400</v>
      </c>
      <c r="F45" s="205" t="s">
        <v>1846</v>
      </c>
      <c r="G45" s="205" t="s">
        <v>1797</v>
      </c>
      <c r="H45" s="205" t="s">
        <v>1797</v>
      </c>
      <c r="I45" s="204"/>
      <c r="J45" s="205"/>
      <c r="K45" s="205"/>
      <c r="L45" s="205"/>
      <c r="M45" s="204">
        <v>30</v>
      </c>
      <c r="N45" s="205">
        <v>450</v>
      </c>
      <c r="O45" s="204" t="s">
        <v>2148</v>
      </c>
      <c r="P45" s="204">
        <v>300</v>
      </c>
      <c r="Q45" s="205" t="s">
        <v>2143</v>
      </c>
      <c r="R45" s="204"/>
      <c r="S45" s="204"/>
      <c r="T45" s="204"/>
      <c r="U45" s="206">
        <f t="shared" si="3"/>
        <v>1440</v>
      </c>
      <c r="V45" s="206">
        <f t="shared" si="4"/>
        <v>1930</v>
      </c>
      <c r="W45" s="206">
        <f t="shared" si="5"/>
        <v>1930</v>
      </c>
    </row>
    <row r="46" spans="1:23" ht="24.95" hidden="1" customHeight="1">
      <c r="A46" s="204" t="s">
        <v>2158</v>
      </c>
      <c r="B46" s="205"/>
      <c r="C46" s="204">
        <v>450</v>
      </c>
      <c r="D46" s="204">
        <v>550</v>
      </c>
      <c r="E46" s="204">
        <v>550</v>
      </c>
      <c r="F46" s="205" t="s">
        <v>1847</v>
      </c>
      <c r="G46" s="205" t="s">
        <v>1848</v>
      </c>
      <c r="H46" s="205" t="s">
        <v>1848</v>
      </c>
      <c r="I46" s="204"/>
      <c r="J46" s="205">
        <v>20</v>
      </c>
      <c r="K46" s="205">
        <v>30</v>
      </c>
      <c r="L46" s="205">
        <v>30</v>
      </c>
      <c r="M46" s="204"/>
      <c r="N46" s="205">
        <v>450</v>
      </c>
      <c r="O46" s="204" t="s">
        <v>2157</v>
      </c>
      <c r="P46" s="204">
        <v>190</v>
      </c>
      <c r="Q46" s="205" t="s">
        <v>2150</v>
      </c>
      <c r="R46" s="204"/>
      <c r="S46" s="204"/>
      <c r="T46" s="204"/>
      <c r="U46" s="206">
        <f t="shared" si="3"/>
        <v>1545</v>
      </c>
      <c r="V46" s="206">
        <f t="shared" si="4"/>
        <v>2010</v>
      </c>
      <c r="W46" s="206">
        <f t="shared" si="5"/>
        <v>2010</v>
      </c>
    </row>
    <row r="47" spans="1:23" ht="24.95" hidden="1" customHeight="1">
      <c r="A47" s="204" t="s">
        <v>2156</v>
      </c>
      <c r="B47" s="205"/>
      <c r="C47" s="204">
        <v>275</v>
      </c>
      <c r="D47" s="204">
        <v>390</v>
      </c>
      <c r="E47" s="204">
        <v>390</v>
      </c>
      <c r="F47" s="205" t="s">
        <v>1846</v>
      </c>
      <c r="G47" s="205" t="s">
        <v>1797</v>
      </c>
      <c r="H47" s="205" t="s">
        <v>1797</v>
      </c>
      <c r="I47" s="204"/>
      <c r="J47" s="205"/>
      <c r="K47" s="205"/>
      <c r="L47" s="205"/>
      <c r="M47" s="204"/>
      <c r="N47" s="205">
        <v>450</v>
      </c>
      <c r="O47" s="204" t="s">
        <v>2148</v>
      </c>
      <c r="P47" s="204">
        <v>300</v>
      </c>
      <c r="Q47" s="205" t="s">
        <v>2150</v>
      </c>
      <c r="R47" s="204"/>
      <c r="S47" s="204"/>
      <c r="T47" s="204"/>
      <c r="U47" s="206">
        <f t="shared" si="3"/>
        <v>1415</v>
      </c>
      <c r="V47" s="206">
        <f t="shared" si="4"/>
        <v>1890</v>
      </c>
      <c r="W47" s="206">
        <f t="shared" si="5"/>
        <v>1890</v>
      </c>
    </row>
    <row r="48" spans="1:23" ht="24.95" hidden="1" customHeight="1">
      <c r="A48" s="204" t="s">
        <v>2156</v>
      </c>
      <c r="B48" s="205" t="s">
        <v>2155</v>
      </c>
      <c r="C48" s="204">
        <v>275</v>
      </c>
      <c r="D48" s="204">
        <v>390</v>
      </c>
      <c r="E48" s="204">
        <v>390</v>
      </c>
      <c r="F48" s="205" t="s">
        <v>1846</v>
      </c>
      <c r="G48" s="205" t="s">
        <v>1797</v>
      </c>
      <c r="H48" s="205" t="s">
        <v>1797</v>
      </c>
      <c r="I48" s="204"/>
      <c r="J48" s="205"/>
      <c r="K48" s="205"/>
      <c r="L48" s="205"/>
      <c r="M48" s="204"/>
      <c r="N48" s="205">
        <v>450</v>
      </c>
      <c r="O48" s="204" t="s">
        <v>2148</v>
      </c>
      <c r="P48" s="204">
        <v>500</v>
      </c>
      <c r="Q48" s="205" t="s">
        <v>2150</v>
      </c>
      <c r="R48" s="204"/>
      <c r="S48" s="204"/>
      <c r="T48" s="204"/>
      <c r="U48" s="206">
        <f t="shared" si="3"/>
        <v>1415</v>
      </c>
      <c r="V48" s="206">
        <f t="shared" si="4"/>
        <v>1890</v>
      </c>
      <c r="W48" s="206">
        <f t="shared" si="5"/>
        <v>1890</v>
      </c>
    </row>
    <row r="49" spans="1:23" ht="24.95" hidden="1" customHeight="1">
      <c r="A49" s="204" t="s">
        <v>2154</v>
      </c>
      <c r="B49" s="205"/>
      <c r="C49" s="204" t="s">
        <v>2153</v>
      </c>
      <c r="D49" s="204" t="s">
        <v>2205</v>
      </c>
      <c r="E49" s="204" t="s">
        <v>2205</v>
      </c>
      <c r="F49" s="205" t="s">
        <v>2204</v>
      </c>
      <c r="G49" s="205" t="s">
        <v>2203</v>
      </c>
      <c r="H49" s="205" t="s">
        <v>2203</v>
      </c>
      <c r="I49" s="204" t="s">
        <v>2202</v>
      </c>
      <c r="J49" s="205"/>
      <c r="K49" s="205"/>
      <c r="L49" s="205"/>
      <c r="M49" s="204" t="s">
        <v>2161</v>
      </c>
      <c r="N49" s="205" t="s">
        <v>2201</v>
      </c>
      <c r="O49" s="204" t="s">
        <v>2144</v>
      </c>
      <c r="P49" s="204" t="s">
        <v>2144</v>
      </c>
      <c r="Q49" s="205" t="s">
        <v>2150</v>
      </c>
      <c r="R49" s="204"/>
      <c r="S49" s="204"/>
      <c r="T49" s="204"/>
      <c r="U49" s="206">
        <f t="shared" si="3"/>
        <v>1488</v>
      </c>
      <c r="V49" s="206">
        <f t="shared" si="4"/>
        <v>1926</v>
      </c>
      <c r="W49" s="206">
        <f t="shared" si="5"/>
        <v>1926</v>
      </c>
    </row>
    <row r="50" spans="1:23" ht="24.95" hidden="1" customHeight="1">
      <c r="A50" s="204" t="s">
        <v>2200</v>
      </c>
      <c r="B50" s="205"/>
      <c r="C50" s="204">
        <v>270</v>
      </c>
      <c r="D50" s="204">
        <v>410</v>
      </c>
      <c r="E50" s="204">
        <v>410</v>
      </c>
      <c r="F50" s="205" t="s">
        <v>1853</v>
      </c>
      <c r="G50" s="205" t="s">
        <v>1852</v>
      </c>
      <c r="H50" s="205" t="s">
        <v>1852</v>
      </c>
      <c r="I50" s="204"/>
      <c r="J50" s="205"/>
      <c r="K50" s="205"/>
      <c r="L50" s="205"/>
      <c r="M50" s="204" t="s">
        <v>2451</v>
      </c>
      <c r="N50" s="205">
        <v>450</v>
      </c>
      <c r="O50" s="204" t="s">
        <v>1172</v>
      </c>
      <c r="P50" s="204">
        <v>100</v>
      </c>
      <c r="Q50" s="205" t="s">
        <v>1161</v>
      </c>
      <c r="R50" s="204"/>
      <c r="S50" s="204"/>
      <c r="T50" s="204"/>
      <c r="U50" s="206">
        <f t="shared" si="3"/>
        <v>1435</v>
      </c>
      <c r="V50" s="206">
        <f t="shared" si="4"/>
        <v>1935</v>
      </c>
      <c r="W50" s="206">
        <f t="shared" si="5"/>
        <v>1935</v>
      </c>
    </row>
    <row r="51" spans="1:23" ht="24.95" hidden="1" customHeight="1">
      <c r="A51" s="208" t="s">
        <v>1167</v>
      </c>
      <c r="B51" s="205"/>
      <c r="C51" s="204">
        <v>270</v>
      </c>
      <c r="D51" s="204">
        <v>400</v>
      </c>
      <c r="E51" s="204">
        <v>400</v>
      </c>
      <c r="F51" s="205" t="s">
        <v>1846</v>
      </c>
      <c r="G51" s="205" t="s">
        <v>1797</v>
      </c>
      <c r="H51" s="205" t="s">
        <v>1797</v>
      </c>
      <c r="I51" s="204"/>
      <c r="J51" s="205"/>
      <c r="K51" s="205"/>
      <c r="L51" s="205"/>
      <c r="M51" s="204"/>
      <c r="N51" s="205">
        <v>450</v>
      </c>
      <c r="O51" s="204" t="s">
        <v>1148</v>
      </c>
      <c r="P51" s="204">
        <v>100</v>
      </c>
      <c r="Q51" s="205" t="s">
        <v>1160</v>
      </c>
      <c r="R51" s="204"/>
      <c r="S51" s="204"/>
      <c r="T51" s="204"/>
      <c r="U51" s="206">
        <f t="shared" si="3"/>
        <v>1410</v>
      </c>
      <c r="V51" s="206">
        <f t="shared" si="4"/>
        <v>1900</v>
      </c>
      <c r="W51" s="206">
        <f t="shared" si="5"/>
        <v>1900</v>
      </c>
    </row>
    <row r="52" spans="1:23" ht="24.95" hidden="1" customHeight="1">
      <c r="A52" s="204" t="s">
        <v>1168</v>
      </c>
      <c r="B52" s="205"/>
      <c r="C52" s="204">
        <v>240</v>
      </c>
      <c r="D52" s="204">
        <v>360</v>
      </c>
      <c r="E52" s="204">
        <v>360</v>
      </c>
      <c r="F52" s="205" t="s">
        <v>1853</v>
      </c>
      <c r="G52" s="205" t="s">
        <v>1797</v>
      </c>
      <c r="H52" s="205" t="s">
        <v>1797</v>
      </c>
      <c r="I52" s="204"/>
      <c r="J52" s="205"/>
      <c r="K52" s="205"/>
      <c r="L52" s="205"/>
      <c r="M52" s="204"/>
      <c r="N52" s="205">
        <v>450</v>
      </c>
      <c r="O52" s="204" t="s">
        <v>2199</v>
      </c>
      <c r="P52" s="204">
        <v>100</v>
      </c>
      <c r="Q52" s="205" t="s">
        <v>2194</v>
      </c>
      <c r="R52" s="204"/>
      <c r="S52" s="204"/>
      <c r="T52" s="204"/>
      <c r="U52" s="206">
        <f t="shared" si="3"/>
        <v>1375</v>
      </c>
      <c r="V52" s="206">
        <f t="shared" si="4"/>
        <v>1860</v>
      </c>
      <c r="W52" s="206">
        <f t="shared" si="5"/>
        <v>1860</v>
      </c>
    </row>
    <row r="53" spans="1:23" ht="24.95" hidden="1" customHeight="1">
      <c r="A53" s="204" t="s">
        <v>1536</v>
      </c>
      <c r="B53" s="205"/>
      <c r="C53" s="204">
        <v>260</v>
      </c>
      <c r="D53" s="204">
        <v>390</v>
      </c>
      <c r="E53" s="204">
        <v>390</v>
      </c>
      <c r="F53" s="205" t="s">
        <v>1846</v>
      </c>
      <c r="G53" s="205" t="s">
        <v>1797</v>
      </c>
      <c r="H53" s="205" t="s">
        <v>1797</v>
      </c>
      <c r="I53" s="204"/>
      <c r="J53" s="205"/>
      <c r="K53" s="205"/>
      <c r="L53" s="205"/>
      <c r="M53" s="204"/>
      <c r="N53" s="205">
        <v>450</v>
      </c>
      <c r="O53" s="204" t="s">
        <v>1146</v>
      </c>
      <c r="P53" s="204" t="s">
        <v>1146</v>
      </c>
      <c r="Q53" s="205" t="s">
        <v>1161</v>
      </c>
      <c r="R53" s="204"/>
      <c r="S53" s="204"/>
      <c r="T53" s="204"/>
      <c r="U53" s="206">
        <f t="shared" si="3"/>
        <v>1400</v>
      </c>
      <c r="V53" s="206">
        <f t="shared" si="4"/>
        <v>1890</v>
      </c>
      <c r="W53" s="206">
        <f t="shared" si="5"/>
        <v>1890</v>
      </c>
    </row>
    <row r="54" spans="1:23" ht="24.95" hidden="1" customHeight="1">
      <c r="A54" s="204" t="s">
        <v>1536</v>
      </c>
      <c r="B54" s="261" t="s">
        <v>1455</v>
      </c>
      <c r="C54" s="204">
        <v>260</v>
      </c>
      <c r="D54" s="204">
        <v>390</v>
      </c>
      <c r="E54" s="204">
        <v>390</v>
      </c>
      <c r="F54" s="205" t="s">
        <v>1846</v>
      </c>
      <c r="G54" s="205" t="s">
        <v>1797</v>
      </c>
      <c r="H54" s="205" t="s">
        <v>1797</v>
      </c>
      <c r="I54" s="204"/>
      <c r="J54" s="205"/>
      <c r="K54" s="205"/>
      <c r="L54" s="205"/>
      <c r="M54" s="204"/>
      <c r="N54" s="205">
        <v>450</v>
      </c>
      <c r="O54" s="204" t="s">
        <v>798</v>
      </c>
      <c r="P54" s="204">
        <v>150</v>
      </c>
      <c r="Q54" s="205" t="s">
        <v>1161</v>
      </c>
      <c r="R54" s="204"/>
      <c r="S54" s="204"/>
      <c r="T54" s="204"/>
      <c r="U54" s="206">
        <f t="shared" si="3"/>
        <v>1400</v>
      </c>
      <c r="V54" s="206">
        <f t="shared" si="4"/>
        <v>1890</v>
      </c>
      <c r="W54" s="206">
        <f t="shared" si="5"/>
        <v>1890</v>
      </c>
    </row>
    <row r="55" spans="1:23" ht="24.95" hidden="1" customHeight="1">
      <c r="A55" s="204" t="s">
        <v>1169</v>
      </c>
      <c r="B55" s="205"/>
      <c r="C55" s="204">
        <v>260</v>
      </c>
      <c r="D55" s="204">
        <v>390</v>
      </c>
      <c r="E55" s="204">
        <v>420</v>
      </c>
      <c r="F55" s="205">
        <v>750</v>
      </c>
      <c r="G55" s="205">
        <v>1100</v>
      </c>
      <c r="H55" s="205">
        <v>1100</v>
      </c>
      <c r="I55" s="204"/>
      <c r="J55" s="205"/>
      <c r="K55" s="205"/>
      <c r="L55" s="205"/>
      <c r="M55" s="204">
        <v>45</v>
      </c>
      <c r="N55" s="205">
        <v>500</v>
      </c>
      <c r="O55" s="204" t="s">
        <v>1146</v>
      </c>
      <c r="P55" s="204">
        <v>200</v>
      </c>
      <c r="Q55" s="205" t="s">
        <v>1160</v>
      </c>
      <c r="R55" s="204"/>
      <c r="S55" s="204"/>
      <c r="T55" s="204"/>
      <c r="U55" s="206">
        <f t="shared" si="3"/>
        <v>1555</v>
      </c>
      <c r="V55" s="206">
        <f t="shared" si="4"/>
        <v>2035</v>
      </c>
      <c r="W55" s="206">
        <f t="shared" si="5"/>
        <v>2065</v>
      </c>
    </row>
    <row r="56" spans="1:23" ht="24.95" hidden="1" customHeight="1">
      <c r="A56" s="204" t="s">
        <v>1170</v>
      </c>
      <c r="B56" s="205"/>
      <c r="C56" s="204">
        <v>290</v>
      </c>
      <c r="D56" s="204">
        <v>430</v>
      </c>
      <c r="E56" s="204">
        <v>430</v>
      </c>
      <c r="F56" s="205" t="s">
        <v>4104</v>
      </c>
      <c r="G56" s="205" t="s">
        <v>3852</v>
      </c>
      <c r="H56" s="205" t="s">
        <v>3852</v>
      </c>
      <c r="I56" s="204"/>
      <c r="J56" s="205"/>
      <c r="K56" s="205"/>
      <c r="L56" s="205"/>
      <c r="M56" s="204">
        <v>50</v>
      </c>
      <c r="N56" s="205">
        <v>450</v>
      </c>
      <c r="O56" s="204" t="s">
        <v>1145</v>
      </c>
      <c r="P56" s="204">
        <v>300</v>
      </c>
      <c r="Q56" s="205" t="s">
        <v>1160</v>
      </c>
      <c r="R56" s="204"/>
      <c r="S56" s="204"/>
      <c r="T56" s="204"/>
      <c r="U56" s="206">
        <f t="shared" si="3"/>
        <v>1488</v>
      </c>
      <c r="V56" s="206">
        <f t="shared" si="4"/>
        <v>1990</v>
      </c>
      <c r="W56" s="206">
        <f t="shared" si="5"/>
        <v>1990</v>
      </c>
    </row>
    <row r="57" spans="1:23" ht="24.95" hidden="1" customHeight="1">
      <c r="A57" s="204" t="s">
        <v>1170</v>
      </c>
      <c r="B57" s="205" t="s">
        <v>1166</v>
      </c>
      <c r="C57" s="204">
        <v>290</v>
      </c>
      <c r="D57" s="204">
        <v>430</v>
      </c>
      <c r="E57" s="204">
        <v>430</v>
      </c>
      <c r="F57" s="205">
        <v>825</v>
      </c>
      <c r="G57" s="205">
        <v>1230</v>
      </c>
      <c r="H57" s="205">
        <v>1230</v>
      </c>
      <c r="I57" s="204"/>
      <c r="J57" s="205"/>
      <c r="K57" s="205"/>
      <c r="L57" s="205"/>
      <c r="M57" s="204">
        <v>50</v>
      </c>
      <c r="N57" s="205">
        <v>450</v>
      </c>
      <c r="O57" s="204" t="s">
        <v>1145</v>
      </c>
      <c r="P57" s="204">
        <v>300</v>
      </c>
      <c r="Q57" s="205" t="s">
        <v>1160</v>
      </c>
      <c r="R57" s="204"/>
      <c r="S57" s="204"/>
      <c r="T57" s="204"/>
      <c r="U57" s="206">
        <f t="shared" si="3"/>
        <v>1615</v>
      </c>
      <c r="V57" s="206">
        <f t="shared" si="4"/>
        <v>2160</v>
      </c>
      <c r="W57" s="206">
        <f t="shared" si="5"/>
        <v>2160</v>
      </c>
    </row>
    <row r="58" spans="1:23" ht="24.95" hidden="1" customHeight="1">
      <c r="A58" s="204" t="s">
        <v>2145</v>
      </c>
      <c r="B58" s="205"/>
      <c r="C58" s="204">
        <v>290</v>
      </c>
      <c r="D58" s="204">
        <v>410</v>
      </c>
      <c r="E58" s="204">
        <v>410</v>
      </c>
      <c r="F58" s="205" t="s">
        <v>2198</v>
      </c>
      <c r="G58" s="205" t="s">
        <v>2197</v>
      </c>
      <c r="H58" s="205" t="s">
        <v>2197</v>
      </c>
      <c r="I58" s="204"/>
      <c r="J58" s="205">
        <v>20</v>
      </c>
      <c r="K58" s="205">
        <v>30</v>
      </c>
      <c r="L58" s="205">
        <v>30</v>
      </c>
      <c r="M58" s="204">
        <v>30</v>
      </c>
      <c r="N58" s="205">
        <v>450</v>
      </c>
      <c r="O58" s="204" t="s">
        <v>2196</v>
      </c>
      <c r="P58" s="204">
        <v>350</v>
      </c>
      <c r="Q58" s="205" t="s">
        <v>2195</v>
      </c>
      <c r="R58" s="209"/>
      <c r="S58" s="209"/>
      <c r="T58" s="209"/>
      <c r="U58" s="206">
        <f t="shared" si="3"/>
        <v>1462</v>
      </c>
      <c r="V58" s="206">
        <f t="shared" si="4"/>
        <v>1928</v>
      </c>
      <c r="W58" s="206">
        <f t="shared" si="5"/>
        <v>1928</v>
      </c>
    </row>
    <row r="59" spans="1:23" ht="24.95" hidden="1" customHeight="1">
      <c r="A59" s="204" t="s">
        <v>2193</v>
      </c>
      <c r="B59" s="205"/>
      <c r="C59" s="204" t="s">
        <v>2411</v>
      </c>
      <c r="D59" s="204" t="s">
        <v>2412</v>
      </c>
      <c r="E59" s="204" t="s">
        <v>2412</v>
      </c>
      <c r="F59" s="205" t="s">
        <v>2192</v>
      </c>
      <c r="G59" s="205" t="s">
        <v>1917</v>
      </c>
      <c r="H59" s="205" t="s">
        <v>1917</v>
      </c>
      <c r="I59" s="204"/>
      <c r="J59" s="205"/>
      <c r="K59" s="205"/>
      <c r="L59" s="205"/>
      <c r="M59" s="204">
        <v>55</v>
      </c>
      <c r="N59" s="205">
        <v>450</v>
      </c>
      <c r="O59" s="204" t="s">
        <v>1147</v>
      </c>
      <c r="P59" s="204">
        <v>400</v>
      </c>
      <c r="Q59" s="205" t="s">
        <v>2191</v>
      </c>
      <c r="R59" s="204"/>
      <c r="S59" s="204"/>
      <c r="T59" s="204"/>
      <c r="U59" s="206">
        <f t="shared" si="3"/>
        <v>1428</v>
      </c>
      <c r="V59" s="206">
        <f t="shared" si="4"/>
        <v>1952</v>
      </c>
      <c r="W59" s="206">
        <f t="shared" si="5"/>
        <v>1952</v>
      </c>
    </row>
    <row r="60" spans="1:23" ht="24.95" hidden="1" customHeight="1">
      <c r="A60" s="204" t="s">
        <v>2141</v>
      </c>
      <c r="B60" s="205"/>
      <c r="C60" s="204" t="s">
        <v>2190</v>
      </c>
      <c r="D60" s="204" t="s">
        <v>2189</v>
      </c>
      <c r="E60" s="204" t="s">
        <v>1685</v>
      </c>
      <c r="F60" s="205" t="s">
        <v>1795</v>
      </c>
      <c r="G60" s="205" t="s">
        <v>1796</v>
      </c>
      <c r="H60" s="205" t="s">
        <v>1796</v>
      </c>
      <c r="I60" s="204"/>
      <c r="J60" s="205"/>
      <c r="K60" s="205"/>
      <c r="L60" s="205"/>
      <c r="M60" s="204"/>
      <c r="N60" s="205">
        <v>450</v>
      </c>
      <c r="O60" s="204" t="s">
        <v>1172</v>
      </c>
      <c r="P60" s="204" t="s">
        <v>1148</v>
      </c>
      <c r="Q60" s="205" t="s">
        <v>1160</v>
      </c>
      <c r="R60" s="204"/>
      <c r="S60" s="204"/>
      <c r="T60" s="204"/>
      <c r="U60" s="206">
        <f t="shared" si="3"/>
        <v>1370</v>
      </c>
      <c r="V60" s="206">
        <f t="shared" si="4"/>
        <v>1854</v>
      </c>
      <c r="W60" s="206">
        <f t="shared" si="5"/>
        <v>1854</v>
      </c>
    </row>
    <row r="61" spans="1:23" ht="24.95" hidden="1" customHeight="1">
      <c r="A61" s="204" t="s">
        <v>1171</v>
      </c>
      <c r="B61" s="205"/>
      <c r="C61" s="204">
        <v>270</v>
      </c>
      <c r="D61" s="204">
        <v>410</v>
      </c>
      <c r="E61" s="204">
        <v>410</v>
      </c>
      <c r="F61" s="205" t="s">
        <v>1859</v>
      </c>
      <c r="G61" s="205" t="s">
        <v>1860</v>
      </c>
      <c r="H61" s="205" t="s">
        <v>1860</v>
      </c>
      <c r="I61" s="204">
        <v>45</v>
      </c>
      <c r="J61" s="205"/>
      <c r="K61" s="205"/>
      <c r="L61" s="205"/>
      <c r="M61" s="204">
        <v>30</v>
      </c>
      <c r="N61" s="205">
        <v>500</v>
      </c>
      <c r="O61" s="204" t="s">
        <v>1145</v>
      </c>
      <c r="P61" s="204">
        <v>300</v>
      </c>
      <c r="Q61" s="205" t="s">
        <v>1161</v>
      </c>
      <c r="R61" s="204"/>
      <c r="S61" s="204"/>
      <c r="T61" s="204"/>
      <c r="U61" s="206">
        <f t="shared" si="3"/>
        <v>1538</v>
      </c>
      <c r="V61" s="206">
        <f t="shared" si="4"/>
        <v>2023</v>
      </c>
      <c r="W61" s="206">
        <f t="shared" si="5"/>
        <v>2023</v>
      </c>
    </row>
  </sheetData>
  <autoFilter ref="A2:W61">
    <filterColumn colId="0">
      <filters>
        <filter val="HMM"/>
      </filters>
    </filterColumn>
    <filterColumn colId="2" showButton="0"/>
    <filterColumn colId="3" showButton="0"/>
    <filterColumn colId="5" showButton="0"/>
    <filterColumn colId="6" showButton="0"/>
    <filterColumn colId="9" showButton="0"/>
    <filterColumn colId="10" showButton="0"/>
    <filterColumn colId="17" showButton="0"/>
    <filterColumn colId="18" showButton="0"/>
    <filterColumn colId="20" showButton="0"/>
    <filterColumn colId="21" showButton="0"/>
  </autoFilter>
  <mergeCells count="9">
    <mergeCell ref="B8:W8"/>
    <mergeCell ref="A1:W1"/>
    <mergeCell ref="R2:T2"/>
    <mergeCell ref="U2:W2"/>
    <mergeCell ref="A2:A3"/>
    <mergeCell ref="B2:B3"/>
    <mergeCell ref="C2:E2"/>
    <mergeCell ref="F2:H2"/>
    <mergeCell ref="J2:L2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涨价通知</vt:lpstr>
      <vt:lpstr>澳新线冷代干特刊</vt:lpstr>
      <vt:lpstr>澳新线</vt:lpstr>
      <vt:lpstr>东南亚及俄罗斯远东</vt:lpstr>
      <vt:lpstr>中东印巴红海</vt:lpstr>
      <vt:lpstr>欧地北非线</vt:lpstr>
      <vt:lpstr>非洲线</vt:lpstr>
      <vt:lpstr>中南美</vt:lpstr>
      <vt:lpstr>日韩台湾线</vt:lpstr>
      <vt:lpstr>美加线</vt:lpstr>
      <vt:lpstr>赛嘉通讯录</vt:lpstr>
      <vt:lpstr>RMB收费标准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SeanHuang</cp:lastModifiedBy>
  <cp:lastPrinted>2017-06-23T05:54:15Z</cp:lastPrinted>
  <dcterms:created xsi:type="dcterms:W3CDTF">2006-10-12T09:08:46Z</dcterms:created>
  <dcterms:modified xsi:type="dcterms:W3CDTF">2018-01-12T02:37:37Z</dcterms:modified>
</cp:coreProperties>
</file>